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6750" activeTab="0"/>
  </bookViews>
  <sheets>
    <sheet name="Historical" sheetId="1" r:id="rId1"/>
    <sheet name="Historical CF" sheetId="2" r:id="rId2"/>
    <sheet name="Forecast" sheetId="3" r:id="rId3"/>
    <sheet name="Assumptions" sheetId="4" r:id="rId4"/>
  </sheets>
  <definedNames>
    <definedName name="_xlnm.Print_Area" localSheetId="3">'Assumptions'!$A$1:$O$62</definedName>
    <definedName name="_xlnm.Print_Area" localSheetId="2">'Forecast'!$A$1:$X$150</definedName>
    <definedName name="_xlnm.Print_Area" localSheetId="0">'Historical'!$A$1:$AC$153</definedName>
    <definedName name="_xlnm.Print_Area" localSheetId="1">'Historical CF'!$A$1:$N$118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<sst xmlns="http://schemas.openxmlformats.org/spreadsheetml/2006/main" count="419" uniqueCount="242">
  <si>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</si>
  <si>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</si>
  <si>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</si>
  <si>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</si>
  <si>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</si>
  <si>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</si>
  <si>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</si>
  <si>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</si>
  <si>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</si>
  <si>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</si>
  <si>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</si>
  <si>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</si>
  <si>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</si>
  <si>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</si>
  <si>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</si>
  <si>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</si>
  <si>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</si>
  <si>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</si>
  <si>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</si>
  <si>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</si>
  <si>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</si>
  <si>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</si>
  <si>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</si>
  <si>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</si>
  <si>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</si>
  <si>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</si>
  <si>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</si>
  <si>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</si>
  <si>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</si>
  <si>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</si>
  <si>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</si>
  <si>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</si>
  <si>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</si>
  <si>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</si>
  <si>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</si>
  <si>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</si>
  <si>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</si>
  <si>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</si>
  <si>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</si>
  <si>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</si>
  <si>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</si>
  <si>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</si>
  <si>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</si>
  <si>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</si>
  <si>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</si>
  <si>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</si>
  <si>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</si>
  <si>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</si>
  <si>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</si>
  <si>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</si>
  <si>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</si>
  <si>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</si>
  <si>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</si>
  <si>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</si>
  <si>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</si>
  <si>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</si>
  <si>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</si>
  <si>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</si>
  <si>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</si>
  <si>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</si>
  <si>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</si>
  <si>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</si>
  <si>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</si>
  <si>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</si>
  <si>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</si>
  <si>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</si>
  <si>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</si>
  <si>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</si>
  <si>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Bond Rating</t>
  </si>
  <si>
    <t>Common Stock Rating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</si>
  <si>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</si>
  <si>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</si>
  <si>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</si>
  <si>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</si>
  <si>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</si>
  <si>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</si>
  <si>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</si>
  <si>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</si>
  <si>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</si>
  <si>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</si>
  <si>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</si>
  <si>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</si>
  <si>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</si>
  <si>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</si>
  <si>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</si>
  <si>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</si>
  <si>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</si>
  <si>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</si>
  <si>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</si>
  <si>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</si>
  <si>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</si>
  <si>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</si>
  <si>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</si>
  <si>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</si>
  <si>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</si>
  <si>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</si>
  <si>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</si>
  <si>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</si>
  <si>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</si>
  <si>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</si>
  <si>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</si>
  <si>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</si>
  <si>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</si>
  <si>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</si>
  <si>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</si>
  <si>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</si>
  <si>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</si>
  <si>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</si>
  <si>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</si>
  <si>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</si>
  <si>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</si>
  <si>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</si>
  <si>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</si>
  <si>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</si>
  <si>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 xml:space="preserve">      Amounts due to/from affiliates, net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</si>
  <si>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</si>
  <si>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</si>
  <si>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</si>
  <si>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</si>
  <si>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</si>
  <si>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</si>
  <si>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</si>
  <si>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</si>
  <si>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</si>
  <si>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</si>
  <si>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</si>
  <si>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</si>
  <si>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</si>
  <si>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</si>
  <si>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</si>
  <si>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</si>
  <si>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</si>
  <si>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</si>
  <si>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</si>
  <si>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</si>
  <si>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</si>
  <si>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 xml:space="preserve">Dividend Payout </t>
  </si>
  <si>
    <t>Inflation (GDP)</t>
  </si>
  <si>
    <t>Income Tax Rate</t>
  </si>
  <si>
    <t>growth rate</t>
  </si>
  <si>
    <t>of total assets</t>
  </si>
  <si>
    <t>Surplus Cash</t>
  </si>
  <si>
    <t>Additonal Loans</t>
  </si>
  <si>
    <t>Period</t>
  </si>
  <si>
    <t>estimate: Value Line 3-5 year at 2.50 percent, add 0.25% for higer commodity prices</t>
  </si>
  <si>
    <t>Long-term debt Rate</t>
  </si>
  <si>
    <t>Short-term debt Rate</t>
  </si>
  <si>
    <t>Rate on Cash balances</t>
  </si>
  <si>
    <t>Preferred Stock Dividend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</si>
  <si>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</si>
  <si>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</si>
  <si>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</si>
  <si>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</si>
  <si>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</si>
  <si>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</si>
  <si>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</si>
  <si>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</si>
  <si>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</si>
  <si>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</si>
  <si>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*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</si>
  <si>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</si>
  <si>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</si>
  <si>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</si>
  <si>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</si>
  <si>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</si>
  <si>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</si>
  <si>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</si>
  <si>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</si>
  <si>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</si>
  <si>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</si>
  <si>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</si>
  <si>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</si>
  <si>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</si>
  <si>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</si>
  <si>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</si>
  <si>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</si>
  <si>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</si>
  <si>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</si>
  <si>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</si>
  <si>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</si>
  <si>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</si>
  <si>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</si>
  <si>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</si>
  <si>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</si>
  <si>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</si>
  <si>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Assumed after 2012</t>
  </si>
  <si>
    <t>annual ammount, fixed</t>
  </si>
  <si>
    <t>percent of assets</t>
  </si>
  <si>
    <t>of revenues</t>
  </si>
  <si>
    <t>computer calculation</t>
  </si>
  <si>
    <t>average growth rate</t>
  </si>
  <si>
    <t>fixed amount</t>
  </si>
  <si>
    <t>estimated growth rate</t>
  </si>
  <si>
    <t>used 2008-2010</t>
  </si>
  <si>
    <t>percent of revenues</t>
  </si>
  <si>
    <t>2008-2010</t>
  </si>
  <si>
    <t>percent of LTD</t>
  </si>
  <si>
    <t xml:space="preserve">average </t>
  </si>
  <si>
    <t>of fuel expense</t>
  </si>
  <si>
    <t>constant at 2009 amount</t>
  </si>
  <si>
    <t>Common Size Forecast Income Statements</t>
  </si>
  <si>
    <t>Interest Expense (Income) on Additional Loans (Surplus Cash)</t>
  </si>
  <si>
    <t>of plant in service</t>
  </si>
  <si>
    <t>cost of average s-t and l-t debt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</si>
  <si>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</si>
  <si>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</si>
  <si>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</si>
  <si>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</si>
  <si>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</si>
  <si>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revenue growth rate</t>
  </si>
  <si>
    <t>Additional Loans Rate</t>
  </si>
  <si>
    <t>equal to dividend payments after 2010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</si>
  <si>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</si>
  <si>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</si>
  <si>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</si>
  <si>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</si>
  <si>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</si>
  <si>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</si>
  <si>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</si>
  <si>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</si>
  <si>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</si>
  <si>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</si>
  <si>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estimated from 2008-2010</t>
  </si>
  <si>
    <t>of total assets, 2007-2010</t>
  </si>
  <si>
    <t>of net income</t>
  </si>
  <si>
    <t>of revenues, estimated from 2010</t>
  </si>
  <si>
    <t>Exhibit 2</t>
  </si>
  <si>
    <t>September</t>
  </si>
  <si>
    <t>2006-2010</t>
  </si>
  <si>
    <t>Fiscal Years Ended March 31, 2006, December 31, 2007-2010</t>
  </si>
  <si>
    <t>Total Other (Income)/Expense</t>
  </si>
  <si>
    <t>Days Revenues Cash</t>
  </si>
  <si>
    <t xml:space="preserve">     Common Stock Dividends paid</t>
  </si>
  <si>
    <t>2006-2010 average</t>
  </si>
  <si>
    <t>reverse of 2010-2008, then 33.83% of plant in service</t>
  </si>
  <si>
    <t>absolute avg. growth 2006-2010</t>
  </si>
  <si>
    <t>Actual 2006 to 2010 growth rate</t>
  </si>
  <si>
    <t>same as revenue</t>
  </si>
  <si>
    <t>one-third avg pct of assets</t>
  </si>
  <si>
    <t>of revenues, 2007-2010</t>
  </si>
  <si>
    <t>Actual 2006 to 2010 growth rate, plus 1%</t>
  </si>
  <si>
    <t>A-/BBB+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</si>
</sst>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%"/>
    <numFmt numFmtId="166" formatCode="&quot;$&quot;#,##0.000_);\(&quot;$&quot;#,##0.000\)"/>
    <numFmt numFmtId="167" formatCode="_(* #,##0.0_);_(* \(#,##0.0\);_(* &quot;-&quot;?_);_(@_)"/>
    <numFmt numFmtId="168" formatCode="#,##0.0_);\(#,##0.0\)"/>
    <numFmt numFmtId="169" formatCode="&quot;$&quot;#,##0.0_);\(&quot;$&quot;#,##0.0\)"/>
    <numFmt numFmtId="170" formatCode="_(&quot;$&quot;* #,##0.0_);_(&quot;$&quot;* \(#,##0.0\);_(&quot;$&quot;* &quot;-&quot;?_);_(@_)"/>
    <numFmt numFmtId="171" formatCode="&quot;$&quot;#,##0"/>
    <numFmt numFmtId="172" formatCode="_(&quot;$&quot;* #,##0.0_);_(&quot;$&quot;* \(#,##0.0\);_(&quot;$&quot;* &quot;-&quot;??_);_(@_)"/>
    <numFmt numFmtId="173" formatCode="#,##0.0"/>
    <numFmt numFmtId="174" formatCode="#,##0.000"/>
    <numFmt numFmtId="175" formatCode="0.0000000"/>
    <numFmt numFmtId="176" formatCode="0.0000000000"/>
    <numFmt numFmtId="177" formatCode="#,##0.0000000"/>
    <numFmt numFmtId="178" formatCode="#,##0.000_);\(#,##0.000\)"/>
    <numFmt numFmtId="179" formatCode="#,##0.0000_);\(#,##0.0000\)"/>
    <numFmt numFmtId="180" formatCode="0.0000%"/>
    <numFmt numFmtId="181" formatCode="0_);\(0\)"/>
    <numFmt numFmtId="182" formatCode="[$-409]dddd\,\ mmmm\ dd\,\ yyyy"/>
    <numFmt numFmtId="183" formatCode="[$-409]mmmm\ d\,\ yyyy;@"/>
    <numFmt numFmtId="184" formatCode="0.00_);\(0.00\)"/>
    <numFmt numFmtId="185" formatCode="_(* #,##0_);_(* \(#,##0\);_(* &quot;-&quot;??_);_(@_)"/>
    <numFmt numFmtId="186" formatCode="&quot;$&quot;#,##0.00000_);\(&quot;$&quot;#,##0.000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name val="Times New Roman"/>
      <family val="0"/>
    </font>
    <font>
      <b/>
      <sz val="10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36" fillId="0" borderId="0" applyNumberFormat="0" applyFill="0" applyBorder="0" applyAlignment="0" applyProtection="0"/>
    <xf numFmtId="2" fontId="0" fillId="2" borderId="0">
      <alignment/>
      <protection/>
    </xf>
    <xf numFmtId="0" fontId="3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 applyFill="0" applyBorder="0">
      <alignment/>
      <protection/>
    </xf>
    <xf numFmtId="0" fontId="0" fillId="33" borderId="5" applyNumberFormat="0" applyFont="0" applyAlignment="0" applyProtection="0"/>
    <xf numFmtId="0" fontId="42" fillId="28" borderId="6" applyNumberFormat="0" applyAlignment="0" applyProtection="0"/>
    <xf numFmtId="10" fontId="0" fillId="2" borderId="0">
      <alignment/>
      <protection/>
    </xf>
    <xf numFmtId="0" fontId="43" fillId="0" borderId="0" applyNumberFormat="0" applyFill="0" applyBorder="0" applyAlignment="0" applyProtection="0"/>
    <xf numFmtId="0" fontId="0" fillId="2" borderId="7">
      <alignment/>
      <protection/>
    </xf>
    <xf numFmtId="0" fontId="44" fillId="0" borderId="0" applyNumberFormat="0" applyFill="0" applyBorder="0" applyAlignment="0" applyProtection="0"/>
  </cellStyleXfs>
  <cellXfs count="295">
    <xf numFmtId="5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5" fontId="6" fillId="2" borderId="0" xfId="0" applyNumberFormat="1" applyFont="1" applyFill="1" applyAlignment="1">
      <alignment/>
    </xf>
    <xf numFmtId="5" fontId="6" fillId="2" borderId="8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0" fontId="6" fillId="2" borderId="0" xfId="0" applyNumberFormat="1" applyFont="1" applyFill="1" applyAlignment="1">
      <alignment/>
    </xf>
    <xf numFmtId="10" fontId="6" fillId="2" borderId="8" xfId="0" applyNumberFormat="1" applyFont="1" applyFill="1" applyBorder="1" applyAlignment="1">
      <alignment/>
    </xf>
    <xf numFmtId="10" fontId="6" fillId="2" borderId="9" xfId="0" applyNumberFormat="1" applyFont="1" applyFill="1" applyBorder="1" applyAlignment="1">
      <alignment/>
    </xf>
    <xf numFmtId="2" fontId="6" fillId="2" borderId="0" xfId="0" applyNumberFormat="1" applyFont="1" applyFill="1" applyAlignment="1">
      <alignment/>
    </xf>
    <xf numFmtId="5" fontId="4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5" fontId="6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centerContinuous"/>
    </xf>
    <xf numFmtId="5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right"/>
    </xf>
    <xf numFmtId="10" fontId="6" fillId="2" borderId="8" xfId="0" applyNumberFormat="1" applyFont="1" applyFill="1" applyBorder="1" applyAlignment="1">
      <alignment horizontal="right"/>
    </xf>
    <xf numFmtId="10" fontId="6" fillId="2" borderId="1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5" fontId="6" fillId="2" borderId="0" xfId="0" applyNumberFormat="1" applyFont="1" applyFill="1" applyBorder="1" applyAlignment="1">
      <alignment/>
    </xf>
    <xf numFmtId="5" fontId="6" fillId="2" borderId="10" xfId="0" applyNumberFormat="1" applyFont="1" applyFill="1" applyBorder="1" applyAlignment="1">
      <alignment/>
    </xf>
    <xf numFmtId="5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NumberFormat="1" applyFont="1" applyFill="1" applyBorder="1" applyAlignment="1">
      <alignment horizontal="right"/>
    </xf>
    <xf numFmtId="0" fontId="0" fillId="2" borderId="0" xfId="57" applyFill="1">
      <alignment/>
      <protection/>
    </xf>
    <xf numFmtId="0" fontId="6" fillId="0" borderId="0" xfId="57" applyFont="1" applyFill="1" applyBorder="1" applyAlignment="1">
      <alignment vertical="center"/>
      <protection/>
    </xf>
    <xf numFmtId="168" fontId="6" fillId="2" borderId="0" xfId="57" applyNumberFormat="1" applyFont="1" applyFill="1" applyBorder="1" applyAlignment="1">
      <alignment horizontal="right"/>
      <protection/>
    </xf>
    <xf numFmtId="0" fontId="6" fillId="0" borderId="0" xfId="57" applyFont="1" applyBorder="1" applyAlignment="1">
      <alignment vertical="center"/>
      <protection/>
    </xf>
    <xf numFmtId="168" fontId="6" fillId="0" borderId="0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/>
      <protection/>
    </xf>
    <xf numFmtId="0" fontId="6" fillId="0" borderId="11" xfId="57" applyFont="1" applyBorder="1" applyAlignment="1">
      <alignment vertical="center"/>
      <protection/>
    </xf>
    <xf numFmtId="168" fontId="6" fillId="2" borderId="11" xfId="57" applyNumberFormat="1" applyFont="1" applyFill="1" applyBorder="1" applyAlignment="1">
      <alignment horizontal="right"/>
      <protection/>
    </xf>
    <xf numFmtId="0" fontId="0" fillId="2" borderId="0" xfId="57" applyFont="1" applyFill="1">
      <alignment/>
      <protection/>
    </xf>
    <xf numFmtId="173" fontId="0" fillId="2" borderId="0" xfId="57" applyNumberFormat="1" applyFill="1">
      <alignment/>
      <protection/>
    </xf>
    <xf numFmtId="0" fontId="10" fillId="0" borderId="0" xfId="57" applyFont="1" applyFill="1" applyBorder="1" applyAlignment="1">
      <alignment horizontal="right"/>
      <protection/>
    </xf>
    <xf numFmtId="0" fontId="10" fillId="2" borderId="0" xfId="57" applyNumberFormat="1" applyFont="1" applyFill="1" applyBorder="1" applyAlignment="1">
      <alignment horizontal="right"/>
      <protection/>
    </xf>
    <xf numFmtId="0" fontId="10" fillId="2" borderId="0" xfId="57" applyFont="1" applyFill="1">
      <alignment/>
      <protection/>
    </xf>
    <xf numFmtId="0" fontId="6" fillId="2" borderId="0" xfId="57" applyFont="1" applyFill="1">
      <alignment/>
      <protection/>
    </xf>
    <xf numFmtId="173" fontId="6" fillId="2" borderId="0" xfId="57" applyNumberFormat="1" applyFont="1" applyFill="1">
      <alignment/>
      <protection/>
    </xf>
    <xf numFmtId="0" fontId="0" fillId="2" borderId="0" xfId="57" applyFill="1" applyAlignment="1">
      <alignment horizontal="centerContinuous"/>
      <protection/>
    </xf>
    <xf numFmtId="5" fontId="4" fillId="2" borderId="0" xfId="57" applyNumberFormat="1" applyFont="1" applyFill="1" applyAlignment="1">
      <alignment horizontal="centerContinuous"/>
      <protection/>
    </xf>
    <xf numFmtId="173" fontId="0" fillId="2" borderId="0" xfId="57" applyNumberFormat="1" applyFill="1" applyAlignment="1">
      <alignment horizontal="centerContinuous"/>
      <protection/>
    </xf>
    <xf numFmtId="0" fontId="12" fillId="2" borderId="0" xfId="57" applyFont="1" applyFill="1" applyAlignment="1">
      <alignment horizontal="centerContinuous"/>
      <protection/>
    </xf>
    <xf numFmtId="0" fontId="0" fillId="2" borderId="0" xfId="57" applyFont="1" applyFill="1" applyAlignment="1">
      <alignment horizontal="centerContinuous"/>
      <protection/>
    </xf>
    <xf numFmtId="0" fontId="10" fillId="2" borderId="0" xfId="57" applyFont="1" applyFill="1" applyAlignment="1">
      <alignment horizontal="center"/>
      <protection/>
    </xf>
    <xf numFmtId="173" fontId="0" fillId="2" borderId="0" xfId="57" applyNumberFormat="1" applyFont="1" applyFill="1" applyAlignment="1">
      <alignment horizontal="centerContinuous"/>
      <protection/>
    </xf>
    <xf numFmtId="0" fontId="6" fillId="0" borderId="0" xfId="57" applyFont="1" applyBorder="1" applyAlignment="1" quotePrefix="1">
      <alignment horizontal="left" vertical="center"/>
      <protection/>
    </xf>
    <xf numFmtId="0" fontId="11" fillId="2" borderId="0" xfId="57" applyFont="1" applyFill="1" applyAlignment="1">
      <alignment horizontal="centerContinuous"/>
      <protection/>
    </xf>
    <xf numFmtId="5" fontId="4" fillId="0" borderId="0" xfId="57" applyNumberFormat="1" applyFont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5" fillId="2" borderId="0" xfId="57" applyFont="1" applyFill="1" applyAlignment="1">
      <alignment horizontal="centerContinuous"/>
      <protection/>
    </xf>
    <xf numFmtId="5" fontId="10" fillId="2" borderId="0" xfId="57" applyNumberFormat="1" applyFont="1" applyFill="1" applyAlignment="1">
      <alignment horizontal="centerContinuous"/>
      <protection/>
    </xf>
    <xf numFmtId="5" fontId="6" fillId="2" borderId="0" xfId="0" applyNumberFormat="1" applyFont="1" applyFill="1" applyAlignment="1">
      <alignment/>
    </xf>
    <xf numFmtId="10" fontId="9" fillId="2" borderId="0" xfId="0" applyNumberFormat="1" applyFont="1" applyFill="1" applyAlignment="1">
      <alignment/>
    </xf>
    <xf numFmtId="10" fontId="6" fillId="2" borderId="0" xfId="0" applyNumberFormat="1" applyFont="1" applyFill="1" applyAlignment="1" quotePrefix="1">
      <alignment horizontal="left"/>
    </xf>
    <xf numFmtId="10" fontId="6" fillId="2" borderId="0" xfId="0" applyNumberFormat="1" applyFont="1" applyFill="1" applyAlignment="1">
      <alignment/>
    </xf>
    <xf numFmtId="0" fontId="6" fillId="2" borderId="0" xfId="57" applyFont="1" applyFill="1" applyAlignment="1">
      <alignment horizontal="centerContinuous"/>
      <protection/>
    </xf>
    <xf numFmtId="10" fontId="6" fillId="2" borderId="0" xfId="60" applyFont="1">
      <alignment/>
      <protection/>
    </xf>
    <xf numFmtId="10" fontId="6" fillId="2" borderId="0" xfId="57" applyNumberFormat="1" applyFont="1" applyFill="1">
      <alignment/>
      <protection/>
    </xf>
    <xf numFmtId="10" fontId="6" fillId="2" borderId="0" xfId="60" applyFont="1" applyAlignment="1">
      <alignment horizontal="center"/>
      <protection/>
    </xf>
    <xf numFmtId="0" fontId="8" fillId="34" borderId="0" xfId="57" applyFont="1" applyFill="1" applyBorder="1" applyAlignment="1" quotePrefix="1">
      <alignment horizontal="left"/>
      <protection/>
    </xf>
    <xf numFmtId="168" fontId="6" fillId="0" borderId="0" xfId="57" applyNumberFormat="1" applyFont="1" applyBorder="1" applyAlignment="1">
      <alignment horizontal="right"/>
      <protection/>
    </xf>
    <xf numFmtId="168" fontId="6" fillId="2" borderId="0" xfId="0" applyNumberFormat="1" applyFont="1" applyFill="1" applyAlignment="1">
      <alignment horizontal="centerContinuous"/>
    </xf>
    <xf numFmtId="168" fontId="6" fillId="0" borderId="0" xfId="57" applyNumberFormat="1" applyFont="1" applyBorder="1" applyAlignment="1" applyProtection="1">
      <alignment horizontal="right"/>
      <protection locked="0"/>
    </xf>
    <xf numFmtId="168" fontId="8" fillId="34" borderId="0" xfId="57" applyNumberFormat="1" applyFont="1" applyFill="1" applyBorder="1" applyAlignment="1">
      <alignment horizontal="right"/>
      <protection/>
    </xf>
    <xf numFmtId="168" fontId="6" fillId="0" borderId="11" xfId="57" applyNumberFormat="1" applyFont="1" applyBorder="1" applyAlignment="1">
      <alignment horizontal="right"/>
      <protection/>
    </xf>
    <xf numFmtId="168" fontId="8" fillId="34" borderId="11" xfId="44" applyNumberFormat="1" applyFont="1" applyFill="1" applyBorder="1" applyAlignment="1">
      <alignment horizontal="right"/>
      <protection/>
    </xf>
    <xf numFmtId="168" fontId="0" fillId="2" borderId="0" xfId="57" applyNumberFormat="1" applyFill="1">
      <alignment/>
      <protection/>
    </xf>
    <xf numFmtId="168" fontId="8" fillId="34" borderId="0" xfId="44" applyNumberFormat="1" applyFont="1" applyFill="1" applyBorder="1">
      <alignment/>
      <protection/>
    </xf>
    <xf numFmtId="0" fontId="6" fillId="0" borderId="0" xfId="57" applyFont="1" applyFill="1" applyBorder="1" applyAlignment="1" quotePrefix="1">
      <alignment horizontal="left" vertical="center"/>
      <protection/>
    </xf>
    <xf numFmtId="10" fontId="6" fillId="2" borderId="10" xfId="60" applyFont="1" applyBorder="1">
      <alignment/>
      <protection/>
    </xf>
    <xf numFmtId="10" fontId="6" fillId="2" borderId="12" xfId="0" applyNumberFormat="1" applyFont="1" applyFill="1" applyBorder="1" applyAlignment="1">
      <alignment/>
    </xf>
    <xf numFmtId="10" fontId="6" fillId="2" borderId="13" xfId="0" applyNumberFormat="1" applyFont="1" applyFill="1" applyBorder="1" applyAlignment="1">
      <alignment/>
    </xf>
    <xf numFmtId="10" fontId="0" fillId="2" borderId="0" xfId="0" applyNumberFormat="1" applyFill="1" applyAlignment="1">
      <alignment horizontal="centerContinuous"/>
    </xf>
    <xf numFmtId="5" fontId="6" fillId="2" borderId="1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5" fontId="6" fillId="2" borderId="14" xfId="0" applyNumberFormat="1" applyFont="1" applyFill="1" applyBorder="1" applyAlignment="1">
      <alignment/>
    </xf>
    <xf numFmtId="5" fontId="6" fillId="2" borderId="12" xfId="0" applyNumberFormat="1" applyFont="1" applyFill="1" applyBorder="1" applyAlignment="1">
      <alignment/>
    </xf>
    <xf numFmtId="5" fontId="6" fillId="2" borderId="8" xfId="0" applyNumberFormat="1" applyFont="1" applyFill="1" applyBorder="1" applyAlignment="1">
      <alignment horizontal="right"/>
    </xf>
    <xf numFmtId="5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7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5" fontId="6" fillId="2" borderId="16" xfId="0" applyNumberFormat="1" applyFont="1" applyFill="1" applyBorder="1" applyAlignment="1">
      <alignment/>
    </xf>
    <xf numFmtId="5" fontId="6" fillId="2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2" borderId="14" xfId="0" applyNumberFormat="1" applyFont="1" applyFill="1" applyBorder="1" applyAlignment="1">
      <alignment/>
    </xf>
    <xf numFmtId="39" fontId="6" fillId="2" borderId="14" xfId="0" applyNumberFormat="1" applyFont="1" applyFill="1" applyBorder="1" applyAlignment="1">
      <alignment/>
    </xf>
    <xf numFmtId="10" fontId="6" fillId="2" borderId="14" xfId="0" applyNumberFormat="1" applyFont="1" applyFill="1" applyBorder="1" applyAlignment="1">
      <alignment/>
    </xf>
    <xf numFmtId="10" fontId="6" fillId="2" borderId="16" xfId="0" applyNumberFormat="1" applyFont="1" applyFill="1" applyBorder="1" applyAlignment="1">
      <alignment/>
    </xf>
    <xf numFmtId="10" fontId="6" fillId="2" borderId="17" xfId="0" applyNumberFormat="1" applyFont="1" applyFill="1" applyBorder="1" applyAlignment="1">
      <alignment/>
    </xf>
    <xf numFmtId="10" fontId="6" fillId="2" borderId="18" xfId="0" applyNumberFormat="1" applyFont="1" applyFill="1" applyBorder="1" applyAlignment="1">
      <alignment/>
    </xf>
    <xf numFmtId="10" fontId="6" fillId="2" borderId="19" xfId="0" applyNumberFormat="1" applyFont="1" applyFill="1" applyBorder="1" applyAlignment="1">
      <alignment/>
    </xf>
    <xf numFmtId="10" fontId="6" fillId="2" borderId="20" xfId="0" applyNumberFormat="1" applyFont="1" applyFill="1" applyBorder="1" applyAlignment="1">
      <alignment/>
    </xf>
    <xf numFmtId="10" fontId="6" fillId="2" borderId="21" xfId="0" applyNumberFormat="1" applyFont="1" applyFill="1" applyBorder="1" applyAlignment="1">
      <alignment/>
    </xf>
    <xf numFmtId="10" fontId="6" fillId="2" borderId="11" xfId="0" applyNumberFormat="1" applyFont="1" applyFill="1" applyBorder="1" applyAlignment="1">
      <alignment/>
    </xf>
    <xf numFmtId="0" fontId="6" fillId="2" borderId="14" xfId="0" applyNumberFormat="1" applyFont="1" applyFill="1" applyBorder="1" applyAlignment="1">
      <alignment horizontal="right"/>
    </xf>
    <xf numFmtId="2" fontId="6" fillId="2" borderId="0" xfId="0" applyNumberFormat="1" applyFont="1" applyFill="1" applyAlignment="1" quotePrefix="1">
      <alignment horizontal="right" wrapText="1"/>
    </xf>
    <xf numFmtId="5" fontId="6" fillId="2" borderId="22" xfId="0" applyNumberFormat="1" applyFont="1" applyFill="1" applyBorder="1" applyAlignment="1">
      <alignment/>
    </xf>
    <xf numFmtId="37" fontId="6" fillId="2" borderId="0" xfId="0" applyNumberFormat="1" applyFont="1" applyFill="1" applyAlignment="1">
      <alignment/>
    </xf>
    <xf numFmtId="184" fontId="6" fillId="2" borderId="0" xfId="0" applyNumberFormat="1" applyFont="1" applyFill="1" applyAlignment="1">
      <alignment/>
    </xf>
    <xf numFmtId="10" fontId="6" fillId="2" borderId="22" xfId="0" applyNumberFormat="1" applyFont="1" applyFill="1" applyBorder="1" applyAlignment="1">
      <alignment/>
    </xf>
    <xf numFmtId="5" fontId="10" fillId="2" borderId="0" xfId="0" applyNumberFormat="1" applyFont="1" applyFill="1" applyBorder="1" applyAlignment="1">
      <alignment/>
    </xf>
    <xf numFmtId="5" fontId="5" fillId="2" borderId="0" xfId="0" applyNumberFormat="1" applyFont="1" applyFill="1" applyBorder="1" applyAlignment="1">
      <alignment horizontal="centerContinuous"/>
    </xf>
    <xf numFmtId="5" fontId="6" fillId="2" borderId="0" xfId="0" applyNumberFormat="1" applyFont="1" applyFill="1" applyBorder="1" applyAlignment="1">
      <alignment horizontal="centerContinuous"/>
    </xf>
    <xf numFmtId="5" fontId="10" fillId="2" borderId="0" xfId="0" applyNumberFormat="1" applyFont="1" applyFill="1" applyBorder="1" applyAlignment="1">
      <alignment horizontal="centerContinuous"/>
    </xf>
    <xf numFmtId="10" fontId="10" fillId="2" borderId="0" xfId="0" applyNumberFormat="1" applyFont="1" applyFill="1" applyBorder="1" applyAlignment="1">
      <alignment/>
    </xf>
    <xf numFmtId="10" fontId="10" fillId="2" borderId="0" xfId="0" applyNumberFormat="1" applyFont="1" applyFill="1" applyBorder="1" applyAlignment="1">
      <alignment horizontal="centerContinuous"/>
    </xf>
    <xf numFmtId="39" fontId="6" fillId="2" borderId="0" xfId="0" applyNumberFormat="1" applyFont="1" applyFill="1" applyBorder="1" applyAlignment="1">
      <alignment/>
    </xf>
    <xf numFmtId="5" fontId="6" fillId="2" borderId="0" xfId="0" applyNumberFormat="1" applyFont="1" applyFill="1" applyBorder="1" applyAlignment="1">
      <alignment/>
    </xf>
    <xf numFmtId="5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right"/>
    </xf>
    <xf numFmtId="5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5" fontId="6" fillId="2" borderId="0" xfId="0" applyNumberFormat="1" applyFont="1" applyFill="1" applyAlignment="1" quotePrefix="1">
      <alignment horizontal="left" wrapText="1"/>
    </xf>
    <xf numFmtId="5" fontId="6" fillId="2" borderId="0" xfId="0" applyNumberFormat="1" applyFont="1" applyFill="1" applyAlignment="1">
      <alignment horizontal="left" wrapText="1"/>
    </xf>
    <xf numFmtId="10" fontId="6" fillId="2" borderId="0" xfId="0" applyNumberFormat="1" applyFont="1" applyFill="1" applyAlignment="1">
      <alignment wrapText="1"/>
    </xf>
    <xf numFmtId="5" fontId="6" fillId="2" borderId="0" xfId="0" applyNumberFormat="1" applyFont="1" applyFill="1" applyAlignment="1">
      <alignment vertical="center"/>
    </xf>
    <xf numFmtId="10" fontId="6" fillId="2" borderId="0" xfId="0" applyNumberFormat="1" applyFont="1" applyFill="1" applyAlignment="1">
      <alignment vertical="center"/>
    </xf>
    <xf numFmtId="5" fontId="6" fillId="2" borderId="0" xfId="0" applyNumberFormat="1" applyFont="1" applyFill="1" applyAlignment="1" quotePrefix="1">
      <alignment horizontal="left" vertical="center"/>
    </xf>
    <xf numFmtId="169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37" fontId="6" fillId="2" borderId="0" xfId="0" applyNumberFormat="1" applyFont="1" applyFill="1" applyAlignment="1">
      <alignment vertical="center"/>
    </xf>
    <xf numFmtId="5" fontId="6" fillId="2" borderId="0" xfId="0" applyNumberFormat="1" applyFont="1" applyFill="1" applyAlignment="1">
      <alignment vertical="center" wrapText="1"/>
    </xf>
    <xf numFmtId="5" fontId="6" fillId="2" borderId="0" xfId="0" applyNumberFormat="1" applyFont="1" applyFill="1" applyAlignment="1" quotePrefix="1">
      <alignment horizontal="left" vertical="center" wrapText="1"/>
    </xf>
    <xf numFmtId="0" fontId="6" fillId="2" borderId="0" xfId="0" applyFont="1" applyFill="1" applyAlignment="1">
      <alignment vertical="center" wrapText="1"/>
    </xf>
    <xf numFmtId="10" fontId="6" fillId="2" borderId="0" xfId="0" applyNumberFormat="1" applyFont="1" applyFill="1" applyAlignment="1">
      <alignment vertical="center" wrapText="1"/>
    </xf>
    <xf numFmtId="5" fontId="0" fillId="2" borderId="12" xfId="0" applyNumberFormat="1" applyFill="1" applyBorder="1" applyAlignment="1">
      <alignment/>
    </xf>
    <xf numFmtId="165" fontId="6" fillId="2" borderId="0" xfId="0" applyNumberFormat="1" applyFont="1" applyFill="1" applyAlignment="1">
      <alignment/>
    </xf>
    <xf numFmtId="10" fontId="6" fillId="2" borderId="12" xfId="0" applyNumberFormat="1" applyFont="1" applyFill="1" applyBorder="1" applyAlignment="1">
      <alignment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 wrapText="1"/>
    </xf>
    <xf numFmtId="10" fontId="6" fillId="2" borderId="23" xfId="0" applyNumberFormat="1" applyFont="1" applyFill="1" applyBorder="1" applyAlignment="1">
      <alignment/>
    </xf>
    <xf numFmtId="5" fontId="6" fillId="2" borderId="0" xfId="0" applyNumberFormat="1" applyFont="1" applyFill="1" applyAlignment="1">
      <alignment horizontal="left"/>
    </xf>
    <xf numFmtId="22" fontId="10" fillId="2" borderId="0" xfId="0" applyNumberFormat="1" applyFont="1" applyFill="1" applyBorder="1" applyAlignment="1">
      <alignment horizontal="centerContinuous"/>
    </xf>
    <xf numFmtId="22" fontId="10" fillId="2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/>
    </xf>
    <xf numFmtId="10" fontId="9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 horizontal="centerContinuous"/>
    </xf>
    <xf numFmtId="5" fontId="6" fillId="0" borderId="0" xfId="0" applyNumberFormat="1" applyFont="1" applyFill="1" applyAlignment="1">
      <alignment horizontal="centerContinuous"/>
    </xf>
    <xf numFmtId="10" fontId="6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6" fillId="0" borderId="0" xfId="0" applyNumberFormat="1" applyFont="1" applyFill="1" applyAlignment="1">
      <alignment horizontal="centerContinuous"/>
    </xf>
    <xf numFmtId="5" fontId="6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5" fontId="6" fillId="0" borderId="0" xfId="0" applyNumberFormat="1" applyFont="1" applyFill="1" applyBorder="1" applyAlignment="1">
      <alignment/>
    </xf>
    <xf numFmtId="5" fontId="6" fillId="0" borderId="8" xfId="0" applyNumberFormat="1" applyFont="1" applyFill="1" applyBorder="1" applyAlignment="1">
      <alignment/>
    </xf>
    <xf numFmtId="5" fontId="6" fillId="0" borderId="2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5" fontId="6" fillId="0" borderId="0" xfId="0" applyNumberFormat="1" applyFont="1" applyFill="1" applyAlignment="1">
      <alignment horizontal="left"/>
    </xf>
    <xf numFmtId="10" fontId="6" fillId="0" borderId="12" xfId="0" applyNumberFormat="1" applyFont="1" applyFill="1" applyBorder="1" applyAlignment="1">
      <alignment/>
    </xf>
    <xf numFmtId="10" fontId="6" fillId="0" borderId="0" xfId="0" applyNumberFormat="1" applyFont="1" applyFill="1" applyAlignment="1" quotePrefix="1">
      <alignment horizontal="left"/>
    </xf>
    <xf numFmtId="169" fontId="8" fillId="0" borderId="22" xfId="44" applyNumberFormat="1" applyFont="1" applyFill="1" applyBorder="1">
      <alignment/>
      <protection/>
    </xf>
    <xf numFmtId="169" fontId="6" fillId="0" borderId="8" xfId="0" applyNumberFormat="1" applyFont="1" applyFill="1" applyBorder="1" applyAlignment="1">
      <alignment/>
    </xf>
    <xf numFmtId="169" fontId="6" fillId="0" borderId="22" xfId="0" applyNumberFormat="1" applyFont="1" applyFill="1" applyBorder="1" applyAlignment="1">
      <alignment/>
    </xf>
    <xf numFmtId="169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9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right"/>
    </xf>
    <xf numFmtId="169" fontId="6" fillId="0" borderId="8" xfId="0" applyNumberFormat="1" applyFont="1" applyFill="1" applyBorder="1" applyAlignment="1">
      <alignment/>
    </xf>
    <xf numFmtId="169" fontId="6" fillId="0" borderId="11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>
      <alignment/>
    </xf>
    <xf numFmtId="169" fontId="6" fillId="2" borderId="0" xfId="0" applyNumberFormat="1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/>
    </xf>
    <xf numFmtId="10" fontId="6" fillId="0" borderId="0" xfId="60" applyNumberFormat="1" applyFont="1" applyFill="1">
      <alignment/>
      <protection/>
    </xf>
    <xf numFmtId="10" fontId="6" fillId="0" borderId="22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5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5" fontId="13" fillId="0" borderId="0" xfId="0" applyNumberFormat="1" applyFont="1" applyFill="1" applyAlignment="1">
      <alignment/>
    </xf>
    <xf numFmtId="0" fontId="10" fillId="0" borderId="8" xfId="0" applyFont="1" applyFill="1" applyBorder="1" applyAlignment="1">
      <alignment/>
    </xf>
    <xf numFmtId="5" fontId="10" fillId="0" borderId="0" xfId="0" applyNumberFormat="1" applyFont="1" applyFill="1" applyAlignment="1">
      <alignment horizontal="centerContinuous"/>
    </xf>
    <xf numFmtId="10" fontId="10" fillId="0" borderId="0" xfId="0" applyNumberFormat="1" applyFont="1" applyFill="1" applyAlignment="1">
      <alignment horizontal="right"/>
    </xf>
    <xf numFmtId="5" fontId="10" fillId="0" borderId="0" xfId="0" applyNumberFormat="1" applyFont="1" applyFill="1" applyAlignment="1">
      <alignment horizontal="right"/>
    </xf>
    <xf numFmtId="0" fontId="10" fillId="0" borderId="8" xfId="0" applyFont="1" applyFill="1" applyBorder="1" applyAlignment="1">
      <alignment horizontal="right"/>
    </xf>
    <xf numFmtId="10" fontId="10" fillId="0" borderId="8" xfId="0" applyNumberFormat="1" applyFont="1" applyFill="1" applyBorder="1" applyAlignment="1">
      <alignment horizontal="right"/>
    </xf>
    <xf numFmtId="5" fontId="10" fillId="2" borderId="0" xfId="0" applyNumberFormat="1" applyFont="1" applyFill="1" applyAlignment="1">
      <alignment/>
    </xf>
    <xf numFmtId="5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5" fontId="10" fillId="2" borderId="8" xfId="0" applyNumberFormat="1" applyFont="1" applyFill="1" applyBorder="1" applyAlignment="1">
      <alignment/>
    </xf>
    <xf numFmtId="0" fontId="10" fillId="2" borderId="8" xfId="0" applyFont="1" applyFill="1" applyBorder="1" applyAlignment="1">
      <alignment/>
    </xf>
    <xf numFmtId="10" fontId="10" fillId="2" borderId="8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/>
    </xf>
    <xf numFmtId="10" fontId="10" fillId="2" borderId="0" xfId="0" applyNumberFormat="1" applyFont="1" applyFill="1" applyAlignment="1">
      <alignment/>
    </xf>
    <xf numFmtId="10" fontId="10" fillId="2" borderId="10" xfId="0" applyNumberFormat="1" applyFont="1" applyFill="1" applyBorder="1" applyAlignment="1">
      <alignment/>
    </xf>
    <xf numFmtId="10" fontId="10" fillId="2" borderId="8" xfId="0" applyNumberFormat="1" applyFont="1" applyFill="1" applyBorder="1" applyAlignment="1">
      <alignment/>
    </xf>
    <xf numFmtId="10" fontId="10" fillId="2" borderId="11" xfId="0" applyNumberFormat="1" applyFont="1" applyFill="1" applyBorder="1" applyAlignment="1">
      <alignment/>
    </xf>
    <xf numFmtId="10" fontId="10" fillId="2" borderId="9" xfId="0" applyNumberFormat="1" applyFont="1" applyFill="1" applyBorder="1" applyAlignment="1">
      <alignment/>
    </xf>
    <xf numFmtId="10" fontId="10" fillId="2" borderId="13" xfId="0" applyNumberFormat="1" applyFont="1" applyFill="1" applyBorder="1" applyAlignment="1">
      <alignment/>
    </xf>
    <xf numFmtId="10" fontId="10" fillId="0" borderId="10" xfId="0" applyNumberFormat="1" applyFont="1" applyFill="1" applyBorder="1" applyAlignment="1">
      <alignment/>
    </xf>
    <xf numFmtId="5" fontId="10" fillId="0" borderId="8" xfId="0" applyNumberFormat="1" applyFont="1" applyFill="1" applyBorder="1" applyAlignment="1">
      <alignment/>
    </xf>
    <xf numFmtId="5" fontId="10" fillId="0" borderId="11" xfId="0" applyNumberFormat="1" applyFont="1" applyFill="1" applyBorder="1" applyAlignment="1">
      <alignment/>
    </xf>
    <xf numFmtId="5" fontId="10" fillId="0" borderId="9" xfId="0" applyNumberFormat="1" applyFont="1" applyFill="1" applyBorder="1" applyAlignment="1">
      <alignment/>
    </xf>
    <xf numFmtId="5" fontId="10" fillId="0" borderId="13" xfId="0" applyNumberFormat="1" applyFont="1" applyFill="1" applyBorder="1" applyAlignment="1">
      <alignment/>
    </xf>
    <xf numFmtId="10" fontId="10" fillId="0" borderId="13" xfId="0" applyNumberFormat="1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5" fontId="10" fillId="0" borderId="10" xfId="0" applyNumberFormat="1" applyFont="1" applyFill="1" applyBorder="1" applyAlignment="1">
      <alignment/>
    </xf>
    <xf numFmtId="10" fontId="10" fillId="0" borderId="12" xfId="0" applyNumberFormat="1" applyFont="1" applyFill="1" applyBorder="1" applyAlignment="1">
      <alignment/>
    </xf>
    <xf numFmtId="10" fontId="13" fillId="0" borderId="0" xfId="0" applyNumberFormat="1" applyFont="1" applyFill="1" applyAlignment="1">
      <alignment/>
    </xf>
    <xf numFmtId="10" fontId="13" fillId="2" borderId="0" xfId="0" applyNumberFormat="1" applyFont="1" applyFill="1" applyAlignment="1">
      <alignment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5" fontId="10" fillId="2" borderId="10" xfId="0" applyNumberFormat="1" applyFont="1" applyFill="1" applyBorder="1" applyAlignment="1">
      <alignment/>
    </xf>
    <xf numFmtId="5" fontId="8" fillId="0" borderId="0" xfId="0" applyNumberFormat="1" applyFont="1" applyFill="1" applyAlignment="1">
      <alignment horizontal="left"/>
    </xf>
    <xf numFmtId="169" fontId="1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169" fontId="10" fillId="0" borderId="9" xfId="0" applyNumberFormat="1" applyFont="1" applyFill="1" applyBorder="1" applyAlignment="1">
      <alignment/>
    </xf>
    <xf numFmtId="169" fontId="10" fillId="0" borderId="13" xfId="0" applyNumberFormat="1" applyFont="1" applyFill="1" applyBorder="1" applyAlignment="1">
      <alignment/>
    </xf>
    <xf numFmtId="5" fontId="13" fillId="0" borderId="0" xfId="0" applyNumberFormat="1" applyFont="1" applyFill="1" applyAlignment="1" quotePrefix="1">
      <alignment horizontal="left"/>
    </xf>
    <xf numFmtId="5" fontId="6" fillId="0" borderId="10" xfId="0" applyNumberFormat="1" applyFont="1" applyFill="1" applyBorder="1" applyAlignment="1">
      <alignment/>
    </xf>
    <xf numFmtId="0" fontId="3" fillId="2" borderId="0" xfId="57" applyFont="1" applyFill="1" applyAlignment="1">
      <alignment horizontal="centerContinuous"/>
      <protection/>
    </xf>
    <xf numFmtId="173" fontId="3" fillId="2" borderId="0" xfId="57" applyNumberFormat="1" applyFont="1" applyFill="1" applyAlignment="1">
      <alignment horizontal="centerContinuous"/>
      <protection/>
    </xf>
    <xf numFmtId="0" fontId="10" fillId="2" borderId="0" xfId="57" applyFont="1" applyFill="1" applyAlignment="1">
      <alignment horizontal="centerContinuous"/>
      <protection/>
    </xf>
    <xf numFmtId="10" fontId="10" fillId="2" borderId="0" xfId="0" applyNumberFormat="1" applyFont="1" applyFill="1" applyAlignment="1" quotePrefix="1">
      <alignment horizontal="right"/>
    </xf>
    <xf numFmtId="0" fontId="10" fillId="0" borderId="0" xfId="57" applyFont="1" applyBorder="1" applyAlignment="1">
      <alignment/>
      <protection/>
    </xf>
    <xf numFmtId="16" fontId="10" fillId="2" borderId="0" xfId="0" applyNumberFormat="1" applyFont="1" applyFill="1" applyAlignment="1" quotePrefix="1">
      <alignment horizontal="left"/>
    </xf>
    <xf numFmtId="0" fontId="10" fillId="0" borderId="22" xfId="57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vertical="center"/>
      <protection/>
    </xf>
    <xf numFmtId="0" fontId="10" fillId="0" borderId="11" xfId="57" applyFont="1" applyBorder="1" applyAlignment="1">
      <alignment vertical="center"/>
      <protection/>
    </xf>
    <xf numFmtId="168" fontId="10" fillId="0" borderId="11" xfId="57" applyNumberFormat="1" applyFont="1" applyBorder="1" applyAlignment="1">
      <alignment horizontal="right"/>
      <protection/>
    </xf>
    <xf numFmtId="168" fontId="10" fillId="2" borderId="11" xfId="57" applyNumberFormat="1" applyFont="1" applyFill="1" applyBorder="1" applyAlignment="1">
      <alignment horizontal="right"/>
      <protection/>
    </xf>
    <xf numFmtId="168" fontId="14" fillId="34" borderId="11" xfId="57" applyNumberFormat="1" applyFont="1" applyFill="1" applyBorder="1" applyAlignment="1">
      <alignment horizontal="right"/>
      <protection/>
    </xf>
    <xf numFmtId="0" fontId="3" fillId="2" borderId="0" xfId="57" applyFont="1" applyFill="1" applyAlignment="1">
      <alignment horizontal="center"/>
      <protection/>
    </xf>
    <xf numFmtId="16" fontId="10" fillId="2" borderId="0" xfId="0" applyNumberFormat="1" applyFont="1" applyFill="1" applyAlignment="1" quotePrefix="1">
      <alignment horizontal="right"/>
    </xf>
    <xf numFmtId="0" fontId="3" fillId="2" borderId="0" xfId="57" applyFont="1" applyFill="1">
      <alignment/>
      <protection/>
    </xf>
    <xf numFmtId="10" fontId="10" fillId="2" borderId="8" xfId="0" applyNumberFormat="1" applyFont="1" applyFill="1" applyBorder="1" applyAlignment="1" quotePrefix="1">
      <alignment horizontal="right"/>
    </xf>
    <xf numFmtId="10" fontId="10" fillId="2" borderId="10" xfId="60" applyFont="1" applyBorder="1">
      <alignment/>
      <protection/>
    </xf>
    <xf numFmtId="169" fontId="10" fillId="0" borderId="0" xfId="57" applyNumberFormat="1" applyFont="1" applyFill="1" applyBorder="1" applyAlignment="1">
      <alignment horizontal="right"/>
      <protection/>
    </xf>
    <xf numFmtId="5" fontId="15" fillId="0" borderId="0" xfId="0" applyNumberFormat="1" applyFont="1" applyFill="1" applyAlignment="1">
      <alignment horizontal="centerContinuous"/>
    </xf>
    <xf numFmtId="5" fontId="6" fillId="2" borderId="0" xfId="0" applyNumberFormat="1" applyFont="1" applyFill="1" applyAlignment="1">
      <alignment/>
    </xf>
    <xf numFmtId="10" fontId="6" fillId="2" borderId="0" xfId="0" applyNumberFormat="1" applyFont="1" applyFill="1" applyAlignment="1">
      <alignment/>
    </xf>
    <xf numFmtId="10" fontId="6" fillId="2" borderId="0" xfId="0" applyNumberFormat="1" applyFont="1" applyFill="1" applyAlignment="1" quotePrefix="1">
      <alignment horizontal="centerContinuous"/>
    </xf>
    <xf numFmtId="10" fontId="13" fillId="2" borderId="0" xfId="0" applyNumberFormat="1" applyFont="1" applyFill="1" applyAlignment="1">
      <alignment horizontal="center"/>
    </xf>
    <xf numFmtId="10" fontId="6" fillId="2" borderId="0" xfId="0" applyNumberFormat="1" applyFont="1" applyFill="1" applyAlignment="1" quotePrefix="1">
      <alignment horizontal="center" vertical="center"/>
    </xf>
    <xf numFmtId="5" fontId="15" fillId="2" borderId="0" xfId="0" applyNumberFormat="1" applyFont="1" applyFill="1" applyAlignment="1">
      <alignment horizontal="centerContinuous"/>
    </xf>
    <xf numFmtId="169" fontId="10" fillId="0" borderId="10" xfId="0" applyNumberFormat="1" applyFont="1" applyFill="1" applyBorder="1" applyAlignment="1">
      <alignment/>
    </xf>
    <xf numFmtId="10" fontId="10" fillId="2" borderId="12" xfId="0" applyNumberFormat="1" applyFont="1" applyFill="1" applyBorder="1" applyAlignment="1">
      <alignment/>
    </xf>
    <xf numFmtId="10" fontId="6" fillId="2" borderId="10" xfId="0" applyNumberFormat="1" applyFont="1" applyFill="1" applyBorder="1" applyAlignment="1">
      <alignment/>
    </xf>
    <xf numFmtId="10" fontId="6" fillId="2" borderId="11" xfId="0" applyNumberFormat="1" applyFont="1" applyFill="1" applyBorder="1" applyAlignment="1">
      <alignment/>
    </xf>
    <xf numFmtId="0" fontId="10" fillId="2" borderId="8" xfId="0" applyFont="1" applyFill="1" applyBorder="1" applyAlignment="1">
      <alignment horizontal="right"/>
    </xf>
    <xf numFmtId="10" fontId="10" fillId="2" borderId="0" xfId="57" applyNumberFormat="1" applyFont="1" applyFill="1">
      <alignment/>
      <protection/>
    </xf>
    <xf numFmtId="5" fontId="6" fillId="2" borderId="20" xfId="0" applyNumberFormat="1" applyFont="1" applyFill="1" applyBorder="1" applyAlignment="1">
      <alignment/>
    </xf>
    <xf numFmtId="10" fontId="6" fillId="2" borderId="24" xfId="0" applyNumberFormat="1" applyFont="1" applyFill="1" applyBorder="1" applyAlignment="1">
      <alignment/>
    </xf>
    <xf numFmtId="10" fontId="6" fillId="2" borderId="25" xfId="0" applyNumberFormat="1" applyFont="1" applyFill="1" applyBorder="1" applyAlignment="1">
      <alignment/>
    </xf>
    <xf numFmtId="5" fontId="10" fillId="2" borderId="0" xfId="0" applyNumberFormat="1" applyFont="1" applyFill="1" applyAlignment="1">
      <alignment horizontal="centerContinuous"/>
    </xf>
    <xf numFmtId="5" fontId="6" fillId="2" borderId="8" xfId="0" applyNumberFormat="1" applyFont="1" applyFill="1" applyBorder="1" applyAlignment="1">
      <alignment/>
    </xf>
    <xf numFmtId="5" fontId="6" fillId="2" borderId="1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8" xfId="0" applyFont="1" applyFill="1" applyBorder="1" applyAlignment="1">
      <alignment/>
    </xf>
    <xf numFmtId="5" fontId="10" fillId="2" borderId="16" xfId="0" applyNumberFormat="1" applyFont="1" applyFill="1" applyBorder="1" applyAlignment="1">
      <alignment/>
    </xf>
    <xf numFmtId="5" fontId="10" fillId="2" borderId="14" xfId="0" applyNumberFormat="1" applyFont="1" applyFill="1" applyBorder="1" applyAlignment="1">
      <alignment/>
    </xf>
    <xf numFmtId="5" fontId="10" fillId="2" borderId="23" xfId="0" applyNumberFormat="1" applyFont="1" applyFill="1" applyBorder="1" applyAlignment="1">
      <alignment/>
    </xf>
    <xf numFmtId="5" fontId="10" fillId="2" borderId="9" xfId="0" applyNumberFormat="1" applyFont="1" applyFill="1" applyBorder="1" applyAlignment="1">
      <alignment/>
    </xf>
    <xf numFmtId="3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wrapText="1"/>
    </xf>
    <xf numFmtId="5" fontId="6" fillId="2" borderId="0" xfId="0" applyNumberFormat="1" applyFont="1" applyFill="1" applyAlignment="1">
      <alignment horizontal="left" vertical="center" wrapText="1"/>
    </xf>
    <xf numFmtId="10" fontId="10" fillId="2" borderId="16" xfId="0" applyNumberFormat="1" applyFont="1" applyFill="1" applyBorder="1" applyAlignment="1">
      <alignment/>
    </xf>
    <xf numFmtId="10" fontId="10" fillId="2" borderId="18" xfId="0" applyNumberFormat="1" applyFont="1" applyFill="1" applyBorder="1" applyAlignment="1">
      <alignment/>
    </xf>
    <xf numFmtId="10" fontId="10" fillId="2" borderId="14" xfId="0" applyNumberFormat="1" applyFont="1" applyFill="1" applyBorder="1" applyAlignment="1">
      <alignment/>
    </xf>
    <xf numFmtId="10" fontId="10" fillId="2" borderId="20" xfId="0" applyNumberFormat="1" applyFont="1" applyFill="1" applyBorder="1" applyAlignment="1">
      <alignment/>
    </xf>
    <xf numFmtId="5" fontId="10" fillId="2" borderId="20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 horizontal="right"/>
    </xf>
    <xf numFmtId="0" fontId="0" fillId="2" borderId="0" xfId="57" applyFont="1" applyFill="1" applyBorder="1">
      <alignment/>
      <protection/>
    </xf>
    <xf numFmtId="10" fontId="16" fillId="2" borderId="0" xfId="0" applyNumberFormat="1" applyFont="1" applyFill="1" applyAlignment="1">
      <alignment horizontal="centerContinuous"/>
    </xf>
    <xf numFmtId="10" fontId="13" fillId="2" borderId="0" xfId="0" applyNumberFormat="1" applyFont="1" applyFill="1" applyAlignment="1">
      <alignment horizontal="left"/>
    </xf>
    <xf numFmtId="10" fontId="6" fillId="2" borderId="0" xfId="0" applyNumberFormat="1" applyFont="1" applyFill="1" applyAlignment="1">
      <alignment horizontal="left"/>
    </xf>
    <xf numFmtId="10" fontId="6" fillId="0" borderId="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5" fontId="6" fillId="0" borderId="0" xfId="42" applyNumberFormat="1" applyFont="1" applyFill="1" applyBorder="1">
      <alignment/>
      <protection/>
    </xf>
    <xf numFmtId="10" fontId="6" fillId="2" borderId="11" xfId="57" applyNumberFormat="1" applyFont="1" applyFill="1" applyBorder="1">
      <alignment/>
      <protection/>
    </xf>
    <xf numFmtId="10" fontId="10" fillId="2" borderId="11" xfId="57" applyNumberFormat="1" applyFont="1" applyFill="1" applyBorder="1">
      <alignment/>
      <protection/>
    </xf>
    <xf numFmtId="10" fontId="10" fillId="2" borderId="0" xfId="0" applyNumberFormat="1" applyFont="1" applyFill="1" applyBorder="1" applyAlignment="1">
      <alignment horizontal="right"/>
    </xf>
    <xf numFmtId="5" fontId="6" fillId="2" borderId="18" xfId="0" applyNumberFormat="1" applyFont="1" applyFill="1" applyBorder="1" applyAlignment="1">
      <alignment/>
    </xf>
    <xf numFmtId="181" fontId="6" fillId="2" borderId="0" xfId="0" applyNumberFormat="1" applyFont="1" applyFill="1" applyAlignment="1">
      <alignment vertical="center"/>
    </xf>
    <xf numFmtId="168" fontId="10" fillId="0" borderId="0" xfId="57" applyNumberFormat="1" applyFont="1" applyBorder="1" applyAlignment="1">
      <alignment horizontal="right"/>
      <protection/>
    </xf>
    <xf numFmtId="0" fontId="10" fillId="0" borderId="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Financial Cash flo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6"/>
  <sheetViews>
    <sheetView showGridLines="0" tabSelected="1" workbookViewId="0" topLeftCell="A1">
      <pane xSplit="6" ySplit="9" topLeftCell="H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M144" sqref="M144"/>
    </sheetView>
  </sheetViews>
  <sheetFormatPr defaultColWidth="13.7109375" defaultRowHeight="12.75"/>
  <cols>
    <col min="1" max="1" width="30.28125" style="0" customWidth="1"/>
    <col min="2" max="7" width="10.7109375" style="0" hidden="1" customWidth="1"/>
    <col min="8" max="14" width="10.7109375" style="0" customWidth="1"/>
    <col min="15" max="15" width="4.7109375" style="1" customWidth="1"/>
    <col min="16" max="16" width="28.140625" style="0" customWidth="1"/>
    <col min="17" max="21" width="13.7109375" style="52" hidden="1" customWidth="1"/>
    <col min="22" max="22" width="10.7109375" style="52" hidden="1" customWidth="1"/>
    <col min="23" max="29" width="10.7109375" style="52" customWidth="1"/>
    <col min="30" max="33" width="12.7109375" style="52" customWidth="1"/>
    <col min="34" max="52" width="13.7109375" style="52" customWidth="1"/>
  </cols>
  <sheetData>
    <row r="1" spans="1:29" ht="12.7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215" t="s">
        <v>116</v>
      </c>
      <c r="O1" s="140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50" t="s">
        <v>116</v>
      </c>
    </row>
    <row r="2" spans="1:29" ht="12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41" t="s">
        <v>117</v>
      </c>
      <c r="O2" s="14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251" t="s">
        <v>121</v>
      </c>
    </row>
    <row r="3" spans="1:29" ht="18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41"/>
      <c r="O3" s="140"/>
      <c r="P3" s="9" t="str">
        <f>A4</f>
        <v>PacifiCorp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49"/>
    </row>
    <row r="4" spans="1:29" ht="18.75">
      <c r="A4" s="142" t="s">
        <v>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  <c r="O4" s="140"/>
      <c r="P4" s="11" t="s">
        <v>39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</row>
    <row r="5" spans="1:29" ht="15.75">
      <c r="A5" s="145" t="s">
        <v>40</v>
      </c>
      <c r="B5" s="146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7"/>
      <c r="O5" s="140"/>
      <c r="P5" s="11" t="s">
        <v>40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 ht="14.25">
      <c r="A6" s="246" t="s">
        <v>229</v>
      </c>
      <c r="B6" s="146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7"/>
      <c r="O6" s="140"/>
      <c r="P6" s="252" t="str">
        <f>A6</f>
        <v>Fiscal Years Ended March 31, 2006, December 31, 2007-2010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1:29" ht="12.75">
      <c r="A7" s="143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 t="s">
        <v>228</v>
      </c>
      <c r="O7" s="140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8"/>
    </row>
    <row r="8" spans="1:30" ht="12.75">
      <c r="A8" s="148"/>
      <c r="B8" s="184"/>
      <c r="C8" s="184"/>
      <c r="D8" s="184"/>
      <c r="E8" s="184"/>
      <c r="F8" s="184"/>
      <c r="G8" s="184"/>
      <c r="H8" s="190"/>
      <c r="I8" s="190"/>
      <c r="J8" s="190"/>
      <c r="K8" s="190"/>
      <c r="L8" s="190"/>
      <c r="M8" s="190" t="s">
        <v>227</v>
      </c>
      <c r="N8" s="189" t="s">
        <v>4</v>
      </c>
      <c r="O8" s="140"/>
      <c r="P8" s="193"/>
      <c r="Q8" s="193"/>
      <c r="R8" s="193"/>
      <c r="S8" s="193"/>
      <c r="T8" s="193"/>
      <c r="U8" s="193"/>
      <c r="V8" s="193"/>
      <c r="W8" s="194"/>
      <c r="X8" s="194"/>
      <c r="Y8" s="194"/>
      <c r="Z8" s="194"/>
      <c r="AA8" s="194"/>
      <c r="AB8" s="194" t="s">
        <v>227</v>
      </c>
      <c r="AC8" s="195" t="str">
        <f>N7</f>
        <v>2006-2010</v>
      </c>
      <c r="AD8" s="193"/>
    </row>
    <row r="9" spans="1:30" ht="12.75">
      <c r="A9" s="187" t="s">
        <v>0</v>
      </c>
      <c r="B9" s="187">
        <v>2000</v>
      </c>
      <c r="C9" s="187">
        <f>B9+1</f>
        <v>2001</v>
      </c>
      <c r="D9" s="187">
        <f>C9+1</f>
        <v>2002</v>
      </c>
      <c r="E9" s="187">
        <f>D9+1</f>
        <v>2003</v>
      </c>
      <c r="F9" s="187">
        <f>E9+1</f>
        <v>2004</v>
      </c>
      <c r="G9" s="187">
        <f>F9+1</f>
        <v>2005</v>
      </c>
      <c r="H9" s="191">
        <v>2006</v>
      </c>
      <c r="I9" s="191">
        <v>2007</v>
      </c>
      <c r="J9" s="187">
        <f>I9+1</f>
        <v>2008</v>
      </c>
      <c r="K9" s="187">
        <f>J9+1</f>
        <v>2009</v>
      </c>
      <c r="L9" s="187">
        <f>K9+1</f>
        <v>2010</v>
      </c>
      <c r="M9" s="187">
        <v>2011</v>
      </c>
      <c r="N9" s="192" t="s">
        <v>23</v>
      </c>
      <c r="O9" s="140"/>
      <c r="P9" s="196" t="s">
        <v>0</v>
      </c>
      <c r="Q9" s="197">
        <f>B9</f>
        <v>2000</v>
      </c>
      <c r="R9" s="197">
        <f aca="true" t="shared" si="0" ref="R9:W9">Q9+1</f>
        <v>2001</v>
      </c>
      <c r="S9" s="197">
        <f t="shared" si="0"/>
        <v>2002</v>
      </c>
      <c r="T9" s="197">
        <f t="shared" si="0"/>
        <v>2003</v>
      </c>
      <c r="U9" s="197">
        <f t="shared" si="0"/>
        <v>2004</v>
      </c>
      <c r="V9" s="197">
        <f t="shared" si="0"/>
        <v>2005</v>
      </c>
      <c r="W9" s="197">
        <f t="shared" si="0"/>
        <v>2006</v>
      </c>
      <c r="X9" s="197">
        <f>I9</f>
        <v>2007</v>
      </c>
      <c r="Y9" s="197">
        <f>X9+1</f>
        <v>2008</v>
      </c>
      <c r="Z9" s="197">
        <f>Y9+1</f>
        <v>2009</v>
      </c>
      <c r="AA9" s="257">
        <f>L9</f>
        <v>2010</v>
      </c>
      <c r="AB9" s="257">
        <v>2011</v>
      </c>
      <c r="AC9" s="198" t="s">
        <v>3</v>
      </c>
      <c r="AD9" s="193"/>
    </row>
    <row r="10" spans="1:29" ht="7.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7"/>
      <c r="O10" s="140"/>
      <c r="P10" s="19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/>
    </row>
    <row r="11" spans="1:29" ht="12.75">
      <c r="A11" s="186" t="s">
        <v>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50"/>
      <c r="O11" s="141"/>
      <c r="P11" s="199" t="str">
        <f>A11</f>
        <v>Current Assets: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5"/>
    </row>
    <row r="12" spans="1:29" ht="12.75">
      <c r="A12" s="148" t="s">
        <v>5</v>
      </c>
      <c r="B12" s="148">
        <v>154.2</v>
      </c>
      <c r="C12" s="148">
        <v>139.4</v>
      </c>
      <c r="D12" s="148">
        <v>157.9</v>
      </c>
      <c r="E12" s="148">
        <v>152.5</v>
      </c>
      <c r="F12" s="148">
        <v>58.5</v>
      </c>
      <c r="G12" s="148">
        <v>199.3</v>
      </c>
      <c r="H12" s="148">
        <v>119.6</v>
      </c>
      <c r="I12" s="148">
        <v>228</v>
      </c>
      <c r="J12" s="148">
        <v>59</v>
      </c>
      <c r="K12" s="148">
        <v>117</v>
      </c>
      <c r="L12" s="148">
        <v>31</v>
      </c>
      <c r="M12" s="148">
        <v>151</v>
      </c>
      <c r="N12" s="150">
        <f>RATE(4.75,,-H12,L12)</f>
        <v>-0.24741805950929613</v>
      </c>
      <c r="O12" s="141"/>
      <c r="P12" s="2" t="str">
        <f aca="true" t="shared" si="1" ref="P12:P76">A12</f>
        <v>Cash &amp; Equivalents</v>
      </c>
      <c r="Q12" s="5">
        <f aca="true" t="shared" si="2" ref="Q12:U16">B12/B$37</f>
        <v>0.012531389423897407</v>
      </c>
      <c r="R12" s="5">
        <f t="shared" si="2"/>
        <v>0.012520433275251937</v>
      </c>
      <c r="S12" s="5">
        <f t="shared" si="2"/>
        <v>0.014516069721262043</v>
      </c>
      <c r="T12" s="5">
        <f t="shared" si="2"/>
        <v>0.01303886865370475</v>
      </c>
      <c r="U12" s="5">
        <f t="shared" si="2"/>
        <v>0.0050098055167807085</v>
      </c>
      <c r="V12" s="5">
        <f aca="true" t="shared" si="3" ref="V12:W16">G12/G$37</f>
        <v>0.015917386130389993</v>
      </c>
      <c r="W12" s="5">
        <f t="shared" si="3"/>
        <v>0.009394170273263534</v>
      </c>
      <c r="X12" s="5">
        <f>I12/I$37</f>
        <v>0.015294827933185751</v>
      </c>
      <c r="Y12" s="5">
        <f aca="true" t="shared" si="4" ref="Y12:Z16">J12/J$37</f>
        <v>0.003436826469388944</v>
      </c>
      <c r="Z12" s="5">
        <f t="shared" si="4"/>
        <v>0.006168933881683012</v>
      </c>
      <c r="AA12" s="5">
        <f aca="true" t="shared" si="5" ref="AA12:AB16">L12/L$37</f>
        <v>0.0015387670008934777</v>
      </c>
      <c r="AB12" s="5">
        <f t="shared" si="5"/>
        <v>0.007340787554691298</v>
      </c>
      <c r="AC12" s="55">
        <f>SUM(H12:L12)/SUM(H$37:L$37)</f>
        <v>0.006608887559537784</v>
      </c>
    </row>
    <row r="13" spans="1:29" ht="12.75">
      <c r="A13" s="148" t="s">
        <v>2</v>
      </c>
      <c r="B13" s="148">
        <v>561.6</v>
      </c>
      <c r="C13" s="148">
        <v>567</v>
      </c>
      <c r="D13" s="148">
        <v>249.1</v>
      </c>
      <c r="E13" s="148">
        <v>258.2</v>
      </c>
      <c r="F13" s="148">
        <v>235.1</v>
      </c>
      <c r="G13" s="148">
        <v>293</v>
      </c>
      <c r="H13" s="148">
        <v>266.8</v>
      </c>
      <c r="I13" s="148">
        <f>391+192</f>
        <v>583</v>
      </c>
      <c r="J13" s="148">
        <v>609</v>
      </c>
      <c r="K13" s="148">
        <v>619</v>
      </c>
      <c r="L13" s="148">
        <v>628</v>
      </c>
      <c r="M13" s="148">
        <v>661</v>
      </c>
      <c r="N13" s="150">
        <f>RATE(4.75,,-H13,L13)</f>
        <v>0.19747973430867022</v>
      </c>
      <c r="O13" s="141"/>
      <c r="P13" s="2" t="str">
        <f t="shared" si="1"/>
        <v>Accounts Receivable</v>
      </c>
      <c r="Q13" s="5">
        <f t="shared" si="2"/>
        <v>0.045639612843455156</v>
      </c>
      <c r="R13" s="5">
        <f t="shared" si="2"/>
        <v>0.05092600908943937</v>
      </c>
      <c r="S13" s="5">
        <f t="shared" si="2"/>
        <v>0.022900272118849745</v>
      </c>
      <c r="T13" s="5">
        <f t="shared" si="2"/>
        <v>0.02207630089433814</v>
      </c>
      <c r="U13" s="5">
        <f t="shared" si="2"/>
        <v>0.020133423538378537</v>
      </c>
      <c r="V13" s="5">
        <f t="shared" si="3"/>
        <v>0.023400873739108215</v>
      </c>
      <c r="W13" s="5">
        <f t="shared" si="3"/>
        <v>0.020956225994203267</v>
      </c>
      <c r="X13" s="5">
        <f>I13/I$37</f>
        <v>0.03910914335547058</v>
      </c>
      <c r="Y13" s="5">
        <f t="shared" si="4"/>
        <v>0.03547503931962486</v>
      </c>
      <c r="Z13" s="5">
        <f t="shared" si="4"/>
        <v>0.03263735104924602</v>
      </c>
      <c r="AA13" s="5">
        <f t="shared" si="5"/>
        <v>0.03117244117939045</v>
      </c>
      <c r="AB13" s="5">
        <f t="shared" si="5"/>
        <v>0.03213417598444336</v>
      </c>
      <c r="AC13" s="55">
        <f>SUM(H13:L13)/SUM(H$37:L$37)</f>
        <v>0.032243649402447415</v>
      </c>
    </row>
    <row r="14" spans="1:29" ht="12.75">
      <c r="A14" s="148" t="s">
        <v>48</v>
      </c>
      <c r="B14" s="148">
        <v>177.4</v>
      </c>
      <c r="C14" s="148">
        <v>160.4</v>
      </c>
      <c r="D14" s="148">
        <f>93.5+59.9</f>
        <v>153.4</v>
      </c>
      <c r="E14" s="148">
        <f>99.4+71.8</f>
        <v>171.2</v>
      </c>
      <c r="F14" s="148">
        <f>56+101</f>
        <v>157</v>
      </c>
      <c r="G14" s="148">
        <f>114.7+58.5</f>
        <v>173.2</v>
      </c>
      <c r="H14" s="151">
        <f>131.2+80.9</f>
        <v>212.1</v>
      </c>
      <c r="I14" s="151">
        <f>163+129</f>
        <v>292</v>
      </c>
      <c r="J14" s="151">
        <f>155+184</f>
        <v>339</v>
      </c>
      <c r="K14" s="151">
        <f>192+187</f>
        <v>379</v>
      </c>
      <c r="L14" s="151">
        <f>186+188</f>
        <v>374</v>
      </c>
      <c r="M14" s="151">
        <f>193+215</f>
        <v>408</v>
      </c>
      <c r="N14" s="150">
        <f>RATE(4.75,,-H14,L14)</f>
        <v>0.12683192803345503</v>
      </c>
      <c r="O14" s="140"/>
      <c r="P14" s="2" t="str">
        <f t="shared" si="1"/>
        <v>Material, Supplies, Fuel</v>
      </c>
      <c r="Q14" s="5">
        <f t="shared" si="2"/>
        <v>0.014416786535664075</v>
      </c>
      <c r="R14" s="5">
        <f t="shared" si="2"/>
        <v>0.014406581760045988</v>
      </c>
      <c r="S14" s="5">
        <f t="shared" si="2"/>
        <v>0.01410237552401265</v>
      </c>
      <c r="T14" s="5">
        <f t="shared" si="2"/>
        <v>0.01463773320337215</v>
      </c>
      <c r="U14" s="5">
        <f t="shared" si="2"/>
        <v>0.013445119079223439</v>
      </c>
      <c r="V14" s="5">
        <f t="shared" si="3"/>
        <v>0.013832871438954071</v>
      </c>
      <c r="W14" s="5">
        <f t="shared" si="3"/>
        <v>0.01665972838594645</v>
      </c>
      <c r="X14" s="5">
        <f>I14/I$37</f>
        <v>0.019588112967062452</v>
      </c>
      <c r="Y14" s="5">
        <f t="shared" si="4"/>
        <v>0.019747189374963593</v>
      </c>
      <c r="Z14" s="5">
        <f t="shared" si="4"/>
        <v>0.019983127702203944</v>
      </c>
      <c r="AA14" s="18">
        <f t="shared" si="5"/>
        <v>0.018564479301101954</v>
      </c>
      <c r="AB14" s="18">
        <f t="shared" si="5"/>
        <v>0.019834710743801654</v>
      </c>
      <c r="AC14" s="55">
        <f>SUM(H14:L14)/SUM(H$37:L$37)</f>
        <v>0.019019916036383443</v>
      </c>
    </row>
    <row r="15" spans="1:29" ht="12.75">
      <c r="A15" s="148" t="s">
        <v>22</v>
      </c>
      <c r="B15" s="152">
        <v>68</v>
      </c>
      <c r="C15" s="152">
        <f>370.4+73.5+46.7</f>
        <v>490.59999999999997</v>
      </c>
      <c r="D15" s="152">
        <f>127+51.3+21.5</f>
        <v>199.8</v>
      </c>
      <c r="E15" s="152">
        <f>109.2+2.5+107.2+31.1+17.5</f>
        <v>267.5</v>
      </c>
      <c r="F15" s="152">
        <f>127.8+2.4+118.9+31.5+25.2</f>
        <v>305.8</v>
      </c>
      <c r="G15" s="152">
        <f>143.8+36.5+252.7+115.8</f>
        <v>548.8</v>
      </c>
      <c r="H15" s="153">
        <f>148.2+221.7+46.9</f>
        <v>416.79999999999995</v>
      </c>
      <c r="I15" s="153">
        <f>34+143+55+141</f>
        <v>373</v>
      </c>
      <c r="J15" s="153">
        <f>174+74+78+43</f>
        <v>369</v>
      </c>
      <c r="K15" s="153">
        <f>108+39+61+249</f>
        <v>457</v>
      </c>
      <c r="L15" s="153">
        <f>345+114+83+59</f>
        <v>601</v>
      </c>
      <c r="M15" s="153">
        <f>12+32+107+30</f>
        <v>181</v>
      </c>
      <c r="N15" s="150">
        <f>RATE(4.75,,-H15,L15)</f>
        <v>0.08009629452453317</v>
      </c>
      <c r="O15" s="154"/>
      <c r="P15" s="2" t="str">
        <f t="shared" si="1"/>
        <v>Other Current Assets</v>
      </c>
      <c r="Q15" s="6">
        <f t="shared" si="2"/>
        <v>0.005526163948281607</v>
      </c>
      <c r="R15" s="6">
        <f t="shared" si="2"/>
        <v>0.04406402126856958</v>
      </c>
      <c r="S15" s="6">
        <f t="shared" si="2"/>
        <v>0.018368022357873062</v>
      </c>
      <c r="T15" s="6">
        <f t="shared" si="2"/>
        <v>0.022871458130268987</v>
      </c>
      <c r="U15" s="6">
        <f t="shared" si="2"/>
        <v>0.026188009009086164</v>
      </c>
      <c r="V15" s="6">
        <f t="shared" si="3"/>
        <v>0.04383071504444569</v>
      </c>
      <c r="W15" s="103">
        <f t="shared" si="3"/>
        <v>0.032738212122878266</v>
      </c>
      <c r="X15" s="103">
        <f>I15/I$37</f>
        <v>0.025021801838062654</v>
      </c>
      <c r="Y15" s="103">
        <f t="shared" si="4"/>
        <v>0.021494728257703734</v>
      </c>
      <c r="Z15" s="103">
        <f t="shared" si="4"/>
        <v>0.02409575028999262</v>
      </c>
      <c r="AA15" s="103">
        <f t="shared" si="5"/>
        <v>0.029832224759257422</v>
      </c>
      <c r="AB15" s="103">
        <f t="shared" si="5"/>
        <v>0.008799222168206125</v>
      </c>
      <c r="AC15" s="55">
        <f>SUM(H15:L15)/SUM(H$37:L$37)</f>
        <v>0.026416483847788243</v>
      </c>
    </row>
    <row r="16" spans="1:29" ht="12.75">
      <c r="A16" s="184" t="s">
        <v>32</v>
      </c>
      <c r="B16" s="184">
        <f aca="true" t="shared" si="6" ref="B16:L16">SUM(B11:B15)</f>
        <v>961.1999999999999</v>
      </c>
      <c r="C16" s="184">
        <f t="shared" si="6"/>
        <v>1357.3999999999999</v>
      </c>
      <c r="D16" s="184">
        <f t="shared" si="6"/>
        <v>760.2</v>
      </c>
      <c r="E16" s="184">
        <f t="shared" si="6"/>
        <v>849.4</v>
      </c>
      <c r="F16" s="184">
        <f t="shared" si="6"/>
        <v>756.4000000000001</v>
      </c>
      <c r="G16" s="184">
        <f t="shared" si="6"/>
        <v>1214.3</v>
      </c>
      <c r="H16" s="184">
        <f t="shared" si="6"/>
        <v>1015.3</v>
      </c>
      <c r="I16" s="184">
        <f t="shared" si="6"/>
        <v>1476</v>
      </c>
      <c r="J16" s="184">
        <f t="shared" si="6"/>
        <v>1376</v>
      </c>
      <c r="K16" s="184">
        <f t="shared" si="6"/>
        <v>1572</v>
      </c>
      <c r="L16" s="184">
        <f t="shared" si="6"/>
        <v>1634</v>
      </c>
      <c r="M16" s="184">
        <f>SUM(M11:M15)</f>
        <v>1401</v>
      </c>
      <c r="N16" s="206">
        <f>RATE(4.75,,-H16,L16)</f>
        <v>0.10536797275143213</v>
      </c>
      <c r="O16" s="154"/>
      <c r="P16" s="193" t="str">
        <f t="shared" si="1"/>
        <v>Total Current Assets</v>
      </c>
      <c r="Q16" s="200">
        <f t="shared" si="2"/>
        <v>0.07811395275129823</v>
      </c>
      <c r="R16" s="200">
        <f t="shared" si="2"/>
        <v>0.12191704539330686</v>
      </c>
      <c r="S16" s="200">
        <f t="shared" si="2"/>
        <v>0.0698867397219975</v>
      </c>
      <c r="T16" s="200">
        <f t="shared" si="2"/>
        <v>0.07262436088168403</v>
      </c>
      <c r="U16" s="200">
        <f t="shared" si="2"/>
        <v>0.06477635714346885</v>
      </c>
      <c r="V16" s="200">
        <f t="shared" si="3"/>
        <v>0.09698184635289797</v>
      </c>
      <c r="W16" s="200">
        <f t="shared" si="3"/>
        <v>0.07974833677629152</v>
      </c>
      <c r="X16" s="200">
        <f>I16/I$37</f>
        <v>0.09901388609378145</v>
      </c>
      <c r="Y16" s="200">
        <f t="shared" si="4"/>
        <v>0.08015378342168113</v>
      </c>
      <c r="Z16" s="200">
        <f t="shared" si="4"/>
        <v>0.08288516292312559</v>
      </c>
      <c r="AA16" s="200">
        <f t="shared" si="5"/>
        <v>0.0811079122406433</v>
      </c>
      <c r="AB16" s="200">
        <f t="shared" si="5"/>
        <v>0.06810889645114244</v>
      </c>
      <c r="AC16" s="201">
        <f>SUM(H16:L16)/SUM(H$37:L$37)</f>
        <v>0.08428893684615689</v>
      </c>
    </row>
    <row r="17" spans="1:29" ht="7.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50"/>
      <c r="O17" s="154"/>
      <c r="P17" s="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5"/>
    </row>
    <row r="18" spans="1:29" ht="12.75">
      <c r="A18" s="186" t="s">
        <v>24</v>
      </c>
      <c r="B18" s="148"/>
      <c r="C18" s="148"/>
      <c r="D18" s="148"/>
      <c r="E18" s="148"/>
      <c r="F18" s="148"/>
      <c r="G18" s="279"/>
      <c r="H18" s="279"/>
      <c r="I18" s="279"/>
      <c r="J18" s="279"/>
      <c r="K18" s="279"/>
      <c r="L18" s="279"/>
      <c r="M18" s="279"/>
      <c r="N18" s="279"/>
      <c r="O18" s="154"/>
      <c r="P18" s="199" t="str">
        <f t="shared" si="1"/>
        <v>Plant &amp; Equipment: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5"/>
    </row>
    <row r="19" spans="1:29" ht="12.75">
      <c r="A19" s="140" t="s">
        <v>149</v>
      </c>
      <c r="B19" s="148">
        <f>12862.7-312.4</f>
        <v>12550.300000000001</v>
      </c>
      <c r="C19" s="148">
        <f>12678.9-268.7</f>
        <v>12410.199999999999</v>
      </c>
      <c r="D19" s="148">
        <f>13098.9-364.4</f>
        <v>12734.5</v>
      </c>
      <c r="E19" s="148">
        <f>13516.8-332.5</f>
        <v>13184.3</v>
      </c>
      <c r="F19" s="148">
        <f>14158.2-345.4</f>
        <v>13812.800000000001</v>
      </c>
      <c r="G19" s="148">
        <f>14852.4-593.4</f>
        <v>14259</v>
      </c>
      <c r="H19" s="148">
        <v>15102.4</v>
      </c>
      <c r="I19" s="148">
        <f>6814+2878+4885+671+1766</f>
        <v>17014</v>
      </c>
      <c r="J19" s="148">
        <v>18879</v>
      </c>
      <c r="K19" s="148">
        <v>20330</v>
      </c>
      <c r="L19" s="148">
        <v>22034</v>
      </c>
      <c r="M19" s="148">
        <v>22614</v>
      </c>
      <c r="N19" s="150">
        <f>RATE(4.75,,-H19,L19)</f>
        <v>0.08277018790155305</v>
      </c>
      <c r="O19" s="154"/>
      <c r="P19" s="2" t="str">
        <f t="shared" si="1"/>
        <v>Plant in Service</v>
      </c>
      <c r="Q19" s="5">
        <f>B19/B$37</f>
        <v>1.0199266970605685</v>
      </c>
      <c r="R19" s="5">
        <f>C19/C$37</f>
        <v>1.1146419012376727</v>
      </c>
      <c r="S19" s="5">
        <f>D19/D$37</f>
        <v>1.1707086121938663</v>
      </c>
      <c r="T19" s="5">
        <f>E19/E$37</f>
        <v>1.127267908137964</v>
      </c>
      <c r="U19" s="5">
        <f>F19/F$37</f>
        <v>1.1828964383280098</v>
      </c>
      <c r="V19" s="5">
        <f aca="true" t="shared" si="7" ref="V19:W23">G19/G$37</f>
        <v>1.1388158998155087</v>
      </c>
      <c r="W19" s="5">
        <f t="shared" si="7"/>
        <v>1.1862417820646756</v>
      </c>
      <c r="X19" s="5">
        <f>I19/I$37</f>
        <v>1.1413429932246595</v>
      </c>
      <c r="Y19" s="5">
        <f aca="true" t="shared" si="8" ref="Y19:Z23">J19/J$37</f>
        <v>1.0997262189083707</v>
      </c>
      <c r="Z19" s="5">
        <f t="shared" si="8"/>
        <v>1.0719181693556892</v>
      </c>
      <c r="AA19" s="5">
        <f aca="true" t="shared" si="9" ref="AA19:AB23">L19/L$37</f>
        <v>1.093715874118932</v>
      </c>
      <c r="AB19" s="5">
        <f t="shared" si="9"/>
        <v>1.0993680116674769</v>
      </c>
      <c r="AC19" s="55">
        <f>SUM(H19:L19)/SUM(H$37:L$37)</f>
        <v>1.11251672777842</v>
      </c>
    </row>
    <row r="20" spans="1:29" ht="12.75">
      <c r="A20" s="148" t="s">
        <v>150</v>
      </c>
      <c r="B20" s="148">
        <v>312.4</v>
      </c>
      <c r="C20" s="148">
        <v>268.7</v>
      </c>
      <c r="D20" s="148">
        <v>364.4</v>
      </c>
      <c r="E20" s="148">
        <v>332.5</v>
      </c>
      <c r="F20" s="148">
        <v>345.4</v>
      </c>
      <c r="G20" s="148">
        <v>593.4</v>
      </c>
      <c r="H20" s="148">
        <v>618.3</v>
      </c>
      <c r="I20" s="148">
        <v>960</v>
      </c>
      <c r="J20" s="148">
        <v>1220</v>
      </c>
      <c r="K20" s="148">
        <v>1830</v>
      </c>
      <c r="L20" s="148">
        <v>1004</v>
      </c>
      <c r="M20" s="148">
        <v>1246</v>
      </c>
      <c r="N20" s="150">
        <f>RATE(4.75,,-H20,L20)</f>
        <v>0.10744724106086168</v>
      </c>
      <c r="O20" s="154"/>
      <c r="P20" s="2" t="str">
        <f t="shared" si="1"/>
        <v>Construction Work in Progress</v>
      </c>
      <c r="Q20" s="5">
        <f aca="true" t="shared" si="10" ref="Q20:S23">B20/B$37</f>
        <v>0.02538784731534079</v>
      </c>
      <c r="R20" s="5">
        <f t="shared" si="10"/>
        <v>0.024133718945912448</v>
      </c>
      <c r="S20" s="5">
        <f t="shared" si="10"/>
        <v>0.03350003677281753</v>
      </c>
      <c r="T20" s="5"/>
      <c r="U20" s="5">
        <f>F20/F$37</f>
        <v>0.029579261974291563</v>
      </c>
      <c r="V20" s="5">
        <f t="shared" si="7"/>
        <v>0.04739275930643964</v>
      </c>
      <c r="W20" s="5">
        <f t="shared" si="7"/>
        <v>0.048565346822398346</v>
      </c>
      <c r="X20" s="5">
        <f>I20/I$37</f>
        <v>0.06439927550815053</v>
      </c>
      <c r="Y20" s="5">
        <f t="shared" si="8"/>
        <v>0.0710665812314324</v>
      </c>
      <c r="Z20" s="5">
        <f t="shared" si="8"/>
        <v>0.09648845302119582</v>
      </c>
      <c r="AA20" s="18">
        <f t="shared" si="9"/>
        <v>0.04983619577087263</v>
      </c>
      <c r="AB20" s="18">
        <f t="shared" si="9"/>
        <v>0.0605736509479825</v>
      </c>
      <c r="AC20" s="55">
        <f>SUM(H20:L20)/SUM(H$37:L$37)</f>
        <v>0.06711726902557638</v>
      </c>
    </row>
    <row r="21" spans="1:29" ht="12.75" hidden="1">
      <c r="A21" s="148" t="s">
        <v>157</v>
      </c>
      <c r="B21" s="148">
        <v>1281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/>
      <c r="K21" s="148"/>
      <c r="L21" s="148">
        <v>0</v>
      </c>
      <c r="M21" s="148">
        <v>0</v>
      </c>
      <c r="N21" s="150" t="e">
        <f>RATE(5.75,,-E21,H21)</f>
        <v>#NUM!</v>
      </c>
      <c r="O21" s="154"/>
      <c r="P21" s="2" t="str">
        <f t="shared" si="1"/>
        <v>Australian Electric Operations</v>
      </c>
      <c r="Q21" s="5">
        <f t="shared" si="10"/>
        <v>0.10410317673159909</v>
      </c>
      <c r="R21" s="5">
        <f t="shared" si="10"/>
        <v>0</v>
      </c>
      <c r="S21" s="5">
        <f t="shared" si="10"/>
        <v>0</v>
      </c>
      <c r="T21" s="5">
        <f>E21/E$37</f>
        <v>0</v>
      </c>
      <c r="U21" s="5">
        <f>F21/F$37</f>
        <v>0</v>
      </c>
      <c r="V21" s="5">
        <f t="shared" si="7"/>
        <v>0</v>
      </c>
      <c r="W21" s="5">
        <f t="shared" si="7"/>
        <v>0</v>
      </c>
      <c r="X21" s="5">
        <f>I21/I$37</f>
        <v>0</v>
      </c>
      <c r="Y21" s="5">
        <f t="shared" si="8"/>
        <v>0</v>
      </c>
      <c r="Z21" s="5">
        <f t="shared" si="8"/>
        <v>0</v>
      </c>
      <c r="AA21" s="18">
        <f t="shared" si="9"/>
        <v>0</v>
      </c>
      <c r="AB21" s="18">
        <f t="shared" si="9"/>
        <v>0</v>
      </c>
      <c r="AC21" s="55">
        <f>SUM(F21:K21)/SUM(F$37:K$37)</f>
        <v>0</v>
      </c>
    </row>
    <row r="22" spans="1:29" ht="12.75" customHeight="1" hidden="1">
      <c r="A22" s="148" t="s">
        <v>49</v>
      </c>
      <c r="B22" s="152">
        <v>49.4</v>
      </c>
      <c r="C22" s="152">
        <v>33.5</v>
      </c>
      <c r="D22" s="152">
        <v>0</v>
      </c>
      <c r="E22" s="152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0" t="e">
        <f>RATE(5.75,,-E22,H22)</f>
        <v>#NUM!</v>
      </c>
      <c r="O22" s="154"/>
      <c r="P22" s="2" t="str">
        <f t="shared" si="1"/>
        <v>Other PP&amp;E</v>
      </c>
      <c r="Q22" s="18">
        <f t="shared" si="10"/>
        <v>0.004014595574192814</v>
      </c>
      <c r="R22" s="18">
        <f t="shared" si="10"/>
        <v>0.003008855916219081</v>
      </c>
      <c r="S22" s="18">
        <f t="shared" si="10"/>
        <v>0</v>
      </c>
      <c r="T22" s="18">
        <f>E22/E$37</f>
        <v>0</v>
      </c>
      <c r="U22" s="18">
        <f>F22/F$37</f>
        <v>0</v>
      </c>
      <c r="V22" s="18">
        <f t="shared" si="7"/>
        <v>0</v>
      </c>
      <c r="W22" s="18">
        <f t="shared" si="7"/>
        <v>0</v>
      </c>
      <c r="X22" s="18">
        <f>I22/I$37</f>
        <v>0</v>
      </c>
      <c r="Y22" s="18">
        <f t="shared" si="8"/>
        <v>0</v>
      </c>
      <c r="Z22" s="18">
        <f t="shared" si="8"/>
        <v>0</v>
      </c>
      <c r="AA22" s="103">
        <f t="shared" si="9"/>
        <v>0</v>
      </c>
      <c r="AB22" s="103">
        <f t="shared" si="9"/>
        <v>0</v>
      </c>
      <c r="AC22" s="55">
        <f>SUM(F22:K22)/SUM(F$37:K$37)</f>
        <v>0</v>
      </c>
    </row>
    <row r="23" spans="1:29" ht="12.75" customHeight="1">
      <c r="A23" s="184" t="s">
        <v>60</v>
      </c>
      <c r="B23" s="213">
        <f aca="true" t="shared" si="11" ref="B23:L23">SUM(B19:B22)</f>
        <v>14193.1</v>
      </c>
      <c r="C23" s="213">
        <f t="shared" si="11"/>
        <v>12712.4</v>
      </c>
      <c r="D23" s="213">
        <f t="shared" si="11"/>
        <v>13098.9</v>
      </c>
      <c r="E23" s="213">
        <f t="shared" si="11"/>
        <v>13516.8</v>
      </c>
      <c r="F23" s="213">
        <f t="shared" si="11"/>
        <v>14158.2</v>
      </c>
      <c r="G23" s="213">
        <f t="shared" si="11"/>
        <v>14852.4</v>
      </c>
      <c r="H23" s="213">
        <f t="shared" si="11"/>
        <v>15720.699999999999</v>
      </c>
      <c r="I23" s="213">
        <f t="shared" si="11"/>
        <v>17974</v>
      </c>
      <c r="J23" s="213">
        <f t="shared" si="11"/>
        <v>20099</v>
      </c>
      <c r="K23" s="213">
        <f t="shared" si="11"/>
        <v>22160</v>
      </c>
      <c r="L23" s="213">
        <f t="shared" si="11"/>
        <v>23038</v>
      </c>
      <c r="M23" s="213">
        <f>SUM(M19:M22)</f>
        <v>23860</v>
      </c>
      <c r="N23" s="206">
        <f>RATE(4.75,,-H23,L23)</f>
        <v>0.08378132150039802</v>
      </c>
      <c r="O23" s="156"/>
      <c r="P23" s="193" t="str">
        <f t="shared" si="1"/>
        <v>Total Plant &amp; Equipment:</v>
      </c>
      <c r="Q23" s="201">
        <f t="shared" si="10"/>
        <v>1.153432316681701</v>
      </c>
      <c r="R23" s="201">
        <f t="shared" si="10"/>
        <v>1.1417844760998042</v>
      </c>
      <c r="S23" s="201">
        <f t="shared" si="10"/>
        <v>1.2042086489666837</v>
      </c>
      <c r="T23" s="201">
        <f>E23/E$37</f>
        <v>1.1556969168419433</v>
      </c>
      <c r="U23" s="201">
        <f>F23/F$37</f>
        <v>1.2124757003023012</v>
      </c>
      <c r="V23" s="201">
        <f t="shared" si="7"/>
        <v>1.1862086591219483</v>
      </c>
      <c r="W23" s="201">
        <f t="shared" si="7"/>
        <v>1.2348071288870737</v>
      </c>
      <c r="X23" s="201">
        <f>I23/I$37</f>
        <v>1.20574226873281</v>
      </c>
      <c r="Y23" s="201">
        <f t="shared" si="8"/>
        <v>1.1707928001398031</v>
      </c>
      <c r="Z23" s="201">
        <f t="shared" si="8"/>
        <v>1.168406622376885</v>
      </c>
      <c r="AA23" s="201">
        <f t="shared" si="9"/>
        <v>1.1435520698898045</v>
      </c>
      <c r="AB23" s="201">
        <f t="shared" si="9"/>
        <v>1.1599416626154595</v>
      </c>
      <c r="AC23" s="201">
        <f>SUM(H23:L23)/SUM(H$37:L$37)</f>
        <v>1.1796339968039964</v>
      </c>
    </row>
    <row r="24" spans="1:29" ht="7.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50"/>
      <c r="O24" s="157"/>
      <c r="P24" s="2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55"/>
    </row>
    <row r="25" spans="1:29" ht="12.75" customHeight="1">
      <c r="A25" s="148" t="s">
        <v>50</v>
      </c>
      <c r="B25" s="151">
        <v>4994.8</v>
      </c>
      <c r="C25" s="148">
        <v>4789.5</v>
      </c>
      <c r="D25" s="148">
        <v>5129.4</v>
      </c>
      <c r="E25" s="148">
        <v>4818.3</v>
      </c>
      <c r="F25" s="148">
        <v>5121.7</v>
      </c>
      <c r="G25" s="148">
        <v>5361.8</v>
      </c>
      <c r="H25" s="148">
        <v>5611.5</v>
      </c>
      <c r="I25" s="148">
        <v>6125</v>
      </c>
      <c r="J25" s="148">
        <v>6275</v>
      </c>
      <c r="K25" s="148">
        <v>6623</v>
      </c>
      <c r="L25" s="148">
        <v>6646</v>
      </c>
      <c r="M25" s="148">
        <v>6815</v>
      </c>
      <c r="N25" s="150">
        <f>RATE(4.75,,-H25,L25)</f>
        <v>0.03626245165242557</v>
      </c>
      <c r="O25" s="140"/>
      <c r="P25" s="2" t="str">
        <f t="shared" si="1"/>
        <v>Accumulated Depreciation &amp; Amort.</v>
      </c>
      <c r="Q25" s="5">
        <f aca="true" t="shared" si="12" ref="Q25:AB25">B25/B$37</f>
        <v>0.4059129954246613</v>
      </c>
      <c r="R25" s="5">
        <f t="shared" si="12"/>
        <v>0.4301765794248146</v>
      </c>
      <c r="S25" s="5">
        <f t="shared" si="12"/>
        <v>0.4715562256380083</v>
      </c>
      <c r="T25" s="5">
        <f t="shared" si="12"/>
        <v>0.41196839891243014</v>
      </c>
      <c r="U25" s="5">
        <f t="shared" si="12"/>
        <v>0.43861061393667955</v>
      </c>
      <c r="V25" s="5">
        <f t="shared" si="12"/>
        <v>0.428228002779353</v>
      </c>
      <c r="W25" s="5">
        <f t="shared" si="12"/>
        <v>0.44076410107373176</v>
      </c>
      <c r="X25" s="5">
        <f t="shared" si="12"/>
        <v>0.4108807942577313</v>
      </c>
      <c r="Y25" s="5">
        <f t="shared" si="12"/>
        <v>0.36552688297314617</v>
      </c>
      <c r="Z25" s="5">
        <f t="shared" si="12"/>
        <v>0.3492038384477486</v>
      </c>
      <c r="AA25" s="5">
        <f t="shared" si="12"/>
        <v>0.32989178993348556</v>
      </c>
      <c r="AB25" s="5">
        <f t="shared" si="12"/>
        <v>0.3313077297034516</v>
      </c>
      <c r="AC25" s="55">
        <f>SUM(H25:L25)/SUM(H$37:L$37)</f>
        <v>0.37275388984154645</v>
      </c>
    </row>
    <row r="26" spans="1:29" ht="7.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50"/>
      <c r="O26" s="140"/>
      <c r="P26" s="2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55"/>
    </row>
    <row r="27" spans="1:29" ht="12.75" customHeight="1">
      <c r="A27" s="184" t="s">
        <v>51</v>
      </c>
      <c r="B27" s="184">
        <f aca="true" t="shared" si="13" ref="B27:G27">B23-B25</f>
        <v>9198.3</v>
      </c>
      <c r="C27" s="184">
        <f t="shared" si="13"/>
        <v>7922.9</v>
      </c>
      <c r="D27" s="184">
        <f t="shared" si="13"/>
        <v>7969.5</v>
      </c>
      <c r="E27" s="184">
        <f t="shared" si="13"/>
        <v>8698.5</v>
      </c>
      <c r="F27" s="184">
        <f t="shared" si="13"/>
        <v>9036.5</v>
      </c>
      <c r="G27" s="184">
        <f t="shared" si="13"/>
        <v>9490.599999999999</v>
      </c>
      <c r="H27" s="184">
        <f aca="true" t="shared" si="14" ref="H27:M27">H23-H25</f>
        <v>10109.199999999999</v>
      </c>
      <c r="I27" s="184">
        <f t="shared" si="14"/>
        <v>11849</v>
      </c>
      <c r="J27" s="184">
        <f t="shared" si="14"/>
        <v>13824</v>
      </c>
      <c r="K27" s="184">
        <f t="shared" si="14"/>
        <v>15537</v>
      </c>
      <c r="L27" s="184">
        <f t="shared" si="14"/>
        <v>16392</v>
      </c>
      <c r="M27" s="184">
        <f t="shared" si="14"/>
        <v>17045</v>
      </c>
      <c r="N27" s="185">
        <f aca="true" t="shared" si="15" ref="N27:N34">RATE(4.75,,-H27,L27)</f>
        <v>0.10711482059383066</v>
      </c>
      <c r="O27" s="157"/>
      <c r="P27" s="193" t="str">
        <f t="shared" si="1"/>
        <v>Net Plant &amp; Equipment</v>
      </c>
      <c r="Q27" s="200">
        <f aca="true" t="shared" si="16" ref="Q27:AB27">B27/B$37</f>
        <v>0.7475193212570397</v>
      </c>
      <c r="R27" s="200">
        <f t="shared" si="16"/>
        <v>0.7116078966749897</v>
      </c>
      <c r="S27" s="200">
        <f t="shared" si="16"/>
        <v>0.7326524233286754</v>
      </c>
      <c r="T27" s="200">
        <f t="shared" si="16"/>
        <v>0.7437285179295132</v>
      </c>
      <c r="U27" s="200">
        <f t="shared" si="16"/>
        <v>0.7738650863656217</v>
      </c>
      <c r="V27" s="200">
        <f t="shared" si="16"/>
        <v>0.7579806563425951</v>
      </c>
      <c r="W27" s="200">
        <f t="shared" si="16"/>
        <v>0.794043027813342</v>
      </c>
      <c r="X27" s="200">
        <f t="shared" si="16"/>
        <v>0.7948614744750788</v>
      </c>
      <c r="Y27" s="200">
        <f t="shared" si="16"/>
        <v>0.805265917166657</v>
      </c>
      <c r="Z27" s="200">
        <f t="shared" si="16"/>
        <v>0.8192027839291364</v>
      </c>
      <c r="AA27" s="200">
        <f t="shared" si="16"/>
        <v>0.8136602799563188</v>
      </c>
      <c r="AB27" s="200">
        <f t="shared" si="16"/>
        <v>0.8286339329120078</v>
      </c>
      <c r="AC27" s="200">
        <f aca="true" t="shared" si="17" ref="AC27:AC34">SUM(H27:L27)/SUM(H$37:L$37)</f>
        <v>0.80688010696245</v>
      </c>
    </row>
    <row r="28" spans="1:29" ht="7.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50"/>
      <c r="O28" s="154"/>
      <c r="P28" s="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5"/>
    </row>
    <row r="29" spans="1:29" ht="12.75">
      <c r="A29" s="186" t="s">
        <v>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50"/>
      <c r="O29" s="154"/>
      <c r="P29" s="199" t="str">
        <f t="shared" si="1"/>
        <v>Other Assets: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5"/>
    </row>
    <row r="30" spans="1:29" ht="12.75">
      <c r="A30" s="148" t="s">
        <v>52</v>
      </c>
      <c r="B30" s="148">
        <v>789.7</v>
      </c>
      <c r="C30" s="148">
        <v>1081.8</v>
      </c>
      <c r="D30" s="148">
        <v>1158.3</v>
      </c>
      <c r="E30" s="148">
        <v>1175.2</v>
      </c>
      <c r="F30" s="148">
        <f>1032.3</f>
        <v>1032.3</v>
      </c>
      <c r="G30" s="148">
        <f>972.8</f>
        <v>972.8</v>
      </c>
      <c r="H30" s="148">
        <v>884.3</v>
      </c>
      <c r="I30" s="148">
        <v>1091</v>
      </c>
      <c r="J30" s="148">
        <v>1624</v>
      </c>
      <c r="K30" s="148">
        <v>1539</v>
      </c>
      <c r="L30" s="148">
        <v>1715</v>
      </c>
      <c r="M30" s="148">
        <v>1717</v>
      </c>
      <c r="N30" s="150">
        <f t="shared" si="15"/>
        <v>0.14963756785992613</v>
      </c>
      <c r="O30" s="154"/>
      <c r="P30" s="2" t="str">
        <f t="shared" si="1"/>
        <v>Regulatory Assets</v>
      </c>
      <c r="Q30" s="5">
        <f aca="true" t="shared" si="18" ref="Q30:U37">B30/B$37</f>
        <v>0.06417664220526449</v>
      </c>
      <c r="R30" s="5">
        <f t="shared" si="18"/>
        <v>0.0971635919452478</v>
      </c>
      <c r="S30" s="5">
        <f t="shared" si="18"/>
        <v>0.10648488637199381</v>
      </c>
      <c r="T30" s="5">
        <f t="shared" si="18"/>
        <v>0.1004805143726808</v>
      </c>
      <c r="U30" s="5">
        <f t="shared" si="18"/>
        <v>0.08840379888842265</v>
      </c>
      <c r="V30" s="5">
        <f aca="true" t="shared" si="19" ref="V30:X37">G30/G$37</f>
        <v>0.0776940954723702</v>
      </c>
      <c r="W30" s="5">
        <f t="shared" si="19"/>
        <v>0.06945873555724869</v>
      </c>
      <c r="X30" s="5">
        <f t="shared" si="19"/>
        <v>0.0731870933118669</v>
      </c>
      <c r="Y30" s="5">
        <f aca="true" t="shared" si="20" ref="Y30:Z37">J30/J$37</f>
        <v>0.09460010485233296</v>
      </c>
      <c r="Z30" s="5">
        <f t="shared" si="20"/>
        <v>0.08114520721290731</v>
      </c>
      <c r="AA30" s="5">
        <f aca="true" t="shared" si="21" ref="AA30:AB37">L30/L$37</f>
        <v>0.0851285615010424</v>
      </c>
      <c r="AB30" s="5">
        <f t="shared" si="21"/>
        <v>0.0834710743801653</v>
      </c>
      <c r="AC30" s="55">
        <f t="shared" si="17"/>
        <v>0.0816673081712591</v>
      </c>
    </row>
    <row r="31" spans="1:29" ht="12.75" hidden="1">
      <c r="A31" s="148" t="s">
        <v>53</v>
      </c>
      <c r="B31" s="148">
        <v>382.7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50" t="e">
        <f t="shared" si="15"/>
        <v>#NUM!</v>
      </c>
      <c r="O31" s="154"/>
      <c r="P31" s="2" t="str">
        <f t="shared" si="1"/>
        <v>Intangible Assets-net</v>
      </c>
      <c r="Q31" s="5">
        <f t="shared" si="18"/>
        <v>0.031100925632461335</v>
      </c>
      <c r="R31" s="5">
        <f t="shared" si="18"/>
        <v>0</v>
      </c>
      <c r="S31" s="5">
        <f t="shared" si="18"/>
        <v>0</v>
      </c>
      <c r="T31" s="5">
        <f t="shared" si="18"/>
        <v>0</v>
      </c>
      <c r="U31" s="5">
        <f t="shared" si="18"/>
        <v>0</v>
      </c>
      <c r="V31" s="5">
        <f t="shared" si="19"/>
        <v>0</v>
      </c>
      <c r="W31" s="5">
        <f t="shared" si="19"/>
        <v>0</v>
      </c>
      <c r="X31" s="5">
        <f t="shared" si="19"/>
        <v>0</v>
      </c>
      <c r="Y31" s="5">
        <f t="shared" si="20"/>
        <v>0</v>
      </c>
      <c r="Z31" s="5">
        <f t="shared" si="20"/>
        <v>0</v>
      </c>
      <c r="AA31" s="5">
        <f t="shared" si="21"/>
        <v>0</v>
      </c>
      <c r="AB31" s="5">
        <f t="shared" si="21"/>
        <v>0</v>
      </c>
      <c r="AC31" s="55">
        <f t="shared" si="17"/>
        <v>0</v>
      </c>
    </row>
    <row r="32" spans="1:29" ht="12.75">
      <c r="A32" s="140" t="s">
        <v>175</v>
      </c>
      <c r="B32" s="148">
        <f>196.8+288.3</f>
        <v>485.1</v>
      </c>
      <c r="C32" s="148">
        <f>189.9+278.3</f>
        <v>468.20000000000005</v>
      </c>
      <c r="D32" s="148">
        <f>468.4+155</f>
        <v>623.4</v>
      </c>
      <c r="E32" s="148">
        <f>506.9+122.3</f>
        <v>629.1999999999999</v>
      </c>
      <c r="F32" s="148">
        <f>422.2+110.3</f>
        <v>532.5</v>
      </c>
      <c r="G32" s="148">
        <f>170+360.3</f>
        <v>530.3</v>
      </c>
      <c r="H32" s="148">
        <f>94.7+345.3</f>
        <v>440</v>
      </c>
      <c r="I32" s="148">
        <v>215</v>
      </c>
      <c r="J32" s="148">
        <v>86</v>
      </c>
      <c r="K32" s="148">
        <v>43</v>
      </c>
      <c r="L32" s="148">
        <v>9</v>
      </c>
      <c r="M32" s="148">
        <v>6</v>
      </c>
      <c r="N32" s="150">
        <f t="shared" si="15"/>
        <v>-0.5590627319910675</v>
      </c>
      <c r="O32" s="154"/>
      <c r="P32" s="2" t="str">
        <f t="shared" si="1"/>
        <v>Financial Assets/Derivatives</v>
      </c>
      <c r="Q32" s="5">
        <f t="shared" si="18"/>
        <v>0.03942267840163834</v>
      </c>
      <c r="R32" s="5">
        <f t="shared" si="18"/>
        <v>0.04205212955145594</v>
      </c>
      <c r="S32" s="5">
        <f t="shared" si="18"/>
        <v>0.05731043612561594</v>
      </c>
      <c r="T32" s="5">
        <f t="shared" si="18"/>
        <v>0.053797089553514935</v>
      </c>
      <c r="U32" s="5">
        <f t="shared" si="18"/>
        <v>0.04560207585787568</v>
      </c>
      <c r="V32" s="5">
        <f t="shared" si="19"/>
        <v>0.04235318547388767</v>
      </c>
      <c r="W32" s="5">
        <f t="shared" si="19"/>
        <v>0.03456049264411334</v>
      </c>
      <c r="X32" s="5">
        <f t="shared" si="19"/>
        <v>0.014422754410679547</v>
      </c>
      <c r="Y32" s="5">
        <f t="shared" si="20"/>
        <v>0.00500961146385507</v>
      </c>
      <c r="Z32" s="5">
        <f t="shared" si="20"/>
        <v>0.0022672150163450385</v>
      </c>
      <c r="AA32" s="5">
        <f t="shared" si="21"/>
        <v>0.00044673880671100964</v>
      </c>
      <c r="AB32" s="5">
        <f t="shared" si="21"/>
        <v>0.0002916869227029655</v>
      </c>
      <c r="AC32" s="55">
        <f t="shared" si="17"/>
        <v>0.00944977972360884</v>
      </c>
    </row>
    <row r="33" spans="1:29" ht="12.75" hidden="1">
      <c r="A33" s="148" t="s">
        <v>55</v>
      </c>
      <c r="B33" s="148">
        <v>116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50" t="e">
        <f t="shared" si="15"/>
        <v>#NUM!</v>
      </c>
      <c r="O33" s="154"/>
      <c r="P33" s="2" t="str">
        <f t="shared" si="1"/>
        <v>Investments in Affiliates</v>
      </c>
      <c r="Q33" s="5">
        <f t="shared" si="18"/>
        <v>0.00942698555883333</v>
      </c>
      <c r="R33" s="5">
        <f t="shared" si="18"/>
        <v>0</v>
      </c>
      <c r="S33" s="5">
        <f t="shared" si="18"/>
        <v>0</v>
      </c>
      <c r="T33" s="5">
        <f t="shared" si="18"/>
        <v>0</v>
      </c>
      <c r="U33" s="5">
        <f t="shared" si="18"/>
        <v>0</v>
      </c>
      <c r="V33" s="5">
        <f t="shared" si="19"/>
        <v>0</v>
      </c>
      <c r="W33" s="5">
        <f t="shared" si="19"/>
        <v>0</v>
      </c>
      <c r="X33" s="5">
        <f t="shared" si="19"/>
        <v>0</v>
      </c>
      <c r="Y33" s="5">
        <f t="shared" si="20"/>
        <v>0</v>
      </c>
      <c r="Z33" s="5">
        <f t="shared" si="20"/>
        <v>0</v>
      </c>
      <c r="AA33" s="5">
        <f t="shared" si="21"/>
        <v>0</v>
      </c>
      <c r="AB33" s="5">
        <f t="shared" si="21"/>
        <v>0</v>
      </c>
      <c r="AC33" s="55">
        <f t="shared" si="17"/>
        <v>0</v>
      </c>
    </row>
    <row r="34" spans="1:29" ht="12.75">
      <c r="A34" s="148" t="s">
        <v>54</v>
      </c>
      <c r="B34" s="152">
        <v>372.1</v>
      </c>
      <c r="C34" s="152">
        <v>303.5</v>
      </c>
      <c r="D34" s="152">
        <v>366.2</v>
      </c>
      <c r="E34" s="152">
        <v>343.5</v>
      </c>
      <c r="F34" s="152">
        <v>319.4</v>
      </c>
      <c r="G34" s="152">
        <v>312.9</v>
      </c>
      <c r="H34" s="153">
        <v>282.5</v>
      </c>
      <c r="I34" s="153">
        <v>276</v>
      </c>
      <c r="J34" s="153">
        <v>257</v>
      </c>
      <c r="K34" s="153">
        <v>275</v>
      </c>
      <c r="L34" s="153">
        <v>396</v>
      </c>
      <c r="M34" s="153">
        <v>401</v>
      </c>
      <c r="N34" s="150">
        <f t="shared" si="15"/>
        <v>0.07369099909595879</v>
      </c>
      <c r="O34" s="154"/>
      <c r="P34" s="2" t="str">
        <f t="shared" si="1"/>
        <v>Deferred Charges and Other</v>
      </c>
      <c r="Q34" s="6">
        <f t="shared" si="18"/>
        <v>0.0302394941934645</v>
      </c>
      <c r="R34" s="6">
        <f t="shared" si="18"/>
        <v>0.027259336434999733</v>
      </c>
      <c r="S34" s="6">
        <f t="shared" si="18"/>
        <v>0.03366551445171729</v>
      </c>
      <c r="T34" s="6">
        <f t="shared" si="18"/>
        <v>0.02936951726260709</v>
      </c>
      <c r="U34" s="6">
        <f t="shared" si="18"/>
        <v>0.027352681744611248</v>
      </c>
      <c r="V34" s="6">
        <f t="shared" si="19"/>
        <v>0.02499021635824901</v>
      </c>
      <c r="W34" s="103">
        <f t="shared" si="19"/>
        <v>0.022189407209004582</v>
      </c>
      <c r="X34" s="103">
        <f t="shared" si="19"/>
        <v>0.018514791708593277</v>
      </c>
      <c r="Y34" s="103">
        <f t="shared" si="20"/>
        <v>0.014970583095473874</v>
      </c>
      <c r="Z34" s="103">
        <f t="shared" si="20"/>
        <v>0.01449963091848571</v>
      </c>
      <c r="AA34" s="103">
        <f t="shared" si="21"/>
        <v>0.019656507495284425</v>
      </c>
      <c r="AB34" s="103">
        <f t="shared" si="21"/>
        <v>0.019494409333981527</v>
      </c>
      <c r="AC34" s="55">
        <f t="shared" si="17"/>
        <v>0.01771386829652527</v>
      </c>
    </row>
    <row r="35" spans="1:29" ht="12.75">
      <c r="A35" s="184" t="s">
        <v>72</v>
      </c>
      <c r="B35" s="207">
        <f aca="true" t="shared" si="22" ref="B35:L35">SUM(B30:B34)</f>
        <v>2145.6</v>
      </c>
      <c r="C35" s="207">
        <f t="shared" si="22"/>
        <v>1853.5</v>
      </c>
      <c r="D35" s="207">
        <f t="shared" si="22"/>
        <v>2147.8999999999996</v>
      </c>
      <c r="E35" s="207">
        <f t="shared" si="22"/>
        <v>2147.9</v>
      </c>
      <c r="F35" s="207">
        <f t="shared" si="22"/>
        <v>1884.1999999999998</v>
      </c>
      <c r="G35" s="207">
        <f t="shared" si="22"/>
        <v>1816</v>
      </c>
      <c r="H35" s="208">
        <f t="shared" si="22"/>
        <v>1606.8</v>
      </c>
      <c r="I35" s="208">
        <f t="shared" si="22"/>
        <v>1582</v>
      </c>
      <c r="J35" s="208">
        <f>SUM(J30:J34)</f>
        <v>1967</v>
      </c>
      <c r="K35" s="208">
        <f>SUM(K30:K34)</f>
        <v>1857</v>
      </c>
      <c r="L35" s="208">
        <f t="shared" si="22"/>
        <v>2120</v>
      </c>
      <c r="M35" s="208">
        <f>SUM(M30:M34)</f>
        <v>2124</v>
      </c>
      <c r="N35" s="206">
        <f>RATE(4.75,,-H35,L35)</f>
        <v>0.06008796168893715</v>
      </c>
      <c r="O35" s="154"/>
      <c r="P35" s="193" t="str">
        <f t="shared" si="1"/>
        <v>Total Other Assets</v>
      </c>
      <c r="Q35" s="202">
        <f t="shared" si="18"/>
        <v>0.17436672599166197</v>
      </c>
      <c r="R35" s="202">
        <f t="shared" si="18"/>
        <v>0.16647505793170347</v>
      </c>
      <c r="S35" s="202">
        <f t="shared" si="18"/>
        <v>0.197460836949327</v>
      </c>
      <c r="T35" s="202">
        <f t="shared" si="18"/>
        <v>0.18364712118880283</v>
      </c>
      <c r="U35" s="202">
        <f t="shared" si="18"/>
        <v>0.16135855649090955</v>
      </c>
      <c r="V35" s="202">
        <f t="shared" si="19"/>
        <v>0.14503749730450688</v>
      </c>
      <c r="W35" s="203">
        <f t="shared" si="19"/>
        <v>0.1262086354103666</v>
      </c>
      <c r="X35" s="203">
        <f t="shared" si="19"/>
        <v>0.10612463943113973</v>
      </c>
      <c r="Y35" s="203">
        <f t="shared" si="20"/>
        <v>0.11458029941166191</v>
      </c>
      <c r="Z35" s="203">
        <f t="shared" si="20"/>
        <v>0.09791205314773806</v>
      </c>
      <c r="AA35" s="203">
        <f t="shared" si="21"/>
        <v>0.10523180780303783</v>
      </c>
      <c r="AB35" s="203">
        <f t="shared" si="21"/>
        <v>0.10325717063684978</v>
      </c>
      <c r="AC35" s="203">
        <f>SUM(H35:L35)/SUM(H$37:L$37)</f>
        <v>0.1088309561913932</v>
      </c>
    </row>
    <row r="36" spans="1:29" ht="12.75">
      <c r="A36" s="148" t="s">
        <v>36</v>
      </c>
      <c r="B36" s="152">
        <f aca="true" t="shared" si="23" ref="B36:L36">B27+B35</f>
        <v>11343.9</v>
      </c>
      <c r="C36" s="152">
        <f t="shared" si="23"/>
        <v>9776.4</v>
      </c>
      <c r="D36" s="152">
        <f t="shared" si="23"/>
        <v>10117.4</v>
      </c>
      <c r="E36" s="152">
        <f t="shared" si="23"/>
        <v>10846.4</v>
      </c>
      <c r="F36" s="152">
        <f t="shared" si="23"/>
        <v>10920.7</v>
      </c>
      <c r="G36" s="152">
        <f t="shared" si="23"/>
        <v>11306.599999999999</v>
      </c>
      <c r="H36" s="151">
        <f t="shared" si="23"/>
        <v>11715.999999999998</v>
      </c>
      <c r="I36" s="151">
        <f t="shared" si="23"/>
        <v>13431</v>
      </c>
      <c r="J36" s="151">
        <f>J27+J35</f>
        <v>15791</v>
      </c>
      <c r="K36" s="151">
        <f>K27+K35</f>
        <v>17394</v>
      </c>
      <c r="L36" s="151">
        <f t="shared" si="23"/>
        <v>18512</v>
      </c>
      <c r="M36" s="151">
        <f>M27+M35</f>
        <v>19169</v>
      </c>
      <c r="N36" s="155">
        <f>RATE(4.75,,-H36,L36)</f>
        <v>0.10109832188610535</v>
      </c>
      <c r="O36" s="156"/>
      <c r="P36" s="2" t="str">
        <f t="shared" si="1"/>
        <v>Total Non-Current Assets</v>
      </c>
      <c r="Q36" s="6">
        <f t="shared" si="18"/>
        <v>0.9218860472487017</v>
      </c>
      <c r="R36" s="6">
        <f t="shared" si="18"/>
        <v>0.8780829546066932</v>
      </c>
      <c r="S36" s="6">
        <f t="shared" si="18"/>
        <v>0.9301132602780025</v>
      </c>
      <c r="T36" s="6">
        <f t="shared" si="18"/>
        <v>0.927375639118316</v>
      </c>
      <c r="U36" s="6">
        <f t="shared" si="18"/>
        <v>0.9352236428565314</v>
      </c>
      <c r="V36" s="6">
        <f t="shared" si="19"/>
        <v>0.9030181536471021</v>
      </c>
      <c r="W36" s="97">
        <f t="shared" si="19"/>
        <v>0.9202516632237085</v>
      </c>
      <c r="X36" s="97">
        <f t="shared" si="19"/>
        <v>0.9009861139062185</v>
      </c>
      <c r="Y36" s="97">
        <f t="shared" si="20"/>
        <v>0.9198462165783189</v>
      </c>
      <c r="Z36" s="97">
        <f t="shared" si="20"/>
        <v>0.9171148370768744</v>
      </c>
      <c r="AA36" s="97">
        <f t="shared" si="21"/>
        <v>0.9188920877593567</v>
      </c>
      <c r="AB36" s="97">
        <f t="shared" si="21"/>
        <v>0.9318911035488575</v>
      </c>
      <c r="AC36" s="256">
        <f>SUM(H36:L36)/SUM(H$37:L$37)</f>
        <v>0.9157110631538432</v>
      </c>
    </row>
    <row r="37" spans="1:29" ht="13.5" thickBot="1">
      <c r="A37" s="184" t="s">
        <v>31</v>
      </c>
      <c r="B37" s="209">
        <f aca="true" t="shared" si="24" ref="B37:G37">B16+B27+B35</f>
        <v>12305.1</v>
      </c>
      <c r="C37" s="209">
        <f t="shared" si="24"/>
        <v>11133.8</v>
      </c>
      <c r="D37" s="209">
        <f t="shared" si="24"/>
        <v>10877.6</v>
      </c>
      <c r="E37" s="209">
        <f t="shared" si="24"/>
        <v>11695.8</v>
      </c>
      <c r="F37" s="209">
        <f t="shared" si="24"/>
        <v>11677.099999999999</v>
      </c>
      <c r="G37" s="209">
        <f t="shared" si="24"/>
        <v>12520.899999999998</v>
      </c>
      <c r="H37" s="210">
        <f aca="true" t="shared" si="25" ref="H37:M37">H16+H27+H35</f>
        <v>12731.299999999997</v>
      </c>
      <c r="I37" s="210">
        <f t="shared" si="25"/>
        <v>14907</v>
      </c>
      <c r="J37" s="210">
        <f t="shared" si="25"/>
        <v>17167</v>
      </c>
      <c r="K37" s="210">
        <f t="shared" si="25"/>
        <v>18966</v>
      </c>
      <c r="L37" s="210">
        <f t="shared" si="25"/>
        <v>20146</v>
      </c>
      <c r="M37" s="210">
        <f t="shared" si="25"/>
        <v>20570</v>
      </c>
      <c r="N37" s="206">
        <f>RATE(4.75,,-H37,L37)</f>
        <v>0.101441103721187</v>
      </c>
      <c r="O37" s="157"/>
      <c r="P37" s="193" t="str">
        <f t="shared" si="1"/>
        <v>Total Assets</v>
      </c>
      <c r="Q37" s="204">
        <f t="shared" si="18"/>
        <v>1</v>
      </c>
      <c r="R37" s="204">
        <f t="shared" si="18"/>
        <v>1</v>
      </c>
      <c r="S37" s="204">
        <f t="shared" si="18"/>
        <v>1</v>
      </c>
      <c r="T37" s="204">
        <f t="shared" si="18"/>
        <v>1</v>
      </c>
      <c r="U37" s="204">
        <f t="shared" si="18"/>
        <v>1</v>
      </c>
      <c r="V37" s="204">
        <f t="shared" si="19"/>
        <v>1</v>
      </c>
      <c r="W37" s="205">
        <f t="shared" si="19"/>
        <v>1</v>
      </c>
      <c r="X37" s="205">
        <f t="shared" si="19"/>
        <v>1</v>
      </c>
      <c r="Y37" s="205">
        <f t="shared" si="20"/>
        <v>1</v>
      </c>
      <c r="Z37" s="205">
        <f t="shared" si="20"/>
        <v>1</v>
      </c>
      <c r="AA37" s="205">
        <f t="shared" si="21"/>
        <v>1</v>
      </c>
      <c r="AB37" s="205">
        <f t="shared" si="21"/>
        <v>1</v>
      </c>
      <c r="AC37" s="205">
        <f>SUM(H37:L37)/SUM(H$37:L$37)</f>
        <v>1</v>
      </c>
    </row>
    <row r="38" spans="1:29" ht="13.5" thickTop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60"/>
      <c r="O38" s="154"/>
      <c r="P38" s="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31"/>
    </row>
    <row r="39" spans="1:29" ht="7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50"/>
      <c r="O39" s="154"/>
      <c r="P39" s="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5"/>
    </row>
    <row r="40" spans="1:29" ht="12.75">
      <c r="A40" s="186" t="s">
        <v>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50"/>
      <c r="O40" s="157"/>
      <c r="P40" s="199" t="str">
        <f t="shared" si="1"/>
        <v>Current Liabilities: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5"/>
    </row>
    <row r="41" spans="1:29" ht="12.75">
      <c r="A41" s="148" t="s">
        <v>56</v>
      </c>
      <c r="B41" s="148">
        <v>186.9</v>
      </c>
      <c r="C41" s="148">
        <v>51.2</v>
      </c>
      <c r="D41" s="148">
        <v>144.5</v>
      </c>
      <c r="E41" s="148">
        <v>136.7</v>
      </c>
      <c r="F41" s="148">
        <v>240</v>
      </c>
      <c r="G41" s="148">
        <v>269.9</v>
      </c>
      <c r="H41" s="148">
        <v>216.9</v>
      </c>
      <c r="I41" s="148">
        <v>414</v>
      </c>
      <c r="J41" s="148">
        <v>144</v>
      </c>
      <c r="K41" s="148">
        <v>16</v>
      </c>
      <c r="L41" s="148">
        <v>588</v>
      </c>
      <c r="M41" s="148">
        <v>521</v>
      </c>
      <c r="N41" s="150">
        <f aca="true" t="shared" si="26" ref="N41:N46">RATE(4.75,,-H41,L41)</f>
        <v>0.23362365726953815</v>
      </c>
      <c r="O41" s="157"/>
      <c r="P41" s="2" t="str">
        <f t="shared" si="1"/>
        <v>Current Maturities LTD</v>
      </c>
      <c r="Q41" s="5">
        <f aca="true" t="shared" si="27" ref="Q41:U44">B41/B$37</f>
        <v>0.015188824146085769</v>
      </c>
      <c r="R41" s="5">
        <f t="shared" si="27"/>
        <v>0.0045986096391169235</v>
      </c>
      <c r="S41" s="5">
        <f t="shared" si="27"/>
        <v>0.013284180333897182</v>
      </c>
      <c r="T41" s="5">
        <f t="shared" si="27"/>
        <v>0.011687956360402879</v>
      </c>
      <c r="U41" s="5">
        <f t="shared" si="27"/>
        <v>0.020553048273972137</v>
      </c>
      <c r="V41" s="5">
        <f aca="true" t="shared" si="28" ref="V41:X44">G41/G$37</f>
        <v>0.021555958437492515</v>
      </c>
      <c r="W41" s="5">
        <f t="shared" si="28"/>
        <v>0.01703675194206405</v>
      </c>
      <c r="X41" s="5">
        <f t="shared" si="28"/>
        <v>0.02777218756288992</v>
      </c>
      <c r="Y41" s="5">
        <f aca="true" t="shared" si="29" ref="Y41:Z47">J41/J$37</f>
        <v>0.008388186637152677</v>
      </c>
      <c r="Z41" s="5">
        <f t="shared" si="29"/>
        <v>0.000843614889802805</v>
      </c>
      <c r="AA41" s="5">
        <f aca="true" t="shared" si="30" ref="AA41:AB47">L41/L$37</f>
        <v>0.029186935371785964</v>
      </c>
      <c r="AB41" s="5">
        <f t="shared" si="30"/>
        <v>0.025328147788040836</v>
      </c>
      <c r="AC41" s="55">
        <f aca="true" t="shared" si="31" ref="AC41:AC46">SUM(H41:L41)/SUM(H$37:L$37)</f>
        <v>0.016431653544620718</v>
      </c>
    </row>
    <row r="42" spans="1:31" ht="12.75">
      <c r="A42" s="140" t="s">
        <v>178</v>
      </c>
      <c r="B42" s="148">
        <v>109</v>
      </c>
      <c r="C42" s="148">
        <v>240.5</v>
      </c>
      <c r="D42" s="148">
        <v>177.5</v>
      </c>
      <c r="E42" s="148">
        <v>25</v>
      </c>
      <c r="F42" s="148">
        <v>124.9</v>
      </c>
      <c r="G42" s="148">
        <v>468.8</v>
      </c>
      <c r="H42" s="148">
        <v>184.4</v>
      </c>
      <c r="I42" s="148">
        <v>0</v>
      </c>
      <c r="J42" s="148">
        <v>85</v>
      </c>
      <c r="K42" s="148">
        <v>0</v>
      </c>
      <c r="L42" s="148">
        <v>36</v>
      </c>
      <c r="M42" s="148">
        <v>0</v>
      </c>
      <c r="N42" s="150">
        <f t="shared" si="26"/>
        <v>-0.29100963465010504</v>
      </c>
      <c r="O42" s="157"/>
      <c r="P42" s="2" t="str">
        <f t="shared" si="1"/>
        <v>Short-term Debt</v>
      </c>
      <c r="Q42" s="5">
        <f t="shared" si="27"/>
        <v>0.00885811574062787</v>
      </c>
      <c r="R42" s="5">
        <f t="shared" si="27"/>
        <v>0.02160089098061758</v>
      </c>
      <c r="S42" s="5">
        <f t="shared" si="27"/>
        <v>0.016317937780392734</v>
      </c>
      <c r="T42" s="5">
        <f t="shared" si="27"/>
        <v>0.0021375194514270082</v>
      </c>
      <c r="U42" s="5">
        <f t="shared" si="27"/>
        <v>0.010696148872579666</v>
      </c>
      <c r="V42" s="5">
        <f t="shared" si="28"/>
        <v>0.03744139798257314</v>
      </c>
      <c r="W42" s="5">
        <f t="shared" si="28"/>
        <v>0.014483988280851134</v>
      </c>
      <c r="X42" s="5">
        <f t="shared" si="28"/>
        <v>0</v>
      </c>
      <c r="Y42" s="5">
        <f t="shared" si="29"/>
        <v>0.004951360167763733</v>
      </c>
      <c r="Z42" s="5">
        <f t="shared" si="29"/>
        <v>0</v>
      </c>
      <c r="AA42" s="5">
        <f t="shared" si="30"/>
        <v>0.0017869552268440386</v>
      </c>
      <c r="AB42" s="5">
        <f t="shared" si="30"/>
        <v>0</v>
      </c>
      <c r="AC42" s="55">
        <f t="shared" si="31"/>
        <v>0.0036392972605172</v>
      </c>
      <c r="AE42" s="55">
        <f>AVERAGE(W42:AA42)</f>
        <v>0.004244460735091781</v>
      </c>
    </row>
    <row r="43" spans="1:29" ht="12.75">
      <c r="A43" s="148" t="s">
        <v>1</v>
      </c>
      <c r="B43" s="148">
        <v>437.4</v>
      </c>
      <c r="C43" s="148">
        <v>609.9</v>
      </c>
      <c r="D43" s="148">
        <v>292.7</v>
      </c>
      <c r="E43" s="148">
        <v>243.4</v>
      </c>
      <c r="F43" s="148">
        <v>262.6</v>
      </c>
      <c r="G43" s="148">
        <v>350.4</v>
      </c>
      <c r="H43" s="148">
        <v>361.3</v>
      </c>
      <c r="I43" s="148">
        <v>451</v>
      </c>
      <c r="J43" s="148">
        <v>757</v>
      </c>
      <c r="K43" s="148">
        <v>553</v>
      </c>
      <c r="L43" s="148">
        <v>479</v>
      </c>
      <c r="M43" s="148">
        <v>495</v>
      </c>
      <c r="N43" s="150">
        <f t="shared" si="26"/>
        <v>0.061164328343781854</v>
      </c>
      <c r="O43" s="154"/>
      <c r="P43" s="2" t="str">
        <f t="shared" si="1"/>
        <v>Accounts Payable</v>
      </c>
      <c r="Q43" s="5">
        <f t="shared" si="27"/>
        <v>0.035546236926152566</v>
      </c>
      <c r="R43" s="5">
        <f t="shared" si="27"/>
        <v>0.05477914099409007</v>
      </c>
      <c r="S43" s="5">
        <f t="shared" si="27"/>
        <v>0.026908509229977198</v>
      </c>
      <c r="T43" s="5">
        <f t="shared" si="27"/>
        <v>0.020810889379093353</v>
      </c>
      <c r="U43" s="5">
        <f t="shared" si="27"/>
        <v>0.02248846031977118</v>
      </c>
      <c r="V43" s="5">
        <f t="shared" si="28"/>
        <v>0.027985208731001767</v>
      </c>
      <c r="W43" s="5">
        <f t="shared" si="28"/>
        <v>0.02837887725526852</v>
      </c>
      <c r="X43" s="5">
        <f t="shared" si="28"/>
        <v>0.030254242973099886</v>
      </c>
      <c r="Y43" s="5">
        <f t="shared" si="29"/>
        <v>0.04409623114114289</v>
      </c>
      <c r="Z43" s="5">
        <f t="shared" si="29"/>
        <v>0.02915743962880945</v>
      </c>
      <c r="AA43" s="5">
        <f t="shared" si="30"/>
        <v>0.023776432046063736</v>
      </c>
      <c r="AB43" s="5">
        <f t="shared" si="30"/>
        <v>0.02406417112299465</v>
      </c>
      <c r="AC43" s="55">
        <f t="shared" si="31"/>
        <v>0.03099837578187097</v>
      </c>
    </row>
    <row r="44" spans="1:29" ht="12.75">
      <c r="A44" s="140" t="s">
        <v>179</v>
      </c>
      <c r="B44" s="148">
        <f>153.8+97.3+4.2+4.6</f>
        <v>259.90000000000003</v>
      </c>
      <c r="C44" s="148">
        <f>61.9+84.1+377.5+18.7</f>
        <v>542.2</v>
      </c>
      <c r="D44" s="148">
        <f>91.8+115.9+100.8+151.7</f>
        <v>460.2</v>
      </c>
      <c r="E44" s="148">
        <f>141.3+63.1+67.9+91.7+39.6</f>
        <v>403.6</v>
      </c>
      <c r="F44" s="148">
        <f>131.5+54.2+66.1+76.9+3.7+2.6</f>
        <v>335</v>
      </c>
      <c r="G44" s="148">
        <f>134.3+39.8+64.8+136.7+2+3.7+3.9</f>
        <v>385.2</v>
      </c>
      <c r="H44" s="148">
        <f>118+47+63+97.9+16.9+3.7+3.8</f>
        <v>350.29999999999995</v>
      </c>
      <c r="I44" s="148">
        <f>80+28+74</f>
        <v>182</v>
      </c>
      <c r="J44" s="148">
        <f>77+89+73</f>
        <v>239</v>
      </c>
      <c r="K44" s="148">
        <f>76+111+67</f>
        <v>254</v>
      </c>
      <c r="L44" s="148">
        <f>81+110+63</f>
        <v>254</v>
      </c>
      <c r="M44" s="148">
        <f>95+110+119</f>
        <v>324</v>
      </c>
      <c r="N44" s="150">
        <f t="shared" si="26"/>
        <v>-0.06543572696553554</v>
      </c>
      <c r="O44" s="154"/>
      <c r="P44" s="2" t="str">
        <f>A44</f>
        <v>Accrued Expenses</v>
      </c>
      <c r="Q44" s="5">
        <f t="shared" si="27"/>
        <v>0.02112132367879985</v>
      </c>
      <c r="R44" s="5">
        <f t="shared" si="27"/>
        <v>0.04869855754549211</v>
      </c>
      <c r="S44" s="5">
        <f t="shared" si="27"/>
        <v>0.042307126572037945</v>
      </c>
      <c r="T44" s="5">
        <f t="shared" si="27"/>
        <v>0.03450811402383762</v>
      </c>
      <c r="U44" s="5">
        <f t="shared" si="27"/>
        <v>0.02868862988241944</v>
      </c>
      <c r="V44" s="5">
        <f t="shared" si="28"/>
        <v>0.030764561652916328</v>
      </c>
      <c r="W44" s="5">
        <f t="shared" si="28"/>
        <v>0.02751486493916568</v>
      </c>
      <c r="X44" s="5">
        <f t="shared" si="28"/>
        <v>0.012209029315086871</v>
      </c>
      <c r="Y44" s="5">
        <f aca="true" t="shared" si="32" ref="Y44:AB45">J44/J$37</f>
        <v>0.013922059765829789</v>
      </c>
      <c r="Z44" s="5">
        <f t="shared" si="32"/>
        <v>0.01339238637561953</v>
      </c>
      <c r="AA44" s="5">
        <f t="shared" si="32"/>
        <v>0.012607961878288493</v>
      </c>
      <c r="AB44" s="5">
        <f t="shared" si="32"/>
        <v>0.015751093825960138</v>
      </c>
      <c r="AC44" s="55">
        <f t="shared" si="31"/>
        <v>0.01524477074453063</v>
      </c>
    </row>
    <row r="45" spans="1:29" ht="12.75">
      <c r="A45" s="140" t="s">
        <v>176</v>
      </c>
      <c r="B45" s="148"/>
      <c r="C45" s="148"/>
      <c r="D45" s="148"/>
      <c r="E45" s="148"/>
      <c r="F45" s="148"/>
      <c r="G45" s="148"/>
      <c r="H45" s="148"/>
      <c r="I45" s="148">
        <v>117</v>
      </c>
      <c r="J45" s="148">
        <v>130</v>
      </c>
      <c r="K45" s="148">
        <v>85</v>
      </c>
      <c r="L45" s="148">
        <v>84</v>
      </c>
      <c r="M45" s="148">
        <v>112</v>
      </c>
      <c r="N45" s="150"/>
      <c r="O45" s="154"/>
      <c r="P45" s="2" t="str">
        <f t="shared" si="1"/>
        <v>Derivative Contacts</v>
      </c>
      <c r="Q45" s="5"/>
      <c r="R45" s="5"/>
      <c r="S45" s="5"/>
      <c r="T45" s="5"/>
      <c r="U45" s="5">
        <f>F45/F$37</f>
        <v>0</v>
      </c>
      <c r="V45" s="5">
        <f aca="true" t="shared" si="33" ref="V45:X47">G45/G$37</f>
        <v>0</v>
      </c>
      <c r="W45" s="5">
        <f t="shared" si="33"/>
        <v>0</v>
      </c>
      <c r="X45" s="5">
        <f t="shared" si="33"/>
        <v>0.007848661702555847</v>
      </c>
      <c r="Y45" s="5">
        <f t="shared" si="32"/>
        <v>0.007572668491873944</v>
      </c>
      <c r="Z45" s="5">
        <f t="shared" si="32"/>
        <v>0.004481704102077402</v>
      </c>
      <c r="AA45" s="5">
        <f t="shared" si="32"/>
        <v>0.004169562195969423</v>
      </c>
      <c r="AB45" s="5">
        <f t="shared" si="32"/>
        <v>0.005444822557122022</v>
      </c>
      <c r="AC45" s="55">
        <f t="shared" si="31"/>
        <v>0.004957261494352178</v>
      </c>
    </row>
    <row r="46" spans="1:29" ht="12.75">
      <c r="A46" s="148" t="s">
        <v>61</v>
      </c>
      <c r="B46" s="152">
        <v>103</v>
      </c>
      <c r="C46" s="152">
        <v>157.4</v>
      </c>
      <c r="D46" s="152">
        <v>142</v>
      </c>
      <c r="E46" s="152">
        <v>127.3</v>
      </c>
      <c r="F46" s="152">
        <v>111.8</v>
      </c>
      <c r="G46" s="152">
        <v>123.4</v>
      </c>
      <c r="H46" s="153">
        <v>103.2</v>
      </c>
      <c r="I46" s="153">
        <v>149</v>
      </c>
      <c r="J46" s="153">
        <v>111</v>
      </c>
      <c r="K46" s="153">
        <v>105</v>
      </c>
      <c r="L46" s="153">
        <v>97</v>
      </c>
      <c r="M46" s="153">
        <v>113</v>
      </c>
      <c r="N46" s="150">
        <f t="shared" si="26"/>
        <v>-0.012959061858603925</v>
      </c>
      <c r="O46" s="154"/>
      <c r="P46" s="2" t="str">
        <f t="shared" si="1"/>
        <v>Other </v>
      </c>
      <c r="Q46" s="6">
        <f aca="true" t="shared" si="34" ref="Q46:T47">B46/B$37</f>
        <v>0.008370513039308905</v>
      </c>
      <c r="R46" s="6">
        <f t="shared" si="34"/>
        <v>0.01413713197650398</v>
      </c>
      <c r="S46" s="6">
        <f t="shared" si="34"/>
        <v>0.013054350224314186</v>
      </c>
      <c r="T46" s="6">
        <f t="shared" si="34"/>
        <v>0.010884249046666326</v>
      </c>
      <c r="U46" s="6">
        <f>F46/F$37</f>
        <v>0.009574294987625354</v>
      </c>
      <c r="V46" s="6">
        <f t="shared" si="33"/>
        <v>0.009855521567938409</v>
      </c>
      <c r="W46" s="103">
        <f t="shared" si="33"/>
        <v>0.0081060064565284</v>
      </c>
      <c r="X46" s="103">
        <f t="shared" si="33"/>
        <v>0.009995304219494197</v>
      </c>
      <c r="Y46" s="103">
        <f t="shared" si="29"/>
        <v>0.0064658938661385215</v>
      </c>
      <c r="Z46" s="103">
        <f t="shared" si="29"/>
        <v>0.005536222714330908</v>
      </c>
      <c r="AA46" s="103">
        <f t="shared" si="30"/>
        <v>0.004814851583440882</v>
      </c>
      <c r="AB46" s="103">
        <f t="shared" si="30"/>
        <v>0.005493437044239183</v>
      </c>
      <c r="AC46" s="55">
        <f t="shared" si="31"/>
        <v>0.006735202395691951</v>
      </c>
    </row>
    <row r="47" spans="1:30" ht="12.75">
      <c r="A47" s="184" t="s">
        <v>33</v>
      </c>
      <c r="B47" s="184">
        <f aca="true" t="shared" si="35" ref="B47:L47">SUM(B40:B46)</f>
        <v>1096.2</v>
      </c>
      <c r="C47" s="184">
        <f t="shared" si="35"/>
        <v>1601.2</v>
      </c>
      <c r="D47" s="184">
        <f t="shared" si="35"/>
        <v>1216.9</v>
      </c>
      <c r="E47" s="184">
        <f t="shared" si="35"/>
        <v>936</v>
      </c>
      <c r="F47" s="184">
        <f t="shared" si="35"/>
        <v>1074.3</v>
      </c>
      <c r="G47" s="184">
        <f t="shared" si="35"/>
        <v>1597.7</v>
      </c>
      <c r="H47" s="184">
        <f t="shared" si="35"/>
        <v>1216.1000000000001</v>
      </c>
      <c r="I47" s="184">
        <f t="shared" si="35"/>
        <v>1313</v>
      </c>
      <c r="J47" s="184">
        <f t="shared" si="35"/>
        <v>1466</v>
      </c>
      <c r="K47" s="184">
        <f t="shared" si="35"/>
        <v>1013</v>
      </c>
      <c r="L47" s="184">
        <f t="shared" si="35"/>
        <v>1538</v>
      </c>
      <c r="M47" s="184">
        <f>SUM(M40:M46)</f>
        <v>1565</v>
      </c>
      <c r="N47" s="206">
        <f>RATE(4.75,,-H47,L47)</f>
        <v>0.05068118991625511</v>
      </c>
      <c r="O47" s="154"/>
      <c r="P47" s="193" t="str">
        <f t="shared" si="1"/>
        <v>Total Current Liabilities</v>
      </c>
      <c r="Q47" s="200">
        <f t="shared" si="34"/>
        <v>0.08908501353097496</v>
      </c>
      <c r="R47" s="200">
        <f t="shared" si="34"/>
        <v>0.14381433113582068</v>
      </c>
      <c r="S47" s="200">
        <f t="shared" si="34"/>
        <v>0.11187210414061925</v>
      </c>
      <c r="T47" s="200">
        <f t="shared" si="34"/>
        <v>0.08002872826142718</v>
      </c>
      <c r="U47" s="200">
        <f>F47/F$37</f>
        <v>0.09200058233636776</v>
      </c>
      <c r="V47" s="200">
        <f t="shared" si="33"/>
        <v>0.12760264837192217</v>
      </c>
      <c r="W47" s="200">
        <f t="shared" si="33"/>
        <v>0.09552048887387779</v>
      </c>
      <c r="X47" s="200">
        <f t="shared" si="33"/>
        <v>0.08807942577312672</v>
      </c>
      <c r="Y47" s="200">
        <f t="shared" si="29"/>
        <v>0.08539640006990155</v>
      </c>
      <c r="Z47" s="200">
        <f t="shared" si="29"/>
        <v>0.05341136771064009</v>
      </c>
      <c r="AA47" s="200">
        <f t="shared" si="30"/>
        <v>0.07634269830239253</v>
      </c>
      <c r="AB47" s="200">
        <f t="shared" si="30"/>
        <v>0.07608167233835683</v>
      </c>
      <c r="AC47" s="201">
        <f>SUM(H47:L47)/SUM(H$37:L$37)</f>
        <v>0.07800656122158364</v>
      </c>
      <c r="AD47" s="193"/>
    </row>
    <row r="48" spans="1:29" ht="7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50"/>
      <c r="O48" s="154"/>
      <c r="P48" s="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5"/>
    </row>
    <row r="49" spans="1:29" ht="12.75">
      <c r="A49" s="184" t="s">
        <v>57</v>
      </c>
      <c r="B49" s="184">
        <f>4221.5+340.9</f>
        <v>4562.4</v>
      </c>
      <c r="C49" s="184">
        <v>2906.9</v>
      </c>
      <c r="D49" s="184">
        <v>3553.8</v>
      </c>
      <c r="E49" s="184">
        <v>3417.6</v>
      </c>
      <c r="F49" s="184">
        <v>3520.2</v>
      </c>
      <c r="G49" s="184">
        <v>3629</v>
      </c>
      <c r="H49" s="184">
        <v>3721</v>
      </c>
      <c r="I49" s="184">
        <v>4753</v>
      </c>
      <c r="J49" s="184">
        <v>5424</v>
      </c>
      <c r="K49" s="184">
        <v>6400</v>
      </c>
      <c r="L49" s="184">
        <v>5813</v>
      </c>
      <c r="M49" s="184">
        <v>6206</v>
      </c>
      <c r="N49" s="150">
        <f>RATE(4.75,,-H49,L49)</f>
        <v>0.09846824302156965</v>
      </c>
      <c r="O49" s="154"/>
      <c r="P49" s="193" t="str">
        <f t="shared" si="1"/>
        <v>Long-Term Debt</v>
      </c>
      <c r="Q49" s="200">
        <f aca="true" t="shared" si="36" ref="Q49:U50">B49/B$37</f>
        <v>0.3707730940829412</v>
      </c>
      <c r="R49" s="200">
        <f t="shared" si="36"/>
        <v>0.26108785859275363</v>
      </c>
      <c r="S49" s="200">
        <f t="shared" si="36"/>
        <v>0.32670809737442086</v>
      </c>
      <c r="T49" s="200">
        <f t="shared" si="36"/>
        <v>0.2922074590878777</v>
      </c>
      <c r="U49" s="200">
        <f t="shared" si="36"/>
        <v>0.30146183555848627</v>
      </c>
      <c r="V49" s="200">
        <f aca="true" t="shared" si="37" ref="V49:W53">G49/G$37</f>
        <v>0.28983539521919355</v>
      </c>
      <c r="W49" s="200">
        <f t="shared" si="37"/>
        <v>0.2922718025653312</v>
      </c>
      <c r="X49" s="200">
        <f>I49/I$37</f>
        <v>0.31884349634399944</v>
      </c>
      <c r="Y49" s="200">
        <f aca="true" t="shared" si="38" ref="Y49:Z53">J49/J$37</f>
        <v>0.3159550299994175</v>
      </c>
      <c r="Z49" s="200">
        <f t="shared" si="38"/>
        <v>0.33744595592112203</v>
      </c>
      <c r="AA49" s="200">
        <f aca="true" t="shared" si="39" ref="AA49:AB53">L49/L$37</f>
        <v>0.28854363149012213</v>
      </c>
      <c r="AB49" s="200">
        <f t="shared" si="39"/>
        <v>0.30170150704910065</v>
      </c>
      <c r="AC49" s="200">
        <f>SUM(H49:L49)/SUM(H$37:L$37)</f>
        <v>0.31115157422843687</v>
      </c>
    </row>
    <row r="50" spans="1:29" ht="12.75">
      <c r="A50" s="148" t="s">
        <v>11</v>
      </c>
      <c r="B50" s="148">
        <v>1642.2</v>
      </c>
      <c r="C50" s="148">
        <v>1645</v>
      </c>
      <c r="D50" s="148">
        <v>1434.8</v>
      </c>
      <c r="E50" s="148">
        <v>1511.1</v>
      </c>
      <c r="F50" s="148">
        <v>1564.6</v>
      </c>
      <c r="G50" s="148">
        <v>1629</v>
      </c>
      <c r="H50" s="148">
        <v>1621.2</v>
      </c>
      <c r="I50" s="148">
        <v>1701</v>
      </c>
      <c r="J50" s="148">
        <v>2025</v>
      </c>
      <c r="K50" s="148">
        <v>2625</v>
      </c>
      <c r="L50" s="148">
        <v>3448</v>
      </c>
      <c r="M50" s="148">
        <v>3733</v>
      </c>
      <c r="N50" s="150">
        <f>RATE(4.75,,-H50,L50)</f>
        <v>0.17218437726671693</v>
      </c>
      <c r="O50" s="154"/>
      <c r="P50" s="2" t="str">
        <f t="shared" si="1"/>
        <v>Deferred Income Taxes</v>
      </c>
      <c r="Q50" s="5">
        <f t="shared" si="36"/>
        <v>0.1334568593510008</v>
      </c>
      <c r="R50" s="5">
        <f t="shared" si="36"/>
        <v>0.14774829797553396</v>
      </c>
      <c r="S50" s="5">
        <f t="shared" si="36"/>
        <v>0.1319040964918732</v>
      </c>
      <c r="T50" s="5">
        <f t="shared" si="36"/>
        <v>0.12920022572205406</v>
      </c>
      <c r="U50" s="5">
        <f t="shared" si="36"/>
        <v>0.13398874720607</v>
      </c>
      <c r="V50" s="5">
        <f t="shared" si="37"/>
        <v>0.13010246867237982</v>
      </c>
      <c r="W50" s="5">
        <f t="shared" si="37"/>
        <v>0.12733970607871942</v>
      </c>
      <c r="X50" s="5">
        <f>I50/I$37</f>
        <v>0.11410746629100423</v>
      </c>
      <c r="Y50" s="5">
        <f t="shared" si="38"/>
        <v>0.11795887458495952</v>
      </c>
      <c r="Z50" s="5">
        <f t="shared" si="38"/>
        <v>0.1384055678582727</v>
      </c>
      <c r="AA50" s="5">
        <f t="shared" si="39"/>
        <v>0.1711506006155068</v>
      </c>
      <c r="AB50" s="5">
        <f t="shared" si="39"/>
        <v>0.18147788040836169</v>
      </c>
      <c r="AC50" s="55">
        <f>SUM(H50:L50)/SUM(H$37:L$37)</f>
        <v>0.13608874451394412</v>
      </c>
    </row>
    <row r="51" spans="1:29" ht="12.75">
      <c r="A51" s="140" t="s">
        <v>177</v>
      </c>
      <c r="B51" s="148"/>
      <c r="C51" s="148"/>
      <c r="D51" s="148"/>
      <c r="E51" s="148"/>
      <c r="F51" s="148"/>
      <c r="G51" s="148"/>
      <c r="H51" s="148"/>
      <c r="I51" s="148">
        <v>497</v>
      </c>
      <c r="J51" s="148">
        <v>490</v>
      </c>
      <c r="K51" s="148">
        <v>410</v>
      </c>
      <c r="L51" s="148">
        <v>399</v>
      </c>
      <c r="M51" s="148">
        <v>266</v>
      </c>
      <c r="N51" s="150"/>
      <c r="O51" s="154"/>
      <c r="P51" s="2" t="str">
        <f t="shared" si="1"/>
        <v>Derivative Contracts</v>
      </c>
      <c r="Q51" s="5"/>
      <c r="R51" s="5"/>
      <c r="S51" s="5"/>
      <c r="T51" s="5"/>
      <c r="U51" s="5">
        <f>F51/F$37</f>
        <v>0</v>
      </c>
      <c r="V51" s="5">
        <f>G51/G$37</f>
        <v>0</v>
      </c>
      <c r="W51" s="5">
        <f>H51/H$37</f>
        <v>0</v>
      </c>
      <c r="X51" s="5">
        <f>I51/I$37</f>
        <v>0.033340041591198764</v>
      </c>
      <c r="Y51" s="5">
        <f>J51/J$37</f>
        <v>0.028543135084755637</v>
      </c>
      <c r="Z51" s="5">
        <f>K51/K$37</f>
        <v>0.021617631551196878</v>
      </c>
      <c r="AA51" s="5">
        <f t="shared" si="39"/>
        <v>0.01980542043085476</v>
      </c>
      <c r="AB51" s="5">
        <f t="shared" si="39"/>
        <v>0.012931453573164803</v>
      </c>
      <c r="AC51" s="55">
        <f>SUM(H51:L51)/SUM(H$37:L$37)</f>
        <v>0.021402023182347386</v>
      </c>
    </row>
    <row r="52" spans="1:29" ht="12.75" customHeight="1">
      <c r="A52" s="148" t="s">
        <v>181</v>
      </c>
      <c r="B52" s="151">
        <f>115.2+101.6+691.1</f>
        <v>907.9000000000001</v>
      </c>
      <c r="C52" s="151">
        <f>107.2+256+645.4</f>
        <v>1008.5999999999999</v>
      </c>
      <c r="D52" s="151">
        <f>99.3+219.7+560.5+443.7</f>
        <v>1323.2</v>
      </c>
      <c r="E52" s="151">
        <f>801.9+91.4+643.5+650.1</f>
        <v>2186.9</v>
      </c>
      <c r="F52" s="151">
        <f>3706.3-1564.6</f>
        <v>2141.7000000000003</v>
      </c>
      <c r="G52" s="151">
        <f>3868.3-1629</f>
        <v>2239.3</v>
      </c>
      <c r="H52" s="151">
        <f>3701.1-H50</f>
        <v>2079.8999999999996</v>
      </c>
      <c r="I52" s="151">
        <f>799+764</f>
        <v>1563</v>
      </c>
      <c r="J52" s="151">
        <f>821+874</f>
        <v>1695</v>
      </c>
      <c r="K52" s="151">
        <f>838+948</f>
        <v>1786</v>
      </c>
      <c r="L52" s="153">
        <f>849+788</f>
        <v>1637</v>
      </c>
      <c r="M52" s="153">
        <f>898+718</f>
        <v>1616</v>
      </c>
      <c r="N52" s="150">
        <f>RATE(4.75,,-H52,L52)</f>
        <v>-0.04916190431152024</v>
      </c>
      <c r="O52" s="156"/>
      <c r="P52" s="2" t="str">
        <f t="shared" si="1"/>
        <v>Other Long-term Liabilities</v>
      </c>
      <c r="Q52" s="6">
        <f aca="true" t="shared" si="40" ref="Q52:U53">B52/B$37</f>
        <v>0.07378241542124811</v>
      </c>
      <c r="R52" s="6">
        <f t="shared" si="40"/>
        <v>0.09058901722682283</v>
      </c>
      <c r="S52" s="6">
        <f t="shared" si="40"/>
        <v>0.12164448040008825</v>
      </c>
      <c r="T52" s="6">
        <f t="shared" si="40"/>
        <v>0.18698165153302898</v>
      </c>
      <c r="U52" s="6">
        <f t="shared" si="40"/>
        <v>0.18341026453485887</v>
      </c>
      <c r="V52" s="6">
        <f t="shared" si="37"/>
        <v>0.17884497120814002</v>
      </c>
      <c r="W52" s="103">
        <f t="shared" si="37"/>
        <v>0.16336901966020753</v>
      </c>
      <c r="X52" s="103">
        <f>I52/I$37</f>
        <v>0.10485007043670759</v>
      </c>
      <c r="Y52" s="103">
        <f t="shared" si="38"/>
        <v>0.09873594687481796</v>
      </c>
      <c r="Z52" s="103">
        <f t="shared" si="38"/>
        <v>0.09416851207423811</v>
      </c>
      <c r="AA52" s="103">
        <f t="shared" si="39"/>
        <v>0.08125682517621365</v>
      </c>
      <c r="AB52" s="103">
        <f t="shared" si="39"/>
        <v>0.07856101118133203</v>
      </c>
      <c r="AC52" s="55">
        <f>SUM(H52:L52)/SUM(H$37:L$37)</f>
        <v>0.10439921208141827</v>
      </c>
    </row>
    <row r="53" spans="1:29" ht="12.75">
      <c r="A53" s="212" t="s">
        <v>58</v>
      </c>
      <c r="B53" s="213">
        <f aca="true" t="shared" si="41" ref="B53:L53">SUM(B49:B52)</f>
        <v>7112.5</v>
      </c>
      <c r="C53" s="213">
        <f t="shared" si="41"/>
        <v>5560.5</v>
      </c>
      <c r="D53" s="213">
        <f t="shared" si="41"/>
        <v>6311.8</v>
      </c>
      <c r="E53" s="213">
        <f t="shared" si="41"/>
        <v>7115.6</v>
      </c>
      <c r="F53" s="213">
        <f t="shared" si="41"/>
        <v>7226.5</v>
      </c>
      <c r="G53" s="213">
        <f t="shared" si="41"/>
        <v>7497.3</v>
      </c>
      <c r="H53" s="213">
        <f t="shared" si="41"/>
        <v>7422.099999999999</v>
      </c>
      <c r="I53" s="213">
        <f t="shared" si="41"/>
        <v>8514</v>
      </c>
      <c r="J53" s="213">
        <f t="shared" si="41"/>
        <v>9634</v>
      </c>
      <c r="K53" s="213">
        <f t="shared" si="41"/>
        <v>11221</v>
      </c>
      <c r="L53" s="213">
        <f t="shared" si="41"/>
        <v>11297</v>
      </c>
      <c r="M53" s="213">
        <f>SUM(M49:M52)</f>
        <v>11821</v>
      </c>
      <c r="N53" s="206">
        <f>RATE(4.75,,-H53,L53)</f>
        <v>0.09246529120506938</v>
      </c>
      <c r="O53" s="157"/>
      <c r="P53" s="193" t="str">
        <f t="shared" si="1"/>
        <v>Total LTD &amp; Deferrals</v>
      </c>
      <c r="Q53" s="200">
        <f t="shared" si="40"/>
        <v>0.5780123688551901</v>
      </c>
      <c r="R53" s="200">
        <f t="shared" si="40"/>
        <v>0.4994251737951104</v>
      </c>
      <c r="S53" s="200">
        <f t="shared" si="40"/>
        <v>0.5802566742663823</v>
      </c>
      <c r="T53" s="200">
        <f t="shared" si="40"/>
        <v>0.6083893363429608</v>
      </c>
      <c r="U53" s="200">
        <f t="shared" si="40"/>
        <v>0.6188608472994152</v>
      </c>
      <c r="V53" s="200">
        <f t="shared" si="37"/>
        <v>0.5987828350997134</v>
      </c>
      <c r="W53" s="200">
        <f t="shared" si="37"/>
        <v>0.5829805283042581</v>
      </c>
      <c r="X53" s="200">
        <f>I53/I$37</f>
        <v>0.5711410746629101</v>
      </c>
      <c r="Y53" s="200">
        <f t="shared" si="38"/>
        <v>0.5611929865439506</v>
      </c>
      <c r="Z53" s="200">
        <f t="shared" si="38"/>
        <v>0.5916376674048297</v>
      </c>
      <c r="AA53" s="200">
        <f t="shared" si="39"/>
        <v>0.5607564777126973</v>
      </c>
      <c r="AB53" s="200">
        <f t="shared" si="39"/>
        <v>0.5746718522119592</v>
      </c>
      <c r="AC53" s="201">
        <f>SUM(H53:L53)/SUM(H$37:L$37)</f>
        <v>0.5730415540061465</v>
      </c>
    </row>
    <row r="54" spans="1:29" ht="7.5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0"/>
      <c r="O54" s="154"/>
      <c r="P54" s="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5"/>
    </row>
    <row r="55" spans="1:29" ht="12.75">
      <c r="A55" s="184" t="s">
        <v>34</v>
      </c>
      <c r="B55" s="184">
        <f aca="true" t="shared" si="42" ref="B55:G55">B53+B47</f>
        <v>8208.7</v>
      </c>
      <c r="C55" s="184">
        <f t="shared" si="42"/>
        <v>7161.7</v>
      </c>
      <c r="D55" s="184">
        <f t="shared" si="42"/>
        <v>7528.700000000001</v>
      </c>
      <c r="E55" s="184">
        <f t="shared" si="42"/>
        <v>8051.6</v>
      </c>
      <c r="F55" s="184">
        <f t="shared" si="42"/>
        <v>8300.8</v>
      </c>
      <c r="G55" s="184">
        <f t="shared" si="42"/>
        <v>9095</v>
      </c>
      <c r="H55" s="184">
        <f aca="true" t="shared" si="43" ref="H55:M55">H53+H47</f>
        <v>8638.199999999999</v>
      </c>
      <c r="I55" s="184">
        <f t="shared" si="43"/>
        <v>9827</v>
      </c>
      <c r="J55" s="184">
        <f t="shared" si="43"/>
        <v>11100</v>
      </c>
      <c r="K55" s="184">
        <f t="shared" si="43"/>
        <v>12234</v>
      </c>
      <c r="L55" s="184">
        <f t="shared" si="43"/>
        <v>12835</v>
      </c>
      <c r="M55" s="184">
        <f t="shared" si="43"/>
        <v>13386</v>
      </c>
      <c r="N55" s="185">
        <f>RATE(4.75,,-H55,L55)</f>
        <v>0.08693797363299458</v>
      </c>
      <c r="O55" s="154"/>
      <c r="P55" s="193" t="str">
        <f t="shared" si="1"/>
        <v>Total Liabilities</v>
      </c>
      <c r="Q55" s="200">
        <f aca="true" t="shared" si="44" ref="Q55:AB55">B55/B$37</f>
        <v>0.6670973823861651</v>
      </c>
      <c r="R55" s="200">
        <f t="shared" si="44"/>
        <v>0.6432395049309311</v>
      </c>
      <c r="S55" s="200">
        <f t="shared" si="44"/>
        <v>0.6921287784070016</v>
      </c>
      <c r="T55" s="200">
        <f t="shared" si="44"/>
        <v>0.6884180646043879</v>
      </c>
      <c r="U55" s="200">
        <f t="shared" si="44"/>
        <v>0.7108614296357829</v>
      </c>
      <c r="V55" s="200">
        <f t="shared" si="44"/>
        <v>0.7263854834716356</v>
      </c>
      <c r="W55" s="200">
        <f t="shared" si="44"/>
        <v>0.6785010171781358</v>
      </c>
      <c r="X55" s="200">
        <f t="shared" si="44"/>
        <v>0.6592205004360367</v>
      </c>
      <c r="Y55" s="200">
        <f t="shared" si="44"/>
        <v>0.6465893866138521</v>
      </c>
      <c r="Z55" s="200">
        <f t="shared" si="44"/>
        <v>0.6450490351154697</v>
      </c>
      <c r="AA55" s="200">
        <f t="shared" si="44"/>
        <v>0.6370991760150898</v>
      </c>
      <c r="AB55" s="200">
        <f t="shared" si="44"/>
        <v>0.650753524550316</v>
      </c>
      <c r="AC55" s="200">
        <f aca="true" t="shared" si="45" ref="AC55:AC61">SUM(H55:L55)/SUM(H$37:L$37)</f>
        <v>0.6510481152277302</v>
      </c>
    </row>
    <row r="56" spans="1:29" ht="7.5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50"/>
      <c r="O56" s="157"/>
      <c r="P56" s="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5"/>
    </row>
    <row r="57" spans="1:29" ht="12.75">
      <c r="A57" s="148" t="s">
        <v>59</v>
      </c>
      <c r="B57" s="148">
        <f>175+41.5</f>
        <v>216.5</v>
      </c>
      <c r="C57" s="148">
        <f>341.2+175+41.5</f>
        <v>557.7</v>
      </c>
      <c r="D57" s="148">
        <f>341.5+74.2+41.3</f>
        <v>457</v>
      </c>
      <c r="E57" s="148">
        <f>341.8+66.7+41.3</f>
        <v>449.8</v>
      </c>
      <c r="F57" s="148">
        <f>56.3+41.3</f>
        <v>97.6</v>
      </c>
      <c r="G57" s="148">
        <f>48.8+41.3</f>
        <v>90.1</v>
      </c>
      <c r="H57" s="148">
        <f>41.3+41.3</f>
        <v>82.6</v>
      </c>
      <c r="I57" s="148">
        <v>41</v>
      </c>
      <c r="J57" s="148">
        <v>41</v>
      </c>
      <c r="K57" s="148">
        <v>41</v>
      </c>
      <c r="L57" s="148">
        <v>41</v>
      </c>
      <c r="M57" s="148">
        <v>41</v>
      </c>
      <c r="N57" s="150">
        <f>RATE(4.75,,-H57,L57)</f>
        <v>-0.13710352132424766</v>
      </c>
      <c r="O57" s="157"/>
      <c r="P57" s="2" t="str">
        <f t="shared" si="1"/>
        <v>Preferred Stock</v>
      </c>
      <c r="Q57" s="5">
        <f aca="true" t="shared" si="46" ref="Q57:AB57">B57/B$37</f>
        <v>0.017594330805925998</v>
      </c>
      <c r="R57" s="5">
        <f t="shared" si="46"/>
        <v>0.05009071476045915</v>
      </c>
      <c r="S57" s="5">
        <f t="shared" si="46"/>
        <v>0.042012944031771714</v>
      </c>
      <c r="T57" s="5">
        <f t="shared" si="46"/>
        <v>0.03845824997007473</v>
      </c>
      <c r="U57" s="5">
        <f t="shared" si="46"/>
        <v>0.008358239631415335</v>
      </c>
      <c r="V57" s="5">
        <f t="shared" si="46"/>
        <v>0.0071959683409339595</v>
      </c>
      <c r="W57" s="5">
        <f t="shared" si="46"/>
        <v>0.006487947028190367</v>
      </c>
      <c r="X57" s="5">
        <f t="shared" si="46"/>
        <v>0.002750385724827262</v>
      </c>
      <c r="Y57" s="5">
        <f t="shared" si="46"/>
        <v>0.0023883031397448594</v>
      </c>
      <c r="Z57" s="5">
        <f t="shared" si="46"/>
        <v>0.002161763155119688</v>
      </c>
      <c r="AA57" s="5">
        <f t="shared" si="46"/>
        <v>0.0020351434527945992</v>
      </c>
      <c r="AB57" s="5">
        <f t="shared" si="46"/>
        <v>0.0019931939718035975</v>
      </c>
      <c r="AC57" s="55">
        <f t="shared" si="45"/>
        <v>0.0029386074146808827</v>
      </c>
    </row>
    <row r="58" spans="1:29" ht="7.5" customHeight="1">
      <c r="A58" s="13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50"/>
      <c r="O58" s="157"/>
      <c r="P58" s="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5"/>
    </row>
    <row r="59" spans="1:29" ht="12.75">
      <c r="A59" s="186" t="s">
        <v>62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50"/>
      <c r="O59" s="157"/>
      <c r="P59" s="193" t="str">
        <f t="shared" si="1"/>
        <v>Common Equity:</v>
      </c>
      <c r="Q59"/>
      <c r="R59"/>
      <c r="S59"/>
      <c r="T59"/>
      <c r="U59"/>
      <c r="V59"/>
      <c r="W59"/>
      <c r="X59"/>
      <c r="Y59"/>
      <c r="Z59"/>
      <c r="AA59"/>
      <c r="AB59"/>
      <c r="AC59" s="55"/>
    </row>
    <row r="60" spans="1:29" ht="12.75">
      <c r="A60" s="159" t="s">
        <v>6</v>
      </c>
      <c r="B60" s="148">
        <v>3284.9</v>
      </c>
      <c r="C60" s="148">
        <f>3284.9+0.9</f>
        <v>3285.8</v>
      </c>
      <c r="D60" s="148">
        <f>2742.1+0.7-24</f>
        <v>2718.7999999999997</v>
      </c>
      <c r="E60" s="148">
        <f>2892.1-1.7-1.9</f>
        <v>2888.5</v>
      </c>
      <c r="F60" s="148">
        <f>2892.1+4.5-8</f>
        <v>2888.6</v>
      </c>
      <c r="G60" s="148">
        <f>2894.1+4.3-9</f>
        <v>2889.4</v>
      </c>
      <c r="H60" s="148">
        <f>3381.9+2.7-4.1</f>
        <v>3380.5</v>
      </c>
      <c r="I60" s="148">
        <f>3804-4</f>
        <v>3800</v>
      </c>
      <c r="J60" s="148">
        <f>4254-2+80</f>
        <v>4332</v>
      </c>
      <c r="K60" s="148">
        <f>4379-6+84</f>
        <v>4457</v>
      </c>
      <c r="L60" s="148">
        <f>4479-7</f>
        <v>4472</v>
      </c>
      <c r="M60" s="148">
        <f>4479-7</f>
        <v>4472</v>
      </c>
      <c r="N60" s="150">
        <f>RATE(4.75,,-H60,L60)</f>
        <v>0.06067745479092328</v>
      </c>
      <c r="O60" s="154"/>
      <c r="P60" s="2" t="str">
        <f t="shared" si="1"/>
        <v>Common Stock</v>
      </c>
      <c r="Q60" s="5">
        <f aca="true" t="shared" si="47" ref="Q60:U63">B60/B$37</f>
        <v>0.26695435226044484</v>
      </c>
      <c r="R60" s="5">
        <f t="shared" si="47"/>
        <v>0.29511936625410917</v>
      </c>
      <c r="S60" s="5">
        <f t="shared" si="47"/>
        <v>0.24994484077370005</v>
      </c>
      <c r="T60" s="5">
        <f t="shared" si="47"/>
        <v>0.2469689974178765</v>
      </c>
      <c r="U60" s="5">
        <f t="shared" si="47"/>
        <v>0.24737306351748295</v>
      </c>
      <c r="V60" s="5">
        <f aca="true" t="shared" si="48" ref="V60:W63">G60/G$37</f>
        <v>0.23076615898218183</v>
      </c>
      <c r="W60" s="5">
        <f t="shared" si="48"/>
        <v>0.2655266940532389</v>
      </c>
      <c r="X60" s="5">
        <f>I60/I$37</f>
        <v>0.2549137988864292</v>
      </c>
      <c r="Y60" s="5">
        <f aca="true" t="shared" si="49" ref="Y60:Z63">J60/J$37</f>
        <v>0.2523446146676764</v>
      </c>
      <c r="Z60" s="5">
        <f t="shared" si="49"/>
        <v>0.23499947274069388</v>
      </c>
      <c r="AA60" s="5">
        <f aca="true" t="shared" si="50" ref="AA60:AB63">L60/L$37</f>
        <v>0.22197954929018168</v>
      </c>
      <c r="AB60" s="5">
        <f t="shared" si="50"/>
        <v>0.21740398638794362</v>
      </c>
      <c r="AC60" s="55">
        <f t="shared" si="45"/>
        <v>0.2435910116269232</v>
      </c>
    </row>
    <row r="61" spans="1:29" ht="12.75">
      <c r="A61" s="159" t="s">
        <v>27</v>
      </c>
      <c r="B61" s="152">
        <f>622.2-27.2</f>
        <v>595</v>
      </c>
      <c r="C61" s="152">
        <v>128.6</v>
      </c>
      <c r="D61" s="152">
        <v>173.1</v>
      </c>
      <c r="E61" s="152">
        <v>305.9</v>
      </c>
      <c r="F61" s="152">
        <v>390.1</v>
      </c>
      <c r="G61" s="152">
        <v>446.4</v>
      </c>
      <c r="H61" s="153">
        <v>630</v>
      </c>
      <c r="I61" s="153">
        <v>1239</v>
      </c>
      <c r="J61" s="153">
        <v>1694</v>
      </c>
      <c r="K61" s="153">
        <v>2234</v>
      </c>
      <c r="L61" s="153">
        <v>2798</v>
      </c>
      <c r="M61" s="153">
        <v>2671</v>
      </c>
      <c r="N61" s="150">
        <f>RATE(4.75,,-H61,L61)</f>
        <v>0.3687284579388651</v>
      </c>
      <c r="O61" s="154"/>
      <c r="P61" s="2" t="str">
        <f t="shared" si="1"/>
        <v>Retained Earnings</v>
      </c>
      <c r="Q61" s="6">
        <f t="shared" si="47"/>
        <v>0.04835393454746406</v>
      </c>
      <c r="R61" s="6">
        <f t="shared" si="47"/>
        <v>0.01155041405450071</v>
      </c>
      <c r="S61" s="6">
        <f t="shared" si="47"/>
        <v>0.015913436787526658</v>
      </c>
      <c r="T61" s="6">
        <f t="shared" si="47"/>
        <v>0.02615468800766087</v>
      </c>
      <c r="U61" s="6">
        <f t="shared" si="47"/>
        <v>0.03340726721531888</v>
      </c>
      <c r="V61" s="6">
        <f t="shared" si="48"/>
        <v>0.03565238920524883</v>
      </c>
      <c r="W61" s="103">
        <f t="shared" si="48"/>
        <v>0.049484341740435</v>
      </c>
      <c r="X61" s="103">
        <f>I61/I$37</f>
        <v>0.08311531495270678</v>
      </c>
      <c r="Y61" s="103">
        <f t="shared" si="49"/>
        <v>0.09867769557872663</v>
      </c>
      <c r="Z61" s="103">
        <f t="shared" si="49"/>
        <v>0.11778972898871665</v>
      </c>
      <c r="AA61" s="103">
        <f t="shared" si="50"/>
        <v>0.13888613124193389</v>
      </c>
      <c r="AB61" s="103">
        <f t="shared" si="50"/>
        <v>0.1298492950899368</v>
      </c>
      <c r="AC61" s="55">
        <f t="shared" si="45"/>
        <v>0.1024222657306658</v>
      </c>
    </row>
    <row r="62" spans="1:29" ht="12.75">
      <c r="A62" s="184" t="s">
        <v>63</v>
      </c>
      <c r="B62" s="207">
        <f aca="true" t="shared" si="51" ref="B62:L62">SUM(B59:B61)</f>
        <v>3879.9</v>
      </c>
      <c r="C62" s="207">
        <f t="shared" si="51"/>
        <v>3414.4</v>
      </c>
      <c r="D62" s="207">
        <f t="shared" si="51"/>
        <v>2891.8999999999996</v>
      </c>
      <c r="E62" s="207">
        <f t="shared" si="51"/>
        <v>3194.4</v>
      </c>
      <c r="F62" s="207">
        <f t="shared" si="51"/>
        <v>3278.7</v>
      </c>
      <c r="G62" s="207">
        <f t="shared" si="51"/>
        <v>3335.8</v>
      </c>
      <c r="H62" s="212">
        <f t="shared" si="51"/>
        <v>4010.5</v>
      </c>
      <c r="I62" s="212">
        <f t="shared" si="51"/>
        <v>5039</v>
      </c>
      <c r="J62" s="212">
        <f>SUM(J59:J61)</f>
        <v>6026</v>
      </c>
      <c r="K62" s="212">
        <f>SUM(K59:K61)</f>
        <v>6691</v>
      </c>
      <c r="L62" s="212">
        <f t="shared" si="51"/>
        <v>7270</v>
      </c>
      <c r="M62" s="212">
        <f>SUM(M59:M61)</f>
        <v>7143</v>
      </c>
      <c r="N62" s="206">
        <f>RATE(4.75,,-H62,L62)</f>
        <v>0.13340859887404366</v>
      </c>
      <c r="O62" s="154"/>
      <c r="P62" s="193" t="str">
        <f t="shared" si="1"/>
        <v>Total Common Equity</v>
      </c>
      <c r="Q62" s="202">
        <f t="shared" si="47"/>
        <v>0.3153082868079089</v>
      </c>
      <c r="R62" s="202">
        <f t="shared" si="47"/>
        <v>0.30666978030860986</v>
      </c>
      <c r="S62" s="202">
        <f t="shared" si="47"/>
        <v>0.2658582775612267</v>
      </c>
      <c r="T62" s="202">
        <f t="shared" si="47"/>
        <v>0.2731236854255374</v>
      </c>
      <c r="U62" s="202">
        <f t="shared" si="47"/>
        <v>0.28078033073280184</v>
      </c>
      <c r="V62" s="202">
        <f t="shared" si="48"/>
        <v>0.26641854818743066</v>
      </c>
      <c r="W62" s="203">
        <f t="shared" si="48"/>
        <v>0.3150110357936739</v>
      </c>
      <c r="X62" s="203">
        <f>I62/I$37</f>
        <v>0.338029113839136</v>
      </c>
      <c r="Y62" s="203">
        <f t="shared" si="49"/>
        <v>0.35102231024640296</v>
      </c>
      <c r="Z62" s="203">
        <f t="shared" si="49"/>
        <v>0.35278920172941053</v>
      </c>
      <c r="AA62" s="203">
        <f t="shared" si="50"/>
        <v>0.36086568053211554</v>
      </c>
      <c r="AB62" s="203">
        <f t="shared" si="50"/>
        <v>0.3472532814778804</v>
      </c>
      <c r="AC62" s="201">
        <f>SUM(H62:L62)/SUM(H$37:L$37)</f>
        <v>0.346013277357589</v>
      </c>
    </row>
    <row r="63" spans="1:29" ht="13.5" thickBot="1">
      <c r="A63" s="184" t="s">
        <v>35</v>
      </c>
      <c r="B63" s="209">
        <f aca="true" t="shared" si="52" ref="B63:L63">B62+B55+B57</f>
        <v>12305.1</v>
      </c>
      <c r="C63" s="209">
        <f t="shared" si="52"/>
        <v>11133.800000000001</v>
      </c>
      <c r="D63" s="209">
        <f t="shared" si="52"/>
        <v>10877.6</v>
      </c>
      <c r="E63" s="209">
        <f t="shared" si="52"/>
        <v>11695.8</v>
      </c>
      <c r="F63" s="209">
        <f t="shared" si="52"/>
        <v>11677.1</v>
      </c>
      <c r="G63" s="209">
        <f t="shared" si="52"/>
        <v>12520.9</v>
      </c>
      <c r="H63" s="210">
        <f t="shared" si="52"/>
        <v>12731.3</v>
      </c>
      <c r="I63" s="210">
        <f t="shared" si="52"/>
        <v>14907</v>
      </c>
      <c r="J63" s="210">
        <f>J62+J55+J57</f>
        <v>17167</v>
      </c>
      <c r="K63" s="210">
        <f>K62+K55+K57</f>
        <v>18966</v>
      </c>
      <c r="L63" s="210">
        <f t="shared" si="52"/>
        <v>20146</v>
      </c>
      <c r="M63" s="210">
        <f>M62+M55+M57</f>
        <v>20570</v>
      </c>
      <c r="N63" s="211">
        <f>RATE(4.75,,-H63,L63)</f>
        <v>0.10144110372118682</v>
      </c>
      <c r="O63" s="154"/>
      <c r="P63" s="193" t="str">
        <f t="shared" si="1"/>
        <v>Total Liabilities &amp; Equity</v>
      </c>
      <c r="Q63" s="204">
        <f t="shared" si="47"/>
        <v>1</v>
      </c>
      <c r="R63" s="204">
        <f t="shared" si="47"/>
        <v>1.0000000000000002</v>
      </c>
      <c r="S63" s="204">
        <f t="shared" si="47"/>
        <v>1</v>
      </c>
      <c r="T63" s="204">
        <f t="shared" si="47"/>
        <v>1</v>
      </c>
      <c r="U63" s="204">
        <f t="shared" si="47"/>
        <v>1.0000000000000002</v>
      </c>
      <c r="V63" s="204">
        <f t="shared" si="48"/>
        <v>1.0000000000000002</v>
      </c>
      <c r="W63" s="205">
        <f t="shared" si="48"/>
        <v>1.0000000000000002</v>
      </c>
      <c r="X63" s="205">
        <f>I63/I$37</f>
        <v>1</v>
      </c>
      <c r="Y63" s="205">
        <f t="shared" si="49"/>
        <v>1</v>
      </c>
      <c r="Z63" s="205">
        <f t="shared" si="49"/>
        <v>1</v>
      </c>
      <c r="AA63" s="205">
        <f t="shared" si="50"/>
        <v>1</v>
      </c>
      <c r="AB63" s="205">
        <f t="shared" si="50"/>
        <v>1</v>
      </c>
      <c r="AC63" s="205">
        <f>SUM(H63:L63)/SUM(H$37:L$37)</f>
        <v>1.0000000000000002</v>
      </c>
    </row>
    <row r="64" spans="1:29" ht="13.5" thickTop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214"/>
      <c r="O64" s="157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254"/>
    </row>
    <row r="65" spans="1:29" ht="12.7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1"/>
      <c r="O65" s="140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16" t="s">
        <v>116</v>
      </c>
    </row>
    <row r="66" spans="1:29" ht="12.7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215" t="s">
        <v>116</v>
      </c>
      <c r="O66" s="140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54" t="s">
        <v>123</v>
      </c>
    </row>
    <row r="67" spans="1:29" ht="12.7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61" t="s">
        <v>122</v>
      </c>
      <c r="O67" s="140"/>
      <c r="P67" s="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3"/>
    </row>
    <row r="68" spans="1:29" ht="18.75">
      <c r="A68" s="142" t="str">
        <f>A4</f>
        <v>PacifiCorp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4"/>
      <c r="O68" s="140"/>
      <c r="P68" s="217" t="str">
        <f t="shared" si="1"/>
        <v>PacifiCorp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3"/>
    </row>
    <row r="69" spans="1:29" ht="15.75">
      <c r="A69" s="145" t="s">
        <v>14</v>
      </c>
      <c r="B69" s="146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7"/>
      <c r="O69" s="140"/>
      <c r="P69" s="218" t="str">
        <f t="shared" si="1"/>
        <v>Historical Income Statements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3"/>
    </row>
    <row r="70" spans="1:29" ht="15.75">
      <c r="A70" s="246" t="str">
        <f>A6</f>
        <v>Fiscal Years Ended March 31, 2006, December 31, 2007-2010</v>
      </c>
      <c r="B70" s="146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7"/>
      <c r="O70" s="140"/>
      <c r="P70" s="218" t="str">
        <f t="shared" si="1"/>
        <v>Fiscal Years Ended March 31, 2006, December 31, 2007-2010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3"/>
    </row>
    <row r="71" spans="1:29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9" t="str">
        <f>N7</f>
        <v>2006-2010</v>
      </c>
      <c r="O71" s="140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5"/>
    </row>
    <row r="72" spans="1:29" ht="12.75" customHeight="1">
      <c r="A72" s="184"/>
      <c r="B72" s="184"/>
      <c r="C72" s="184"/>
      <c r="D72" s="184"/>
      <c r="E72" s="184"/>
      <c r="F72" s="184"/>
      <c r="G72" s="184"/>
      <c r="H72" s="190"/>
      <c r="I72" s="190"/>
      <c r="J72" s="190"/>
      <c r="K72" s="190"/>
      <c r="L72" s="190"/>
      <c r="M72" s="190" t="str">
        <f>M8</f>
        <v>September</v>
      </c>
      <c r="N72" s="189" t="s">
        <v>4</v>
      </c>
      <c r="O72" s="140"/>
      <c r="P72" s="2"/>
      <c r="Q72" s="193"/>
      <c r="R72" s="193"/>
      <c r="S72" s="193"/>
      <c r="T72" s="193"/>
      <c r="U72" s="193"/>
      <c r="V72" s="193"/>
      <c r="W72" s="194"/>
      <c r="X72" s="194"/>
      <c r="Y72" s="194"/>
      <c r="Z72" s="194"/>
      <c r="AA72" s="194"/>
      <c r="AB72" s="194" t="str">
        <f>AB8</f>
        <v>September</v>
      </c>
      <c r="AC72" s="195" t="str">
        <f>N7</f>
        <v>2006-2010</v>
      </c>
    </row>
    <row r="73" spans="1:29" ht="12.75">
      <c r="A73" s="207" t="s">
        <v>0</v>
      </c>
      <c r="B73" s="187">
        <f>B9</f>
        <v>2000</v>
      </c>
      <c r="C73" s="187">
        <f aca="true" t="shared" si="53" ref="C73:H73">B73+1</f>
        <v>2001</v>
      </c>
      <c r="D73" s="187">
        <f t="shared" si="53"/>
        <v>2002</v>
      </c>
      <c r="E73" s="187">
        <f t="shared" si="53"/>
        <v>2003</v>
      </c>
      <c r="F73" s="187">
        <f t="shared" si="53"/>
        <v>2004</v>
      </c>
      <c r="G73" s="187">
        <f>F73+1</f>
        <v>2005</v>
      </c>
      <c r="H73" s="187">
        <f t="shared" si="53"/>
        <v>2006</v>
      </c>
      <c r="I73" s="187">
        <f>X9</f>
        <v>2007</v>
      </c>
      <c r="J73" s="187">
        <f>I73+1</f>
        <v>2008</v>
      </c>
      <c r="K73" s="187">
        <f>J73+1</f>
        <v>2009</v>
      </c>
      <c r="L73" s="187">
        <f>AA9</f>
        <v>2010</v>
      </c>
      <c r="M73" s="187">
        <f>AB9</f>
        <v>2011</v>
      </c>
      <c r="N73" s="192" t="s">
        <v>23</v>
      </c>
      <c r="O73" s="157"/>
      <c r="P73" s="193" t="str">
        <f t="shared" si="1"/>
        <v>Account Name</v>
      </c>
      <c r="Q73" s="197">
        <f aca="true" t="shared" si="54" ref="Q73:AB73">B73</f>
        <v>2000</v>
      </c>
      <c r="R73" s="197">
        <f t="shared" si="54"/>
        <v>2001</v>
      </c>
      <c r="S73" s="197">
        <f t="shared" si="54"/>
        <v>2002</v>
      </c>
      <c r="T73" s="197">
        <f t="shared" si="54"/>
        <v>2003</v>
      </c>
      <c r="U73" s="197">
        <f t="shared" si="54"/>
        <v>2004</v>
      </c>
      <c r="V73" s="197">
        <f t="shared" si="54"/>
        <v>2005</v>
      </c>
      <c r="W73" s="197">
        <f t="shared" si="54"/>
        <v>2006</v>
      </c>
      <c r="X73" s="197">
        <f t="shared" si="54"/>
        <v>2007</v>
      </c>
      <c r="Y73" s="197">
        <f t="shared" si="54"/>
        <v>2008</v>
      </c>
      <c r="Z73" s="197">
        <f t="shared" si="54"/>
        <v>2009</v>
      </c>
      <c r="AA73" s="197">
        <f t="shared" si="54"/>
        <v>2010</v>
      </c>
      <c r="AB73" s="197">
        <f t="shared" si="54"/>
        <v>2011</v>
      </c>
      <c r="AC73" s="198" t="s">
        <v>3</v>
      </c>
    </row>
    <row r="74" spans="1:29" ht="12.75">
      <c r="A74" s="184" t="s">
        <v>158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5"/>
      <c r="O74" s="154"/>
      <c r="P74" s="219" t="str">
        <f t="shared" si="1"/>
        <v>Operating Sales and Revenues: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>
      <c r="A75" s="148" t="s">
        <v>44</v>
      </c>
      <c r="B75" s="162">
        <v>3986.9</v>
      </c>
      <c r="C75" s="163">
        <v>5055.7</v>
      </c>
      <c r="D75" s="163">
        <v>3353.7</v>
      </c>
      <c r="E75" s="163">
        <v>3082.4</v>
      </c>
      <c r="F75" s="163">
        <v>3194.5</v>
      </c>
      <c r="G75" s="163">
        <v>3048.8</v>
      </c>
      <c r="H75" s="163">
        <v>3896.7</v>
      </c>
      <c r="I75" s="163">
        <v>4258</v>
      </c>
      <c r="J75" s="171">
        <v>4498</v>
      </c>
      <c r="K75" s="171">
        <v>4457</v>
      </c>
      <c r="L75" s="164">
        <v>4432</v>
      </c>
      <c r="M75" s="164">
        <v>3408</v>
      </c>
      <c r="N75" s="150">
        <f>RATE(4.75,,-H75,L75)</f>
        <v>0.02746965961807273</v>
      </c>
      <c r="O75" s="154"/>
      <c r="P75" s="2" t="str">
        <f t="shared" si="1"/>
        <v>Revenues</v>
      </c>
      <c r="Q75" s="6">
        <f aca="true" t="shared" si="55" ref="Q75:V76">B75/B$76</f>
        <v>1</v>
      </c>
      <c r="R75" s="6">
        <f t="shared" si="55"/>
        <v>1</v>
      </c>
      <c r="S75" s="6">
        <f t="shared" si="55"/>
        <v>1</v>
      </c>
      <c r="T75" s="6">
        <f t="shared" si="55"/>
        <v>1</v>
      </c>
      <c r="U75" s="6">
        <f t="shared" si="55"/>
        <v>1</v>
      </c>
      <c r="V75" s="5">
        <f t="shared" si="55"/>
        <v>1</v>
      </c>
      <c r="W75" s="5">
        <f aca="true" t="shared" si="56" ref="W75:AB76">H75/H$76</f>
        <v>1</v>
      </c>
      <c r="X75" s="5">
        <f t="shared" si="56"/>
        <v>1</v>
      </c>
      <c r="Y75" s="5">
        <f t="shared" si="56"/>
        <v>1</v>
      </c>
      <c r="Z75" s="5">
        <f t="shared" si="56"/>
        <v>1</v>
      </c>
      <c r="AA75" s="5">
        <f t="shared" si="56"/>
        <v>1</v>
      </c>
      <c r="AB75" s="5">
        <f t="shared" si="56"/>
        <v>1</v>
      </c>
      <c r="AC75" s="5">
        <f>SUM(H75:L75)/SUM(H$76:L$76)</f>
        <v>1</v>
      </c>
    </row>
    <row r="76" spans="1:30" ht="12.75">
      <c r="A76" s="184" t="s">
        <v>45</v>
      </c>
      <c r="B76" s="221">
        <f aca="true" t="shared" si="57" ref="B76:L76">SUM(B74:B75)</f>
        <v>3986.9</v>
      </c>
      <c r="C76" s="221">
        <f t="shared" si="57"/>
        <v>5055.7</v>
      </c>
      <c r="D76" s="221">
        <f t="shared" si="57"/>
        <v>3353.7</v>
      </c>
      <c r="E76" s="221">
        <f t="shared" si="57"/>
        <v>3082.4</v>
      </c>
      <c r="F76" s="221">
        <f t="shared" si="57"/>
        <v>3194.5</v>
      </c>
      <c r="G76" s="221">
        <f t="shared" si="57"/>
        <v>3048.8</v>
      </c>
      <c r="H76" s="221">
        <f t="shared" si="57"/>
        <v>3896.7</v>
      </c>
      <c r="I76" s="221">
        <f t="shared" si="57"/>
        <v>4258</v>
      </c>
      <c r="J76" s="253">
        <f t="shared" si="57"/>
        <v>4498</v>
      </c>
      <c r="K76" s="253">
        <f t="shared" si="57"/>
        <v>4457</v>
      </c>
      <c r="L76" s="221">
        <f t="shared" si="57"/>
        <v>4432</v>
      </c>
      <c r="M76" s="221">
        <f>SUM(M74:M75)</f>
        <v>3408</v>
      </c>
      <c r="N76" s="206">
        <f>RATE(4.75,,-H76,L76)</f>
        <v>0.02746965961807273</v>
      </c>
      <c r="O76" s="154"/>
      <c r="P76" s="193" t="str">
        <f t="shared" si="1"/>
        <v>Total Revenues</v>
      </c>
      <c r="Q76" s="200">
        <f t="shared" si="55"/>
        <v>1</v>
      </c>
      <c r="R76" s="200">
        <f t="shared" si="55"/>
        <v>1</v>
      </c>
      <c r="S76" s="200">
        <f t="shared" si="55"/>
        <v>1</v>
      </c>
      <c r="T76" s="200">
        <f t="shared" si="55"/>
        <v>1</v>
      </c>
      <c r="U76" s="200">
        <f t="shared" si="55"/>
        <v>1</v>
      </c>
      <c r="V76" s="201">
        <f t="shared" si="55"/>
        <v>1</v>
      </c>
      <c r="W76" s="201">
        <f t="shared" si="56"/>
        <v>1</v>
      </c>
      <c r="X76" s="201">
        <f t="shared" si="56"/>
        <v>1</v>
      </c>
      <c r="Y76" s="201">
        <f t="shared" si="56"/>
        <v>1</v>
      </c>
      <c r="Z76" s="201">
        <f t="shared" si="56"/>
        <v>1</v>
      </c>
      <c r="AA76" s="201">
        <f t="shared" si="56"/>
        <v>1</v>
      </c>
      <c r="AB76" s="201">
        <f t="shared" si="56"/>
        <v>1</v>
      </c>
      <c r="AC76" s="201">
        <f>SUM(H76:L76)/SUM(H$76:L$76)</f>
        <v>1</v>
      </c>
      <c r="AD76" s="193"/>
    </row>
    <row r="77" spans="1:29" ht="7.5" customHeight="1">
      <c r="A77" s="148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50"/>
      <c r="O77" s="154"/>
      <c r="P77" s="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00"/>
    </row>
    <row r="78" spans="1:29" ht="12.75">
      <c r="A78" s="184" t="s">
        <v>21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50"/>
      <c r="O78" s="154"/>
      <c r="P78" s="193" t="str">
        <f aca="true" t="shared" si="58" ref="P78:P101">A78</f>
        <v>Operating Expenses: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00"/>
    </row>
    <row r="79" spans="1:29" ht="12.75">
      <c r="A79" s="166" t="s">
        <v>180</v>
      </c>
      <c r="B79" s="167">
        <f>1217.8+512.3</f>
        <v>1730.1</v>
      </c>
      <c r="C79" s="165">
        <f>2636+491</f>
        <v>3127</v>
      </c>
      <c r="D79" s="165">
        <f>974.4+490.9</f>
        <v>1465.3</v>
      </c>
      <c r="E79" s="165">
        <f>698.5+482.2</f>
        <v>1180.7</v>
      </c>
      <c r="F79" s="165">
        <f>672.8+483.9</f>
        <v>1156.6999999999998</v>
      </c>
      <c r="G79" s="165">
        <f>448+500</f>
        <v>948</v>
      </c>
      <c r="H79" s="168">
        <f>1545.1</f>
        <v>1545.1</v>
      </c>
      <c r="I79" s="168">
        <v>1768</v>
      </c>
      <c r="J79" s="168">
        <v>1957</v>
      </c>
      <c r="K79" s="168">
        <v>1677</v>
      </c>
      <c r="L79" s="168">
        <v>1618</v>
      </c>
      <c r="M79" s="168">
        <v>1182</v>
      </c>
      <c r="N79" s="150">
        <f>RATE(4.75,,-H79,L79)</f>
        <v>0.0097529765391628</v>
      </c>
      <c r="O79" s="154"/>
      <c r="P79" s="2" t="str">
        <f t="shared" si="58"/>
        <v>Energy Costs</v>
      </c>
      <c r="Q79" s="5">
        <f aca="true" t="shared" si="59" ref="Q79:U85">B79/B$76</f>
        <v>0.43394617371892946</v>
      </c>
      <c r="R79" s="5">
        <f t="shared" si="59"/>
        <v>0.6185098008188777</v>
      </c>
      <c r="S79" s="5">
        <f t="shared" si="59"/>
        <v>0.4369204162566718</v>
      </c>
      <c r="T79" s="5">
        <f t="shared" si="59"/>
        <v>0.38304567869192835</v>
      </c>
      <c r="U79" s="5">
        <f t="shared" si="59"/>
        <v>0.3620910940679292</v>
      </c>
      <c r="V79" s="5">
        <f aca="true" t="shared" si="60" ref="V79:X85">G79/G$76</f>
        <v>0.3109420099711362</v>
      </c>
      <c r="W79" s="5">
        <f t="shared" si="60"/>
        <v>0.3965149998716863</v>
      </c>
      <c r="X79" s="5">
        <f t="shared" si="60"/>
        <v>0.41521841240018786</v>
      </c>
      <c r="Y79" s="5">
        <f aca="true" t="shared" si="61" ref="Y79:Z85">J79/J$76</f>
        <v>0.4350822587816807</v>
      </c>
      <c r="Z79" s="5">
        <f t="shared" si="61"/>
        <v>0.37626205968140003</v>
      </c>
      <c r="AA79" s="5">
        <f aca="true" t="shared" si="62" ref="AA79:AB85">L79/L$76</f>
        <v>0.365072202166065</v>
      </c>
      <c r="AB79" s="5">
        <f t="shared" si="62"/>
        <v>0.34683098591549294</v>
      </c>
      <c r="AC79" s="55">
        <f>SUM(H79:L79)/SUM(H$76:L$76)</f>
        <v>0.3976055743047206</v>
      </c>
    </row>
    <row r="80" spans="1:29" ht="12.75">
      <c r="A80" s="166" t="s">
        <v>167</v>
      </c>
      <c r="B80" s="167">
        <f>726+283</f>
        <v>1009</v>
      </c>
      <c r="C80" s="165">
        <f>705.2+200.8</f>
        <v>906</v>
      </c>
      <c r="D80" s="165">
        <v>813.4</v>
      </c>
      <c r="E80" s="165">
        <v>885.1</v>
      </c>
      <c r="F80" s="165">
        <v>895.8</v>
      </c>
      <c r="G80" s="165">
        <v>913.1</v>
      </c>
      <c r="H80" s="165">
        <v>1014.5</v>
      </c>
      <c r="I80" s="168">
        <v>998</v>
      </c>
      <c r="J80" s="168">
        <v>985</v>
      </c>
      <c r="K80" s="168">
        <v>1035</v>
      </c>
      <c r="L80" s="165">
        <v>1081</v>
      </c>
      <c r="M80" s="165">
        <v>811</v>
      </c>
      <c r="N80" s="150">
        <f>RATE(4.75,,-H80,L80)</f>
        <v>0.013456184792637356</v>
      </c>
      <c r="O80" s="154"/>
      <c r="P80" s="2" t="str">
        <f t="shared" si="58"/>
        <v>Other operations and maintenance</v>
      </c>
      <c r="Q80" s="5">
        <f t="shared" si="59"/>
        <v>0.2530788331786601</v>
      </c>
      <c r="R80" s="5">
        <f t="shared" si="59"/>
        <v>0.17920367110390253</v>
      </c>
      <c r="S80" s="5">
        <f t="shared" si="59"/>
        <v>0.24253809225631393</v>
      </c>
      <c r="T80" s="5">
        <f t="shared" si="59"/>
        <v>0.28714637944458865</v>
      </c>
      <c r="U80" s="5">
        <f t="shared" si="59"/>
        <v>0.28041947096572234</v>
      </c>
      <c r="V80" s="5">
        <f t="shared" si="60"/>
        <v>0.2994948832327473</v>
      </c>
      <c r="W80" s="5">
        <f t="shared" si="60"/>
        <v>0.2603485000128314</v>
      </c>
      <c r="X80" s="5">
        <f t="shared" si="60"/>
        <v>0.2343823391263504</v>
      </c>
      <c r="Y80" s="5">
        <f t="shared" si="61"/>
        <v>0.21898621609604269</v>
      </c>
      <c r="Z80" s="5">
        <f t="shared" si="61"/>
        <v>0.23221898137760827</v>
      </c>
      <c r="AA80" s="5">
        <f t="shared" si="62"/>
        <v>0.24390794223826714</v>
      </c>
      <c r="AB80" s="5">
        <f t="shared" si="62"/>
        <v>0.23796948356807512</v>
      </c>
      <c r="AC80" s="55">
        <f>SUM(H80:L80)/SUM(H$76:L$76)</f>
        <v>0.23737680870126313</v>
      </c>
    </row>
    <row r="81" spans="1:29" ht="12.75">
      <c r="A81" s="166" t="s">
        <v>168</v>
      </c>
      <c r="B81" s="167">
        <v>441.3</v>
      </c>
      <c r="C81" s="165">
        <v>429</v>
      </c>
      <c r="D81" s="165">
        <v>403</v>
      </c>
      <c r="E81" s="165">
        <v>434.3</v>
      </c>
      <c r="F81" s="165">
        <v>428.8</v>
      </c>
      <c r="G81" s="165">
        <v>436.9</v>
      </c>
      <c r="H81" s="165">
        <v>448.3</v>
      </c>
      <c r="I81" s="168">
        <v>497</v>
      </c>
      <c r="J81" s="168">
        <v>490</v>
      </c>
      <c r="K81" s="168">
        <v>549</v>
      </c>
      <c r="L81" s="165">
        <v>561</v>
      </c>
      <c r="M81" s="165">
        <f>456</f>
        <v>456</v>
      </c>
      <c r="N81" s="150">
        <f>RATE(4.75,,-H81,L81)</f>
        <v>0.048344511343310664</v>
      </c>
      <c r="O81" s="156"/>
      <c r="P81" s="2" t="str">
        <f t="shared" si="58"/>
        <v>Depreciation and amortization</v>
      </c>
      <c r="Q81" s="5">
        <f t="shared" si="59"/>
        <v>0.110687501567634</v>
      </c>
      <c r="R81" s="5">
        <f t="shared" si="59"/>
        <v>0.0848547184366161</v>
      </c>
      <c r="S81" s="5">
        <f t="shared" si="59"/>
        <v>0.1201657870411784</v>
      </c>
      <c r="T81" s="5">
        <f t="shared" si="59"/>
        <v>0.14089670386711653</v>
      </c>
      <c r="U81" s="5">
        <f t="shared" si="59"/>
        <v>0.13423070903114728</v>
      </c>
      <c r="V81" s="5">
        <f t="shared" si="60"/>
        <v>0.14330228286538965</v>
      </c>
      <c r="W81" s="5">
        <f t="shared" si="60"/>
        <v>0.11504606461878</v>
      </c>
      <c r="X81" s="5">
        <f t="shared" si="60"/>
        <v>0.11672146547674965</v>
      </c>
      <c r="Y81" s="5">
        <f t="shared" si="61"/>
        <v>0.10893730546909737</v>
      </c>
      <c r="Z81" s="5">
        <f t="shared" si="61"/>
        <v>0.12317702490464438</v>
      </c>
      <c r="AA81" s="5">
        <f t="shared" si="62"/>
        <v>0.12657942238267147</v>
      </c>
      <c r="AB81" s="5">
        <f t="shared" si="62"/>
        <v>0.13380281690140844</v>
      </c>
      <c r="AC81" s="55">
        <f>SUM(H81:L81)/SUM(H$76:L$76)</f>
        <v>0.11815687712668917</v>
      </c>
    </row>
    <row r="82" spans="1:29" ht="12.75">
      <c r="A82" s="166" t="s">
        <v>170</v>
      </c>
      <c r="B82" s="167">
        <v>101.4</v>
      </c>
      <c r="C82" s="165">
        <v>100.3</v>
      </c>
      <c r="D82" s="165">
        <v>90.8</v>
      </c>
      <c r="E82" s="165">
        <v>93.4</v>
      </c>
      <c r="F82" s="165">
        <v>95.3</v>
      </c>
      <c r="G82" s="165">
        <v>94.4</v>
      </c>
      <c r="H82" s="165">
        <v>96.8</v>
      </c>
      <c r="I82" s="168">
        <v>101</v>
      </c>
      <c r="J82" s="168">
        <v>112</v>
      </c>
      <c r="K82" s="168">
        <v>136</v>
      </c>
      <c r="L82" s="165">
        <v>136</v>
      </c>
      <c r="M82" s="165">
        <v>113</v>
      </c>
      <c r="N82" s="150">
        <f>RATE(4.75,,-H82,L82)</f>
        <v>0.0742047374879292</v>
      </c>
      <c r="O82" s="157"/>
      <c r="P82" s="2" t="str">
        <f t="shared" si="58"/>
        <v>Taxes, other than income taxes</v>
      </c>
      <c r="Q82" s="5">
        <f t="shared" si="59"/>
        <v>0.025433294037974365</v>
      </c>
      <c r="R82" s="5">
        <f t="shared" si="59"/>
        <v>0.01983899361117155</v>
      </c>
      <c r="S82" s="5">
        <f t="shared" si="59"/>
        <v>0.02707457435071712</v>
      </c>
      <c r="T82" s="5">
        <f t="shared" si="59"/>
        <v>0.030301064105891513</v>
      </c>
      <c r="U82" s="5">
        <f t="shared" si="59"/>
        <v>0.029832524651745185</v>
      </c>
      <c r="V82" s="5">
        <f t="shared" si="60"/>
        <v>0.030963001836788243</v>
      </c>
      <c r="W82" s="5">
        <f t="shared" si="60"/>
        <v>0.02484153257884877</v>
      </c>
      <c r="X82" s="5">
        <f t="shared" si="60"/>
        <v>0.02372005636449037</v>
      </c>
      <c r="Y82" s="5">
        <f t="shared" si="61"/>
        <v>0.024899955535793685</v>
      </c>
      <c r="Z82" s="5">
        <f t="shared" si="61"/>
        <v>0.030513798519183306</v>
      </c>
      <c r="AA82" s="5">
        <f t="shared" si="62"/>
        <v>0.030685920577617327</v>
      </c>
      <c r="AB82" s="5">
        <f t="shared" si="62"/>
        <v>0.033157276995305164</v>
      </c>
      <c r="AC82" s="55">
        <f>SUM(H82:L82)/SUM(H$76:L$76)</f>
        <v>0.027008081999099418</v>
      </c>
    </row>
    <row r="83" spans="1:52" s="21" customFormat="1" ht="12.75" hidden="1">
      <c r="A83" s="166" t="s">
        <v>169</v>
      </c>
      <c r="B83" s="169">
        <v>0</v>
      </c>
      <c r="C83" s="163">
        <v>-30.6</v>
      </c>
      <c r="D83" s="163">
        <v>-32.4</v>
      </c>
      <c r="E83" s="163">
        <v>0</v>
      </c>
      <c r="F83" s="163">
        <v>0</v>
      </c>
      <c r="G83" s="163">
        <v>0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50" t="e">
        <f>RATE(5.75,,-F83,K83)</f>
        <v>#NUM!</v>
      </c>
      <c r="O83" s="154"/>
      <c r="P83" s="2" t="str">
        <f t="shared" si="58"/>
        <v>Other Operating Expenses</v>
      </c>
      <c r="Q83" s="6">
        <f t="shared" si="59"/>
        <v>0</v>
      </c>
      <c r="R83" s="6">
        <f t="shared" si="59"/>
        <v>-0.006052574322052338</v>
      </c>
      <c r="S83" s="6">
        <f t="shared" si="59"/>
        <v>-0.009660971464352805</v>
      </c>
      <c r="T83" s="6">
        <f t="shared" si="59"/>
        <v>0</v>
      </c>
      <c r="U83" s="18">
        <f t="shared" si="59"/>
        <v>0</v>
      </c>
      <c r="V83" s="18">
        <f t="shared" si="60"/>
        <v>0</v>
      </c>
      <c r="W83" s="18">
        <f t="shared" si="60"/>
        <v>0</v>
      </c>
      <c r="X83" s="18">
        <f t="shared" si="60"/>
        <v>0</v>
      </c>
      <c r="Y83" s="18">
        <f t="shared" si="61"/>
        <v>0</v>
      </c>
      <c r="Z83" s="18">
        <f t="shared" si="61"/>
        <v>0</v>
      </c>
      <c r="AA83" s="18">
        <f t="shared" si="62"/>
        <v>0</v>
      </c>
      <c r="AB83" s="18">
        <f t="shared" si="62"/>
        <v>0</v>
      </c>
      <c r="AC83" s="55">
        <f>SUM(F83:K83)/SUM(F$76:K$76)</f>
        <v>0</v>
      </c>
      <c r="AD83" s="52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</row>
    <row r="84" spans="1:52" s="21" customFormat="1" ht="12.75" customHeight="1">
      <c r="A84" s="148" t="s">
        <v>37</v>
      </c>
      <c r="B84" s="163">
        <f aca="true" t="shared" si="63" ref="B84:L84">SUM(B78:B83)</f>
        <v>3281.8</v>
      </c>
      <c r="C84" s="163">
        <f t="shared" si="63"/>
        <v>4531.7</v>
      </c>
      <c r="D84" s="163">
        <f t="shared" si="63"/>
        <v>2740.1</v>
      </c>
      <c r="E84" s="163">
        <f t="shared" si="63"/>
        <v>2593.5000000000005</v>
      </c>
      <c r="F84" s="170">
        <f t="shared" si="63"/>
        <v>2576.6000000000004</v>
      </c>
      <c r="G84" s="170">
        <f t="shared" si="63"/>
        <v>2392.4</v>
      </c>
      <c r="H84" s="170">
        <f t="shared" si="63"/>
        <v>3104.7000000000003</v>
      </c>
      <c r="I84" s="170">
        <f t="shared" si="63"/>
        <v>3364</v>
      </c>
      <c r="J84" s="170">
        <f>SUM(J78:J83)</f>
        <v>3544</v>
      </c>
      <c r="K84" s="170">
        <f>SUM(K78:K83)</f>
        <v>3397</v>
      </c>
      <c r="L84" s="170">
        <f t="shared" si="63"/>
        <v>3396</v>
      </c>
      <c r="M84" s="170">
        <f>SUM(M78:M83)</f>
        <v>2562</v>
      </c>
      <c r="N84" s="158">
        <f>RATE(4.75,,-H84,L84)</f>
        <v>0.019059606478045957</v>
      </c>
      <c r="O84" s="154"/>
      <c r="P84" s="2" t="str">
        <f t="shared" si="58"/>
        <v>Total Operating Expenses</v>
      </c>
      <c r="Q84" s="6">
        <f t="shared" si="59"/>
        <v>0.823145802503198</v>
      </c>
      <c r="R84" s="6">
        <f t="shared" si="59"/>
        <v>0.8963546096485155</v>
      </c>
      <c r="S84" s="6">
        <f t="shared" si="59"/>
        <v>0.8170378984405284</v>
      </c>
      <c r="T84" s="6">
        <f t="shared" si="59"/>
        <v>0.8413898261095252</v>
      </c>
      <c r="U84" s="97">
        <f t="shared" si="59"/>
        <v>0.8065737987165442</v>
      </c>
      <c r="V84" s="97">
        <f t="shared" si="60"/>
        <v>0.7847021779060613</v>
      </c>
      <c r="W84" s="97">
        <f t="shared" si="60"/>
        <v>0.7967510970821465</v>
      </c>
      <c r="X84" s="97">
        <f t="shared" si="60"/>
        <v>0.7900422733677783</v>
      </c>
      <c r="Y84" s="97">
        <f t="shared" si="61"/>
        <v>0.7879057358826145</v>
      </c>
      <c r="Z84" s="97">
        <f t="shared" si="61"/>
        <v>0.762171864482836</v>
      </c>
      <c r="AA84" s="97">
        <f t="shared" si="62"/>
        <v>0.766245487364621</v>
      </c>
      <c r="AB84" s="97">
        <f t="shared" si="62"/>
        <v>0.7517605633802817</v>
      </c>
      <c r="AC84" s="256">
        <f>SUM(H84:L84)/SUM(H$76:L$76)</f>
        <v>0.7801473421317724</v>
      </c>
      <c r="AD84" s="52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</row>
    <row r="85" spans="1:52" s="21" customFormat="1" ht="12.75">
      <c r="A85" s="184" t="s">
        <v>13</v>
      </c>
      <c r="B85" s="221">
        <f aca="true" t="shared" si="64" ref="B85:L85">B76-B84</f>
        <v>705.0999999999999</v>
      </c>
      <c r="C85" s="221">
        <f t="shared" si="64"/>
        <v>524</v>
      </c>
      <c r="D85" s="221">
        <f t="shared" si="64"/>
        <v>613.5999999999999</v>
      </c>
      <c r="E85" s="221">
        <f t="shared" si="64"/>
        <v>488.89999999999964</v>
      </c>
      <c r="F85" s="221">
        <f t="shared" si="64"/>
        <v>617.8999999999996</v>
      </c>
      <c r="G85" s="221">
        <f t="shared" si="64"/>
        <v>656.4000000000001</v>
      </c>
      <c r="H85" s="221">
        <f t="shared" si="64"/>
        <v>791.9999999999995</v>
      </c>
      <c r="I85" s="221">
        <f t="shared" si="64"/>
        <v>894</v>
      </c>
      <c r="J85" s="221">
        <f t="shared" si="64"/>
        <v>954</v>
      </c>
      <c r="K85" s="221">
        <f t="shared" si="64"/>
        <v>1060</v>
      </c>
      <c r="L85" s="221">
        <f t="shared" si="64"/>
        <v>1036</v>
      </c>
      <c r="M85" s="221">
        <f>M76-M84</f>
        <v>846</v>
      </c>
      <c r="N85" s="206">
        <f>RATE(4.75,,-H85,L85)</f>
        <v>0.0581680565291258</v>
      </c>
      <c r="O85" s="157"/>
      <c r="P85" s="193" t="str">
        <f t="shared" si="58"/>
        <v>Earnings From Operations</v>
      </c>
      <c r="Q85" s="200">
        <f t="shared" si="59"/>
        <v>0.176854197496802</v>
      </c>
      <c r="R85" s="200">
        <f t="shared" si="59"/>
        <v>0.10364539035148447</v>
      </c>
      <c r="S85" s="200">
        <f t="shared" si="59"/>
        <v>0.18296210155947162</v>
      </c>
      <c r="T85" s="200">
        <f t="shared" si="59"/>
        <v>0.15861017389047483</v>
      </c>
      <c r="U85" s="200">
        <f t="shared" si="59"/>
        <v>0.19342620128345583</v>
      </c>
      <c r="V85" s="200">
        <f t="shared" si="60"/>
        <v>0.2152978220939386</v>
      </c>
      <c r="W85" s="200">
        <f t="shared" si="60"/>
        <v>0.20324890291785347</v>
      </c>
      <c r="X85" s="200">
        <f t="shared" si="60"/>
        <v>0.2099577266322217</v>
      </c>
      <c r="Y85" s="200">
        <f t="shared" si="61"/>
        <v>0.2120942641173855</v>
      </c>
      <c r="Z85" s="200">
        <f t="shared" si="61"/>
        <v>0.237828135517164</v>
      </c>
      <c r="AA85" s="200">
        <f t="shared" si="62"/>
        <v>0.23375451263537905</v>
      </c>
      <c r="AB85" s="200">
        <f t="shared" si="62"/>
        <v>0.2482394366197183</v>
      </c>
      <c r="AC85" s="201">
        <f>SUM(H85:L85)/SUM(H$76:L$76)</f>
        <v>0.21985265786822766</v>
      </c>
      <c r="AD85" s="104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</row>
    <row r="86" spans="1:52" s="21" customFormat="1" ht="7.5" customHeight="1">
      <c r="A86" s="148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50"/>
      <c r="O86" s="157"/>
      <c r="P86" s="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5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</row>
    <row r="87" spans="1:30" ht="12.75">
      <c r="A87" s="222" t="s">
        <v>171</v>
      </c>
      <c r="B87" s="221">
        <f>341.4-20.2</f>
        <v>321.2</v>
      </c>
      <c r="C87" s="221">
        <f>290.4-12.9</f>
        <v>277.5</v>
      </c>
      <c r="D87" s="221">
        <f>227.7-6.9</f>
        <v>220.79999999999998</v>
      </c>
      <c r="E87" s="221">
        <f>270.3-18</f>
        <v>252.3</v>
      </c>
      <c r="F87" s="221">
        <f>256.5-19.9</f>
        <v>236.6</v>
      </c>
      <c r="G87" s="221">
        <f>267.4-14.8</f>
        <v>252.59999999999997</v>
      </c>
      <c r="H87" s="221">
        <f>279.9-32.4</f>
        <v>247.49999999999997</v>
      </c>
      <c r="I87" s="221">
        <f>314-29</f>
        <v>285</v>
      </c>
      <c r="J87" s="221">
        <f>343-34</f>
        <v>309</v>
      </c>
      <c r="K87" s="221">
        <f>394-35</f>
        <v>359</v>
      </c>
      <c r="L87" s="221">
        <f>387-45</f>
        <v>342</v>
      </c>
      <c r="M87" s="221">
        <f>297-18</f>
        <v>279</v>
      </c>
      <c r="N87" s="185">
        <f>RATE(4.75,,-H87,L87)</f>
        <v>0.07045548324284902</v>
      </c>
      <c r="O87" s="157"/>
      <c r="P87" s="193" t="str">
        <f t="shared" si="58"/>
        <v>Interest expense (net)</v>
      </c>
      <c r="Q87" s="108">
        <f aca="true" t="shared" si="65" ref="Q87:U91">B87/B$76</f>
        <v>0.08056384659760715</v>
      </c>
      <c r="R87" s="108">
        <f t="shared" si="65"/>
        <v>0.05488854164606286</v>
      </c>
      <c r="S87" s="108">
        <f t="shared" si="65"/>
        <v>0.06583773146077466</v>
      </c>
      <c r="T87" s="108">
        <f t="shared" si="65"/>
        <v>0.08185180378925512</v>
      </c>
      <c r="U87" s="108">
        <f t="shared" si="65"/>
        <v>0.07406479887306308</v>
      </c>
      <c r="V87" s="200">
        <f aca="true" t="shared" si="66" ref="V87:X91">G87/G$76</f>
        <v>0.08285226974547362</v>
      </c>
      <c r="W87" s="200">
        <f t="shared" si="66"/>
        <v>0.06351528216182924</v>
      </c>
      <c r="X87" s="200">
        <f t="shared" si="66"/>
        <v>0.06693283231564115</v>
      </c>
      <c r="Y87" s="200">
        <f aca="true" t="shared" si="67" ref="Y87:Z91">J87/J$76</f>
        <v>0.06869719875500223</v>
      </c>
      <c r="Z87" s="200">
        <f t="shared" si="67"/>
        <v>0.08054745344402064</v>
      </c>
      <c r="AA87" s="200">
        <f aca="true" t="shared" si="68" ref="AA87:AB91">L87/L$76</f>
        <v>0.07716606498194946</v>
      </c>
      <c r="AB87" s="200">
        <f t="shared" si="68"/>
        <v>0.0818661971830986</v>
      </c>
      <c r="AC87" s="200">
        <f>SUM(G87:L87)/SUM(G$76:L$76)</f>
        <v>0.07299973567027918</v>
      </c>
      <c r="AD87" s="104"/>
    </row>
    <row r="88" spans="1:30" ht="12.75" customHeight="1">
      <c r="A88" s="166" t="s">
        <v>172</v>
      </c>
      <c r="B88" s="165">
        <v>-17.1</v>
      </c>
      <c r="C88" s="165">
        <v>-32.6</v>
      </c>
      <c r="D88" s="165">
        <v>-47.5</v>
      </c>
      <c r="E88" s="165">
        <v>-21.6</v>
      </c>
      <c r="F88" s="165">
        <v>-13.8</v>
      </c>
      <c r="G88" s="165">
        <v>-9.1</v>
      </c>
      <c r="H88" s="165">
        <v>-9.5</v>
      </c>
      <c r="I88" s="165">
        <v>-15</v>
      </c>
      <c r="J88" s="165">
        <v>-11</v>
      </c>
      <c r="K88" s="165">
        <v>-19</v>
      </c>
      <c r="L88" s="165">
        <v>-5</v>
      </c>
      <c r="M88" s="165">
        <v>-5</v>
      </c>
      <c r="N88" s="150">
        <f>RATE(4.75,,-H88,L88)</f>
        <v>-0.12639516018976849</v>
      </c>
      <c r="O88" s="157"/>
      <c r="P88" s="2" t="str">
        <f t="shared" si="58"/>
        <v>Interest income</v>
      </c>
      <c r="Q88" s="18">
        <f t="shared" si="65"/>
        <v>-0.004289046627705737</v>
      </c>
      <c r="R88" s="18">
        <f t="shared" si="65"/>
        <v>-0.006448167414996935</v>
      </c>
      <c r="S88" s="18">
        <f t="shared" si="65"/>
        <v>-0.014163461251751797</v>
      </c>
      <c r="T88" s="18">
        <f t="shared" si="65"/>
        <v>-0.007007526602647288</v>
      </c>
      <c r="U88" s="18">
        <f t="shared" si="65"/>
        <v>-0.0043199248708718115</v>
      </c>
      <c r="V88" s="5">
        <f t="shared" si="66"/>
        <v>-0.0029847808974022565</v>
      </c>
      <c r="W88" s="5">
        <f t="shared" si="66"/>
        <v>-0.002437960325403547</v>
      </c>
      <c r="X88" s="5">
        <f t="shared" si="66"/>
        <v>-0.0035227806481916393</v>
      </c>
      <c r="Y88" s="5">
        <f t="shared" si="67"/>
        <v>-0.002445531347265451</v>
      </c>
      <c r="Z88" s="5">
        <f t="shared" si="67"/>
        <v>-0.0042629571460623735</v>
      </c>
      <c r="AA88" s="5">
        <f t="shared" si="68"/>
        <v>-0.001128158844765343</v>
      </c>
      <c r="AB88" s="5">
        <f t="shared" si="68"/>
        <v>-0.0014671361502347417</v>
      </c>
      <c r="AC88" s="55">
        <f>SUM(H88:L88)/SUM(H$76:L$76)</f>
        <v>-0.002762084700836053</v>
      </c>
      <c r="AD88" s="111"/>
    </row>
    <row r="89" spans="1:29" ht="12.75" customHeight="1" hidden="1">
      <c r="A89" s="166" t="s">
        <v>173</v>
      </c>
      <c r="B89" s="165">
        <v>0</v>
      </c>
      <c r="C89" s="165">
        <v>184.2</v>
      </c>
      <c r="D89" s="165">
        <v>-27.4</v>
      </c>
      <c r="E89" s="165">
        <v>0</v>
      </c>
      <c r="F89" s="165">
        <v>0</v>
      </c>
      <c r="G89" s="165">
        <v>0</v>
      </c>
      <c r="H89" s="171">
        <v>0</v>
      </c>
      <c r="I89" s="171">
        <v>0</v>
      </c>
      <c r="J89" s="171">
        <v>0</v>
      </c>
      <c r="K89" s="171">
        <v>0</v>
      </c>
      <c r="L89" s="171">
        <v>0</v>
      </c>
      <c r="M89" s="171">
        <v>0</v>
      </c>
      <c r="N89" s="150" t="e">
        <f>RATE(4.75,,-H89,L89)</f>
        <v>#NUM!</v>
      </c>
      <c r="O89" s="154"/>
      <c r="P89" s="2" t="str">
        <f t="shared" si="58"/>
        <v>Loss (Gain) on Sale of Assets</v>
      </c>
      <c r="Q89" s="18">
        <f t="shared" si="65"/>
        <v>0</v>
      </c>
      <c r="R89" s="18">
        <f t="shared" si="65"/>
        <v>0.0364341238601974</v>
      </c>
      <c r="S89" s="18">
        <f t="shared" si="65"/>
        <v>-0.008170080806273667</v>
      </c>
      <c r="T89" s="18">
        <f t="shared" si="65"/>
        <v>0</v>
      </c>
      <c r="U89" s="18">
        <f t="shared" si="65"/>
        <v>0</v>
      </c>
      <c r="V89" s="18">
        <f t="shared" si="66"/>
        <v>0</v>
      </c>
      <c r="W89" s="18">
        <f t="shared" si="66"/>
        <v>0</v>
      </c>
      <c r="X89" s="18">
        <f t="shared" si="66"/>
        <v>0</v>
      </c>
      <c r="Y89" s="18">
        <f t="shared" si="67"/>
        <v>0</v>
      </c>
      <c r="Z89" s="18">
        <f t="shared" si="67"/>
        <v>0</v>
      </c>
      <c r="AA89" s="18">
        <f t="shared" si="68"/>
        <v>0</v>
      </c>
      <c r="AB89" s="18">
        <f t="shared" si="68"/>
        <v>0</v>
      </c>
      <c r="AC89" s="55">
        <f>SUM(H89:L89)/SUM(H$76:L$76)</f>
        <v>0</v>
      </c>
    </row>
    <row r="90" spans="1:29" ht="12.75">
      <c r="A90" s="220" t="s">
        <v>174</v>
      </c>
      <c r="B90" s="163">
        <f>2.6-13.7</f>
        <v>-11.1</v>
      </c>
      <c r="C90" s="163">
        <v>2.7</v>
      </c>
      <c r="D90" s="163">
        <f>-1.8</f>
        <v>-1.8</v>
      </c>
      <c r="E90" s="163">
        <v>19</v>
      </c>
      <c r="F90" s="163">
        <v>1.6</v>
      </c>
      <c r="G90" s="163">
        <v>-7.3</v>
      </c>
      <c r="H90" s="164">
        <v>-6.1</v>
      </c>
      <c r="I90" s="164">
        <v>-41</v>
      </c>
      <c r="J90" s="164">
        <v>-47</v>
      </c>
      <c r="K90" s="164">
        <v>-64</v>
      </c>
      <c r="L90" s="164">
        <f>-79+1</f>
        <v>-78</v>
      </c>
      <c r="M90" s="164">
        <f>-34+3</f>
        <v>-31</v>
      </c>
      <c r="N90" s="150">
        <f>RATE(4.75,,-H90,L90)</f>
        <v>0.7100275566258403</v>
      </c>
      <c r="O90" s="154"/>
      <c r="P90" s="2" t="str">
        <f t="shared" si="58"/>
        <v>Other (Income) Expense</v>
      </c>
      <c r="Q90" s="6">
        <f t="shared" si="65"/>
        <v>-0.0027841179864054777</v>
      </c>
      <c r="R90" s="6">
        <f t="shared" si="65"/>
        <v>0.0005340506754752063</v>
      </c>
      <c r="S90" s="6">
        <f t="shared" si="65"/>
        <v>-0.0005367206369084891</v>
      </c>
      <c r="T90" s="6">
        <f t="shared" si="65"/>
        <v>0.006164028030106411</v>
      </c>
      <c r="U90" s="103">
        <f t="shared" si="65"/>
        <v>0.0005008608545938332</v>
      </c>
      <c r="V90" s="103">
        <f t="shared" si="66"/>
        <v>-0.002394384675938074</v>
      </c>
      <c r="W90" s="103">
        <f t="shared" si="66"/>
        <v>-0.001565427156311751</v>
      </c>
      <c r="X90" s="103">
        <f t="shared" si="66"/>
        <v>-0.009628933771723814</v>
      </c>
      <c r="Y90" s="103">
        <f t="shared" si="67"/>
        <v>-0.010449088483770564</v>
      </c>
      <c r="Z90" s="103">
        <f t="shared" si="67"/>
        <v>-0.014359434597262733</v>
      </c>
      <c r="AA90" s="103">
        <f t="shared" si="68"/>
        <v>-0.01759927797833935</v>
      </c>
      <c r="AB90" s="103">
        <f t="shared" si="68"/>
        <v>-0.009096244131455399</v>
      </c>
      <c r="AC90" s="55">
        <f>SUM(H90:L90)/SUM(H$76:L$76)</f>
        <v>-0.0109601377792839</v>
      </c>
    </row>
    <row r="91" spans="1:29" ht="12.75">
      <c r="A91" s="140" t="s">
        <v>230</v>
      </c>
      <c r="B91" s="165">
        <f aca="true" t="shared" si="69" ref="B91:L91">SUM(B87:B90)</f>
        <v>292.99999999999994</v>
      </c>
      <c r="C91" s="165">
        <f t="shared" si="69"/>
        <v>431.8</v>
      </c>
      <c r="D91" s="165">
        <f t="shared" si="69"/>
        <v>144.09999999999997</v>
      </c>
      <c r="E91" s="165">
        <f t="shared" si="69"/>
        <v>249.70000000000002</v>
      </c>
      <c r="F91" s="165">
        <f t="shared" si="69"/>
        <v>224.39999999999998</v>
      </c>
      <c r="G91" s="165">
        <f t="shared" si="69"/>
        <v>236.19999999999996</v>
      </c>
      <c r="H91" s="165">
        <f t="shared" si="69"/>
        <v>231.89999999999998</v>
      </c>
      <c r="I91" s="165">
        <f t="shared" si="69"/>
        <v>229</v>
      </c>
      <c r="J91" s="165">
        <f>SUM(J87:J90)</f>
        <v>251</v>
      </c>
      <c r="K91" s="165">
        <f>SUM(K87:K90)</f>
        <v>276</v>
      </c>
      <c r="L91" s="165">
        <f t="shared" si="69"/>
        <v>259</v>
      </c>
      <c r="M91" s="165">
        <f>SUM(M87:M90)</f>
        <v>243</v>
      </c>
      <c r="N91" s="155">
        <f>RATE(4.75,,-H91,L91)</f>
        <v>0.02354055691141753</v>
      </c>
      <c r="O91" s="154"/>
      <c r="P91" s="2" t="str">
        <f t="shared" si="58"/>
        <v>Total Other (Income)/Expense</v>
      </c>
      <c r="Q91" s="18">
        <f t="shared" si="65"/>
        <v>0.07349068198349594</v>
      </c>
      <c r="R91" s="18">
        <f t="shared" si="65"/>
        <v>0.08540854876673853</v>
      </c>
      <c r="S91" s="18">
        <f t="shared" si="65"/>
        <v>0.042967468765840705</v>
      </c>
      <c r="T91" s="18">
        <f t="shared" si="65"/>
        <v>0.08100830521671425</v>
      </c>
      <c r="U91" s="18">
        <f t="shared" si="65"/>
        <v>0.07024573485678509</v>
      </c>
      <c r="V91" s="5">
        <f t="shared" si="66"/>
        <v>0.07747310417213328</v>
      </c>
      <c r="W91" s="5">
        <f t="shared" si="66"/>
        <v>0.05951189468011394</v>
      </c>
      <c r="X91" s="5">
        <f t="shared" si="66"/>
        <v>0.05378111789572569</v>
      </c>
      <c r="Y91" s="5">
        <f t="shared" si="67"/>
        <v>0.05580257892396621</v>
      </c>
      <c r="Z91" s="5">
        <f t="shared" si="67"/>
        <v>0.06192506170069553</v>
      </c>
      <c r="AA91" s="5">
        <f t="shared" si="68"/>
        <v>0.05843862815884476</v>
      </c>
      <c r="AB91" s="5">
        <f t="shared" si="68"/>
        <v>0.07130281690140845</v>
      </c>
      <c r="AC91" s="255">
        <f>SUM(H91:L91)/SUM(H$76:L$76)</f>
        <v>0.05788308257936932</v>
      </c>
    </row>
    <row r="92" spans="1:29" ht="7.5" customHeight="1">
      <c r="A92" s="148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2"/>
      <c r="M92" s="172"/>
      <c r="N92" s="150"/>
      <c r="O92" s="154"/>
      <c r="P92" s="2"/>
      <c r="Q92" s="18"/>
      <c r="R92" s="18"/>
      <c r="S92" s="18"/>
      <c r="T92" s="18"/>
      <c r="U92" s="18"/>
      <c r="V92" s="5"/>
      <c r="W92" s="5"/>
      <c r="X92" s="5"/>
      <c r="Y92" s="5"/>
      <c r="Z92" s="5"/>
      <c r="AA92" s="5"/>
      <c r="AB92" s="5"/>
      <c r="AC92" s="55"/>
    </row>
    <row r="93" spans="1:29" ht="12.75">
      <c r="A93" s="184" t="s">
        <v>12</v>
      </c>
      <c r="B93" s="223">
        <f aca="true" t="shared" si="70" ref="B93:G93">B85-B91</f>
        <v>412.09999999999997</v>
      </c>
      <c r="C93" s="223">
        <f t="shared" si="70"/>
        <v>92.19999999999999</v>
      </c>
      <c r="D93" s="223">
        <f t="shared" si="70"/>
        <v>469.49999999999994</v>
      </c>
      <c r="E93" s="223">
        <f t="shared" si="70"/>
        <v>239.19999999999962</v>
      </c>
      <c r="F93" s="223">
        <f t="shared" si="70"/>
        <v>393.49999999999966</v>
      </c>
      <c r="G93" s="223">
        <f t="shared" si="70"/>
        <v>420.20000000000016</v>
      </c>
      <c r="H93" s="223">
        <f aca="true" t="shared" si="71" ref="H93:M93">H85-H91</f>
        <v>560.0999999999996</v>
      </c>
      <c r="I93" s="223">
        <f t="shared" si="71"/>
        <v>665</v>
      </c>
      <c r="J93" s="223">
        <f t="shared" si="71"/>
        <v>703</v>
      </c>
      <c r="K93" s="223">
        <f t="shared" si="71"/>
        <v>784</v>
      </c>
      <c r="L93" s="223">
        <f t="shared" si="71"/>
        <v>777</v>
      </c>
      <c r="M93" s="223">
        <f t="shared" si="71"/>
        <v>603</v>
      </c>
      <c r="N93" s="185">
        <f>RATE(4.75,,-H93,L93)</f>
        <v>0.07134035060715242</v>
      </c>
      <c r="O93" s="157"/>
      <c r="P93" s="193" t="str">
        <f t="shared" si="58"/>
        <v>Earnings Before Taxes</v>
      </c>
      <c r="Q93" s="200">
        <f>B93/B$76</f>
        <v>0.10336351551330607</v>
      </c>
      <c r="R93" s="200">
        <f>C93/C$76</f>
        <v>0.01823684158474593</v>
      </c>
      <c r="S93" s="200">
        <f>D93/D$76</f>
        <v>0.13999463279363092</v>
      </c>
      <c r="T93" s="200">
        <f>E93/E$76</f>
        <v>0.07760186867376058</v>
      </c>
      <c r="U93" s="200">
        <f>F93/F$76</f>
        <v>0.12318046642667073</v>
      </c>
      <c r="V93" s="200">
        <f aca="true" t="shared" si="72" ref="V93:AB93">G93/G$76</f>
        <v>0.13782471792180534</v>
      </c>
      <c r="W93" s="200">
        <f t="shared" si="72"/>
        <v>0.14373700823773952</v>
      </c>
      <c r="X93" s="200">
        <f t="shared" si="72"/>
        <v>0.156176608736496</v>
      </c>
      <c r="Y93" s="200">
        <f t="shared" si="72"/>
        <v>0.1562916851934193</v>
      </c>
      <c r="Z93" s="200">
        <f t="shared" si="72"/>
        <v>0.17590307381646847</v>
      </c>
      <c r="AA93" s="200">
        <f t="shared" si="72"/>
        <v>0.1753158844765343</v>
      </c>
      <c r="AB93" s="200">
        <f t="shared" si="72"/>
        <v>0.17693661971830985</v>
      </c>
      <c r="AC93" s="200">
        <f>SUM(G93:L93)/SUM(G$76:L$76)</f>
        <v>0.1589760273276265</v>
      </c>
    </row>
    <row r="94" spans="1:29" ht="7.5" customHeight="1">
      <c r="A94" s="148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50"/>
      <c r="O94" s="157"/>
      <c r="P94" s="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5"/>
    </row>
    <row r="95" spans="1:29" ht="12.75">
      <c r="A95" s="148" t="s">
        <v>43</v>
      </c>
      <c r="B95" s="165">
        <f>195.5+-1.1</f>
        <v>194.4</v>
      </c>
      <c r="C95" s="165">
        <v>0</v>
      </c>
      <c r="D95" s="165">
        <f>-146.7+112.8</f>
        <v>-33.89999999999999</v>
      </c>
      <c r="E95" s="165">
        <v>1.9</v>
      </c>
      <c r="F95" s="165">
        <v>0.9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50"/>
      <c r="O95" s="154"/>
      <c r="P95" s="2" t="str">
        <f t="shared" si="58"/>
        <v>Extraordinary Items</v>
      </c>
      <c r="Q95" s="5">
        <f aca="true" t="shared" si="73" ref="Q95:U97">B95/B$76</f>
        <v>0.04875968797812837</v>
      </c>
      <c r="R95" s="5">
        <f t="shared" si="73"/>
        <v>0</v>
      </c>
      <c r="S95" s="5">
        <f t="shared" si="73"/>
        <v>-0.010108238661776544</v>
      </c>
      <c r="T95" s="5">
        <f t="shared" si="73"/>
        <v>0.000616402803010641</v>
      </c>
      <c r="U95" s="5">
        <f t="shared" si="73"/>
        <v>0.00028173423070903115</v>
      </c>
      <c r="V95" s="5">
        <f aca="true" t="shared" si="74" ref="V95:X97">G95/G$76</f>
        <v>0</v>
      </c>
      <c r="W95" s="5">
        <f t="shared" si="74"/>
        <v>0</v>
      </c>
      <c r="X95" s="5">
        <f t="shared" si="74"/>
        <v>0</v>
      </c>
      <c r="Y95" s="5">
        <f aca="true" t="shared" si="75" ref="Y95:Z97">J95/J$76</f>
        <v>0</v>
      </c>
      <c r="Z95" s="5">
        <f t="shared" si="75"/>
        <v>0</v>
      </c>
      <c r="AA95" s="5">
        <f aca="true" t="shared" si="76" ref="AA95:AB97">L95/L$76</f>
        <v>0</v>
      </c>
      <c r="AB95" s="5">
        <f t="shared" si="76"/>
        <v>0</v>
      </c>
      <c r="AC95" s="55">
        <f>SUM(H95:L95)/SUM(H$76:L$76)</f>
        <v>0</v>
      </c>
    </row>
    <row r="96" spans="1:31" ht="12.75">
      <c r="A96" s="148" t="s">
        <v>15</v>
      </c>
      <c r="B96" s="163">
        <v>134</v>
      </c>
      <c r="C96" s="163">
        <v>180.4</v>
      </c>
      <c r="D96" s="163">
        <v>176.1</v>
      </c>
      <c r="E96" s="163">
        <v>97.2</v>
      </c>
      <c r="F96" s="163">
        <v>144.5</v>
      </c>
      <c r="G96" s="163">
        <v>168.5</v>
      </c>
      <c r="H96" s="164">
        <v>199.4</v>
      </c>
      <c r="I96" s="164">
        <v>220</v>
      </c>
      <c r="J96" s="171">
        <v>238</v>
      </c>
      <c r="K96" s="171">
        <v>234</v>
      </c>
      <c r="L96" s="171">
        <v>211</v>
      </c>
      <c r="M96" s="171">
        <v>178</v>
      </c>
      <c r="N96" s="150">
        <f>RATE(4.75,,-H96,L96)</f>
        <v>0.011975406427332821</v>
      </c>
      <c r="O96" s="154"/>
      <c r="P96" s="2" t="str">
        <f t="shared" si="58"/>
        <v>Income Taxes</v>
      </c>
      <c r="Q96" s="6">
        <f t="shared" si="73"/>
        <v>0.033610072989039105</v>
      </c>
      <c r="R96" s="6">
        <f t="shared" si="73"/>
        <v>0.035682496983602666</v>
      </c>
      <c r="S96" s="6">
        <f t="shared" si="73"/>
        <v>0.05250916897754719</v>
      </c>
      <c r="T96" s="6">
        <f t="shared" si="73"/>
        <v>0.0315338697119128</v>
      </c>
      <c r="U96" s="18">
        <f t="shared" si="73"/>
        <v>0.045233995930505554</v>
      </c>
      <c r="V96" s="5">
        <f t="shared" si="74"/>
        <v>0.05526764628706376</v>
      </c>
      <c r="W96" s="5">
        <f t="shared" si="74"/>
        <v>0.051171504093207074</v>
      </c>
      <c r="X96" s="5">
        <f t="shared" si="74"/>
        <v>0.05166744950681071</v>
      </c>
      <c r="Y96" s="5">
        <f t="shared" si="75"/>
        <v>0.052912405513561585</v>
      </c>
      <c r="Z96" s="5">
        <f t="shared" si="75"/>
        <v>0.05250168274624187</v>
      </c>
      <c r="AA96" s="5">
        <f t="shared" si="76"/>
        <v>0.04760830324909747</v>
      </c>
      <c r="AB96" s="5">
        <f t="shared" si="76"/>
        <v>0.052230046948356805</v>
      </c>
      <c r="AC96" s="55">
        <f>SUM(H96:L96)/SUM(H$76:L$76)</f>
        <v>0.05117516259162462</v>
      </c>
      <c r="AE96" s="55">
        <f>AA96/AA93</f>
        <v>0.27155727155727155</v>
      </c>
    </row>
    <row r="97" spans="1:29" ht="13.5" thickBot="1">
      <c r="A97" s="184" t="s">
        <v>17</v>
      </c>
      <c r="B97" s="224">
        <f aca="true" t="shared" si="77" ref="B97:L97">B93-B95-B96</f>
        <v>83.69999999999996</v>
      </c>
      <c r="C97" s="224">
        <f t="shared" si="77"/>
        <v>-88.20000000000002</v>
      </c>
      <c r="D97" s="224">
        <f t="shared" si="77"/>
        <v>327.29999999999995</v>
      </c>
      <c r="E97" s="224">
        <f t="shared" si="77"/>
        <v>140.09999999999962</v>
      </c>
      <c r="F97" s="224">
        <f t="shared" si="77"/>
        <v>248.09999999999968</v>
      </c>
      <c r="G97" s="224">
        <f t="shared" si="77"/>
        <v>251.70000000000016</v>
      </c>
      <c r="H97" s="225">
        <f t="shared" si="77"/>
        <v>360.6999999999996</v>
      </c>
      <c r="I97" s="225">
        <f t="shared" si="77"/>
        <v>445</v>
      </c>
      <c r="J97" s="225">
        <f t="shared" si="77"/>
        <v>465</v>
      </c>
      <c r="K97" s="225">
        <f t="shared" si="77"/>
        <v>550</v>
      </c>
      <c r="L97" s="225">
        <f t="shared" si="77"/>
        <v>566</v>
      </c>
      <c r="M97" s="225">
        <f>M93-M95-M96</f>
        <v>425</v>
      </c>
      <c r="N97" s="211">
        <f>RATE(4.75,,-H97,L97)</f>
        <v>0.09949623114811333</v>
      </c>
      <c r="O97" s="173"/>
      <c r="P97" s="2" t="str">
        <f t="shared" si="58"/>
        <v>Net Income</v>
      </c>
      <c r="Q97" s="7">
        <f t="shared" si="73"/>
        <v>0.020993754546138593</v>
      </c>
      <c r="R97" s="7">
        <f t="shared" si="73"/>
        <v>-0.01744565539885674</v>
      </c>
      <c r="S97" s="7">
        <f t="shared" si="73"/>
        <v>0.09759370247786027</v>
      </c>
      <c r="T97" s="7">
        <f t="shared" si="73"/>
        <v>0.04545159615883715</v>
      </c>
      <c r="U97" s="205">
        <f t="shared" si="73"/>
        <v>0.07766473626545616</v>
      </c>
      <c r="V97" s="205">
        <f t="shared" si="74"/>
        <v>0.08255707163474159</v>
      </c>
      <c r="W97" s="205">
        <f t="shared" si="74"/>
        <v>0.09256550414453245</v>
      </c>
      <c r="X97" s="205">
        <f t="shared" si="74"/>
        <v>0.1045091592296853</v>
      </c>
      <c r="Y97" s="205">
        <f t="shared" si="75"/>
        <v>0.10337927967985772</v>
      </c>
      <c r="Z97" s="205">
        <f t="shared" si="75"/>
        <v>0.12340139107022662</v>
      </c>
      <c r="AA97" s="205">
        <f t="shared" si="76"/>
        <v>0.12770758122743683</v>
      </c>
      <c r="AB97" s="205">
        <f t="shared" si="76"/>
        <v>0.12470657276995305</v>
      </c>
      <c r="AC97" s="205">
        <f>SUM(H97:L97)/SUM(H$76:L$76)</f>
        <v>0.11079441269723372</v>
      </c>
    </row>
    <row r="98" spans="1:29" ht="13.5" thickTop="1">
      <c r="A98" s="184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160"/>
      <c r="O98" s="140"/>
      <c r="P98" s="2"/>
      <c r="Q98" s="2"/>
      <c r="R98" s="2"/>
      <c r="S98" s="2"/>
      <c r="T98" s="2"/>
      <c r="U98" s="2"/>
      <c r="V98" s="5"/>
      <c r="W98" s="5"/>
      <c r="X98" s="5"/>
      <c r="Y98" s="5"/>
      <c r="Z98" s="5"/>
      <c r="AA98" s="5"/>
      <c r="AB98" s="5"/>
      <c r="AC98" s="254"/>
    </row>
    <row r="99" spans="1:29" ht="12.75">
      <c r="A99" s="148" t="s">
        <v>46</v>
      </c>
      <c r="B99" s="165">
        <v>18.9</v>
      </c>
      <c r="C99" s="165">
        <v>17.9</v>
      </c>
      <c r="D99" s="165">
        <v>12.7</v>
      </c>
      <c r="E99" s="165">
        <v>7.3</v>
      </c>
      <c r="F99" s="165">
        <v>3.3</v>
      </c>
      <c r="G99" s="165">
        <v>2.1</v>
      </c>
      <c r="H99" s="165">
        <v>2.1</v>
      </c>
      <c r="I99" s="165">
        <v>2</v>
      </c>
      <c r="J99" s="165">
        <v>2</v>
      </c>
      <c r="K99" s="165">
        <v>2</v>
      </c>
      <c r="L99" s="165">
        <v>2</v>
      </c>
      <c r="M99" s="165">
        <v>2</v>
      </c>
      <c r="N99" s="150">
        <f>RATE(4.75,,-H99,L99)</f>
        <v>-0.01021904064399993</v>
      </c>
      <c r="O99" s="140"/>
      <c r="P99" s="2" t="str">
        <f t="shared" si="58"/>
        <v>Preferred Stock Dividends</v>
      </c>
      <c r="Q99" s="5">
        <f aca="true" t="shared" si="78" ref="Q99:T100">B99/B$97</f>
        <v>0.2258064516129033</v>
      </c>
      <c r="R99" s="5">
        <f t="shared" si="78"/>
        <v>-0.20294784580498862</v>
      </c>
      <c r="S99" s="5">
        <f t="shared" si="78"/>
        <v>0.03880232202871983</v>
      </c>
      <c r="T99" s="5">
        <f t="shared" si="78"/>
        <v>0.052105638829407705</v>
      </c>
      <c r="U99" s="5">
        <f>F99/F$76</f>
        <v>0.001033025512599781</v>
      </c>
      <c r="V99" s="5">
        <f aca="true" t="shared" si="79" ref="V99:AB100">G99/G$76</f>
        <v>0.0006887955917082131</v>
      </c>
      <c r="W99" s="5">
        <f t="shared" si="79"/>
        <v>0.0005389175456155208</v>
      </c>
      <c r="X99" s="5">
        <f t="shared" si="79"/>
        <v>0.0004697040864255519</v>
      </c>
      <c r="Y99" s="5">
        <f t="shared" si="79"/>
        <v>0.00044464206313917296</v>
      </c>
      <c r="Z99" s="5">
        <f t="shared" si="79"/>
        <v>0.0004487323311644604</v>
      </c>
      <c r="AA99" s="5">
        <f t="shared" si="79"/>
        <v>0.0004512635379061372</v>
      </c>
      <c r="AB99" s="5">
        <f t="shared" si="79"/>
        <v>0.0005868544600938967</v>
      </c>
      <c r="AC99" s="55">
        <f>SUM(H99:L99)/SUM(H$76:L$76)</f>
        <v>0.0004688580752679686</v>
      </c>
    </row>
    <row r="100" spans="1:29" ht="12.75">
      <c r="A100" s="148" t="s">
        <v>47</v>
      </c>
      <c r="B100" s="165">
        <f>269.5-B99</f>
        <v>250.6</v>
      </c>
      <c r="C100" s="165">
        <f>347.7-C99</f>
        <v>329.8</v>
      </c>
      <c r="D100" s="165">
        <f>310.3-D99</f>
        <v>297.6</v>
      </c>
      <c r="E100" s="165">
        <f>7.3-E99</f>
        <v>0</v>
      </c>
      <c r="F100" s="165">
        <v>160.6</v>
      </c>
      <c r="G100" s="165">
        <f>195.4-G99</f>
        <v>193.3</v>
      </c>
      <c r="H100" s="165">
        <v>175</v>
      </c>
      <c r="I100" s="165">
        <v>0</v>
      </c>
      <c r="J100" s="165">
        <v>0</v>
      </c>
      <c r="K100" s="165">
        <v>0</v>
      </c>
      <c r="L100" s="165">
        <v>0</v>
      </c>
      <c r="M100" s="165">
        <v>550</v>
      </c>
      <c r="N100" s="150"/>
      <c r="O100" s="140"/>
      <c r="P100" s="2" t="str">
        <f t="shared" si="58"/>
        <v>Common Stock Dividends</v>
      </c>
      <c r="Q100" s="5">
        <f t="shared" si="78"/>
        <v>2.9940262843488665</v>
      </c>
      <c r="R100" s="5">
        <f t="shared" si="78"/>
        <v>-3.73922902494331</v>
      </c>
      <c r="S100" s="5">
        <f t="shared" si="78"/>
        <v>0.9092575618698444</v>
      </c>
      <c r="T100" s="5">
        <f t="shared" si="78"/>
        <v>0</v>
      </c>
      <c r="U100" s="5">
        <f>F100/F$76</f>
        <v>0.050273908279856</v>
      </c>
      <c r="V100" s="5">
        <f t="shared" si="79"/>
        <v>0.06340199422723694</v>
      </c>
      <c r="W100" s="5">
        <f t="shared" si="79"/>
        <v>0.04490979546796007</v>
      </c>
      <c r="X100" s="5">
        <f t="shared" si="79"/>
        <v>0</v>
      </c>
      <c r="Y100" s="5">
        <f t="shared" si="79"/>
        <v>0</v>
      </c>
      <c r="Z100" s="5">
        <f t="shared" si="79"/>
        <v>0</v>
      </c>
      <c r="AA100" s="5">
        <f t="shared" si="79"/>
        <v>0</v>
      </c>
      <c r="AB100" s="5">
        <f t="shared" si="79"/>
        <v>0.1613849765258216</v>
      </c>
      <c r="AC100" s="55">
        <f>SUM(H100:L100)/SUM(H$76:L$76)</f>
        <v>0.008123778531870744</v>
      </c>
    </row>
    <row r="101" spans="1:29" ht="12.75">
      <c r="A101" s="149" t="s">
        <v>159</v>
      </c>
      <c r="B101" s="165" t="s">
        <v>161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50"/>
      <c r="O101" s="140"/>
      <c r="P101" s="14" t="str">
        <f t="shared" si="58"/>
        <v>*</v>
      </c>
      <c r="Q101" s="174" t="s">
        <v>160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2.7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50"/>
      <c r="O102" s="140"/>
      <c r="P102" s="2"/>
      <c r="Q102" s="140"/>
      <c r="R102" s="140"/>
      <c r="S102" s="140"/>
      <c r="T102" s="140"/>
      <c r="U102" s="175"/>
      <c r="V102" s="175"/>
      <c r="W102" s="175"/>
      <c r="X102" s="175"/>
      <c r="Y102" s="175"/>
      <c r="Z102" s="175"/>
      <c r="AA102" s="175"/>
      <c r="AB102" s="175"/>
      <c r="AC102" s="175"/>
    </row>
    <row r="103" spans="1:29" ht="12.7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50"/>
      <c r="O103" s="140"/>
      <c r="P103" s="2"/>
      <c r="R103" s="140"/>
      <c r="S103" s="140"/>
      <c r="T103" s="140"/>
      <c r="U103" s="175"/>
      <c r="V103" s="175"/>
      <c r="W103" s="175"/>
      <c r="X103" s="175"/>
      <c r="Y103" s="175"/>
      <c r="Z103" s="175"/>
      <c r="AA103" s="175"/>
      <c r="AB103" s="175"/>
      <c r="AC103" s="175"/>
    </row>
    <row r="104" spans="1:29" ht="12.7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215" t="s">
        <v>116</v>
      </c>
      <c r="O104" s="140"/>
      <c r="P104" s="2"/>
      <c r="Q104" s="140"/>
      <c r="R104" s="140"/>
      <c r="S104" s="140"/>
      <c r="T104" s="140"/>
      <c r="U104" s="175"/>
      <c r="V104" s="175"/>
      <c r="W104" s="175"/>
      <c r="X104" s="175"/>
      <c r="Y104" s="175"/>
      <c r="Z104" s="175"/>
      <c r="AA104" s="175"/>
      <c r="AB104" s="175"/>
      <c r="AC104" s="175"/>
    </row>
    <row r="105" spans="1:29" ht="12.75">
      <c r="A105" s="148"/>
      <c r="B105" s="148"/>
      <c r="C105" s="148"/>
      <c r="D105" s="148"/>
      <c r="E105" s="148"/>
      <c r="F105" s="138"/>
      <c r="G105" s="138"/>
      <c r="H105" s="138"/>
      <c r="I105" s="138"/>
      <c r="J105" s="138"/>
      <c r="K105" s="138"/>
      <c r="L105" s="138"/>
      <c r="M105" s="138"/>
      <c r="N105" s="161" t="s">
        <v>120</v>
      </c>
      <c r="O105" s="140"/>
      <c r="P105" s="2"/>
      <c r="Q105" s="140"/>
      <c r="R105" s="140"/>
      <c r="S105" s="140"/>
      <c r="T105" s="140"/>
      <c r="U105" s="175"/>
      <c r="V105" s="175"/>
      <c r="W105" s="175"/>
      <c r="X105" s="175"/>
      <c r="Y105" s="175"/>
      <c r="Z105" s="175"/>
      <c r="AA105" s="175"/>
      <c r="AB105" s="175"/>
      <c r="AC105" s="175"/>
    </row>
    <row r="106" spans="1:29" ht="18.75">
      <c r="A106" s="142" t="str">
        <f>A4</f>
        <v>PacifiCorp</v>
      </c>
      <c r="B106" s="143"/>
      <c r="C106" s="143"/>
      <c r="D106" s="143"/>
      <c r="E106" s="143"/>
      <c r="F106" s="146"/>
      <c r="G106" s="146"/>
      <c r="H106" s="146"/>
      <c r="I106" s="146"/>
      <c r="J106" s="146"/>
      <c r="K106" s="146"/>
      <c r="L106" s="146"/>
      <c r="M106" s="146"/>
      <c r="N106" s="143"/>
      <c r="O106" s="140"/>
      <c r="P106" s="2"/>
      <c r="Q106" s="140"/>
      <c r="R106" s="140"/>
      <c r="S106" s="140"/>
      <c r="T106" s="140"/>
      <c r="U106" s="175"/>
      <c r="V106" s="175"/>
      <c r="W106" s="175"/>
      <c r="X106" s="175"/>
      <c r="Y106" s="175"/>
      <c r="Z106" s="175"/>
      <c r="AA106" s="175"/>
      <c r="AB106" s="175"/>
      <c r="AC106" s="175"/>
    </row>
    <row r="107" spans="1:29" ht="15.75">
      <c r="A107" s="145" t="s">
        <v>41</v>
      </c>
      <c r="B107" s="146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7"/>
      <c r="O107" s="140"/>
      <c r="P107" s="2"/>
      <c r="Q107" s="140"/>
      <c r="R107" s="140"/>
      <c r="S107" s="140"/>
      <c r="T107" s="140"/>
      <c r="U107" s="175"/>
      <c r="V107" s="175"/>
      <c r="W107" s="175"/>
      <c r="X107" s="175"/>
      <c r="Y107" s="175"/>
      <c r="Z107" s="175"/>
      <c r="AA107" s="175"/>
      <c r="AB107" s="175"/>
      <c r="AC107" s="175"/>
    </row>
    <row r="108" spans="1:29" ht="14.25">
      <c r="A108" s="246" t="str">
        <f>A6</f>
        <v>Fiscal Years Ended March 31, 2006, December 31, 2007-2010</v>
      </c>
      <c r="B108" s="146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7"/>
      <c r="O108" s="140"/>
      <c r="P108" s="2"/>
      <c r="Q108" s="140"/>
      <c r="R108" s="140"/>
      <c r="S108" s="140"/>
      <c r="T108" s="140"/>
      <c r="U108" s="175"/>
      <c r="V108" s="175"/>
      <c r="W108" s="175"/>
      <c r="X108" s="175"/>
      <c r="Y108" s="175"/>
      <c r="Z108" s="175"/>
      <c r="AA108" s="175"/>
      <c r="AB108" s="175"/>
      <c r="AC108" s="175"/>
    </row>
    <row r="109" spans="1:29" ht="12.7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50"/>
      <c r="O109" s="140"/>
      <c r="P109" s="2"/>
      <c r="Q109" s="140"/>
      <c r="R109" s="140"/>
      <c r="S109" s="140"/>
      <c r="T109" s="140"/>
      <c r="U109" s="175"/>
      <c r="V109" s="175"/>
      <c r="W109" s="175"/>
      <c r="X109" s="175"/>
      <c r="Y109" s="175"/>
      <c r="Z109" s="175"/>
      <c r="AA109" s="175"/>
      <c r="AB109" s="175"/>
      <c r="AC109" s="175"/>
    </row>
    <row r="110" spans="1:29" ht="12.75">
      <c r="A110" s="184"/>
      <c r="B110" s="184"/>
      <c r="C110" s="184"/>
      <c r="D110" s="184"/>
      <c r="E110" s="184"/>
      <c r="F110" s="184"/>
      <c r="G110" s="184"/>
      <c r="H110" s="190"/>
      <c r="I110" s="190"/>
      <c r="J110" s="190"/>
      <c r="K110" s="190"/>
      <c r="L110" s="190"/>
      <c r="M110" s="190" t="str">
        <f>M72</f>
        <v>September</v>
      </c>
      <c r="N110" s="189" t="str">
        <f>N7</f>
        <v>2006-2010</v>
      </c>
      <c r="O110" s="140"/>
      <c r="P110" s="2"/>
      <c r="Q110" s="140"/>
      <c r="R110" s="140"/>
      <c r="S110" s="140"/>
      <c r="T110" s="140"/>
      <c r="U110" s="175"/>
      <c r="V110" s="175"/>
      <c r="W110" s="175"/>
      <c r="X110" s="175"/>
      <c r="Y110" s="175"/>
      <c r="Z110" s="175"/>
      <c r="AA110" s="175"/>
      <c r="AB110" s="175"/>
      <c r="AC110" s="175"/>
    </row>
    <row r="111" spans="1:29" ht="12.75">
      <c r="A111" s="207" t="s">
        <v>26</v>
      </c>
      <c r="B111" s="187">
        <f aca="true" t="shared" si="80" ref="B111:H111">Q9</f>
        <v>2000</v>
      </c>
      <c r="C111" s="187">
        <f t="shared" si="80"/>
        <v>2001</v>
      </c>
      <c r="D111" s="187">
        <f t="shared" si="80"/>
        <v>2002</v>
      </c>
      <c r="E111" s="187">
        <f t="shared" si="80"/>
        <v>2003</v>
      </c>
      <c r="F111" s="187">
        <f t="shared" si="80"/>
        <v>2004</v>
      </c>
      <c r="G111" s="187">
        <f t="shared" si="80"/>
        <v>2005</v>
      </c>
      <c r="H111" s="187">
        <f t="shared" si="80"/>
        <v>2006</v>
      </c>
      <c r="I111" s="187">
        <f>X73</f>
        <v>2007</v>
      </c>
      <c r="J111" s="187">
        <f>Y73</f>
        <v>2008</v>
      </c>
      <c r="K111" s="187">
        <f>Z73</f>
        <v>2009</v>
      </c>
      <c r="L111" s="187">
        <f>AA73</f>
        <v>2010</v>
      </c>
      <c r="M111" s="187">
        <f>M73</f>
        <v>2011</v>
      </c>
      <c r="N111" s="192" t="s">
        <v>3</v>
      </c>
      <c r="O111" s="140"/>
      <c r="P111" s="2"/>
      <c r="Q111" s="140"/>
      <c r="R111" s="140"/>
      <c r="S111" s="140"/>
      <c r="T111" s="140"/>
      <c r="U111" s="175"/>
      <c r="V111" s="175"/>
      <c r="W111" s="175"/>
      <c r="X111" s="175"/>
      <c r="Y111" s="175"/>
      <c r="Z111" s="175"/>
      <c r="AA111" s="175"/>
      <c r="AB111" s="175"/>
      <c r="AC111" s="175"/>
    </row>
    <row r="112" spans="1:29" ht="7.5" customHeight="1">
      <c r="A112" s="151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7"/>
      <c r="O112" s="140"/>
      <c r="P112" s="2"/>
      <c r="Q112" s="140"/>
      <c r="R112" s="140"/>
      <c r="S112" s="140"/>
      <c r="T112" s="140"/>
      <c r="U112" s="175"/>
      <c r="V112" s="175"/>
      <c r="W112" s="175"/>
      <c r="X112" s="175"/>
      <c r="Y112" s="175"/>
      <c r="Z112" s="175"/>
      <c r="AA112" s="175"/>
      <c r="AB112" s="175"/>
      <c r="AC112" s="175"/>
    </row>
    <row r="113" spans="1:29" ht="12.75" customHeight="1">
      <c r="A113" s="186" t="s">
        <v>29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50"/>
      <c r="O113" s="140"/>
      <c r="P113" s="2"/>
      <c r="Q113" s="140"/>
      <c r="R113" s="140"/>
      <c r="S113" s="140"/>
      <c r="T113" s="140"/>
      <c r="U113" s="175"/>
      <c r="V113" s="175"/>
      <c r="W113" s="175"/>
      <c r="X113" s="175"/>
      <c r="Y113" s="175"/>
      <c r="Z113" s="175"/>
      <c r="AA113" s="175"/>
      <c r="AB113" s="175"/>
      <c r="AC113" s="175"/>
    </row>
    <row r="114" spans="1:29" ht="12.75" customHeight="1">
      <c r="A114" s="148" t="s">
        <v>7</v>
      </c>
      <c r="B114" s="178">
        <f aca="true" t="shared" si="81" ref="B114:L114">B16/B47</f>
        <v>0.876847290640394</v>
      </c>
      <c r="C114" s="178">
        <f t="shared" si="81"/>
        <v>0.8477391956032975</v>
      </c>
      <c r="D114" s="178">
        <f t="shared" si="81"/>
        <v>0.6247021119237406</v>
      </c>
      <c r="E114" s="178">
        <f t="shared" si="81"/>
        <v>0.9074786324786325</v>
      </c>
      <c r="F114" s="178">
        <f t="shared" si="81"/>
        <v>0.7040863818300289</v>
      </c>
      <c r="G114" s="178">
        <f t="shared" si="81"/>
        <v>0.7600300431870813</v>
      </c>
      <c r="H114" s="178">
        <f t="shared" si="81"/>
        <v>0.8348819998355397</v>
      </c>
      <c r="I114" s="178">
        <f t="shared" si="81"/>
        <v>1.1241431835491242</v>
      </c>
      <c r="J114" s="178">
        <f t="shared" si="81"/>
        <v>0.9386084583901774</v>
      </c>
      <c r="K114" s="178">
        <f t="shared" si="81"/>
        <v>1.5518262586377098</v>
      </c>
      <c r="L114" s="178">
        <f t="shared" si="81"/>
        <v>1.0624187256176854</v>
      </c>
      <c r="M114" s="178">
        <f>M16/M47</f>
        <v>0.8952076677316294</v>
      </c>
      <c r="N114" s="178">
        <f>AVERAGE(H114:L114)</f>
        <v>1.102375725206047</v>
      </c>
      <c r="O114" s="140"/>
      <c r="P114" s="2"/>
      <c r="Q114" s="140"/>
      <c r="R114" s="140"/>
      <c r="S114" s="140"/>
      <c r="T114" s="140"/>
      <c r="U114" s="175"/>
      <c r="V114" s="175"/>
      <c r="W114" s="175"/>
      <c r="X114" s="175"/>
      <c r="Y114" s="175"/>
      <c r="Z114" s="175"/>
      <c r="AA114" s="175"/>
      <c r="AB114" s="175"/>
      <c r="AC114" s="175"/>
    </row>
    <row r="115" spans="1:29" ht="12.75" customHeight="1">
      <c r="A115" s="148" t="s">
        <v>25</v>
      </c>
      <c r="B115" s="178">
        <f aca="true" t="shared" si="82" ref="B115:L115">(B12+B13)/B47</f>
        <v>0.6529830322933771</v>
      </c>
      <c r="C115" s="178">
        <f t="shared" si="82"/>
        <v>0.44116912315763174</v>
      </c>
      <c r="D115" s="178">
        <f t="shared" si="82"/>
        <v>0.33445640562083984</v>
      </c>
      <c r="E115" s="178">
        <f t="shared" si="82"/>
        <v>0.4387820512820513</v>
      </c>
      <c r="F115" s="178">
        <f t="shared" si="82"/>
        <v>0.2732942381085358</v>
      </c>
      <c r="G115" s="178">
        <f t="shared" si="82"/>
        <v>0.3081304375039119</v>
      </c>
      <c r="H115" s="178">
        <f t="shared" si="82"/>
        <v>0.3177370282049173</v>
      </c>
      <c r="I115" s="178">
        <f t="shared" si="82"/>
        <v>0.6176694592536177</v>
      </c>
      <c r="J115" s="178">
        <f t="shared" si="82"/>
        <v>0.45566166439290584</v>
      </c>
      <c r="K115" s="178">
        <f t="shared" si="82"/>
        <v>0.7265547877591313</v>
      </c>
      <c r="L115" s="178">
        <f t="shared" si="82"/>
        <v>0.4284785435630689</v>
      </c>
      <c r="M115" s="178">
        <f>(M12+M13)/M47</f>
        <v>0.518849840255591</v>
      </c>
      <c r="N115" s="178">
        <f aca="true" t="shared" si="83" ref="N115:N123">AVERAGE(H115:L115)</f>
        <v>0.5092202966347282</v>
      </c>
      <c r="O115" s="140"/>
      <c r="P115" s="2"/>
      <c r="Q115" s="140"/>
      <c r="R115" s="140"/>
      <c r="S115" s="140"/>
      <c r="T115" s="140"/>
      <c r="U115" s="175"/>
      <c r="V115" s="175"/>
      <c r="W115" s="175"/>
      <c r="X115" s="175"/>
      <c r="Y115" s="175"/>
      <c r="Z115" s="175"/>
      <c r="AA115" s="175"/>
      <c r="AB115" s="175"/>
      <c r="AC115" s="175"/>
    </row>
    <row r="116" spans="1:29" ht="12.75" customHeight="1">
      <c r="A116" s="140" t="s">
        <v>231</v>
      </c>
      <c r="B116" s="178"/>
      <c r="C116" s="178"/>
      <c r="D116" s="178"/>
      <c r="E116" s="178"/>
      <c r="F116" s="178"/>
      <c r="G116" s="178"/>
      <c r="H116" s="178">
        <f aca="true" t="shared" si="84" ref="H116:M116">((H76/365)/((G12+H12)/2))^-1</f>
        <v>14.935522365078143</v>
      </c>
      <c r="I116" s="178">
        <f t="shared" si="84"/>
        <v>14.898309065288869</v>
      </c>
      <c r="J116" s="178">
        <f t="shared" si="84"/>
        <v>11.644619831036016</v>
      </c>
      <c r="K116" s="178">
        <f t="shared" si="84"/>
        <v>7.206641238501234</v>
      </c>
      <c r="L116" s="178">
        <f t="shared" si="84"/>
        <v>6.094314079422383</v>
      </c>
      <c r="M116" s="178">
        <f t="shared" si="84"/>
        <v>9.746185446009388</v>
      </c>
      <c r="N116" s="178">
        <f t="shared" si="83"/>
        <v>10.95588131586533</v>
      </c>
      <c r="O116" s="140"/>
      <c r="P116" s="2"/>
      <c r="Q116" s="140"/>
      <c r="R116" s="140"/>
      <c r="S116" s="140"/>
      <c r="T116" s="140"/>
      <c r="U116" s="175"/>
      <c r="V116" s="175"/>
      <c r="W116" s="175"/>
      <c r="X116" s="175"/>
      <c r="Y116" s="175"/>
      <c r="Z116" s="175"/>
      <c r="AA116" s="175"/>
      <c r="AB116" s="175"/>
      <c r="AC116" s="175"/>
    </row>
    <row r="117" spans="1:29" ht="12.75" customHeight="1">
      <c r="A117" s="148" t="s">
        <v>10</v>
      </c>
      <c r="B117" s="178">
        <f>365*(B13/B76)</f>
        <v>51.414382101382024</v>
      </c>
      <c r="C117" s="178">
        <f aca="true" t="shared" si="85" ref="C117:M117">365*(((B13+C13)/2)/((B76+C76)/2))</f>
        <v>45.55537124278415</v>
      </c>
      <c r="D117" s="178">
        <f t="shared" si="85"/>
        <v>35.42184935905059</v>
      </c>
      <c r="E117" s="178">
        <f t="shared" si="85"/>
        <v>28.76967418156958</v>
      </c>
      <c r="F117" s="178">
        <f t="shared" si="85"/>
        <v>28.685258646784238</v>
      </c>
      <c r="G117" s="178">
        <f t="shared" si="85"/>
        <v>30.87413707494434</v>
      </c>
      <c r="H117" s="178">
        <f t="shared" si="85"/>
        <v>29.41861637031171</v>
      </c>
      <c r="I117" s="178">
        <f t="shared" si="85"/>
        <v>38.03659239457</v>
      </c>
      <c r="J117" s="178">
        <f t="shared" si="85"/>
        <v>49.68935587026039</v>
      </c>
      <c r="K117" s="178">
        <f t="shared" si="85"/>
        <v>50.05248464544947</v>
      </c>
      <c r="L117" s="178">
        <f t="shared" si="85"/>
        <v>51.20429744628193</v>
      </c>
      <c r="M117" s="178">
        <f t="shared" si="85"/>
        <v>60.01084183673469</v>
      </c>
      <c r="N117" s="178">
        <f t="shared" si="83"/>
        <v>43.6802693453747</v>
      </c>
      <c r="O117" s="140"/>
      <c r="P117" s="2"/>
      <c r="Q117" s="140"/>
      <c r="R117" s="140"/>
      <c r="S117" s="140"/>
      <c r="T117" s="140"/>
      <c r="U117" s="175"/>
      <c r="V117" s="175"/>
      <c r="W117" s="175"/>
      <c r="X117" s="175"/>
      <c r="Y117" s="175"/>
      <c r="Z117" s="175"/>
      <c r="AA117" s="175"/>
      <c r="AB117" s="175"/>
      <c r="AC117" s="175"/>
    </row>
    <row r="118" spans="1:29" ht="7.5" customHeight="1">
      <c r="A118" s="14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40"/>
      <c r="P118" s="2"/>
      <c r="Q118" s="140"/>
      <c r="R118" s="140"/>
      <c r="S118" s="140"/>
      <c r="T118" s="140"/>
      <c r="U118" s="175"/>
      <c r="V118" s="175"/>
      <c r="W118" s="175"/>
      <c r="X118" s="175"/>
      <c r="Y118" s="175"/>
      <c r="Z118" s="175"/>
      <c r="AA118" s="175"/>
      <c r="AB118" s="175"/>
      <c r="AC118" s="175"/>
    </row>
    <row r="119" spans="1:29" ht="12.75">
      <c r="A119" s="186" t="s">
        <v>16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40"/>
      <c r="P119" s="2"/>
      <c r="Q119" s="140"/>
      <c r="R119" s="140"/>
      <c r="S119" s="140"/>
      <c r="T119" s="140"/>
      <c r="U119" s="175"/>
      <c r="V119" s="175"/>
      <c r="W119" s="175"/>
      <c r="X119" s="175"/>
      <c r="Y119" s="175"/>
      <c r="Z119" s="175"/>
      <c r="AA119" s="175"/>
      <c r="AB119" s="175"/>
      <c r="AC119" s="175"/>
    </row>
    <row r="120" spans="1:29" ht="12.75">
      <c r="A120" s="148" t="s">
        <v>20</v>
      </c>
      <c r="B120" s="178">
        <f aca="true" t="shared" si="86" ref="B120:L120">B62/B55</f>
        <v>0.47265705897401533</v>
      </c>
      <c r="C120" s="178">
        <f t="shared" si="86"/>
        <v>0.4767583115740676</v>
      </c>
      <c r="D120" s="178">
        <f t="shared" si="86"/>
        <v>0.3841167797893394</v>
      </c>
      <c r="E120" s="178">
        <f t="shared" si="86"/>
        <v>0.39674102041830195</v>
      </c>
      <c r="F120" s="178">
        <f t="shared" si="86"/>
        <v>0.3949860254433308</v>
      </c>
      <c r="G120" s="178">
        <f t="shared" si="86"/>
        <v>0.36677295217152284</v>
      </c>
      <c r="H120" s="178">
        <f t="shared" si="86"/>
        <v>0.46427496469171825</v>
      </c>
      <c r="I120" s="178">
        <f t="shared" si="86"/>
        <v>0.5127709372137987</v>
      </c>
      <c r="J120" s="178">
        <f>J62/J55</f>
        <v>0.5428828828828829</v>
      </c>
      <c r="K120" s="178">
        <f>K62/K55</f>
        <v>0.5469184240640838</v>
      </c>
      <c r="L120" s="178">
        <f t="shared" si="86"/>
        <v>0.5664199454616283</v>
      </c>
      <c r="M120" s="178">
        <f>M62/M55</f>
        <v>0.5336172120125504</v>
      </c>
      <c r="N120" s="178">
        <f t="shared" si="83"/>
        <v>0.5266534308628223</v>
      </c>
      <c r="O120" s="140"/>
      <c r="P120" s="2"/>
      <c r="Q120" s="140"/>
      <c r="R120" s="140"/>
      <c r="S120" s="140"/>
      <c r="T120" s="140"/>
      <c r="U120" s="175"/>
      <c r="V120" s="175"/>
      <c r="W120" s="175"/>
      <c r="X120" s="175"/>
      <c r="Y120" s="175"/>
      <c r="Z120" s="175"/>
      <c r="AA120" s="175"/>
      <c r="AB120" s="175"/>
      <c r="AC120" s="175"/>
    </row>
    <row r="121" spans="1:29" ht="12.75">
      <c r="A121" s="148" t="s">
        <v>19</v>
      </c>
      <c r="B121" s="178">
        <f aca="true" t="shared" si="87" ref="B121:L121">B62/B53</f>
        <v>0.5455043936731108</v>
      </c>
      <c r="C121" s="178">
        <f t="shared" si="87"/>
        <v>0.6140454995054402</v>
      </c>
      <c r="D121" s="178">
        <f t="shared" si="87"/>
        <v>0.45817357964447536</v>
      </c>
      <c r="E121" s="178">
        <f t="shared" si="87"/>
        <v>0.44892911349710496</v>
      </c>
      <c r="F121" s="178">
        <f t="shared" si="87"/>
        <v>0.4537051131253027</v>
      </c>
      <c r="G121" s="178">
        <f t="shared" si="87"/>
        <v>0.44493350939671616</v>
      </c>
      <c r="H121" s="178">
        <f t="shared" si="87"/>
        <v>0.5403457242559384</v>
      </c>
      <c r="I121" s="178">
        <f t="shared" si="87"/>
        <v>0.5918487197556965</v>
      </c>
      <c r="J121" s="178">
        <f>J62/J53</f>
        <v>0.6254930454639818</v>
      </c>
      <c r="K121" s="178">
        <f>K62/K53</f>
        <v>0.5962926655378309</v>
      </c>
      <c r="L121" s="178">
        <f t="shared" si="87"/>
        <v>0.6435336815083651</v>
      </c>
      <c r="M121" s="178">
        <f>M62/M53</f>
        <v>0.6042635986803147</v>
      </c>
      <c r="N121" s="178">
        <f t="shared" si="83"/>
        <v>0.5995027673043625</v>
      </c>
      <c r="O121" s="140"/>
      <c r="P121" s="2"/>
      <c r="Q121" s="140"/>
      <c r="R121" s="140"/>
      <c r="S121" s="140"/>
      <c r="T121" s="140"/>
      <c r="U121" s="175"/>
      <c r="V121" s="175"/>
      <c r="W121" s="175"/>
      <c r="X121" s="175"/>
      <c r="Y121" s="175"/>
      <c r="Z121" s="175"/>
      <c r="AA121" s="175"/>
      <c r="AB121" s="175"/>
      <c r="AC121" s="175"/>
    </row>
    <row r="122" spans="1:29" ht="12.75">
      <c r="A122" s="148" t="s">
        <v>18</v>
      </c>
      <c r="B122" s="178">
        <f aca="true" t="shared" si="88" ref="B122:L122">B62/B27</f>
        <v>0.42180620332017876</v>
      </c>
      <c r="C122" s="178">
        <f t="shared" si="88"/>
        <v>0.43095331254969776</v>
      </c>
      <c r="D122" s="178">
        <f t="shared" si="88"/>
        <v>0.3628709454796411</v>
      </c>
      <c r="E122" s="178">
        <f t="shared" si="88"/>
        <v>0.3672357302983273</v>
      </c>
      <c r="F122" s="178">
        <f t="shared" si="88"/>
        <v>0.362828528744536</v>
      </c>
      <c r="G122" s="178">
        <f t="shared" si="88"/>
        <v>0.35148462689397936</v>
      </c>
      <c r="H122" s="178">
        <f t="shared" si="88"/>
        <v>0.39671784117437586</v>
      </c>
      <c r="I122" s="178">
        <f t="shared" si="88"/>
        <v>0.42526795510169635</v>
      </c>
      <c r="J122" s="178">
        <f t="shared" si="88"/>
        <v>0.4359085648148148</v>
      </c>
      <c r="K122" s="178">
        <f t="shared" si="88"/>
        <v>0.43064941751946967</v>
      </c>
      <c r="L122" s="178">
        <f t="shared" si="88"/>
        <v>0.4435090287945339</v>
      </c>
      <c r="M122" s="178">
        <f>M62/M27</f>
        <v>0.41906717512467</v>
      </c>
      <c r="N122" s="178">
        <f t="shared" si="83"/>
        <v>0.42641056148097817</v>
      </c>
      <c r="O122" s="140"/>
      <c r="P122" s="2"/>
      <c r="Q122" s="140"/>
      <c r="R122" s="140"/>
      <c r="S122" s="140"/>
      <c r="T122" s="140"/>
      <c r="U122" s="175"/>
      <c r="V122" s="175"/>
      <c r="W122" s="175"/>
      <c r="X122" s="175"/>
      <c r="Y122" s="175"/>
      <c r="Z122" s="175"/>
      <c r="AA122" s="175"/>
      <c r="AB122" s="175"/>
      <c r="AC122" s="175"/>
    </row>
    <row r="123" spans="1:29" ht="12.75">
      <c r="A123" s="148" t="s">
        <v>30</v>
      </c>
      <c r="B123" s="178">
        <f aca="true" t="shared" si="89" ref="B123:I123">(B93+B87)/B87</f>
        <v>2.2830012453300124</v>
      </c>
      <c r="C123" s="178">
        <f t="shared" si="89"/>
        <v>1.3322522522522522</v>
      </c>
      <c r="D123" s="178">
        <f t="shared" si="89"/>
        <v>3.126358695652174</v>
      </c>
      <c r="E123" s="178">
        <f t="shared" si="89"/>
        <v>1.948077685295282</v>
      </c>
      <c r="F123" s="178">
        <f t="shared" si="89"/>
        <v>2.663144547759931</v>
      </c>
      <c r="G123" s="178">
        <f t="shared" si="89"/>
        <v>2.6634996041171823</v>
      </c>
      <c r="H123" s="178">
        <f t="shared" si="89"/>
        <v>3.263030303030302</v>
      </c>
      <c r="I123" s="178">
        <f t="shared" si="89"/>
        <v>3.3333333333333335</v>
      </c>
      <c r="J123" s="178">
        <f>(J93+J87)/J87</f>
        <v>3.2750809061488675</v>
      </c>
      <c r="K123" s="178">
        <f>(K93+K87)/K87</f>
        <v>3.183844011142061</v>
      </c>
      <c r="L123" s="178">
        <f>((L93+L87)/L87)</f>
        <v>3.2719298245614037</v>
      </c>
      <c r="M123" s="178">
        <f>((M93+M87)/M87)</f>
        <v>3.161290322580645</v>
      </c>
      <c r="N123" s="178">
        <f t="shared" si="83"/>
        <v>3.2654436756431933</v>
      </c>
      <c r="O123" s="140"/>
      <c r="P123" s="2"/>
      <c r="Q123" s="140"/>
      <c r="R123" s="140"/>
      <c r="S123" s="140"/>
      <c r="T123" s="140"/>
      <c r="U123" s="175"/>
      <c r="V123" s="175"/>
      <c r="W123" s="175"/>
      <c r="X123" s="175"/>
      <c r="Y123" s="175"/>
      <c r="Z123" s="175"/>
      <c r="AA123" s="175"/>
      <c r="AB123" s="175"/>
      <c r="AC123" s="175"/>
    </row>
    <row r="124" spans="1:29" ht="12.75">
      <c r="A124" s="14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40"/>
      <c r="P124" s="2"/>
      <c r="Q124" s="140"/>
      <c r="R124" s="140"/>
      <c r="S124" s="140"/>
      <c r="T124" s="140"/>
      <c r="U124" s="175"/>
      <c r="V124" s="175"/>
      <c r="W124" s="175"/>
      <c r="X124" s="175"/>
      <c r="Y124" s="175"/>
      <c r="Z124" s="175"/>
      <c r="AA124" s="175"/>
      <c r="AB124" s="175"/>
      <c r="AC124" s="175"/>
    </row>
    <row r="125" spans="1:29" ht="12.75">
      <c r="A125" s="186" t="s">
        <v>66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40"/>
      <c r="P125" s="2"/>
      <c r="Q125" s="140"/>
      <c r="R125" s="140"/>
      <c r="S125" s="140"/>
      <c r="T125" s="140"/>
      <c r="U125" s="175"/>
      <c r="V125" s="175"/>
      <c r="W125" s="175"/>
      <c r="X125" s="175"/>
      <c r="Y125" s="175"/>
      <c r="Z125" s="175"/>
      <c r="AA125" s="175"/>
      <c r="AB125" s="175"/>
      <c r="AC125" s="175"/>
    </row>
    <row r="126" spans="1:29" ht="12.75">
      <c r="A126" s="148" t="s">
        <v>28</v>
      </c>
      <c r="B126" s="150">
        <f>(B97+(B87*(1-(B96/B93))))/((B37)/1)</f>
        <v>0.024417305749913163</v>
      </c>
      <c r="C126" s="150">
        <f aca="true" t="shared" si="90" ref="C126:K126">(C97+(C87*(1-(C96/C93))))/((B37+C37)/2)</f>
        <v>-0.030177265524137634</v>
      </c>
      <c r="D126" s="150">
        <f t="shared" si="90"/>
        <v>0.042276489838652</v>
      </c>
      <c r="E126" s="150">
        <f t="shared" si="90"/>
        <v>0.025683038962038707</v>
      </c>
      <c r="F126" s="150">
        <f t="shared" si="90"/>
        <v>0.03404082431872751</v>
      </c>
      <c r="G126" s="150">
        <f>(G97+(G87*(1-(G96/G93))))/((F37+G37)/2)</f>
        <v>0.03330915945354681</v>
      </c>
      <c r="H126" s="150">
        <f t="shared" si="90"/>
        <v>0.041191504558362284</v>
      </c>
      <c r="I126" s="150">
        <f t="shared" si="90"/>
        <v>0.04600241590215649</v>
      </c>
      <c r="J126" s="150">
        <f t="shared" si="90"/>
        <v>0.04174024666110402</v>
      </c>
      <c r="K126" s="150">
        <f t="shared" si="90"/>
        <v>0.044383222527657175</v>
      </c>
      <c r="L126" s="150">
        <f>((L97+(L87*(1-(L96/L93))))/((K37+L37)/2))</f>
        <v>0.04168170449618598</v>
      </c>
      <c r="M126" s="150">
        <f>((M97+(M87*(1-(M96/M93))))/((L37+M37)/2))*(4/3)</f>
        <v>0.040714005373466686</v>
      </c>
      <c r="N126" s="179">
        <f>AVERAGE(H126:L126)</f>
        <v>0.042999818829093185</v>
      </c>
      <c r="O126" s="140"/>
      <c r="P126" s="2"/>
      <c r="Q126" s="140"/>
      <c r="R126" s="140"/>
      <c r="S126" s="140"/>
      <c r="T126" s="140"/>
      <c r="U126" s="175"/>
      <c r="V126" s="175"/>
      <c r="W126" s="175"/>
      <c r="X126" s="175"/>
      <c r="Y126" s="175"/>
      <c r="Z126" s="175"/>
      <c r="AA126" s="175"/>
      <c r="AB126" s="175"/>
      <c r="AC126" s="175"/>
    </row>
    <row r="127" spans="1:29" ht="12.75">
      <c r="A127" s="148" t="s">
        <v>65</v>
      </c>
      <c r="B127" s="150">
        <f>(B97+(B87*(1-(B96/B93))))/((B49+B57+B62)/1)</f>
        <v>0.03469965687892739</v>
      </c>
      <c r="C127" s="150">
        <f aca="true" t="shared" si="91" ref="C127:K127">(C97+(C87*(1-(C96/C93))))/((B49+C49+B57+C57+B62+C62)/2)</f>
        <v>-0.04552265500223389</v>
      </c>
      <c r="D127" s="150">
        <f t="shared" si="91"/>
        <v>0.06752176643189915</v>
      </c>
      <c r="E127" s="150">
        <f t="shared" si="91"/>
        <v>0.041516238440737915</v>
      </c>
      <c r="F127" s="150">
        <f t="shared" si="91"/>
        <v>0.05700069368900124</v>
      </c>
      <c r="G127" s="150">
        <f>(G97+(G87*(1-(G96/G93))))/((F49+G49+F57+G57+F62+G62)/2)</f>
        <v>0.05777305793375041</v>
      </c>
      <c r="H127" s="150">
        <f t="shared" si="91"/>
        <v>0.0699560233646295</v>
      </c>
      <c r="I127" s="150">
        <f t="shared" si="91"/>
        <v>0.07204745093690021</v>
      </c>
      <c r="J127" s="150">
        <f t="shared" si="91"/>
        <v>0.06278262387020496</v>
      </c>
      <c r="K127" s="150">
        <f t="shared" si="91"/>
        <v>0.06513012141460572</v>
      </c>
      <c r="L127" s="150">
        <f>((L97+(L87*(1-(L96/L93))))/((K49+L49+K57+L57+K62+L62)/2))</f>
        <v>0.06209075358983951</v>
      </c>
      <c r="M127" s="150">
        <f>((M97+(M87*(1-(M96/M93))))/((L49+M49+L57+M57+L62+M62)/2))*(4/3)</f>
        <v>0.06252211823135209</v>
      </c>
      <c r="N127" s="179">
        <f>AVERAGE(H127:L127)</f>
        <v>0.06640139463523598</v>
      </c>
      <c r="O127" s="140"/>
      <c r="P127" s="2"/>
      <c r="Q127" s="140"/>
      <c r="R127" s="140"/>
      <c r="S127" s="140"/>
      <c r="T127" s="140"/>
      <c r="U127" s="175"/>
      <c r="V127" s="175"/>
      <c r="W127" s="175"/>
      <c r="X127" s="175"/>
      <c r="Y127" s="175"/>
      <c r="Z127" s="175"/>
      <c r="AA127" s="175"/>
      <c r="AB127" s="175"/>
      <c r="AC127" s="175"/>
    </row>
    <row r="128" spans="1:29" ht="12.75">
      <c r="A128" s="148" t="s">
        <v>64</v>
      </c>
      <c r="B128" s="150">
        <f>(B97-B99)/((B62)/1)</f>
        <v>0.01670146137787055</v>
      </c>
      <c r="C128" s="150">
        <f aca="true" t="shared" si="92" ref="C128:K128">(C97-C99)/((C62+B62)/2)</f>
        <v>-0.029091208203665883</v>
      </c>
      <c r="D128" s="150">
        <f t="shared" si="92"/>
        <v>0.09977324263038549</v>
      </c>
      <c r="E128" s="150">
        <f t="shared" si="92"/>
        <v>0.04363899249133287</v>
      </c>
      <c r="F128" s="150">
        <f t="shared" si="92"/>
        <v>0.07563609398896963</v>
      </c>
      <c r="G128" s="150">
        <f>(G97-G99)/((G62+F62)/2)</f>
        <v>0.07547055710938096</v>
      </c>
      <c r="H128" s="150">
        <f t="shared" si="92"/>
        <v>0.09762737704694868</v>
      </c>
      <c r="I128" s="150">
        <f t="shared" si="92"/>
        <v>0.09790596165534007</v>
      </c>
      <c r="J128" s="150">
        <f t="shared" si="92"/>
        <v>0.08368730230456393</v>
      </c>
      <c r="K128" s="150">
        <f t="shared" si="92"/>
        <v>0.08618384839191633</v>
      </c>
      <c r="L128" s="150">
        <f>((L97-L99)/((L62+K62)/2))</f>
        <v>0.08079650454838479</v>
      </c>
      <c r="M128" s="150">
        <f>((M97-M99)/((M62+L62)/2))*(4/3)</f>
        <v>0.07826267952542842</v>
      </c>
      <c r="N128" s="179">
        <f>AVERAGE(H128:L128)</f>
        <v>0.08924019878943076</v>
      </c>
      <c r="O128" s="140"/>
      <c r="P128" s="2"/>
      <c r="Q128" s="140"/>
      <c r="R128" s="140"/>
      <c r="S128" s="140"/>
      <c r="T128" s="140"/>
      <c r="U128" s="175"/>
      <c r="V128" s="175"/>
      <c r="W128" s="175"/>
      <c r="X128" s="175"/>
      <c r="Y128" s="175"/>
      <c r="Z128" s="175"/>
      <c r="AA128" s="175"/>
      <c r="AB128" s="175"/>
      <c r="AC128" s="175"/>
    </row>
    <row r="129" spans="1:29" ht="12.75">
      <c r="A129" s="14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40"/>
      <c r="P129" s="2"/>
      <c r="Q129" s="140"/>
      <c r="R129" s="140"/>
      <c r="S129" s="140"/>
      <c r="T129" s="140"/>
      <c r="U129" s="175"/>
      <c r="V129" s="175"/>
      <c r="W129" s="175"/>
      <c r="X129" s="175"/>
      <c r="Y129" s="175"/>
      <c r="Z129" s="175"/>
      <c r="AA129" s="175"/>
      <c r="AB129" s="175"/>
      <c r="AC129" s="175"/>
    </row>
    <row r="130" spans="1:29" ht="12.75">
      <c r="A130" s="226" t="s">
        <v>162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40"/>
      <c r="P130" s="2"/>
      <c r="Q130" s="140"/>
      <c r="R130" s="140"/>
      <c r="S130" s="140"/>
      <c r="T130" s="140"/>
      <c r="U130" s="175"/>
      <c r="V130" s="175"/>
      <c r="W130" s="175"/>
      <c r="X130" s="175"/>
      <c r="Y130" s="175"/>
      <c r="Z130" s="175"/>
      <c r="AA130" s="175"/>
      <c r="AB130" s="175"/>
      <c r="AC130" s="175"/>
    </row>
    <row r="131" spans="1:29" ht="12.75">
      <c r="A131" s="148" t="s">
        <v>212</v>
      </c>
      <c r="B131" s="178">
        <f>B76/(B27)</f>
        <v>0.43343878760205695</v>
      </c>
      <c r="C131" s="178">
        <f aca="true" t="shared" si="93" ref="C131:K131">C76/((B27+C27)/2)</f>
        <v>0.5905777632408944</v>
      </c>
      <c r="D131" s="178">
        <f t="shared" si="93"/>
        <v>0.42205079157333064</v>
      </c>
      <c r="E131" s="178">
        <f t="shared" si="93"/>
        <v>0.36985841132709385</v>
      </c>
      <c r="F131" s="178">
        <f t="shared" si="93"/>
        <v>0.36024809698336624</v>
      </c>
      <c r="G131" s="178">
        <f>G76/((F27+G27)/2)</f>
        <v>0.32911788677127024</v>
      </c>
      <c r="H131" s="178">
        <f t="shared" si="93"/>
        <v>0.39762650639292246</v>
      </c>
      <c r="I131" s="178">
        <f t="shared" si="93"/>
        <v>0.38782778187647443</v>
      </c>
      <c r="J131" s="178">
        <f t="shared" si="93"/>
        <v>0.3504070424181046</v>
      </c>
      <c r="K131" s="178">
        <f t="shared" si="93"/>
        <v>0.3036000136235142</v>
      </c>
      <c r="L131" s="178">
        <f>(L76/((K27+L27)/2))</f>
        <v>0.27761596041216446</v>
      </c>
      <c r="M131" s="178">
        <f>(M76/((L27+M27)/2))*(4/3)</f>
        <v>0.2717947184256961</v>
      </c>
      <c r="N131" s="178">
        <f>AVERAGE(H131:L131)</f>
        <v>0.34341546094463604</v>
      </c>
      <c r="O131" s="140"/>
      <c r="P131" s="2"/>
      <c r="Q131" s="140"/>
      <c r="R131" s="140"/>
      <c r="S131" s="140"/>
      <c r="T131" s="140"/>
      <c r="U131" s="175"/>
      <c r="V131" s="175"/>
      <c r="W131" s="175"/>
      <c r="X131" s="175"/>
      <c r="Y131" s="175"/>
      <c r="Z131" s="175"/>
      <c r="AA131" s="175"/>
      <c r="AB131" s="175"/>
      <c r="AC131" s="175"/>
    </row>
    <row r="132" spans="1:29" ht="12.75">
      <c r="A132" s="148" t="s">
        <v>213</v>
      </c>
      <c r="B132" s="178">
        <f>B76/B37</f>
        <v>0.3240038683147638</v>
      </c>
      <c r="C132" s="178">
        <f aca="true" t="shared" si="94" ref="C132:K132">C76/((B37+C37)/2)</f>
        <v>0.43139396473383984</v>
      </c>
      <c r="D132" s="178">
        <f t="shared" si="94"/>
        <v>0.3047239157890911</v>
      </c>
      <c r="E132" s="178">
        <f t="shared" si="94"/>
        <v>0.2731001975776799</v>
      </c>
      <c r="F132" s="178">
        <f t="shared" si="94"/>
        <v>0.2733507609239761</v>
      </c>
      <c r="G132" s="178">
        <f>G76/((F37+G37)/2)</f>
        <v>0.2519877675840979</v>
      </c>
      <c r="H132" s="178">
        <f t="shared" si="94"/>
        <v>0.30862261505928196</v>
      </c>
      <c r="I132" s="178">
        <f t="shared" si="94"/>
        <v>0.30812314795048906</v>
      </c>
      <c r="J132" s="178">
        <f t="shared" si="94"/>
        <v>0.2804763983288645</v>
      </c>
      <c r="K132" s="178">
        <f t="shared" si="94"/>
        <v>0.24669969280159412</v>
      </c>
      <c r="L132" s="178">
        <f>(L76/((K37+L37)/2))</f>
        <v>0.22663121292697894</v>
      </c>
      <c r="M132" s="178">
        <f>(M76/((L37+M37)/2))*(4/3)</f>
        <v>0.22320463699774043</v>
      </c>
      <c r="N132" s="178">
        <f>AVERAGE(H132:L132)</f>
        <v>0.27411061341344173</v>
      </c>
      <c r="O132" s="140"/>
      <c r="P132" s="2"/>
      <c r="Q132" s="140"/>
      <c r="R132" s="140"/>
      <c r="S132" s="140"/>
      <c r="T132" s="140"/>
      <c r="U132" s="175"/>
      <c r="V132" s="175"/>
      <c r="W132" s="175"/>
      <c r="X132" s="175"/>
      <c r="Y132" s="175"/>
      <c r="Z132" s="175"/>
      <c r="AA132" s="175"/>
      <c r="AB132" s="175"/>
      <c r="AC132" s="175"/>
    </row>
    <row r="133" spans="1:29" ht="12.7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78"/>
      <c r="O133" s="140"/>
      <c r="P133" s="2"/>
      <c r="Q133" s="140"/>
      <c r="R133" s="140"/>
      <c r="S133" s="140"/>
      <c r="T133" s="140"/>
      <c r="U133" s="175"/>
      <c r="V133" s="175"/>
      <c r="W133" s="175"/>
      <c r="X133" s="175"/>
      <c r="Y133" s="175"/>
      <c r="Z133" s="175"/>
      <c r="AA133" s="175"/>
      <c r="AB133" s="175"/>
      <c r="AC133" s="175"/>
    </row>
    <row r="134" spans="1:29" ht="12.75">
      <c r="A134" s="186" t="s">
        <v>163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78"/>
      <c r="O134" s="140"/>
      <c r="P134" s="2"/>
      <c r="Q134" s="140"/>
      <c r="R134" s="140"/>
      <c r="S134" s="140"/>
      <c r="T134" s="140"/>
      <c r="U134" s="175"/>
      <c r="V134" s="175"/>
      <c r="W134" s="175"/>
      <c r="X134" s="175"/>
      <c r="Y134" s="175"/>
      <c r="Z134" s="175"/>
      <c r="AA134" s="175"/>
      <c r="AB134" s="175"/>
      <c r="AC134" s="175"/>
    </row>
    <row r="135" spans="1:29" ht="12.75">
      <c r="A135" s="148" t="s">
        <v>156</v>
      </c>
      <c r="B135" s="141">
        <f aca="true" t="shared" si="95" ref="B135:M135">B62/B$140</f>
        <v>0.43861989441197424</v>
      </c>
      <c r="C135" s="141">
        <f t="shared" si="95"/>
        <v>0.4926841938183602</v>
      </c>
      <c r="D135" s="141">
        <f t="shared" si="95"/>
        <v>0.4103615620388239</v>
      </c>
      <c r="E135" s="141">
        <f t="shared" si="95"/>
        <v>0.4437591164826006</v>
      </c>
      <c r="F135" s="141">
        <f t="shared" si="95"/>
        <v>0.4594268899320395</v>
      </c>
      <c r="G135" s="141">
        <f t="shared" si="95"/>
        <v>0.455411751856706</v>
      </c>
      <c r="H135" s="141">
        <f t="shared" si="95"/>
        <v>0.49937741252645995</v>
      </c>
      <c r="I135" s="141">
        <f t="shared" si="95"/>
        <v>0.49175368400507463</v>
      </c>
      <c r="J135" s="141">
        <f t="shared" si="95"/>
        <v>0.5179200687580576</v>
      </c>
      <c r="K135" s="141">
        <f t="shared" si="95"/>
        <v>0.5088986918162458</v>
      </c>
      <c r="L135" s="141">
        <f t="shared" si="95"/>
        <v>0.5301925320886814</v>
      </c>
      <c r="M135" s="141">
        <f t="shared" si="95"/>
        <v>0.5134785421608798</v>
      </c>
      <c r="N135" s="179">
        <f>AVERAGE(H135:L135)</f>
        <v>0.509628477838904</v>
      </c>
      <c r="O135" s="140"/>
      <c r="P135" s="2"/>
      <c r="Q135" s="140"/>
      <c r="R135" s="140"/>
      <c r="S135" s="140"/>
      <c r="T135" s="140"/>
      <c r="U135" s="175"/>
      <c r="V135" s="175"/>
      <c r="W135" s="175"/>
      <c r="X135" s="175"/>
      <c r="Y135" s="175"/>
      <c r="Z135" s="175"/>
      <c r="AA135" s="175"/>
      <c r="AB135" s="175"/>
      <c r="AC135" s="175"/>
    </row>
    <row r="136" spans="1:29" ht="12.75">
      <c r="A136" s="148" t="s">
        <v>59</v>
      </c>
      <c r="B136" s="141">
        <f aca="true" t="shared" si="96" ref="B136:M136">B57/B$140</f>
        <v>0.024475168726047686</v>
      </c>
      <c r="C136" s="141">
        <f t="shared" si="96"/>
        <v>0.08047386799803757</v>
      </c>
      <c r="D136" s="141">
        <f t="shared" si="96"/>
        <v>0.06484845044840504</v>
      </c>
      <c r="E136" s="141">
        <f t="shared" si="96"/>
        <v>0.062485239980551506</v>
      </c>
      <c r="F136" s="141">
        <f t="shared" si="96"/>
        <v>0.013676171792895677</v>
      </c>
      <c r="G136" s="141">
        <f t="shared" si="96"/>
        <v>0.012300677151594582</v>
      </c>
      <c r="H136" s="141">
        <f t="shared" si="96"/>
        <v>0.010285145062881335</v>
      </c>
      <c r="I136" s="141">
        <f t="shared" si="96"/>
        <v>0.004001171074460818</v>
      </c>
      <c r="J136" s="141">
        <f t="shared" si="96"/>
        <v>0.0035238504512247527</v>
      </c>
      <c r="K136" s="141">
        <f t="shared" si="96"/>
        <v>0.003118344995436568</v>
      </c>
      <c r="L136" s="141">
        <f t="shared" si="96"/>
        <v>0.0029900816802800466</v>
      </c>
      <c r="M136" s="141">
        <f t="shared" si="96"/>
        <v>0.0029473078858457337</v>
      </c>
      <c r="N136" s="179">
        <f>AVERAGE(H136:L136)</f>
        <v>0.004783718652856704</v>
      </c>
      <c r="O136" s="140"/>
      <c r="P136" s="2"/>
      <c r="Q136" s="140"/>
      <c r="R136" s="140"/>
      <c r="S136" s="140"/>
      <c r="T136" s="140"/>
      <c r="U136" s="175"/>
      <c r="V136" s="175"/>
      <c r="W136" s="175"/>
      <c r="X136" s="175"/>
      <c r="Y136" s="175"/>
      <c r="Z136" s="175"/>
      <c r="AA136" s="175"/>
      <c r="AB136" s="175"/>
      <c r="AC136" s="175"/>
    </row>
    <row r="137" spans="1:29" ht="12.75">
      <c r="A137" s="148" t="s">
        <v>164</v>
      </c>
      <c r="B137" s="141">
        <f aca="true" t="shared" si="97" ref="B137:M137">(B41+B49)/B$140</f>
        <v>0.5369049368619782</v>
      </c>
      <c r="C137" s="141">
        <f t="shared" si="97"/>
        <v>0.42684193818360217</v>
      </c>
      <c r="D137" s="141">
        <f t="shared" si="97"/>
        <v>0.5247899875127711</v>
      </c>
      <c r="E137" s="180">
        <f t="shared" si="97"/>
        <v>0.4937556435368479</v>
      </c>
      <c r="F137" s="180">
        <f t="shared" si="97"/>
        <v>0.5268969382750648</v>
      </c>
      <c r="G137" s="180">
        <f t="shared" si="97"/>
        <v>0.5322875709916994</v>
      </c>
      <c r="H137" s="180">
        <f t="shared" si="97"/>
        <v>0.4903374424106587</v>
      </c>
      <c r="I137" s="180">
        <f t="shared" si="97"/>
        <v>0.5042451449204646</v>
      </c>
      <c r="J137" s="180">
        <f t="shared" si="97"/>
        <v>0.47855608079071765</v>
      </c>
      <c r="K137" s="180">
        <f t="shared" si="97"/>
        <v>0.48798296318831763</v>
      </c>
      <c r="L137" s="180">
        <f t="shared" si="97"/>
        <v>0.4668173862310385</v>
      </c>
      <c r="M137" s="180">
        <f t="shared" si="97"/>
        <v>0.4835741499532744</v>
      </c>
      <c r="N137" s="179">
        <f>AVERAGE(H137:L137)</f>
        <v>0.48558780350823944</v>
      </c>
      <c r="O137" s="140"/>
      <c r="P137" s="2"/>
      <c r="Q137" s="140"/>
      <c r="R137" s="140"/>
      <c r="S137" s="140"/>
      <c r="T137" s="140"/>
      <c r="U137" s="175"/>
      <c r="V137" s="175"/>
      <c r="W137" s="175"/>
      <c r="X137" s="175"/>
      <c r="Y137" s="175"/>
      <c r="Z137" s="175"/>
      <c r="AA137" s="175"/>
      <c r="AB137" s="175"/>
      <c r="AC137" s="175"/>
    </row>
    <row r="138" spans="1:29" ht="12.75">
      <c r="A138" s="148"/>
      <c r="B138" s="141"/>
      <c r="C138" s="141"/>
      <c r="D138" s="141"/>
      <c r="E138" s="285"/>
      <c r="F138" s="285"/>
      <c r="G138" s="285">
        <f>SUM(G135:G137)</f>
        <v>1</v>
      </c>
      <c r="H138" s="285">
        <f aca="true" t="shared" si="98" ref="H138:N138">SUM(H135:H137)</f>
        <v>1</v>
      </c>
      <c r="I138" s="285">
        <f t="shared" si="98"/>
        <v>1</v>
      </c>
      <c r="J138" s="285">
        <f t="shared" si="98"/>
        <v>1</v>
      </c>
      <c r="K138" s="285">
        <f t="shared" si="98"/>
        <v>1</v>
      </c>
      <c r="L138" s="285">
        <f t="shared" si="98"/>
        <v>1</v>
      </c>
      <c r="M138" s="285">
        <f>SUM(M135:M137)</f>
        <v>1</v>
      </c>
      <c r="N138" s="286">
        <f t="shared" si="98"/>
        <v>1</v>
      </c>
      <c r="O138" s="285"/>
      <c r="P138" s="2"/>
      <c r="Q138" s="140"/>
      <c r="R138" s="140"/>
      <c r="S138" s="140"/>
      <c r="T138" s="140"/>
      <c r="U138" s="175"/>
      <c r="V138" s="175"/>
      <c r="W138" s="175"/>
      <c r="X138" s="175"/>
      <c r="Y138" s="175"/>
      <c r="Z138" s="175"/>
      <c r="AA138" s="175"/>
      <c r="AB138" s="175"/>
      <c r="AC138" s="175"/>
    </row>
    <row r="139" spans="1:29" ht="7.5" customHeight="1">
      <c r="A139" s="148"/>
      <c r="B139" s="141"/>
      <c r="C139" s="141"/>
      <c r="D139" s="141"/>
      <c r="E139" s="285"/>
      <c r="F139" s="285"/>
      <c r="G139" s="285"/>
      <c r="H139" s="285"/>
      <c r="I139" s="285"/>
      <c r="J139" s="285"/>
      <c r="K139" s="285"/>
      <c r="L139" s="285"/>
      <c r="M139" s="285"/>
      <c r="N139" s="179"/>
      <c r="O139" s="140"/>
      <c r="P139" s="2"/>
      <c r="Q139" s="140"/>
      <c r="R139" s="140"/>
      <c r="S139" s="140"/>
      <c r="T139" s="140"/>
      <c r="U139" s="175"/>
      <c r="V139" s="175"/>
      <c r="W139" s="175"/>
      <c r="X139" s="175"/>
      <c r="Y139" s="175"/>
      <c r="Z139" s="175"/>
      <c r="AA139" s="175"/>
      <c r="AB139" s="175"/>
      <c r="AC139" s="175"/>
    </row>
    <row r="140" spans="1:29" ht="12.75">
      <c r="A140" s="148" t="s">
        <v>165</v>
      </c>
      <c r="B140" s="227">
        <f aca="true" t="shared" si="99" ref="B140:L140">B41+B49+B57+B62</f>
        <v>8845.699999999999</v>
      </c>
      <c r="C140" s="227">
        <f t="shared" si="99"/>
        <v>6930.200000000001</v>
      </c>
      <c r="D140" s="227">
        <f t="shared" si="99"/>
        <v>7047.2</v>
      </c>
      <c r="E140" s="140">
        <f t="shared" si="99"/>
        <v>7198.5</v>
      </c>
      <c r="F140" s="140">
        <f t="shared" si="99"/>
        <v>7136.5</v>
      </c>
      <c r="G140" s="140">
        <f t="shared" si="99"/>
        <v>7324.8</v>
      </c>
      <c r="H140" s="140">
        <f t="shared" si="99"/>
        <v>8031</v>
      </c>
      <c r="I140" s="140">
        <f t="shared" si="99"/>
        <v>10247</v>
      </c>
      <c r="J140" s="140">
        <f t="shared" si="99"/>
        <v>11635</v>
      </c>
      <c r="K140" s="140">
        <f t="shared" si="99"/>
        <v>13148</v>
      </c>
      <c r="L140" s="140">
        <f t="shared" si="99"/>
        <v>13712</v>
      </c>
      <c r="M140" s="140">
        <f>M41+M49+M57+M62</f>
        <v>13911</v>
      </c>
      <c r="N140" s="287">
        <f>AVERAGE(H140:L140)</f>
        <v>11354.6</v>
      </c>
      <c r="O140" s="140"/>
      <c r="P140" s="2"/>
      <c r="Q140" s="140"/>
      <c r="R140" s="140"/>
      <c r="S140" s="140"/>
      <c r="T140" s="140"/>
      <c r="U140" s="175"/>
      <c r="V140" s="175"/>
      <c r="W140" s="175"/>
      <c r="X140" s="175"/>
      <c r="Y140" s="175"/>
      <c r="Z140" s="175"/>
      <c r="AA140" s="175"/>
      <c r="AB140" s="175"/>
      <c r="AC140" s="175"/>
    </row>
    <row r="141" spans="1:29" ht="12.75">
      <c r="A141" s="138"/>
      <c r="B141" s="140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81"/>
      <c r="O141" s="140"/>
      <c r="P141" s="2"/>
      <c r="Q141" s="140"/>
      <c r="R141" s="140"/>
      <c r="S141" s="140"/>
      <c r="T141" s="140"/>
      <c r="U141" s="175"/>
      <c r="V141" s="175"/>
      <c r="W141" s="175"/>
      <c r="X141" s="175"/>
      <c r="Y141" s="175"/>
      <c r="Z141" s="175"/>
      <c r="AA141" s="175"/>
      <c r="AB141" s="175"/>
      <c r="AC141" s="175"/>
    </row>
    <row r="142" spans="1:29" ht="12.75">
      <c r="A142" s="186" t="s">
        <v>67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50"/>
      <c r="O142" s="140"/>
      <c r="P142" s="2"/>
      <c r="Q142" s="140"/>
      <c r="R142" s="140"/>
      <c r="S142" s="140"/>
      <c r="T142" s="140"/>
      <c r="U142" s="175"/>
      <c r="V142" s="175"/>
      <c r="W142" s="175"/>
      <c r="X142" s="175"/>
      <c r="Y142" s="175"/>
      <c r="Z142" s="175"/>
      <c r="AA142" s="175"/>
      <c r="AB142" s="175"/>
      <c r="AC142" s="175"/>
    </row>
    <row r="143" spans="1:29" ht="12.75">
      <c r="A143" s="148" t="s">
        <v>68</v>
      </c>
      <c r="B143" s="148"/>
      <c r="C143" s="148"/>
      <c r="D143" s="148"/>
      <c r="E143" s="148"/>
      <c r="F143" s="148"/>
      <c r="G143" s="148"/>
      <c r="H143" s="149" t="s">
        <v>166</v>
      </c>
      <c r="I143" s="149"/>
      <c r="J143" s="149"/>
      <c r="K143" s="149"/>
      <c r="L143" s="280" t="s">
        <v>214</v>
      </c>
      <c r="M143" s="280" t="s">
        <v>241</v>
      </c>
      <c r="N143" s="150"/>
      <c r="O143" s="140"/>
      <c r="P143" s="2"/>
      <c r="Q143" s="140"/>
      <c r="R143" s="140"/>
      <c r="S143" s="140"/>
      <c r="T143" s="140"/>
      <c r="U143" s="175"/>
      <c r="V143" s="175"/>
      <c r="W143" s="175"/>
      <c r="X143" s="175"/>
      <c r="Y143" s="175"/>
      <c r="Z143" s="175"/>
      <c r="AA143" s="175"/>
      <c r="AB143" s="175"/>
      <c r="AC143" s="175"/>
    </row>
    <row r="144" spans="1:29" ht="12.75">
      <c r="A144" s="148" t="s">
        <v>70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50"/>
      <c r="O144" s="140"/>
      <c r="P144" s="2"/>
      <c r="Q144" s="140"/>
      <c r="R144" s="140"/>
      <c r="S144" s="140"/>
      <c r="T144" s="140"/>
      <c r="U144" s="175"/>
      <c r="V144" s="175"/>
      <c r="W144" s="175"/>
      <c r="X144" s="175"/>
      <c r="Y144" s="175"/>
      <c r="Z144" s="175"/>
      <c r="AA144" s="175"/>
      <c r="AB144" s="175"/>
      <c r="AC144" s="175"/>
    </row>
    <row r="145" spans="1:29" ht="12.75">
      <c r="A145" s="148" t="s">
        <v>69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50"/>
      <c r="O145" s="175"/>
      <c r="P145" s="2"/>
      <c r="Q145" s="140"/>
      <c r="R145" s="140"/>
      <c r="S145" s="140"/>
      <c r="T145" s="140"/>
      <c r="U145" s="175"/>
      <c r="V145" s="175"/>
      <c r="W145" s="175"/>
      <c r="X145" s="175"/>
      <c r="Y145" s="175"/>
      <c r="Z145" s="175"/>
      <c r="AA145" s="175"/>
      <c r="AB145" s="175"/>
      <c r="AC145" s="175"/>
    </row>
    <row r="146" spans="1:29" ht="12.75">
      <c r="A146" s="182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75"/>
      <c r="M146" s="175"/>
      <c r="N146" s="175"/>
      <c r="O146" s="175"/>
      <c r="P146" s="2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</row>
    <row r="147" spans="1:29" ht="12.75">
      <c r="A147" s="182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75"/>
      <c r="M147" s="175"/>
      <c r="N147" s="175"/>
      <c r="O147" s="175"/>
      <c r="P147" s="2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</row>
    <row r="148" spans="1:29" ht="12.75">
      <c r="A148" s="183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75"/>
      <c r="M148" s="175"/>
      <c r="N148" s="175"/>
      <c r="O148" s="175"/>
      <c r="P148" s="2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</row>
    <row r="149" spans="1:29" ht="12.75">
      <c r="A149" s="182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75"/>
      <c r="M149" s="175"/>
      <c r="N149" s="175"/>
      <c r="O149" s="175"/>
      <c r="P149" s="2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</row>
    <row r="150" spans="1:29" ht="12.75">
      <c r="A150" s="182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75"/>
      <c r="M150" s="175"/>
      <c r="N150" s="175"/>
      <c r="O150" s="175"/>
      <c r="P150" s="2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</row>
    <row r="151" spans="1:29" ht="7.5" customHeight="1">
      <c r="A151" s="183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75"/>
      <c r="M151" s="175"/>
      <c r="N151" s="175"/>
      <c r="O151" s="175"/>
      <c r="P151" s="2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</row>
    <row r="152" spans="1:29" ht="12.75">
      <c r="A152" s="182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75"/>
      <c r="M152" s="175"/>
      <c r="N152" s="175"/>
      <c r="O152" s="175"/>
      <c r="P152" s="2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</row>
    <row r="153" spans="1:29" ht="12.75">
      <c r="A153" s="182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75"/>
      <c r="M153" s="175"/>
      <c r="N153" s="175"/>
      <c r="O153" s="175"/>
      <c r="P153" s="2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</row>
    <row r="154" spans="16:29" ht="12.75">
      <c r="P154" s="2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</row>
    <row r="155" ht="12.75">
      <c r="P155" s="2"/>
    </row>
    <row r="156" ht="12.75">
      <c r="P156" s="2"/>
    </row>
    <row r="157" ht="12.75">
      <c r="P157" s="2"/>
    </row>
    <row r="158" ht="12.75">
      <c r="P158" s="2"/>
    </row>
    <row r="159" ht="12.75">
      <c r="P159" s="2"/>
    </row>
    <row r="160" ht="12.75">
      <c r="P160" s="2"/>
    </row>
    <row r="161" ht="12.75">
      <c r="P161" s="2"/>
    </row>
    <row r="162" ht="12.75">
      <c r="P162" s="2"/>
    </row>
    <row r="163" ht="12.75">
      <c r="P163" s="2"/>
    </row>
    <row r="164" ht="12.75">
      <c r="P164" s="2"/>
    </row>
    <row r="165" ht="12.75">
      <c r="P165" s="2"/>
    </row>
    <row r="166" ht="12.75">
      <c r="P166" s="2"/>
    </row>
  </sheetData>
  <sheetProtection/>
  <printOptions horizontalCentered="1"/>
  <pageMargins left="0.5" right="0.5" top="1" bottom="1" header="0.5" footer="0.5"/>
  <pageSetup fitToHeight="5" horizontalDpi="600" verticalDpi="600" orientation="portrait" scale="66" r:id="rId1"/>
  <rowBreaks count="2" manualBreakCount="2">
    <brk id="64" max="26" man="1"/>
    <brk id="101" max="26" man="1"/>
  </rowBreaks>
  <colBreaks count="1" manualBreakCount="1">
    <brk id="14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33"/>
  <sheetViews>
    <sheetView showGridLines="0" zoomScalePageLayoutView="0" workbookViewId="0" topLeftCell="A1">
      <selection activeCell="A88" sqref="A87:A88"/>
    </sheetView>
  </sheetViews>
  <sheetFormatPr defaultColWidth="9.140625" defaultRowHeight="12.75"/>
  <cols>
    <col min="1" max="1" width="49.140625" style="32" customWidth="1"/>
    <col min="2" max="5" width="10.7109375" style="24" hidden="1" customWidth="1"/>
    <col min="6" max="6" width="10.7109375" style="33" hidden="1" customWidth="1"/>
    <col min="7" max="7" width="10.7109375" style="24" hidden="1" customWidth="1"/>
    <col min="8" max="14" width="10.7109375" style="24" customWidth="1"/>
    <col min="15" max="16384" width="9.140625" style="24" customWidth="1"/>
  </cols>
  <sheetData>
    <row r="1" ht="12.75">
      <c r="N1" s="216" t="s">
        <v>116</v>
      </c>
    </row>
    <row r="2" ht="12.75">
      <c r="N2" s="54" t="s">
        <v>119</v>
      </c>
    </row>
    <row r="3" spans="1:14" ht="18.75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39"/>
      <c r="M3" s="39"/>
      <c r="N3" s="56"/>
    </row>
    <row r="4" spans="1:14" ht="15.75">
      <c r="A4" s="50" t="s">
        <v>113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39"/>
      <c r="M4" s="39"/>
      <c r="N4" s="39"/>
    </row>
    <row r="5" spans="1:14" s="32" customFormat="1" ht="12.75">
      <c r="A5" s="51" t="str">
        <f>Historical!A6</f>
        <v>Fiscal Years Ended March 31, 2006, December 31, 2007-2010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43"/>
      <c r="M5" s="43"/>
      <c r="N5" s="43"/>
    </row>
    <row r="6" spans="1:14" ht="12.75">
      <c r="A6" s="228"/>
      <c r="B6" s="228"/>
      <c r="C6" s="228"/>
      <c r="D6" s="228"/>
      <c r="E6" s="228"/>
      <c r="F6" s="229"/>
      <c r="G6" s="228"/>
      <c r="H6" s="228"/>
      <c r="I6" s="230"/>
      <c r="J6" s="230"/>
      <c r="K6" s="230"/>
      <c r="L6" s="230"/>
      <c r="M6" s="230"/>
      <c r="N6" s="231" t="s">
        <v>228</v>
      </c>
    </row>
    <row r="7" spans="1:14" ht="12.75">
      <c r="A7" s="232"/>
      <c r="B7" s="294"/>
      <c r="C7" s="294"/>
      <c r="D7" s="294"/>
      <c r="E7" s="294"/>
      <c r="F7" s="294"/>
      <c r="G7" s="294"/>
      <c r="H7" s="194"/>
      <c r="I7" s="233"/>
      <c r="J7" s="233"/>
      <c r="K7" s="233"/>
      <c r="L7" s="233"/>
      <c r="M7" s="34" t="str">
        <f>Historical!M8</f>
        <v>September</v>
      </c>
      <c r="N7" s="195" t="s">
        <v>4</v>
      </c>
    </row>
    <row r="8" spans="1:14" ht="12.75">
      <c r="A8" s="232"/>
      <c r="B8" s="234">
        <f>Historical!B9</f>
        <v>2000</v>
      </c>
      <c r="C8" s="234">
        <f>Historical!C9</f>
        <v>2001</v>
      </c>
      <c r="D8" s="234">
        <f>Historical!D9</f>
        <v>2002</v>
      </c>
      <c r="E8" s="234">
        <f>Historical!E9</f>
        <v>2003</v>
      </c>
      <c r="F8" s="234">
        <f>Historical!F9</f>
        <v>2004</v>
      </c>
      <c r="G8" s="234">
        <f>Historical!G9</f>
        <v>2005</v>
      </c>
      <c r="H8" s="234">
        <f>Historical!H9</f>
        <v>2006</v>
      </c>
      <c r="I8" s="234">
        <f>Historical!I9</f>
        <v>2007</v>
      </c>
      <c r="J8" s="234">
        <f>Historical!J9</f>
        <v>2008</v>
      </c>
      <c r="K8" s="234">
        <f>Historical!K9</f>
        <v>2009</v>
      </c>
      <c r="L8" s="234">
        <f>Historical!L9</f>
        <v>2010</v>
      </c>
      <c r="M8" s="234">
        <f>Historical!M9</f>
        <v>2011</v>
      </c>
      <c r="N8" s="198" t="s">
        <v>23</v>
      </c>
    </row>
    <row r="9" spans="1:14" ht="7.5" customHeight="1">
      <c r="A9" s="23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290"/>
    </row>
    <row r="10" spans="1:13" ht="12.75">
      <c r="A10" s="235" t="s">
        <v>73</v>
      </c>
      <c r="B10" s="61"/>
      <c r="C10" s="26"/>
      <c r="D10" s="26"/>
      <c r="E10" s="26"/>
      <c r="F10" s="26"/>
      <c r="G10" s="26"/>
      <c r="H10" s="62"/>
      <c r="I10" s="12"/>
      <c r="J10" s="12"/>
      <c r="K10" s="12"/>
      <c r="L10" s="12"/>
      <c r="M10" s="12"/>
    </row>
    <row r="11" spans="1:14" ht="12.75">
      <c r="A11" s="27" t="s">
        <v>74</v>
      </c>
      <c r="B11" s="61">
        <f>Historical!B97</f>
        <v>83.69999999999996</v>
      </c>
      <c r="C11" s="61">
        <f>Historical!C97</f>
        <v>-88.20000000000002</v>
      </c>
      <c r="D11" s="61">
        <f>Historical!D97</f>
        <v>327.29999999999995</v>
      </c>
      <c r="E11" s="61">
        <f>Historical!E97</f>
        <v>140.09999999999962</v>
      </c>
      <c r="F11" s="61">
        <f>Historical!F97</f>
        <v>248.09999999999968</v>
      </c>
      <c r="G11" s="61">
        <f>Historical!G97</f>
        <v>251.70000000000016</v>
      </c>
      <c r="H11" s="293">
        <f>Historical!H97</f>
        <v>360.6999999999996</v>
      </c>
      <c r="I11" s="293">
        <f>Historical!I97</f>
        <v>445</v>
      </c>
      <c r="J11" s="293">
        <f>Historical!J97</f>
        <v>465</v>
      </c>
      <c r="K11" s="293">
        <f>Historical!K97</f>
        <v>550</v>
      </c>
      <c r="L11" s="293">
        <f>Historical!L97</f>
        <v>566</v>
      </c>
      <c r="M11" s="293">
        <f>Historical!M97</f>
        <v>425</v>
      </c>
      <c r="N11" s="5">
        <f>RATE(($L$8-$H$8+0.75),,-H11,L11)</f>
        <v>0.09949623114811333</v>
      </c>
    </row>
    <row r="12" spans="1:14" ht="12.75">
      <c r="A12" s="25" t="s">
        <v>75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"/>
    </row>
    <row r="13" spans="1:14" ht="12.75">
      <c r="A13" s="25" t="s">
        <v>76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"/>
    </row>
    <row r="14" spans="1:14" ht="12.75" hidden="1">
      <c r="A14" s="60" t="s">
        <v>77</v>
      </c>
      <c r="B14" s="28">
        <v>-1.1</v>
      </c>
      <c r="C14" s="26">
        <v>0</v>
      </c>
      <c r="D14" s="26">
        <v>-146.7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/>
      <c r="L14" s="26"/>
      <c r="M14" s="26"/>
      <c r="N14" s="5" t="e">
        <f>RATE(($L$8-$G$8+0.75),,-G14,L14)</f>
        <v>#NUM!</v>
      </c>
    </row>
    <row r="15" spans="1:14" ht="12.75" hidden="1">
      <c r="A15" s="27" t="s">
        <v>79</v>
      </c>
      <c r="B15" s="63">
        <v>0</v>
      </c>
      <c r="C15" s="26">
        <v>0</v>
      </c>
      <c r="D15" s="26">
        <v>112.8</v>
      </c>
      <c r="E15" s="26">
        <v>1.9</v>
      </c>
      <c r="F15" s="26">
        <v>0.9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5" t="e">
        <f>RATE(($L$8-$G$8+0.75),,-G15,L15)</f>
        <v>#NUM!</v>
      </c>
    </row>
    <row r="16" spans="1:14" ht="12.75">
      <c r="A16" s="27" t="s">
        <v>80</v>
      </c>
      <c r="B16" s="63">
        <v>0</v>
      </c>
      <c r="C16" s="26">
        <v>0</v>
      </c>
      <c r="D16" s="26">
        <v>-182.8</v>
      </c>
      <c r="E16" s="26">
        <v>-3.1</v>
      </c>
      <c r="F16" s="26">
        <v>-6.1</v>
      </c>
      <c r="G16" s="26">
        <v>-8.4</v>
      </c>
      <c r="H16" s="26">
        <v>-86.8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5">
        <f aca="true" t="shared" si="0" ref="N16:N28">RATE(($L$8-$H$8+0.75),,-H16,L16)</f>
        <v>-0.9999995176400387</v>
      </c>
    </row>
    <row r="17" spans="1:14" ht="12.75">
      <c r="A17" s="27" t="s">
        <v>81</v>
      </c>
      <c r="B17" s="61">
        <v>456.3</v>
      </c>
      <c r="C17" s="26">
        <v>429</v>
      </c>
      <c r="D17" s="26">
        <v>403</v>
      </c>
      <c r="E17" s="26">
        <v>434.3</v>
      </c>
      <c r="F17" s="26">
        <v>428.8</v>
      </c>
      <c r="G17" s="26">
        <v>436.9</v>
      </c>
      <c r="H17" s="26">
        <v>448.3</v>
      </c>
      <c r="I17" s="26">
        <v>497</v>
      </c>
      <c r="J17" s="26">
        <v>490</v>
      </c>
      <c r="K17" s="26">
        <v>549</v>
      </c>
      <c r="L17" s="26">
        <v>561</v>
      </c>
      <c r="M17" s="26">
        <v>456</v>
      </c>
      <c r="N17" s="5">
        <f t="shared" si="0"/>
        <v>0.048344511343310664</v>
      </c>
    </row>
    <row r="18" spans="1:14" ht="12.75">
      <c r="A18" s="27" t="s">
        <v>82</v>
      </c>
      <c r="B18" s="64">
        <v>136.7</v>
      </c>
      <c r="C18" s="26">
        <v>-26.4</v>
      </c>
      <c r="D18" s="26">
        <v>60.9</v>
      </c>
      <c r="E18" s="26">
        <v>31.8</v>
      </c>
      <c r="F18" s="26">
        <v>80.5</v>
      </c>
      <c r="G18" s="26">
        <v>120</v>
      </c>
      <c r="H18" s="26">
        <v>13.9</v>
      </c>
      <c r="I18" s="26">
        <v>39</v>
      </c>
      <c r="J18" s="26">
        <v>308</v>
      </c>
      <c r="K18" s="26">
        <v>645</v>
      </c>
      <c r="L18" s="26">
        <v>710</v>
      </c>
      <c r="M18" s="26">
        <v>274</v>
      </c>
      <c r="N18" s="5">
        <f t="shared" si="0"/>
        <v>1.2889179277086358</v>
      </c>
    </row>
    <row r="19" spans="1:14" ht="12.75" hidden="1">
      <c r="A19" s="29" t="s">
        <v>83</v>
      </c>
      <c r="B19" s="64">
        <v>-1</v>
      </c>
      <c r="C19" s="26">
        <v>189.2</v>
      </c>
      <c r="D19" s="26">
        <v>-52.6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5" t="e">
        <f t="shared" si="0"/>
        <v>#NUM!</v>
      </c>
    </row>
    <row r="20" spans="1:14" ht="12.75">
      <c r="A20" s="27" t="s">
        <v>84</v>
      </c>
      <c r="B20" s="61">
        <v>0</v>
      </c>
      <c r="C20" s="26">
        <v>-35.1</v>
      </c>
      <c r="D20" s="26">
        <v>-210.9</v>
      </c>
      <c r="E20" s="26">
        <v>146.8</v>
      </c>
      <c r="F20" s="26">
        <v>111.1</v>
      </c>
      <c r="G20" s="26">
        <v>66.7</v>
      </c>
      <c r="H20" s="26">
        <v>51.6</v>
      </c>
      <c r="I20" s="26">
        <v>-45</v>
      </c>
      <c r="J20" s="26">
        <v>-37</v>
      </c>
      <c r="K20" s="26">
        <v>5</v>
      </c>
      <c r="L20" s="26">
        <v>4</v>
      </c>
      <c r="M20" s="26">
        <v>-23</v>
      </c>
      <c r="N20" s="5">
        <f t="shared" si="0"/>
        <v>-0.41629738369083535</v>
      </c>
    </row>
    <row r="21" spans="1:14" ht="12.75">
      <c r="A21" s="27" t="s">
        <v>85</v>
      </c>
      <c r="B21" s="64">
        <f>43.3-8.1-3.2-11.2-40.3+71</f>
        <v>51.5</v>
      </c>
      <c r="C21" s="26">
        <f>-3.9+16.4-137.5-39.4</f>
        <v>-164.4</v>
      </c>
      <c r="D21" s="26">
        <v>65</v>
      </c>
      <c r="E21" s="26">
        <v>3.4</v>
      </c>
      <c r="F21" s="26">
        <v>-6.5</v>
      </c>
      <c r="G21" s="26">
        <v>-27</v>
      </c>
      <c r="H21" s="26">
        <v>50</v>
      </c>
      <c r="I21" s="26">
        <v>3</v>
      </c>
      <c r="J21" s="26">
        <v>-10</v>
      </c>
      <c r="K21" s="26">
        <v>-32</v>
      </c>
      <c r="L21" s="26">
        <v>-58</v>
      </c>
      <c r="M21" s="26">
        <v>-21</v>
      </c>
      <c r="N21" s="5"/>
    </row>
    <row r="22" spans="1:14" ht="12.75">
      <c r="A22" s="25" t="s">
        <v>86</v>
      </c>
      <c r="B22" s="6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5"/>
    </row>
    <row r="23" spans="1:14" ht="12.75">
      <c r="A23" s="27" t="s">
        <v>87</v>
      </c>
      <c r="B23" s="64">
        <v>-40.9</v>
      </c>
      <c r="C23" s="26">
        <v>-161.8</v>
      </c>
      <c r="D23" s="26">
        <v>165.2</v>
      </c>
      <c r="E23" s="26">
        <v>7.6</v>
      </c>
      <c r="F23" s="26">
        <v>-1.7</v>
      </c>
      <c r="G23" s="26">
        <v>-137.8</v>
      </c>
      <c r="H23" s="26">
        <v>71.1</v>
      </c>
      <c r="I23" s="26">
        <v>-81</v>
      </c>
      <c r="J23" s="26">
        <v>3</v>
      </c>
      <c r="K23" s="26">
        <v>-5</v>
      </c>
      <c r="L23" s="26">
        <v>-14</v>
      </c>
      <c r="M23" s="26">
        <v>-8</v>
      </c>
      <c r="N23" s="5"/>
    </row>
    <row r="24" spans="1:14" ht="12.75">
      <c r="A24" s="27" t="s">
        <v>215</v>
      </c>
      <c r="B24" s="64"/>
      <c r="C24" s="26"/>
      <c r="D24" s="26"/>
      <c r="E24" s="26"/>
      <c r="F24" s="26"/>
      <c r="G24" s="26"/>
      <c r="H24" s="26"/>
      <c r="I24" s="26">
        <v>0</v>
      </c>
      <c r="J24" s="26">
        <v>-82</v>
      </c>
      <c r="K24" s="26">
        <v>57</v>
      </c>
      <c r="L24" s="26">
        <v>-102</v>
      </c>
      <c r="M24" s="26">
        <v>44</v>
      </c>
      <c r="N24" s="5"/>
    </row>
    <row r="25" spans="1:14" ht="12.75">
      <c r="A25" s="27" t="s">
        <v>88</v>
      </c>
      <c r="B25" s="64">
        <v>3.9</v>
      </c>
      <c r="C25" s="26">
        <v>-9.3</v>
      </c>
      <c r="D25" s="26">
        <v>7</v>
      </c>
      <c r="E25" s="26">
        <v>-17.8</v>
      </c>
      <c r="F25" s="26">
        <v>14.1</v>
      </c>
      <c r="G25" s="26">
        <v>-16.2</v>
      </c>
      <c r="H25" s="26">
        <v>-38.9</v>
      </c>
      <c r="I25" s="26">
        <v>-48</v>
      </c>
      <c r="J25" s="26">
        <v>-52</v>
      </c>
      <c r="K25" s="26">
        <v>-39</v>
      </c>
      <c r="L25" s="26">
        <v>-26</v>
      </c>
      <c r="M25" s="26">
        <v>-34</v>
      </c>
      <c r="N25" s="5">
        <f t="shared" si="0"/>
        <v>-0.08132289313233726</v>
      </c>
    </row>
    <row r="26" spans="1:14" ht="12.75">
      <c r="A26" s="46" t="s">
        <v>114</v>
      </c>
      <c r="B26" s="26">
        <v>0</v>
      </c>
      <c r="C26" s="26">
        <v>0</v>
      </c>
      <c r="D26" s="26">
        <v>-11.6</v>
      </c>
      <c r="E26" s="26">
        <v>32.5</v>
      </c>
      <c r="F26" s="26">
        <v>-36.8</v>
      </c>
      <c r="G26" s="26">
        <v>-32.8</v>
      </c>
      <c r="H26" s="26">
        <f>3.6+32.6</f>
        <v>36.2</v>
      </c>
      <c r="I26" s="26">
        <v>21</v>
      </c>
      <c r="J26" s="26">
        <v>-20</v>
      </c>
      <c r="K26" s="26">
        <v>-206</v>
      </c>
      <c r="L26" s="26">
        <v>-96</v>
      </c>
      <c r="M26" s="26"/>
      <c r="N26" s="5"/>
    </row>
    <row r="27" spans="1:14" ht="12.75">
      <c r="A27" s="46" t="s">
        <v>89</v>
      </c>
      <c r="B27" s="64">
        <v>66.3</v>
      </c>
      <c r="C27" s="26">
        <v>543.8</v>
      </c>
      <c r="D27" s="26">
        <v>-151</v>
      </c>
      <c r="E27" s="26">
        <v>-97.1</v>
      </c>
      <c r="F27" s="26">
        <v>-3.3</v>
      </c>
      <c r="G27" s="26">
        <v>84.1</v>
      </c>
      <c r="H27" s="26">
        <v>-13.4</v>
      </c>
      <c r="I27" s="26">
        <v>0</v>
      </c>
      <c r="J27" s="26">
        <v>-73</v>
      </c>
      <c r="K27" s="26">
        <v>-24</v>
      </c>
      <c r="L27" s="26">
        <v>-135</v>
      </c>
      <c r="M27" s="26">
        <v>339</v>
      </c>
      <c r="N27" s="5">
        <f t="shared" si="0"/>
        <v>0.6263203599340574</v>
      </c>
    </row>
    <row r="28" spans="1:14" ht="12.75">
      <c r="A28" s="46" t="s">
        <v>90</v>
      </c>
      <c r="B28" s="26">
        <v>0</v>
      </c>
      <c r="C28" s="26">
        <v>-32.1</v>
      </c>
      <c r="D28" s="26">
        <v>-43</v>
      </c>
      <c r="E28" s="26">
        <v>1.2</v>
      </c>
      <c r="F28" s="26">
        <v>2.8</v>
      </c>
      <c r="G28" s="26">
        <v>-26.1</v>
      </c>
      <c r="H28" s="26">
        <v>1.9</v>
      </c>
      <c r="I28" s="26">
        <v>-7</v>
      </c>
      <c r="J28" s="26">
        <v>0</v>
      </c>
      <c r="K28" s="26">
        <v>0</v>
      </c>
      <c r="L28" s="26">
        <v>0</v>
      </c>
      <c r="M28" s="26">
        <v>0</v>
      </c>
      <c r="N28" s="5">
        <f t="shared" si="0"/>
        <v>-0.9999995170965069</v>
      </c>
    </row>
    <row r="29" spans="1:14" ht="7.5" customHeight="1">
      <c r="A29" s="27"/>
      <c r="B29" s="6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5"/>
    </row>
    <row r="30" spans="1:14" ht="12.75">
      <c r="A30" s="236" t="s">
        <v>91</v>
      </c>
      <c r="B30" s="237">
        <f aca="true" t="shared" si="1" ref="B30:K30">SUM(B11:B29)</f>
        <v>755.3999999999999</v>
      </c>
      <c r="C30" s="237">
        <f t="shared" si="1"/>
        <v>644.6999999999998</v>
      </c>
      <c r="D30" s="237">
        <f t="shared" si="1"/>
        <v>342.5999999999998</v>
      </c>
      <c r="E30" s="237">
        <f t="shared" si="1"/>
        <v>681.5999999999996</v>
      </c>
      <c r="F30" s="237">
        <f t="shared" si="1"/>
        <v>831.8999999999997</v>
      </c>
      <c r="G30" s="237">
        <f t="shared" si="1"/>
        <v>711.1000000000001</v>
      </c>
      <c r="H30" s="237">
        <f t="shared" si="1"/>
        <v>894.5999999999997</v>
      </c>
      <c r="I30" s="237">
        <f t="shared" si="1"/>
        <v>824</v>
      </c>
      <c r="J30" s="237">
        <f t="shared" si="1"/>
        <v>992</v>
      </c>
      <c r="K30" s="237">
        <f t="shared" si="1"/>
        <v>1500</v>
      </c>
      <c r="L30" s="237">
        <f>SUM(L10:L29)</f>
        <v>1410</v>
      </c>
      <c r="M30" s="237">
        <f>SUM(M10:M29)</f>
        <v>1452</v>
      </c>
      <c r="N30" s="203">
        <f>RATE(($L$8-$H$8+0.75),,-H30,L30)</f>
        <v>0.10052000332102896</v>
      </c>
    </row>
    <row r="31" spans="1:14" ht="12.75">
      <c r="A31" s="27"/>
      <c r="B31" s="6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5"/>
    </row>
    <row r="32" spans="1:14" ht="12.75">
      <c r="A32" s="235" t="s">
        <v>92</v>
      </c>
      <c r="B32" s="6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5"/>
    </row>
    <row r="33" spans="1:14" ht="12.75" hidden="1">
      <c r="A33" s="69" t="s">
        <v>152</v>
      </c>
      <c r="B33" s="28">
        <v>-2.6</v>
      </c>
      <c r="C33" s="28">
        <v>-361.3</v>
      </c>
      <c r="D33" s="28">
        <v>-358.2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/>
      <c r="L33" s="26"/>
      <c r="M33" s="26"/>
      <c r="N33" s="5">
        <f>RATE(($K$8-$F$8+0.75),,-B33,J33)</f>
        <v>-0.999999354229393</v>
      </c>
    </row>
    <row r="34" spans="1:14" ht="12.75">
      <c r="A34" s="27" t="s">
        <v>94</v>
      </c>
      <c r="B34" s="28">
        <v>-574</v>
      </c>
      <c r="C34" s="26">
        <v>-485.7</v>
      </c>
      <c r="D34" s="26">
        <v>-505.3</v>
      </c>
      <c r="E34" s="26">
        <v>-550</v>
      </c>
      <c r="F34" s="26">
        <v>-690.4</v>
      </c>
      <c r="G34" s="26">
        <v>-851.6</v>
      </c>
      <c r="H34" s="26">
        <v>-1049</v>
      </c>
      <c r="I34" s="26">
        <v>-1519</v>
      </c>
      <c r="J34" s="26">
        <v>-1789</v>
      </c>
      <c r="K34" s="26">
        <v>-2328</v>
      </c>
      <c r="L34" s="26">
        <v>-1607</v>
      </c>
      <c r="M34" s="26">
        <v>-1069</v>
      </c>
      <c r="N34" s="5">
        <f aca="true" t="shared" si="2" ref="N34:N39">RATE(($L$8-$H$8+0.75),,-H34,L34)</f>
        <v>0.09395126933722125</v>
      </c>
    </row>
    <row r="35" spans="1:14" ht="12.75">
      <c r="A35" s="27" t="s">
        <v>95</v>
      </c>
      <c r="B35" s="61">
        <v>169.3</v>
      </c>
      <c r="C35" s="26">
        <v>1010</v>
      </c>
      <c r="D35" s="26">
        <v>83.2</v>
      </c>
      <c r="E35" s="26">
        <v>16.3</v>
      </c>
      <c r="F35" s="26">
        <v>3.3</v>
      </c>
      <c r="G35" s="26">
        <v>7.1</v>
      </c>
      <c r="H35" s="26">
        <v>1.3</v>
      </c>
      <c r="I35" s="26">
        <v>9</v>
      </c>
      <c r="J35" s="26">
        <v>-308</v>
      </c>
      <c r="K35" s="26">
        <v>0</v>
      </c>
      <c r="L35" s="26">
        <v>0</v>
      </c>
      <c r="M35" s="26">
        <v>0</v>
      </c>
      <c r="N35" s="5">
        <f t="shared" si="2"/>
        <v>-0.9999995170965069</v>
      </c>
    </row>
    <row r="36" spans="1:14" ht="12.75" hidden="1">
      <c r="A36" s="29" t="s">
        <v>96</v>
      </c>
      <c r="B36" s="61">
        <v>47.8</v>
      </c>
      <c r="C36" s="26">
        <v>48.5</v>
      </c>
      <c r="D36" s="26">
        <v>36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/>
      <c r="M36" s="26"/>
      <c r="N36" s="5" t="e">
        <f t="shared" si="2"/>
        <v>#NUM!</v>
      </c>
    </row>
    <row r="37" spans="1:14" ht="12.75">
      <c r="A37" s="27" t="s">
        <v>97</v>
      </c>
      <c r="B37" s="61">
        <v>125.9</v>
      </c>
      <c r="C37" s="26">
        <v>119.9</v>
      </c>
      <c r="D37" s="26">
        <v>120.9</v>
      </c>
      <c r="E37" s="26">
        <v>132.9</v>
      </c>
      <c r="F37" s="26">
        <v>95.8</v>
      </c>
      <c r="G37" s="26">
        <v>49.1</v>
      </c>
      <c r="H37" s="26">
        <v>123.4</v>
      </c>
      <c r="I37" s="26">
        <v>30</v>
      </c>
      <c r="J37" s="26">
        <v>67</v>
      </c>
      <c r="K37" s="26">
        <v>36</v>
      </c>
      <c r="L37" s="26">
        <v>0</v>
      </c>
      <c r="M37" s="26">
        <v>0</v>
      </c>
      <c r="N37" s="5">
        <f t="shared" si="2"/>
        <v>-0.9999995170965069</v>
      </c>
    </row>
    <row r="38" spans="1:14" ht="12.75">
      <c r="A38" s="27" t="s">
        <v>98</v>
      </c>
      <c r="B38" s="61">
        <v>-130.4</v>
      </c>
      <c r="C38" s="26">
        <v>-114.5</v>
      </c>
      <c r="D38" s="26">
        <v>-152</v>
      </c>
      <c r="E38" s="26">
        <v>-134.3</v>
      </c>
      <c r="F38" s="26">
        <v>-89.4</v>
      </c>
      <c r="G38" s="26">
        <v>-44.7</v>
      </c>
      <c r="H38" s="26">
        <v>-84.9</v>
      </c>
      <c r="I38" s="26">
        <v>-25</v>
      </c>
      <c r="J38" s="26">
        <v>-52</v>
      </c>
      <c r="K38" s="26">
        <v>-21</v>
      </c>
      <c r="L38" s="26">
        <v>0</v>
      </c>
      <c r="M38" s="26">
        <v>0</v>
      </c>
      <c r="N38" s="5">
        <f t="shared" si="2"/>
        <v>-0.9999995176400387</v>
      </c>
    </row>
    <row r="39" spans="1:14" ht="12.75">
      <c r="A39" s="27" t="s">
        <v>99</v>
      </c>
      <c r="B39" s="61">
        <v>10.3</v>
      </c>
      <c r="C39" s="26">
        <v>14.9</v>
      </c>
      <c r="D39" s="26">
        <f>17.1+189.9</f>
        <v>207</v>
      </c>
      <c r="E39" s="26">
        <v>10</v>
      </c>
      <c r="F39" s="26">
        <v>-22.8</v>
      </c>
      <c r="G39" s="26">
        <v>-6.6</v>
      </c>
      <c r="H39" s="26">
        <v>-14.9</v>
      </c>
      <c r="I39" s="26">
        <v>8</v>
      </c>
      <c r="J39" s="26">
        <v>6</v>
      </c>
      <c r="K39" s="26">
        <v>5</v>
      </c>
      <c r="L39" s="26">
        <v>-6</v>
      </c>
      <c r="M39" s="26">
        <v>2</v>
      </c>
      <c r="N39" s="5">
        <f t="shared" si="2"/>
        <v>-0.17427633211136145</v>
      </c>
    </row>
    <row r="40" spans="1:14" ht="7.5" customHeight="1">
      <c r="A40" s="27"/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5"/>
    </row>
    <row r="41" spans="1:14" ht="12.75">
      <c r="A41" s="236" t="s">
        <v>100</v>
      </c>
      <c r="B41" s="237">
        <v>-353.7</v>
      </c>
      <c r="C41" s="238">
        <v>231.8</v>
      </c>
      <c r="D41" s="238">
        <v>-568.4</v>
      </c>
      <c r="E41" s="238">
        <v>-525.1</v>
      </c>
      <c r="F41" s="238">
        <v>-703.5</v>
      </c>
      <c r="G41" s="238">
        <v>-846.7</v>
      </c>
      <c r="H41" s="238">
        <f aca="true" t="shared" si="3" ref="H41:M41">SUM(H32:H40)</f>
        <v>-1024.1000000000001</v>
      </c>
      <c r="I41" s="238">
        <f t="shared" si="3"/>
        <v>-1497</v>
      </c>
      <c r="J41" s="238">
        <f t="shared" si="3"/>
        <v>-2076</v>
      </c>
      <c r="K41" s="238">
        <f t="shared" si="3"/>
        <v>-2308</v>
      </c>
      <c r="L41" s="238">
        <f t="shared" si="3"/>
        <v>-1613</v>
      </c>
      <c r="M41" s="238">
        <f t="shared" si="3"/>
        <v>-1067</v>
      </c>
      <c r="N41" s="203">
        <f>RATE(($L$8-$H$8+0.75),,-H41,L41)</f>
        <v>0.10036092102334372</v>
      </c>
    </row>
    <row r="42" spans="1:14" ht="12.75">
      <c r="A42" s="27"/>
      <c r="B42" s="6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5"/>
    </row>
    <row r="43" spans="1:14" ht="12.75">
      <c r="A43" s="235" t="s">
        <v>101</v>
      </c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5"/>
    </row>
    <row r="44" spans="1:14" ht="12.75">
      <c r="A44" s="27" t="s">
        <v>102</v>
      </c>
      <c r="B44" s="61">
        <v>-88.1</v>
      </c>
      <c r="C44" s="26">
        <v>131.5</v>
      </c>
      <c r="D44" s="26">
        <v>-64</v>
      </c>
      <c r="E44" s="26">
        <v>-152.5</v>
      </c>
      <c r="F44" s="26">
        <v>99.9</v>
      </c>
      <c r="G44" s="26">
        <v>343.9</v>
      </c>
      <c r="H44" s="26">
        <v>-284.4</v>
      </c>
      <c r="I44" s="26">
        <v>-397</v>
      </c>
      <c r="J44" s="26">
        <v>85</v>
      </c>
      <c r="K44" s="26">
        <v>-85</v>
      </c>
      <c r="L44" s="26">
        <v>36</v>
      </c>
      <c r="M44" s="26">
        <v>-36</v>
      </c>
      <c r="N44" s="5"/>
    </row>
    <row r="45" spans="1:14" ht="12.75">
      <c r="A45" s="27" t="s">
        <v>103</v>
      </c>
      <c r="B45" s="61">
        <v>1812</v>
      </c>
      <c r="C45" s="26">
        <v>1114</v>
      </c>
      <c r="D45" s="26">
        <v>791.1</v>
      </c>
      <c r="E45" s="26">
        <v>0</v>
      </c>
      <c r="F45" s="26">
        <v>0</v>
      </c>
      <c r="G45" s="26">
        <v>395.2</v>
      </c>
      <c r="H45" s="26">
        <v>296</v>
      </c>
      <c r="I45" s="26">
        <v>1193</v>
      </c>
      <c r="J45" s="26">
        <f>797+216</f>
        <v>1013</v>
      </c>
      <c r="K45" s="26">
        <v>992</v>
      </c>
      <c r="L45" s="26">
        <v>0</v>
      </c>
      <c r="M45" s="26">
        <v>399</v>
      </c>
      <c r="N45" s="5">
        <f aca="true" t="shared" si="4" ref="N45:N51">RATE(($L$8-$H$8+0.75),,-H45,L45)</f>
        <v>-0.9999995170965069</v>
      </c>
    </row>
    <row r="46" spans="1:14" ht="12.75">
      <c r="A46" s="46" t="s">
        <v>151</v>
      </c>
      <c r="B46" s="26">
        <v>0</v>
      </c>
      <c r="C46" s="26">
        <v>0</v>
      </c>
      <c r="D46" s="26">
        <v>0</v>
      </c>
      <c r="E46" s="26">
        <v>150</v>
      </c>
      <c r="F46" s="26">
        <v>0</v>
      </c>
      <c r="G46" s="26">
        <v>0</v>
      </c>
      <c r="H46" s="26">
        <v>484.7</v>
      </c>
      <c r="I46" s="26">
        <v>200</v>
      </c>
      <c r="J46" s="26">
        <v>450</v>
      </c>
      <c r="K46" s="26">
        <v>125</v>
      </c>
      <c r="L46" s="26">
        <v>100</v>
      </c>
      <c r="M46" s="26">
        <v>0</v>
      </c>
      <c r="N46" s="5">
        <f t="shared" si="4"/>
        <v>-0.28271806917443637</v>
      </c>
    </row>
    <row r="47" spans="1:14" ht="12.75">
      <c r="A47" s="27" t="s">
        <v>105</v>
      </c>
      <c r="B47" s="61">
        <v>-269.5</v>
      </c>
      <c r="C47" s="26">
        <v>-347.7</v>
      </c>
      <c r="D47" s="26">
        <v>-310.3</v>
      </c>
      <c r="E47" s="26">
        <v>-7.3</v>
      </c>
      <c r="F47" s="26">
        <v>-165.1</v>
      </c>
      <c r="G47" s="26">
        <v>-195.4</v>
      </c>
      <c r="H47" s="26">
        <v>-177.1</v>
      </c>
      <c r="I47" s="26">
        <v>-2</v>
      </c>
      <c r="J47" s="26">
        <v>-2</v>
      </c>
      <c r="K47" s="26">
        <v>-2</v>
      </c>
      <c r="L47" s="26">
        <v>-2</v>
      </c>
      <c r="M47" s="26">
        <v>-2</v>
      </c>
      <c r="N47" s="5">
        <f t="shared" si="4"/>
        <v>-0.6108961166821969</v>
      </c>
    </row>
    <row r="48" spans="1:14" ht="12.75">
      <c r="A48" s="27" t="s">
        <v>232</v>
      </c>
      <c r="B48" s="61"/>
      <c r="C48" s="26"/>
      <c r="D48" s="26"/>
      <c r="E48" s="26"/>
      <c r="F48" s="26"/>
      <c r="G48" s="26"/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-550</v>
      </c>
      <c r="N48" s="5"/>
    </row>
    <row r="49" spans="1:14" ht="12.75">
      <c r="A49" s="27" t="s">
        <v>106</v>
      </c>
      <c r="B49" s="64">
        <v>-2099</v>
      </c>
      <c r="C49" s="26">
        <v>-1787</v>
      </c>
      <c r="D49" s="26">
        <v>-59</v>
      </c>
      <c r="E49" s="26">
        <v>-144.6</v>
      </c>
      <c r="F49" s="26">
        <v>-194.1</v>
      </c>
      <c r="G49" s="26">
        <v>-259.8</v>
      </c>
      <c r="H49" s="26">
        <v>-269.7</v>
      </c>
      <c r="I49" s="26">
        <v>-127</v>
      </c>
      <c r="J49" s="26">
        <v>-413</v>
      </c>
      <c r="K49" s="26">
        <v>-144</v>
      </c>
      <c r="L49" s="26">
        <v>-16</v>
      </c>
      <c r="M49" s="26">
        <v>-74</v>
      </c>
      <c r="N49" s="5">
        <f t="shared" si="4"/>
        <v>-0.4482599194629156</v>
      </c>
    </row>
    <row r="50" spans="1:14" ht="12.75" hidden="1">
      <c r="A50" s="27" t="s">
        <v>107</v>
      </c>
      <c r="B50" s="26">
        <v>0</v>
      </c>
      <c r="C50" s="26">
        <v>0</v>
      </c>
      <c r="D50" s="26">
        <v>0</v>
      </c>
      <c r="E50" s="26">
        <v>0</v>
      </c>
      <c r="F50" s="26">
        <v>-352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5" t="e">
        <f t="shared" si="4"/>
        <v>#NUM!</v>
      </c>
    </row>
    <row r="51" spans="1:14" ht="12.75">
      <c r="A51" s="27" t="s">
        <v>108</v>
      </c>
      <c r="B51" s="61">
        <v>-26.1</v>
      </c>
      <c r="C51" s="26">
        <v>0</v>
      </c>
      <c r="D51" s="26">
        <v>0</v>
      </c>
      <c r="E51" s="26">
        <v>-7.5</v>
      </c>
      <c r="F51" s="26">
        <v>-7.5</v>
      </c>
      <c r="G51" s="26">
        <v>-7.5</v>
      </c>
      <c r="H51" s="26">
        <v>-7.5</v>
      </c>
      <c r="I51" s="26">
        <v>-38</v>
      </c>
      <c r="J51" s="26">
        <v>0</v>
      </c>
      <c r="K51" s="26">
        <v>0</v>
      </c>
      <c r="L51" s="26">
        <v>0</v>
      </c>
      <c r="M51" s="26">
        <v>0</v>
      </c>
      <c r="N51" s="5">
        <f t="shared" si="4"/>
        <v>-0.9999995176400387</v>
      </c>
    </row>
    <row r="52" spans="1:14" ht="12.75">
      <c r="A52" s="27" t="s">
        <v>99</v>
      </c>
      <c r="B52" s="61">
        <v>7</v>
      </c>
      <c r="C52" s="26">
        <v>-2.1</v>
      </c>
      <c r="D52" s="26">
        <v>-13.5</v>
      </c>
      <c r="E52" s="26">
        <v>0</v>
      </c>
      <c r="F52" s="26">
        <v>-0.3</v>
      </c>
      <c r="G52" s="26">
        <v>0</v>
      </c>
      <c r="H52" s="26">
        <v>7.8</v>
      </c>
      <c r="I52" s="26">
        <v>13</v>
      </c>
      <c r="J52" s="26">
        <f>-2-216</f>
        <v>-218</v>
      </c>
      <c r="K52" s="26">
        <v>-20</v>
      </c>
      <c r="L52" s="26">
        <f>-1</f>
        <v>-1</v>
      </c>
      <c r="M52" s="26">
        <v>-2</v>
      </c>
      <c r="N52" s="5"/>
    </row>
    <row r="53" spans="1:14" ht="7.5" customHeight="1">
      <c r="A53" s="27"/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5"/>
    </row>
    <row r="54" spans="1:14" ht="12.75">
      <c r="A54" s="236" t="s">
        <v>109</v>
      </c>
      <c r="B54" s="239">
        <v>-663.7</v>
      </c>
      <c r="C54" s="238">
        <v>-891.3</v>
      </c>
      <c r="D54" s="238">
        <v>244.3</v>
      </c>
      <c r="E54" s="238">
        <v>-161.9</v>
      </c>
      <c r="F54" s="238">
        <v>-222.4</v>
      </c>
      <c r="G54" s="238">
        <v>276.4</v>
      </c>
      <c r="H54" s="238">
        <f aca="true" t="shared" si="5" ref="H54:M54">SUM(H43:H53)</f>
        <v>49.800000000000054</v>
      </c>
      <c r="I54" s="238">
        <f t="shared" si="5"/>
        <v>842</v>
      </c>
      <c r="J54" s="238">
        <f t="shared" si="5"/>
        <v>915</v>
      </c>
      <c r="K54" s="238">
        <f t="shared" si="5"/>
        <v>866</v>
      </c>
      <c r="L54" s="238">
        <f t="shared" si="5"/>
        <v>117</v>
      </c>
      <c r="M54" s="238">
        <f t="shared" si="5"/>
        <v>-265</v>
      </c>
      <c r="N54" s="203">
        <f>RATE(($L$8-$H$8+0.75),,-H54,L54)</f>
        <v>0.19700539899422134</v>
      </c>
    </row>
    <row r="55" spans="1:15" ht="12.75">
      <c r="A55" s="236" t="s">
        <v>110</v>
      </c>
      <c r="B55" s="237">
        <v>-262</v>
      </c>
      <c r="C55" s="238">
        <v>-14.800000000000182</v>
      </c>
      <c r="D55" s="238">
        <v>18.500000000000057</v>
      </c>
      <c r="E55" s="238">
        <v>-5.400000000000119</v>
      </c>
      <c r="F55" s="238">
        <v>-94.00000000000028</v>
      </c>
      <c r="G55" s="238">
        <v>140.8</v>
      </c>
      <c r="H55" s="238">
        <v>-79.7</v>
      </c>
      <c r="I55" s="238">
        <f>I30+I41+I54</f>
        <v>169</v>
      </c>
      <c r="J55" s="238">
        <f>J30+J41+J54</f>
        <v>-169</v>
      </c>
      <c r="K55" s="238">
        <f>K30+K41+K54</f>
        <v>58</v>
      </c>
      <c r="L55" s="238">
        <f>L57-L56</f>
        <v>-86</v>
      </c>
      <c r="M55" s="238">
        <f>M57-M56</f>
        <v>120</v>
      </c>
      <c r="N55" s="203">
        <f>RATE(($L$8-$H$8+0.75),,-H55,L55)</f>
        <v>0.016145309510335635</v>
      </c>
      <c r="O55" s="242"/>
    </row>
    <row r="56" spans="1:14" ht="12.75">
      <c r="A56" s="30" t="s">
        <v>111</v>
      </c>
      <c r="B56" s="65">
        <v>416.2</v>
      </c>
      <c r="C56" s="31">
        <v>154.2</v>
      </c>
      <c r="D56" s="31">
        <v>139.4</v>
      </c>
      <c r="E56" s="31">
        <v>157.9</v>
      </c>
      <c r="F56" s="31">
        <v>152.5</v>
      </c>
      <c r="G56" s="31">
        <v>58.4999999999996</v>
      </c>
      <c r="H56" s="31">
        <f>G57</f>
        <v>199.3</v>
      </c>
      <c r="I56" s="31">
        <v>59</v>
      </c>
      <c r="J56" s="31">
        <v>228</v>
      </c>
      <c r="K56" s="31">
        <v>59</v>
      </c>
      <c r="L56" s="31">
        <f>Historical!K12:K12</f>
        <v>117</v>
      </c>
      <c r="M56" s="31">
        <f>Historical!L12:L12</f>
        <v>31</v>
      </c>
      <c r="N56" s="256">
        <f>RATE(($L$8-$H$8+0.75),,-H56,L56)</f>
        <v>-0.1060756855331352</v>
      </c>
    </row>
    <row r="57" spans="1:14" ht="12.75">
      <c r="A57" s="30" t="s">
        <v>112</v>
      </c>
      <c r="B57" s="66">
        <f>B55+B56</f>
        <v>154.2</v>
      </c>
      <c r="C57" s="31">
        <v>139.4</v>
      </c>
      <c r="D57" s="31">
        <v>157.9</v>
      </c>
      <c r="E57" s="31">
        <v>152.5</v>
      </c>
      <c r="F57" s="31">
        <v>58.4999999999996</v>
      </c>
      <c r="G57" s="31">
        <v>199.3</v>
      </c>
      <c r="H57" s="31">
        <f>H55+H56</f>
        <v>119.60000000000001</v>
      </c>
      <c r="I57" s="31">
        <f>I55+I56</f>
        <v>228</v>
      </c>
      <c r="J57" s="31">
        <f>J55+J56</f>
        <v>59</v>
      </c>
      <c r="K57" s="31">
        <f>K55+K56</f>
        <v>117</v>
      </c>
      <c r="L57" s="31">
        <f>Historical!L12</f>
        <v>31</v>
      </c>
      <c r="M57" s="31">
        <f>Historical!M12</f>
        <v>151</v>
      </c>
      <c r="N57" s="256">
        <f>RATE(($L$8-$H$8+0.75),,-H57,L57)</f>
        <v>-0.24741805950929618</v>
      </c>
    </row>
    <row r="58" spans="2:14" ht="12.75">
      <c r="B58" s="67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281"/>
    </row>
    <row r="60" ht="12.75">
      <c r="N60" s="53" t="s">
        <v>116</v>
      </c>
    </row>
    <row r="61" ht="12.75">
      <c r="N61" s="54" t="s">
        <v>118</v>
      </c>
    </row>
    <row r="62" spans="1:14" ht="18.75">
      <c r="A62" s="48" t="str">
        <f>A3</f>
        <v>PacifiCorp</v>
      </c>
      <c r="B62" s="49"/>
      <c r="C62" s="49"/>
      <c r="D62" s="49"/>
      <c r="E62" s="49"/>
      <c r="F62" s="49"/>
      <c r="G62" s="47"/>
      <c r="H62" s="47"/>
      <c r="I62" s="47"/>
      <c r="J62" s="47"/>
      <c r="K62" s="47"/>
      <c r="L62" s="47"/>
      <c r="M62" s="47"/>
      <c r="N62" s="39"/>
    </row>
    <row r="63" spans="1:14" s="37" customFormat="1" ht="15.75">
      <c r="A63" s="50" t="s">
        <v>115</v>
      </c>
      <c r="B63" s="42"/>
      <c r="C63" s="42"/>
      <c r="D63" s="42"/>
      <c r="E63" s="42"/>
      <c r="F63" s="42"/>
      <c r="G63" s="42"/>
      <c r="H63" s="56"/>
      <c r="I63" s="56"/>
      <c r="J63" s="56"/>
      <c r="K63" s="56"/>
      <c r="L63" s="56"/>
      <c r="M63" s="56"/>
      <c r="N63" s="56"/>
    </row>
    <row r="64" spans="1:14" s="37" customFormat="1" ht="15.75">
      <c r="A64" s="51" t="str">
        <f>A5</f>
        <v>Fiscal Years Ended March 31, 2006, December 31, 2007-2010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56"/>
      <c r="M64" s="56"/>
      <c r="N64" s="56"/>
    </row>
    <row r="65" spans="1:14" ht="12.75">
      <c r="A65" s="44"/>
      <c r="B65" s="240"/>
      <c r="C65" s="240"/>
      <c r="D65" s="240"/>
      <c r="E65" s="240"/>
      <c r="F65" s="240"/>
      <c r="G65" s="240"/>
      <c r="H65" s="194"/>
      <c r="I65" s="241"/>
      <c r="J65" s="241"/>
      <c r="K65" s="241"/>
      <c r="L65" s="241"/>
      <c r="M65" s="241" t="str">
        <f>M7</f>
        <v>September</v>
      </c>
      <c r="N65" s="231" t="str">
        <f>N6</f>
        <v>2006-2010</v>
      </c>
    </row>
    <row r="66" spans="1:14" ht="12.75">
      <c r="A66" s="242"/>
      <c r="B66" s="234">
        <f>B8</f>
        <v>2000</v>
      </c>
      <c r="C66" s="234">
        <f aca="true" t="shared" si="6" ref="C66:H66">C8</f>
        <v>2001</v>
      </c>
      <c r="D66" s="234">
        <f t="shared" si="6"/>
        <v>2002</v>
      </c>
      <c r="E66" s="234">
        <f t="shared" si="6"/>
        <v>2003</v>
      </c>
      <c r="F66" s="234">
        <f t="shared" si="6"/>
        <v>2004</v>
      </c>
      <c r="G66" s="234">
        <f t="shared" si="6"/>
        <v>2005</v>
      </c>
      <c r="H66" s="234">
        <f t="shared" si="6"/>
        <v>2006</v>
      </c>
      <c r="I66" s="197">
        <f>I8</f>
        <v>2007</v>
      </c>
      <c r="J66" s="197">
        <f>J8</f>
        <v>2008</v>
      </c>
      <c r="K66" s="197">
        <f>K8</f>
        <v>2009</v>
      </c>
      <c r="L66" s="197">
        <f>L8</f>
        <v>2010</v>
      </c>
      <c r="M66" s="197">
        <f>M8</f>
        <v>2011</v>
      </c>
      <c r="N66" s="243" t="s">
        <v>38</v>
      </c>
    </row>
    <row r="67" spans="2:13" ht="7.5" customHeight="1">
      <c r="B67" s="34"/>
      <c r="C67" s="35"/>
      <c r="D67" s="35"/>
      <c r="E67" s="35"/>
      <c r="F67" s="35"/>
      <c r="G67" s="35"/>
      <c r="H67" s="12"/>
      <c r="I67" s="12"/>
      <c r="J67" s="12"/>
      <c r="K67" s="12"/>
      <c r="L67" s="12"/>
      <c r="M67" s="12"/>
    </row>
    <row r="68" spans="1:21" ht="12.75">
      <c r="A68" s="36" t="s">
        <v>45</v>
      </c>
      <c r="B68" s="245">
        <f>Historical!B76</f>
        <v>3986.9</v>
      </c>
      <c r="C68" s="245">
        <f>Historical!C76</f>
        <v>5055.7</v>
      </c>
      <c r="D68" s="245">
        <f>Historical!D76</f>
        <v>3353.7</v>
      </c>
      <c r="E68" s="245">
        <f>Historical!E76</f>
        <v>3082.4</v>
      </c>
      <c r="F68" s="245">
        <f>Historical!F76</f>
        <v>3194.5</v>
      </c>
      <c r="G68" s="245">
        <f>Historical!G76</f>
        <v>3048.8</v>
      </c>
      <c r="H68" s="245">
        <f>Historical!H76</f>
        <v>3896.7</v>
      </c>
      <c r="I68" s="245">
        <f>Historical!I76</f>
        <v>4258</v>
      </c>
      <c r="J68" s="245">
        <f>Historical!J76</f>
        <v>4498</v>
      </c>
      <c r="K68" s="245">
        <f>Historical!K76</f>
        <v>4457</v>
      </c>
      <c r="L68" s="245">
        <f>Historical!L76</f>
        <v>4432</v>
      </c>
      <c r="M68" s="245">
        <f>Historical!M76</f>
        <v>3408</v>
      </c>
      <c r="N68" s="258">
        <f>SUM(H68:L68)/SUM($H$68:$L$68)</f>
        <v>1</v>
      </c>
      <c r="O68" s="37"/>
      <c r="P68" s="37"/>
      <c r="Q68" s="37"/>
      <c r="R68" s="37"/>
      <c r="S68" s="37"/>
      <c r="T68" s="37"/>
      <c r="U68" s="37"/>
    </row>
    <row r="69" spans="1:21" ht="7.5" customHeight="1">
      <c r="A69" s="36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7"/>
      <c r="O69" s="37"/>
      <c r="P69" s="37"/>
      <c r="Q69" s="37"/>
      <c r="R69" s="37"/>
      <c r="S69" s="37"/>
      <c r="T69" s="37"/>
      <c r="U69" s="37"/>
    </row>
    <row r="70" spans="1:21" ht="12.75">
      <c r="A70" s="235" t="s">
        <v>73</v>
      </c>
      <c r="B70" s="37"/>
      <c r="C70" s="37"/>
      <c r="D70" s="37"/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2.75">
      <c r="A71" s="27" t="s">
        <v>74</v>
      </c>
      <c r="B71" s="57">
        <f aca="true" t="shared" si="7" ref="B71:L71">(B11/B$68)</f>
        <v>0.020993754546138593</v>
      </c>
      <c r="C71" s="57">
        <f t="shared" si="7"/>
        <v>-0.01744565539885674</v>
      </c>
      <c r="D71" s="57">
        <f t="shared" si="7"/>
        <v>0.09759370247786027</v>
      </c>
      <c r="E71" s="57">
        <f t="shared" si="7"/>
        <v>0.04545159615883715</v>
      </c>
      <c r="F71" s="57">
        <f t="shared" si="7"/>
        <v>0.07766473626545616</v>
      </c>
      <c r="G71" s="57">
        <f t="shared" si="7"/>
        <v>0.08255707163474159</v>
      </c>
      <c r="H71" s="57">
        <f t="shared" si="7"/>
        <v>0.09256550414453245</v>
      </c>
      <c r="I71" s="57">
        <f t="shared" si="7"/>
        <v>0.1045091592296853</v>
      </c>
      <c r="J71" s="57">
        <f t="shared" si="7"/>
        <v>0.10337927967985772</v>
      </c>
      <c r="K71" s="57">
        <f t="shared" si="7"/>
        <v>0.12340139107022662</v>
      </c>
      <c r="L71" s="57">
        <f t="shared" si="7"/>
        <v>0.12770758122743683</v>
      </c>
      <c r="M71" s="57">
        <f>(M11/M$68)</f>
        <v>0.12470657276995305</v>
      </c>
      <c r="N71" s="58">
        <f>SUM(H11:L11)/SUM($H$68:$L$68)</f>
        <v>0.11079441269723372</v>
      </c>
      <c r="O71" s="37"/>
      <c r="P71" s="37"/>
      <c r="Q71" s="37"/>
      <c r="R71" s="37"/>
      <c r="S71" s="37"/>
      <c r="T71" s="37"/>
      <c r="U71" s="37"/>
    </row>
    <row r="72" spans="1:21" ht="12.75">
      <c r="A72" s="25" t="s">
        <v>75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  <c r="O72" s="37"/>
      <c r="P72" s="37"/>
      <c r="Q72" s="37"/>
      <c r="R72" s="37"/>
      <c r="S72" s="37"/>
      <c r="T72" s="37"/>
      <c r="U72" s="37"/>
    </row>
    <row r="73" spans="1:21" ht="12.75">
      <c r="A73" s="25" t="s">
        <v>76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  <c r="O73" s="37"/>
      <c r="P73" s="37"/>
      <c r="Q73" s="37"/>
      <c r="R73" s="37"/>
      <c r="S73" s="37"/>
      <c r="T73" s="37"/>
      <c r="U73" s="37"/>
    </row>
    <row r="74" spans="1:21" ht="12.75" hidden="1">
      <c r="A74" s="29" t="s">
        <v>77</v>
      </c>
      <c r="B74" s="57">
        <f>(B14/B$68)</f>
        <v>-0.0002759035842383807</v>
      </c>
      <c r="C74" s="59" t="s">
        <v>78</v>
      </c>
      <c r="D74" s="57">
        <f aca="true" t="shared" si="8" ref="D74:D80">(D14/D$68)</f>
        <v>-0.043742731908041864</v>
      </c>
      <c r="E74" s="59" t="s">
        <v>78</v>
      </c>
      <c r="F74" s="59" t="s">
        <v>78</v>
      </c>
      <c r="G74" s="59" t="s">
        <v>78</v>
      </c>
      <c r="H74" s="59" t="s">
        <v>78</v>
      </c>
      <c r="I74" s="59" t="s">
        <v>78</v>
      </c>
      <c r="J74" s="59"/>
      <c r="K74" s="59"/>
      <c r="L74" s="59"/>
      <c r="M74" s="59"/>
      <c r="N74" s="58">
        <f aca="true" t="shared" si="9" ref="N74:N88">SUM(H14:L14)/SUM($H$68:$L$68)</f>
        <v>0</v>
      </c>
      <c r="O74" s="37"/>
      <c r="P74" s="37"/>
      <c r="Q74" s="37"/>
      <c r="R74" s="37"/>
      <c r="S74" s="37"/>
      <c r="T74" s="37"/>
      <c r="U74" s="37"/>
    </row>
    <row r="75" spans="1:21" ht="12.75" hidden="1">
      <c r="A75" s="27" t="s">
        <v>79</v>
      </c>
      <c r="B75" s="59" t="s">
        <v>78</v>
      </c>
      <c r="C75" s="59" t="s">
        <v>78</v>
      </c>
      <c r="D75" s="57">
        <f t="shared" si="8"/>
        <v>0.03363449324626532</v>
      </c>
      <c r="E75" s="57">
        <f aca="true" t="shared" si="10" ref="E75:F78">(E15/E$68)</f>
        <v>0.000616402803010641</v>
      </c>
      <c r="F75" s="57">
        <f t="shared" si="10"/>
        <v>0.00028173423070903115</v>
      </c>
      <c r="G75" s="57" t="s">
        <v>78</v>
      </c>
      <c r="H75" s="59" t="s">
        <v>78</v>
      </c>
      <c r="I75" s="59" t="s">
        <v>78</v>
      </c>
      <c r="J75" s="59"/>
      <c r="K75" s="59"/>
      <c r="L75" s="59"/>
      <c r="M75" s="59"/>
      <c r="N75" s="58">
        <f t="shared" si="9"/>
        <v>0</v>
      </c>
      <c r="O75" s="37"/>
      <c r="P75" s="37"/>
      <c r="Q75" s="37"/>
      <c r="R75" s="37"/>
      <c r="S75" s="37"/>
      <c r="T75" s="37"/>
      <c r="U75" s="37"/>
    </row>
    <row r="76" spans="1:21" ht="12.75">
      <c r="A76" s="27" t="s">
        <v>80</v>
      </c>
      <c r="B76" s="59" t="s">
        <v>78</v>
      </c>
      <c r="C76" s="59" t="s">
        <v>78</v>
      </c>
      <c r="D76" s="57">
        <f t="shared" si="8"/>
        <v>-0.05450696245937323</v>
      </c>
      <c r="E76" s="57">
        <f t="shared" si="10"/>
        <v>-0.001005709836491046</v>
      </c>
      <c r="F76" s="57">
        <f t="shared" si="10"/>
        <v>-0.0019095320081389889</v>
      </c>
      <c r="G76" s="57">
        <f aca="true" t="shared" si="11" ref="G76:M78">(G16/G$68)</f>
        <v>-0.0027551823668328524</v>
      </c>
      <c r="H76" s="57">
        <f t="shared" si="11"/>
        <v>-0.022275258552108195</v>
      </c>
      <c r="I76" s="57">
        <f t="shared" si="11"/>
        <v>0</v>
      </c>
      <c r="J76" s="57">
        <f t="shared" si="11"/>
        <v>0</v>
      </c>
      <c r="K76" s="57">
        <f t="shared" si="11"/>
        <v>0</v>
      </c>
      <c r="L76" s="57">
        <f t="shared" si="11"/>
        <v>0</v>
      </c>
      <c r="M76" s="57">
        <f t="shared" si="11"/>
        <v>0</v>
      </c>
      <c r="N76" s="58">
        <f t="shared" si="9"/>
        <v>-0.004029394151807889</v>
      </c>
      <c r="O76" s="37"/>
      <c r="P76" s="37"/>
      <c r="Q76" s="37"/>
      <c r="R76" s="37"/>
      <c r="S76" s="37"/>
      <c r="T76" s="37"/>
      <c r="U76" s="37"/>
    </row>
    <row r="77" spans="1:21" ht="12.75">
      <c r="A77" s="27" t="s">
        <v>81</v>
      </c>
      <c r="B77" s="57">
        <f aca="true" t="shared" si="12" ref="B77:C79">(B17/B$68)</f>
        <v>0.11444982317088465</v>
      </c>
      <c r="C77" s="57">
        <f t="shared" si="12"/>
        <v>0.0848547184366161</v>
      </c>
      <c r="D77" s="57">
        <f t="shared" si="8"/>
        <v>0.1201657870411784</v>
      </c>
      <c r="E77" s="57">
        <f t="shared" si="10"/>
        <v>0.14089670386711653</v>
      </c>
      <c r="F77" s="57">
        <f t="shared" si="10"/>
        <v>0.13423070903114728</v>
      </c>
      <c r="G77" s="57">
        <f t="shared" si="11"/>
        <v>0.14330228286538965</v>
      </c>
      <c r="H77" s="57">
        <f t="shared" si="11"/>
        <v>0.11504606461878</v>
      </c>
      <c r="I77" s="57">
        <f t="shared" si="11"/>
        <v>0.11672146547674965</v>
      </c>
      <c r="J77" s="57">
        <f t="shared" si="11"/>
        <v>0.10893730546909737</v>
      </c>
      <c r="K77" s="57">
        <f t="shared" si="11"/>
        <v>0.12317702490464438</v>
      </c>
      <c r="L77" s="57">
        <f t="shared" si="11"/>
        <v>0.12657942238267147</v>
      </c>
      <c r="M77" s="57">
        <f t="shared" si="11"/>
        <v>0.13380281690140844</v>
      </c>
      <c r="N77" s="58">
        <f t="shared" si="9"/>
        <v>0.11815687712668917</v>
      </c>
      <c r="O77" s="37"/>
      <c r="P77" s="37"/>
      <c r="Q77" s="37"/>
      <c r="R77" s="37"/>
      <c r="S77" s="37"/>
      <c r="T77" s="37"/>
      <c r="U77" s="37"/>
    </row>
    <row r="78" spans="1:21" ht="12.75">
      <c r="A78" s="27" t="s">
        <v>82</v>
      </c>
      <c r="B78" s="57">
        <f t="shared" si="12"/>
        <v>0.034287290877624214</v>
      </c>
      <c r="C78" s="57">
        <f t="shared" si="12"/>
        <v>-0.0052218288268686824</v>
      </c>
      <c r="D78" s="57">
        <f t="shared" si="8"/>
        <v>0.018159048215403883</v>
      </c>
      <c r="E78" s="57">
        <f t="shared" si="10"/>
        <v>0.010316636387230729</v>
      </c>
      <c r="F78" s="57">
        <f t="shared" si="10"/>
        <v>0.025199561746752232</v>
      </c>
      <c r="G78" s="57">
        <f t="shared" si="11"/>
        <v>0.039359748097612175</v>
      </c>
      <c r="H78" s="57">
        <f t="shared" si="11"/>
        <v>0.0035671208971694</v>
      </c>
      <c r="I78" s="57">
        <f t="shared" si="11"/>
        <v>0.009159229685298262</v>
      </c>
      <c r="J78" s="57">
        <f t="shared" si="11"/>
        <v>0.06847487772343264</v>
      </c>
      <c r="K78" s="57">
        <f t="shared" si="11"/>
        <v>0.14471617680053847</v>
      </c>
      <c r="L78" s="57">
        <f t="shared" si="11"/>
        <v>0.1601985559566787</v>
      </c>
      <c r="M78" s="57">
        <f t="shared" si="11"/>
        <v>0.08039906103286384</v>
      </c>
      <c r="N78" s="58">
        <f t="shared" si="9"/>
        <v>0.0796548090447829</v>
      </c>
      <c r="O78" s="37"/>
      <c r="P78" s="37"/>
      <c r="Q78" s="37"/>
      <c r="R78" s="37"/>
      <c r="S78" s="37"/>
      <c r="T78" s="37"/>
      <c r="U78" s="37"/>
    </row>
    <row r="79" spans="1:21" ht="12.75" hidden="1">
      <c r="A79" s="29" t="s">
        <v>83</v>
      </c>
      <c r="B79" s="57">
        <f t="shared" si="12"/>
        <v>-0.00025082144021670974</v>
      </c>
      <c r="C79" s="57">
        <f t="shared" si="12"/>
        <v>0.037423106592558895</v>
      </c>
      <c r="D79" s="57">
        <f t="shared" si="8"/>
        <v>-0.015684169722992518</v>
      </c>
      <c r="E79" s="59" t="s">
        <v>78</v>
      </c>
      <c r="F79" s="59" t="s">
        <v>78</v>
      </c>
      <c r="G79" s="59" t="s">
        <v>78</v>
      </c>
      <c r="H79" s="59" t="s">
        <v>78</v>
      </c>
      <c r="I79" s="59" t="s">
        <v>78</v>
      </c>
      <c r="J79" s="59"/>
      <c r="K79" s="59"/>
      <c r="L79" s="59"/>
      <c r="M79" s="59"/>
      <c r="N79" s="58">
        <f t="shared" si="9"/>
        <v>0</v>
      </c>
      <c r="O79" s="37"/>
      <c r="P79" s="37"/>
      <c r="Q79" s="37"/>
      <c r="R79" s="37"/>
      <c r="S79" s="37"/>
      <c r="T79" s="37"/>
      <c r="U79" s="37"/>
    </row>
    <row r="80" spans="1:21" ht="12.75">
      <c r="A80" s="27" t="s">
        <v>84</v>
      </c>
      <c r="B80" s="59" t="s">
        <v>78</v>
      </c>
      <c r="C80" s="57">
        <f>(C20/C$68)</f>
        <v>-0.0069426587811776816</v>
      </c>
      <c r="D80" s="57">
        <f t="shared" si="8"/>
        <v>-0.06288576795777798</v>
      </c>
      <c r="E80" s="57">
        <f aca="true" t="shared" si="13" ref="E80:M80">(E20/E$68)</f>
        <v>0.04762522709576953</v>
      </c>
      <c r="F80" s="57">
        <f t="shared" si="13"/>
        <v>0.03477852559085929</v>
      </c>
      <c r="G80" s="57">
        <f t="shared" si="13"/>
        <v>0.021877459984256102</v>
      </c>
      <c r="H80" s="57">
        <f t="shared" si="13"/>
        <v>0.01324197397798137</v>
      </c>
      <c r="I80" s="57">
        <f t="shared" si="13"/>
        <v>-0.010568341944574918</v>
      </c>
      <c r="J80" s="57">
        <f t="shared" si="13"/>
        <v>-0.0082258781680747</v>
      </c>
      <c r="K80" s="57">
        <f t="shared" si="13"/>
        <v>0.001121830827911151</v>
      </c>
      <c r="L80" s="57">
        <f t="shared" si="13"/>
        <v>0.0009025270758122744</v>
      </c>
      <c r="M80" s="57">
        <f t="shared" si="13"/>
        <v>-0.0067488262910798125</v>
      </c>
      <c r="N80" s="58">
        <f t="shared" si="9"/>
        <v>-0.000993422060468765</v>
      </c>
      <c r="O80" s="37"/>
      <c r="P80" s="37"/>
      <c r="Q80" s="37"/>
      <c r="R80" s="37"/>
      <c r="S80" s="37"/>
      <c r="T80" s="37"/>
      <c r="U80" s="37"/>
    </row>
    <row r="81" spans="1:21" ht="12.75">
      <c r="A81" s="27" t="s">
        <v>85</v>
      </c>
      <c r="B81" s="57">
        <f>(B21/B$68)</f>
        <v>0.01291730417116055</v>
      </c>
      <c r="C81" s="59" t="s">
        <v>78</v>
      </c>
      <c r="D81" s="59" t="s">
        <v>78</v>
      </c>
      <c r="E81" s="57">
        <f aca="true" t="shared" si="14" ref="E81:M81">(E21/E$68)</f>
        <v>0.001103036594861147</v>
      </c>
      <c r="F81" s="57">
        <f t="shared" si="14"/>
        <v>-0.0020347472217874473</v>
      </c>
      <c r="G81" s="57">
        <f t="shared" si="14"/>
        <v>-0.00885594332196274</v>
      </c>
      <c r="H81" s="57">
        <f t="shared" si="14"/>
        <v>0.012831370133702877</v>
      </c>
      <c r="I81" s="57">
        <f t="shared" si="14"/>
        <v>0.0007045561296383278</v>
      </c>
      <c r="J81" s="57">
        <f t="shared" si="14"/>
        <v>-0.0022232103156958646</v>
      </c>
      <c r="K81" s="57">
        <f t="shared" si="14"/>
        <v>-0.0071797172986313666</v>
      </c>
      <c r="L81" s="57">
        <f t="shared" si="14"/>
        <v>-0.013086642599277979</v>
      </c>
      <c r="M81" s="57">
        <f t="shared" si="14"/>
        <v>-0.006161971830985915</v>
      </c>
      <c r="N81" s="58">
        <f t="shared" si="9"/>
        <v>-0.002181814805702428</v>
      </c>
      <c r="O81" s="37"/>
      <c r="P81" s="37"/>
      <c r="Q81" s="37"/>
      <c r="R81" s="37"/>
      <c r="S81" s="37"/>
      <c r="T81" s="37"/>
      <c r="U81" s="37"/>
    </row>
    <row r="82" spans="1:21" ht="12.75">
      <c r="A82" s="25" t="s">
        <v>86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37"/>
      <c r="P82" s="37"/>
      <c r="Q82" s="37"/>
      <c r="R82" s="37"/>
      <c r="S82" s="37"/>
      <c r="T82" s="37"/>
      <c r="U82" s="37"/>
    </row>
    <row r="83" spans="1:21" ht="12.75">
      <c r="A83" s="27" t="str">
        <f aca="true" t="shared" si="15" ref="A83:A88">A23</f>
        <v>      Accounts receivable, prepayments and other current assets</v>
      </c>
      <c r="B83" s="57">
        <f aca="true" t="shared" si="16" ref="B83:L83">(B23/B$68)</f>
        <v>-0.010258596904863427</v>
      </c>
      <c r="C83" s="57">
        <f t="shared" si="16"/>
        <v>-0.032003481219217915</v>
      </c>
      <c r="D83" s="57">
        <f t="shared" si="16"/>
        <v>0.04925902734293467</v>
      </c>
      <c r="E83" s="57">
        <f t="shared" si="16"/>
        <v>0.002465611212042564</v>
      </c>
      <c r="F83" s="57">
        <f t="shared" si="16"/>
        <v>-0.0005321646580059477</v>
      </c>
      <c r="G83" s="57">
        <f t="shared" si="16"/>
        <v>-0.04519811073209132</v>
      </c>
      <c r="H83" s="57">
        <f t="shared" si="16"/>
        <v>0.01824620833012549</v>
      </c>
      <c r="I83" s="57">
        <f t="shared" si="16"/>
        <v>-0.01902301550023485</v>
      </c>
      <c r="J83" s="57">
        <f t="shared" si="16"/>
        <v>0.0006669630947087594</v>
      </c>
      <c r="K83" s="57">
        <f t="shared" si="16"/>
        <v>-0.001121830827911151</v>
      </c>
      <c r="L83" s="57">
        <f t="shared" si="16"/>
        <v>-0.00315884476534296</v>
      </c>
      <c r="M83" s="57">
        <f aca="true" t="shared" si="17" ref="M83:M88">(M23/M$68)</f>
        <v>-0.002347417840375587</v>
      </c>
      <c r="N83" s="58">
        <f t="shared" si="9"/>
        <v>-0.0012023192227168702</v>
      </c>
      <c r="O83" s="37"/>
      <c r="P83" s="37"/>
      <c r="Q83" s="37"/>
      <c r="R83" s="37"/>
      <c r="S83" s="37"/>
      <c r="T83" s="37"/>
      <c r="U83" s="37"/>
    </row>
    <row r="84" spans="1:21" ht="12.75">
      <c r="A84" s="27" t="str">
        <f t="shared" si="15"/>
        <v>      Derivative Collateral, net</v>
      </c>
      <c r="B84" s="57">
        <f>(B25/B$68)</f>
        <v>0.0009782036168451678</v>
      </c>
      <c r="C84" s="57">
        <f>(C25/C$68)</f>
        <v>-0.001839507882192377</v>
      </c>
      <c r="D84" s="57">
        <f>(D25/D$68)</f>
        <v>0.002087246921310791</v>
      </c>
      <c r="E84" s="57">
        <f>(E25/E$68)</f>
        <v>-0.005774720996626005</v>
      </c>
      <c r="F84" s="57">
        <f>(F25/F$68)</f>
        <v>0.004413836281108155</v>
      </c>
      <c r="G84" s="57">
        <f aca="true" t="shared" si="18" ref="G84:L88">(G24/G$68)</f>
        <v>0</v>
      </c>
      <c r="H84" s="57">
        <f t="shared" si="18"/>
        <v>0</v>
      </c>
      <c r="I84" s="57">
        <f t="shared" si="18"/>
        <v>0</v>
      </c>
      <c r="J84" s="57">
        <f t="shared" si="18"/>
        <v>-0.01823032458870609</v>
      </c>
      <c r="K84" s="57">
        <f t="shared" si="18"/>
        <v>0.01278887143818712</v>
      </c>
      <c r="L84" s="57">
        <f t="shared" si="18"/>
        <v>-0.023014440433212997</v>
      </c>
      <c r="M84" s="57">
        <f t="shared" si="17"/>
        <v>0.012910798122065728</v>
      </c>
      <c r="N84" s="58">
        <f t="shared" si="9"/>
        <v>-0.005895542134557626</v>
      </c>
      <c r="O84" s="37"/>
      <c r="P84" s="37"/>
      <c r="Q84" s="37"/>
      <c r="R84" s="37"/>
      <c r="S84" s="37"/>
      <c r="T84" s="37"/>
      <c r="U84" s="37"/>
    </row>
    <row r="85" spans="1:21" ht="12.75">
      <c r="A85" s="27" t="str">
        <f t="shared" si="15"/>
        <v>      Inventories</v>
      </c>
      <c r="B85" s="59" t="s">
        <v>78</v>
      </c>
      <c r="C85" s="59" t="s">
        <v>78</v>
      </c>
      <c r="D85" s="57">
        <f aca="true" t="shared" si="19" ref="D85:F86">(D26/D$68)</f>
        <v>-0.0034588663267435967</v>
      </c>
      <c r="E85" s="57">
        <f t="shared" si="19"/>
        <v>0.010543732156760965</v>
      </c>
      <c r="F85" s="57">
        <f t="shared" si="19"/>
        <v>-0.011519799655658162</v>
      </c>
      <c r="G85" s="57">
        <f t="shared" si="18"/>
        <v>-0.005313565993177643</v>
      </c>
      <c r="H85" s="57">
        <f t="shared" si="18"/>
        <v>-0.009982805964020838</v>
      </c>
      <c r="I85" s="57">
        <f t="shared" si="18"/>
        <v>-0.011272898074213245</v>
      </c>
      <c r="J85" s="57">
        <f t="shared" si="18"/>
        <v>-0.011560693641618497</v>
      </c>
      <c r="K85" s="57">
        <f t="shared" si="18"/>
        <v>-0.008750280457706977</v>
      </c>
      <c r="L85" s="57">
        <f t="shared" si="18"/>
        <v>-0.0058664259927797835</v>
      </c>
      <c r="M85" s="57">
        <f t="shared" si="17"/>
        <v>-0.009976525821596244</v>
      </c>
      <c r="N85" s="58">
        <f t="shared" si="9"/>
        <v>-0.009465362529419683</v>
      </c>
      <c r="O85" s="37"/>
      <c r="P85" s="37"/>
      <c r="Q85" s="37"/>
      <c r="R85" s="37"/>
      <c r="S85" s="37"/>
      <c r="T85" s="37"/>
      <c r="U85" s="37"/>
    </row>
    <row r="86" spans="1:21" ht="12.75">
      <c r="A86" s="27" t="str">
        <f t="shared" si="15"/>
        <v>      Amounts due to/from affiliates, net</v>
      </c>
      <c r="B86" s="57">
        <f>(B27/B$68)</f>
        <v>0.016629461486367854</v>
      </c>
      <c r="C86" s="57">
        <f>(C27/C$68)</f>
        <v>0.10756176197163597</v>
      </c>
      <c r="D86" s="57">
        <f t="shared" si="19"/>
        <v>-0.04502489787398992</v>
      </c>
      <c r="E86" s="57">
        <f t="shared" si="19"/>
        <v>-0.03150142745912276</v>
      </c>
      <c r="F86" s="57">
        <f t="shared" si="19"/>
        <v>-0.001033025512599781</v>
      </c>
      <c r="G86" s="57">
        <f t="shared" si="18"/>
        <v>-0.01075833114668066</v>
      </c>
      <c r="H86" s="57">
        <f t="shared" si="18"/>
        <v>0.009289911976800885</v>
      </c>
      <c r="I86" s="57">
        <f t="shared" si="18"/>
        <v>0.004931892907468295</v>
      </c>
      <c r="J86" s="57">
        <f t="shared" si="18"/>
        <v>-0.004446420631391729</v>
      </c>
      <c r="K86" s="57">
        <f t="shared" si="18"/>
        <v>-0.046219430109939424</v>
      </c>
      <c r="L86" s="57">
        <f t="shared" si="18"/>
        <v>-0.021660649819494584</v>
      </c>
      <c r="M86" s="57">
        <f t="shared" si="17"/>
        <v>0</v>
      </c>
      <c r="N86" s="58">
        <f t="shared" si="9"/>
        <v>-0.012292437458510703</v>
      </c>
      <c r="O86" s="37"/>
      <c r="P86" s="37"/>
      <c r="Q86" s="37"/>
      <c r="R86" s="37"/>
      <c r="S86" s="37"/>
      <c r="T86" s="37"/>
      <c r="U86" s="37"/>
    </row>
    <row r="87" spans="1:21" ht="12.75">
      <c r="A87" s="27" t="str">
        <f t="shared" si="15"/>
        <v>      Accounts payable and accrued liabilities</v>
      </c>
      <c r="B87" s="57"/>
      <c r="C87" s="57"/>
      <c r="D87" s="57"/>
      <c r="E87" s="57"/>
      <c r="F87" s="57"/>
      <c r="G87" s="57">
        <f t="shared" si="18"/>
        <v>0.02758462345840986</v>
      </c>
      <c r="H87" s="57">
        <f t="shared" si="18"/>
        <v>-0.003438807195832371</v>
      </c>
      <c r="I87" s="57">
        <f t="shared" si="18"/>
        <v>0</v>
      </c>
      <c r="J87" s="57">
        <f t="shared" si="18"/>
        <v>-0.016229435304579813</v>
      </c>
      <c r="K87" s="57">
        <f t="shared" si="18"/>
        <v>-0.0053847879739735245</v>
      </c>
      <c r="L87" s="57">
        <f t="shared" si="18"/>
        <v>-0.03046028880866426</v>
      </c>
      <c r="M87" s="57">
        <f t="shared" si="17"/>
        <v>0.0994718309859155</v>
      </c>
      <c r="N87" s="58">
        <f t="shared" si="9"/>
        <v>-0.011391858581263316</v>
      </c>
      <c r="O87" s="37"/>
      <c r="P87" s="37"/>
      <c r="Q87" s="37"/>
      <c r="R87" s="37"/>
      <c r="S87" s="37"/>
      <c r="T87" s="37"/>
      <c r="U87" s="37"/>
    </row>
    <row r="88" spans="1:21" ht="12.75">
      <c r="A88" s="27" t="str">
        <f t="shared" si="15"/>
        <v>      Other</v>
      </c>
      <c r="B88" s="59" t="s">
        <v>78</v>
      </c>
      <c r="C88" s="57">
        <f>(C28/C$68)</f>
        <v>-0.006349269141760786</v>
      </c>
      <c r="D88" s="57">
        <f>(D28/D$68)</f>
        <v>-0.012821659659480575</v>
      </c>
      <c r="E88" s="57">
        <f>(E28/E$68)</f>
        <v>0.00038930703348040484</v>
      </c>
      <c r="F88" s="57">
        <f>(F28/F$68)</f>
        <v>0.000876506495539208</v>
      </c>
      <c r="G88" s="57">
        <f t="shared" si="18"/>
        <v>-0.008560745211230647</v>
      </c>
      <c r="H88" s="57">
        <f t="shared" si="18"/>
        <v>0.00048759206508070934</v>
      </c>
      <c r="I88" s="57">
        <f t="shared" si="18"/>
        <v>-0.0016439643024894317</v>
      </c>
      <c r="J88" s="57">
        <f t="shared" si="18"/>
        <v>0</v>
      </c>
      <c r="K88" s="57">
        <f t="shared" si="18"/>
        <v>0</v>
      </c>
      <c r="L88" s="57">
        <f t="shared" si="18"/>
        <v>0</v>
      </c>
      <c r="M88" s="57">
        <f t="shared" si="17"/>
        <v>0</v>
      </c>
      <c r="N88" s="58">
        <f t="shared" si="9"/>
        <v>-0.00023675011721451878</v>
      </c>
      <c r="O88" s="37"/>
      <c r="P88" s="37"/>
      <c r="Q88" s="37"/>
      <c r="R88" s="37"/>
      <c r="S88" s="37"/>
      <c r="T88" s="37"/>
      <c r="U88" s="37"/>
    </row>
    <row r="89" spans="1:21" ht="7.5" customHeight="1">
      <c r="A89" s="2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37"/>
      <c r="P89" s="37"/>
      <c r="Q89" s="37"/>
      <c r="R89" s="37"/>
      <c r="S89" s="37"/>
      <c r="T89" s="37"/>
      <c r="U89" s="37"/>
    </row>
    <row r="90" spans="1:21" ht="12.75">
      <c r="A90" s="236" t="s">
        <v>91</v>
      </c>
      <c r="B90" s="244">
        <f aca="true" t="shared" si="20" ref="B90:L90">(B30/B$68)</f>
        <v>0.1894705159397025</v>
      </c>
      <c r="C90" s="244">
        <f t="shared" si="20"/>
        <v>0.12751943351069087</v>
      </c>
      <c r="D90" s="244">
        <f t="shared" si="20"/>
        <v>0.10215582789158238</v>
      </c>
      <c r="E90" s="244">
        <f t="shared" si="20"/>
        <v>0.22112639501686981</v>
      </c>
      <c r="F90" s="244">
        <f t="shared" si="20"/>
        <v>0.26041634058538105</v>
      </c>
      <c r="G90" s="244">
        <f t="shared" si="20"/>
        <v>0.2332393072684335</v>
      </c>
      <c r="H90" s="244">
        <f t="shared" si="20"/>
        <v>0.2295788744322118</v>
      </c>
      <c r="I90" s="244">
        <f t="shared" si="20"/>
        <v>0.1935180836073274</v>
      </c>
      <c r="J90" s="244">
        <f t="shared" si="20"/>
        <v>0.22054246331702979</v>
      </c>
      <c r="K90" s="244">
        <f t="shared" si="20"/>
        <v>0.3365492483733453</v>
      </c>
      <c r="L90" s="244">
        <f t="shared" si="20"/>
        <v>0.31814079422382674</v>
      </c>
      <c r="M90" s="244">
        <f>(M30/M$68)</f>
        <v>0.426056338028169</v>
      </c>
      <c r="N90" s="289">
        <f>SUM(H30:L30)/SUM($H$68:$L$68)</f>
        <v>0.260917197807044</v>
      </c>
      <c r="O90" s="37"/>
      <c r="P90" s="37"/>
      <c r="Q90" s="37"/>
      <c r="R90" s="37"/>
      <c r="S90" s="37"/>
      <c r="T90" s="37"/>
      <c r="U90" s="37"/>
    </row>
    <row r="91" spans="1:21" ht="12.75">
      <c r="A91" s="27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58"/>
      <c r="O91" s="37"/>
      <c r="P91" s="37"/>
      <c r="Q91" s="37"/>
      <c r="R91" s="37"/>
      <c r="S91" s="37"/>
      <c r="T91" s="37"/>
      <c r="U91" s="37"/>
    </row>
    <row r="92" spans="1:21" ht="12.75">
      <c r="A92" s="235" t="s">
        <v>92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37"/>
      <c r="P92" s="37"/>
      <c r="Q92" s="37"/>
      <c r="R92" s="37"/>
      <c r="S92" s="37"/>
      <c r="T92" s="37"/>
      <c r="U92" s="37"/>
    </row>
    <row r="93" spans="1:21" ht="12.75" hidden="1">
      <c r="A93" s="25" t="s">
        <v>93</v>
      </c>
      <c r="B93" s="57">
        <f aca="true" t="shared" si="21" ref="B93:D99">(B33/B$68)</f>
        <v>-0.0006521357445634453</v>
      </c>
      <c r="C93" s="57">
        <f t="shared" si="21"/>
        <v>-0.07146389224044149</v>
      </c>
      <c r="D93" s="57">
        <f t="shared" si="21"/>
        <v>-0.10680740674478933</v>
      </c>
      <c r="E93" s="59" t="s">
        <v>78</v>
      </c>
      <c r="F93" s="59" t="s">
        <v>78</v>
      </c>
      <c r="G93" s="59" t="s">
        <v>78</v>
      </c>
      <c r="H93" s="59" t="s">
        <v>78</v>
      </c>
      <c r="I93" s="59" t="s">
        <v>78</v>
      </c>
      <c r="J93" s="59"/>
      <c r="K93" s="59"/>
      <c r="L93" s="59"/>
      <c r="M93" s="59"/>
      <c r="N93" s="58"/>
      <c r="O93" s="37"/>
      <c r="P93" s="37"/>
      <c r="Q93" s="37"/>
      <c r="R93" s="37"/>
      <c r="S93" s="37"/>
      <c r="T93" s="37"/>
      <c r="U93" s="37"/>
    </row>
    <row r="94" spans="1:21" ht="12.75">
      <c r="A94" s="27" t="s">
        <v>94</v>
      </c>
      <c r="B94" s="57">
        <f t="shared" si="21"/>
        <v>-0.14397150668439138</v>
      </c>
      <c r="C94" s="57">
        <f t="shared" si="21"/>
        <v>-0.09606978262159543</v>
      </c>
      <c r="D94" s="57">
        <f t="shared" si="21"/>
        <v>-0.15066940990547753</v>
      </c>
      <c r="E94" s="57">
        <f aca="true" t="shared" si="22" ref="E94:M94">(E34/E$68)</f>
        <v>-0.17843239034518557</v>
      </c>
      <c r="F94" s="57">
        <f t="shared" si="22"/>
        <v>-0.216121458757239</v>
      </c>
      <c r="G94" s="57">
        <f t="shared" si="22"/>
        <v>-0.27932301233272105</v>
      </c>
      <c r="H94" s="57">
        <f t="shared" si="22"/>
        <v>-0.26920214540508636</v>
      </c>
      <c r="I94" s="57">
        <f t="shared" si="22"/>
        <v>-0.3567402536402067</v>
      </c>
      <c r="J94" s="57">
        <f t="shared" si="22"/>
        <v>-0.3977323254779902</v>
      </c>
      <c r="K94" s="57">
        <f t="shared" si="22"/>
        <v>-0.5223244334754319</v>
      </c>
      <c r="L94" s="57">
        <f t="shared" si="22"/>
        <v>-0.3625902527075812</v>
      </c>
      <c r="M94" s="57">
        <f t="shared" si="22"/>
        <v>-0.3136737089201878</v>
      </c>
      <c r="N94" s="58">
        <f aca="true" t="shared" si="23" ref="N94:N99">SUM(H34:L34)/SUM($H$68:$L$68)</f>
        <v>-0.38492783763584115</v>
      </c>
      <c r="O94" s="37"/>
      <c r="P94" s="37"/>
      <c r="Q94" s="37"/>
      <c r="R94" s="37"/>
      <c r="S94" s="37"/>
      <c r="T94" s="37"/>
      <c r="U94" s="37"/>
    </row>
    <row r="95" spans="1:21" ht="12.75">
      <c r="A95" s="27" t="s">
        <v>95</v>
      </c>
      <c r="B95" s="57">
        <f t="shared" si="21"/>
        <v>0.04246406982868896</v>
      </c>
      <c r="C95" s="57">
        <f t="shared" si="21"/>
        <v>0.1997745119370216</v>
      </c>
      <c r="D95" s="57">
        <f t="shared" si="21"/>
        <v>0.024808420550436833</v>
      </c>
      <c r="E95" s="57">
        <f aca="true" t="shared" si="24" ref="E95:M95">(E35/E$68)</f>
        <v>0.0052880872047755</v>
      </c>
      <c r="F95" s="57">
        <f t="shared" si="24"/>
        <v>0.001033025512599781</v>
      </c>
      <c r="G95" s="57">
        <f t="shared" si="24"/>
        <v>0.0023287850957753866</v>
      </c>
      <c r="H95" s="57">
        <f t="shared" si="24"/>
        <v>0.00033361562347627484</v>
      </c>
      <c r="I95" s="57">
        <f t="shared" si="24"/>
        <v>0.0021136683889149835</v>
      </c>
      <c r="J95" s="57">
        <f t="shared" si="24"/>
        <v>-0.06847487772343264</v>
      </c>
      <c r="K95" s="57">
        <f t="shared" si="24"/>
        <v>0</v>
      </c>
      <c r="L95" s="57">
        <f t="shared" si="24"/>
        <v>0</v>
      </c>
      <c r="M95" s="57">
        <f t="shared" si="24"/>
        <v>0</v>
      </c>
      <c r="N95" s="58">
        <f t="shared" si="23"/>
        <v>-0.013819707822502402</v>
      </c>
      <c r="O95" s="37"/>
      <c r="P95" s="37"/>
      <c r="Q95" s="37"/>
      <c r="R95" s="37"/>
      <c r="S95" s="37"/>
      <c r="T95" s="37"/>
      <c r="U95" s="37"/>
    </row>
    <row r="96" spans="1:21" ht="12.75">
      <c r="A96" s="29" t="s">
        <v>96</v>
      </c>
      <c r="B96" s="57">
        <f t="shared" si="21"/>
        <v>0.011989264842358724</v>
      </c>
      <c r="C96" s="57">
        <f t="shared" si="21"/>
        <v>0.009593132503906482</v>
      </c>
      <c r="D96" s="57">
        <f t="shared" si="21"/>
        <v>0.010734412738169783</v>
      </c>
      <c r="E96" s="59" t="s">
        <v>78</v>
      </c>
      <c r="F96" s="59" t="s">
        <v>78</v>
      </c>
      <c r="G96" s="57">
        <f aca="true" t="shared" si="25" ref="G96:M99">(G36/G$68)</f>
        <v>0</v>
      </c>
      <c r="H96" s="57">
        <f t="shared" si="25"/>
        <v>0</v>
      </c>
      <c r="I96" s="57">
        <f t="shared" si="25"/>
        <v>0</v>
      </c>
      <c r="J96" s="57">
        <f t="shared" si="25"/>
        <v>0</v>
      </c>
      <c r="K96" s="57">
        <f t="shared" si="25"/>
        <v>0</v>
      </c>
      <c r="L96" s="57">
        <f t="shared" si="25"/>
        <v>0</v>
      </c>
      <c r="M96" s="57">
        <f t="shared" si="25"/>
        <v>0</v>
      </c>
      <c r="N96" s="58">
        <f t="shared" si="23"/>
        <v>0</v>
      </c>
      <c r="O96" s="37"/>
      <c r="P96" s="37"/>
      <c r="Q96" s="37"/>
      <c r="R96" s="37"/>
      <c r="S96" s="37"/>
      <c r="T96" s="37"/>
      <c r="U96" s="37"/>
    </row>
    <row r="97" spans="1:21" ht="12.75">
      <c r="A97" s="27" t="s">
        <v>97</v>
      </c>
      <c r="B97" s="57">
        <f t="shared" si="21"/>
        <v>0.03157841932328376</v>
      </c>
      <c r="C97" s="57">
        <f t="shared" si="21"/>
        <v>0.023715805922028602</v>
      </c>
      <c r="D97" s="57">
        <f t="shared" si="21"/>
        <v>0.03604973611235352</v>
      </c>
      <c r="E97" s="57">
        <f aca="true" t="shared" si="26" ref="E97:F99">(E37/E$68)</f>
        <v>0.04311575395795484</v>
      </c>
      <c r="F97" s="57">
        <f t="shared" si="26"/>
        <v>0.02998904366880576</v>
      </c>
      <c r="G97" s="57">
        <f t="shared" si="25"/>
        <v>0.016104696929939648</v>
      </c>
      <c r="H97" s="57">
        <f t="shared" si="25"/>
        <v>0.0316678214899787</v>
      </c>
      <c r="I97" s="57">
        <f t="shared" si="25"/>
        <v>0.007045561296383279</v>
      </c>
      <c r="J97" s="57">
        <f t="shared" si="25"/>
        <v>0.014895509115162294</v>
      </c>
      <c r="K97" s="57">
        <f t="shared" si="25"/>
        <v>0.008077181960960288</v>
      </c>
      <c r="L97" s="57">
        <f t="shared" si="25"/>
        <v>0</v>
      </c>
      <c r="M97" s="57">
        <f t="shared" si="25"/>
        <v>0</v>
      </c>
      <c r="N97" s="58">
        <f t="shared" si="23"/>
        <v>0.011902496088980904</v>
      </c>
      <c r="O97" s="37"/>
      <c r="P97" s="37"/>
      <c r="Q97" s="37"/>
      <c r="R97" s="37"/>
      <c r="S97" s="37"/>
      <c r="T97" s="37"/>
      <c r="U97" s="37"/>
    </row>
    <row r="98" spans="1:21" ht="12.75">
      <c r="A98" s="27" t="s">
        <v>98</v>
      </c>
      <c r="B98" s="57">
        <f t="shared" si="21"/>
        <v>-0.032707115804258946</v>
      </c>
      <c r="C98" s="57">
        <f t="shared" si="21"/>
        <v>-0.02264770457107819</v>
      </c>
      <c r="D98" s="57">
        <f t="shared" si="21"/>
        <v>-0.04532307600560575</v>
      </c>
      <c r="E98" s="57">
        <f t="shared" si="26"/>
        <v>-0.04356994549701532</v>
      </c>
      <c r="F98" s="57">
        <f t="shared" si="26"/>
        <v>-0.02798560025043043</v>
      </c>
      <c r="G98" s="57">
        <f t="shared" si="25"/>
        <v>-0.014661506166360536</v>
      </c>
      <c r="H98" s="57">
        <f t="shared" si="25"/>
        <v>-0.02178766648702749</v>
      </c>
      <c r="I98" s="57">
        <f t="shared" si="25"/>
        <v>-0.0058713010803193985</v>
      </c>
      <c r="J98" s="57">
        <f t="shared" si="25"/>
        <v>-0.011560693641618497</v>
      </c>
      <c r="K98" s="57">
        <f t="shared" si="25"/>
        <v>-0.004711689477226834</v>
      </c>
      <c r="L98" s="57">
        <f t="shared" si="25"/>
        <v>0</v>
      </c>
      <c r="M98" s="57">
        <f t="shared" si="25"/>
        <v>0</v>
      </c>
      <c r="N98" s="58">
        <f t="shared" si="23"/>
        <v>-0.008490509105595194</v>
      </c>
      <c r="O98" s="37"/>
      <c r="P98" s="37"/>
      <c r="Q98" s="37"/>
      <c r="R98" s="37"/>
      <c r="S98" s="37"/>
      <c r="T98" s="37"/>
      <c r="U98" s="37"/>
    </row>
    <row r="99" spans="1:21" ht="12.75">
      <c r="A99" s="27" t="s">
        <v>99</v>
      </c>
      <c r="B99" s="57">
        <f t="shared" si="21"/>
        <v>0.00258346083423211</v>
      </c>
      <c r="C99" s="57">
        <f t="shared" si="21"/>
        <v>0.002947168542437249</v>
      </c>
      <c r="D99" s="57">
        <f t="shared" si="21"/>
        <v>0.061722873244476256</v>
      </c>
      <c r="E99" s="57">
        <f t="shared" si="26"/>
        <v>0.003244225279003374</v>
      </c>
      <c r="F99" s="57">
        <f t="shared" si="26"/>
        <v>-0.0071372671779621226</v>
      </c>
      <c r="G99" s="57">
        <f t="shared" si="25"/>
        <v>-0.0021647861453686695</v>
      </c>
      <c r="H99" s="57">
        <f t="shared" si="25"/>
        <v>-0.0038237482998434574</v>
      </c>
      <c r="I99" s="57">
        <f t="shared" si="25"/>
        <v>0.0018788163457022077</v>
      </c>
      <c r="J99" s="57">
        <f t="shared" si="25"/>
        <v>0.0013339261894175188</v>
      </c>
      <c r="K99" s="57">
        <f t="shared" si="25"/>
        <v>0.001121830827911151</v>
      </c>
      <c r="L99" s="57">
        <f t="shared" si="25"/>
        <v>-0.0013537906137184115</v>
      </c>
      <c r="M99" s="57">
        <f t="shared" si="25"/>
        <v>0.0005868544600938967</v>
      </c>
      <c r="N99" s="58">
        <f t="shared" si="23"/>
        <v>-8.820102406031095E-05</v>
      </c>
      <c r="O99" s="37"/>
      <c r="P99" s="37"/>
      <c r="Q99" s="37"/>
      <c r="R99" s="37"/>
      <c r="S99" s="37"/>
      <c r="T99" s="37"/>
      <c r="U99" s="37"/>
    </row>
    <row r="100" spans="1:21" ht="7.5" customHeight="1">
      <c r="A100" s="2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8"/>
      <c r="O100" s="37"/>
      <c r="P100" s="37"/>
      <c r="Q100" s="37"/>
      <c r="R100" s="37"/>
      <c r="S100" s="37"/>
      <c r="T100" s="37"/>
      <c r="U100" s="37"/>
    </row>
    <row r="101" spans="1:21" ht="12.75">
      <c r="A101" s="236" t="s">
        <v>100</v>
      </c>
      <c r="B101" s="244">
        <f aca="true" t="shared" si="27" ref="B101:L101">(B41/B$68)</f>
        <v>-0.08871554340465022</v>
      </c>
      <c r="C101" s="244">
        <f t="shared" si="27"/>
        <v>0.04584923947227882</v>
      </c>
      <c r="D101" s="244">
        <f t="shared" si="27"/>
        <v>-0.16948445001043624</v>
      </c>
      <c r="E101" s="244">
        <f t="shared" si="27"/>
        <v>-0.17035426940046716</v>
      </c>
      <c r="F101" s="244">
        <f t="shared" si="27"/>
        <v>-0.220222257004226</v>
      </c>
      <c r="G101" s="244">
        <f t="shared" si="27"/>
        <v>-0.27771582261873523</v>
      </c>
      <c r="H101" s="244">
        <f t="shared" si="27"/>
        <v>-0.2628121230785024</v>
      </c>
      <c r="I101" s="244">
        <f t="shared" si="27"/>
        <v>-0.3515735086895256</v>
      </c>
      <c r="J101" s="244">
        <f t="shared" si="27"/>
        <v>-0.46153846153846156</v>
      </c>
      <c r="K101" s="244">
        <f t="shared" si="27"/>
        <v>-0.5178371101637873</v>
      </c>
      <c r="L101" s="244">
        <f t="shared" si="27"/>
        <v>-0.36394404332129965</v>
      </c>
      <c r="M101" s="244">
        <f>(M41/M$68)</f>
        <v>-0.3130868544600939</v>
      </c>
      <c r="N101" s="289">
        <f>SUM(G41:L41)/SUM($G$68:$L$68)</f>
        <v>-0.38082999532339723</v>
      </c>
      <c r="O101" s="37"/>
      <c r="P101" s="37"/>
      <c r="Q101" s="37"/>
      <c r="R101" s="37"/>
      <c r="S101" s="37"/>
      <c r="T101" s="37"/>
      <c r="U101" s="37"/>
    </row>
    <row r="102" spans="1:21" ht="12.75">
      <c r="A102" s="27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58"/>
      <c r="O102" s="37"/>
      <c r="P102" s="37"/>
      <c r="Q102" s="37"/>
      <c r="R102" s="37"/>
      <c r="S102" s="37"/>
      <c r="T102" s="37"/>
      <c r="U102" s="37"/>
    </row>
    <row r="103" spans="1:21" ht="12.75">
      <c r="A103" s="25" t="s">
        <v>101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37"/>
      <c r="P103" s="37"/>
      <c r="Q103" s="37"/>
      <c r="R103" s="37"/>
      <c r="S103" s="37"/>
      <c r="T103" s="37"/>
      <c r="U103" s="37"/>
    </row>
    <row r="104" spans="1:21" ht="12.75">
      <c r="A104" s="27" t="s">
        <v>102</v>
      </c>
      <c r="B104" s="57">
        <f aca="true" t="shared" si="28" ref="B104:L104">(B44/B$68)</f>
        <v>-0.022097368883092126</v>
      </c>
      <c r="C104" s="57">
        <f t="shared" si="28"/>
        <v>0.026010245861107267</v>
      </c>
      <c r="D104" s="57">
        <f t="shared" si="28"/>
        <v>-0.019083400423412947</v>
      </c>
      <c r="E104" s="57">
        <f t="shared" si="28"/>
        <v>-0.049474435504801455</v>
      </c>
      <c r="F104" s="57">
        <f t="shared" si="28"/>
        <v>0.03127249960870246</v>
      </c>
      <c r="G104" s="57">
        <f t="shared" si="28"/>
        <v>0.11279847808974021</v>
      </c>
      <c r="H104" s="57">
        <f t="shared" si="28"/>
        <v>-0.07298483332050196</v>
      </c>
      <c r="I104" s="57">
        <f t="shared" si="28"/>
        <v>-0.09323626115547205</v>
      </c>
      <c r="J104" s="57">
        <f t="shared" si="28"/>
        <v>0.01889728768341485</v>
      </c>
      <c r="K104" s="57">
        <f t="shared" si="28"/>
        <v>-0.019071124074489566</v>
      </c>
      <c r="L104" s="57">
        <f t="shared" si="28"/>
        <v>0.008122743682310469</v>
      </c>
      <c r="M104" s="57">
        <f>(M44/M$68)</f>
        <v>-0.01056338028169014</v>
      </c>
      <c r="N104" s="58">
        <f>SUM(H44:L44)/SUM($H$68:$L$68)</f>
        <v>-0.0299604952255393</v>
      </c>
      <c r="O104" s="37"/>
      <c r="P104" s="37"/>
      <c r="Q104" s="37"/>
      <c r="R104" s="37"/>
      <c r="S104" s="37"/>
      <c r="T104" s="37"/>
      <c r="U104" s="37"/>
    </row>
    <row r="105" spans="1:21" ht="12.75">
      <c r="A105" s="27" t="s">
        <v>103</v>
      </c>
      <c r="B105" s="57">
        <f>(B45/B$68)</f>
        <v>0.454488449672678</v>
      </c>
      <c r="C105" s="57">
        <f>(C45/C$68)</f>
        <v>0.22034535277014064</v>
      </c>
      <c r="D105" s="57">
        <f>(D45/D$68)</f>
        <v>0.235888719921281</v>
      </c>
      <c r="E105" s="59" t="s">
        <v>78</v>
      </c>
      <c r="F105" s="57">
        <f aca="true" t="shared" si="29" ref="F105:L105">(F45/F$68)</f>
        <v>0</v>
      </c>
      <c r="G105" s="57">
        <f t="shared" si="29"/>
        <v>0.1296247704014694</v>
      </c>
      <c r="H105" s="57">
        <f t="shared" si="29"/>
        <v>0.07596171119152104</v>
      </c>
      <c r="I105" s="57">
        <f t="shared" si="29"/>
        <v>0.2801784875528417</v>
      </c>
      <c r="J105" s="57">
        <f t="shared" si="29"/>
        <v>0.22521120497999111</v>
      </c>
      <c r="K105" s="57">
        <f t="shared" si="29"/>
        <v>0.22257123625757236</v>
      </c>
      <c r="L105" s="57">
        <f t="shared" si="29"/>
        <v>0</v>
      </c>
      <c r="M105" s="57">
        <f>(M45/M$68)</f>
        <v>0.11707746478873239</v>
      </c>
      <c r="N105" s="58">
        <f>SUM(H45:L45)/SUM($H$68:$L$68)</f>
        <v>0.16219704108775074</v>
      </c>
      <c r="O105" s="37"/>
      <c r="P105" s="37"/>
      <c r="Q105" s="37"/>
      <c r="R105" s="37"/>
      <c r="S105" s="37"/>
      <c r="T105" s="37"/>
      <c r="U105" s="37"/>
    </row>
    <row r="106" spans="1:21" ht="12.75">
      <c r="A106" s="27" t="s">
        <v>104</v>
      </c>
      <c r="B106" s="59" t="s">
        <v>78</v>
      </c>
      <c r="C106" s="59" t="s">
        <v>78</v>
      </c>
      <c r="D106" s="59" t="s">
        <v>78</v>
      </c>
      <c r="E106" s="57">
        <f>(E46/E$68)</f>
        <v>0.048663379185050606</v>
      </c>
      <c r="F106" s="57">
        <f aca="true" t="shared" si="30" ref="F106:L106">(F46/$H$68)</f>
        <v>0</v>
      </c>
      <c r="G106" s="57">
        <f t="shared" si="30"/>
        <v>0</v>
      </c>
      <c r="H106" s="57">
        <f t="shared" si="30"/>
        <v>0.12438730207611569</v>
      </c>
      <c r="I106" s="57">
        <f t="shared" si="30"/>
        <v>0.05132548053481151</v>
      </c>
      <c r="J106" s="57">
        <f t="shared" si="30"/>
        <v>0.11548233120332589</v>
      </c>
      <c r="K106" s="57">
        <f t="shared" si="30"/>
        <v>0.03207842533425719</v>
      </c>
      <c r="L106" s="57">
        <f t="shared" si="30"/>
        <v>0.025662740267405754</v>
      </c>
      <c r="M106" s="57">
        <f>(M46/$H$68)</f>
        <v>0</v>
      </c>
      <c r="N106" s="58">
        <f>SUM(H46:L46)/SUM($H$68:$L$68)</f>
        <v>0.06311943811305515</v>
      </c>
      <c r="O106" s="37"/>
      <c r="P106" s="37"/>
      <c r="Q106" s="37"/>
      <c r="R106" s="37"/>
      <c r="S106" s="37"/>
      <c r="T106" s="37"/>
      <c r="U106" s="37"/>
    </row>
    <row r="107" spans="1:21" ht="12.75">
      <c r="A107" s="27" t="s">
        <v>105</v>
      </c>
      <c r="B107" s="57">
        <f>(B47/B$68)</f>
        <v>-0.06759637813840327</v>
      </c>
      <c r="C107" s="57">
        <f>(C47/C$68)</f>
        <v>-0.06877385920841822</v>
      </c>
      <c r="D107" s="57">
        <f>(D47/D$68)</f>
        <v>-0.09252467424039122</v>
      </c>
      <c r="E107" s="57">
        <f>(E47/E$68)</f>
        <v>-0.002368284453672463</v>
      </c>
      <c r="F107" s="57">
        <f aca="true" t="shared" si="31" ref="F107:M107">(F47/F$68)</f>
        <v>-0.051682579433401155</v>
      </c>
      <c r="G107" s="57">
        <f t="shared" si="31"/>
        <v>-0.06409078981894516</v>
      </c>
      <c r="H107" s="57">
        <f t="shared" si="31"/>
        <v>-0.04544871301357559</v>
      </c>
      <c r="I107" s="57">
        <f t="shared" si="31"/>
        <v>-0.0004697040864255519</v>
      </c>
      <c r="J107" s="57">
        <f t="shared" si="31"/>
        <v>-0.00044464206313917296</v>
      </c>
      <c r="K107" s="57">
        <f t="shared" si="31"/>
        <v>-0.0004487323311644604</v>
      </c>
      <c r="L107" s="57">
        <f t="shared" si="31"/>
        <v>-0.0004512635379061372</v>
      </c>
      <c r="M107" s="57">
        <f t="shared" si="31"/>
        <v>-0.0005868544600938967</v>
      </c>
      <c r="N107" s="58">
        <f>SUM(H47:L47)/SUM($H$68:$L$68)</f>
        <v>-0.008592636607138712</v>
      </c>
      <c r="O107" s="37"/>
      <c r="P107" s="37"/>
      <c r="Q107" s="37"/>
      <c r="R107" s="37"/>
      <c r="S107" s="37"/>
      <c r="T107" s="37"/>
      <c r="U107" s="37"/>
    </row>
    <row r="108" spans="1:21" ht="12.75">
      <c r="A108" s="27" t="s">
        <v>106</v>
      </c>
      <c r="B108" s="57">
        <f aca="true" t="shared" si="32" ref="B108:M108">(B49/B$68)</f>
        <v>-0.5264742030148737</v>
      </c>
      <c r="C108" s="57">
        <f t="shared" si="32"/>
        <v>-0.3534624285459976</v>
      </c>
      <c r="D108" s="57">
        <f t="shared" si="32"/>
        <v>-0.017592509765333813</v>
      </c>
      <c r="E108" s="57">
        <f t="shared" si="32"/>
        <v>-0.04691149753438879</v>
      </c>
      <c r="F108" s="57">
        <f t="shared" si="32"/>
        <v>-0.06076068242291438</v>
      </c>
      <c r="G108" s="57">
        <f t="shared" si="32"/>
        <v>-0.08521385463133035</v>
      </c>
      <c r="H108" s="57">
        <f t="shared" si="32"/>
        <v>-0.06921241050119331</v>
      </c>
      <c r="I108" s="57">
        <f t="shared" si="32"/>
        <v>-0.029826209488022545</v>
      </c>
      <c r="J108" s="57">
        <f t="shared" si="32"/>
        <v>-0.09181858603823921</v>
      </c>
      <c r="K108" s="57">
        <f t="shared" si="32"/>
        <v>-0.03230872784384115</v>
      </c>
      <c r="L108" s="57">
        <f t="shared" si="32"/>
        <v>-0.0036101083032490976</v>
      </c>
      <c r="M108" s="57">
        <f t="shared" si="32"/>
        <v>-0.02171361502347418</v>
      </c>
      <c r="N108" s="58">
        <f>SUM(H49:L49)/SUM($H$68:$L$68)</f>
        <v>-0.04501501738488606</v>
      </c>
      <c r="O108" s="37"/>
      <c r="P108" s="37"/>
      <c r="Q108" s="37"/>
      <c r="R108" s="37"/>
      <c r="S108" s="37"/>
      <c r="T108" s="37"/>
      <c r="U108" s="37"/>
    </row>
    <row r="109" spans="1:21" ht="12.75" hidden="1">
      <c r="A109" s="27" t="s">
        <v>107</v>
      </c>
      <c r="B109" s="59" t="s">
        <v>78</v>
      </c>
      <c r="C109" s="59" t="s">
        <v>78</v>
      </c>
      <c r="D109" s="59" t="s">
        <v>78</v>
      </c>
      <c r="E109" s="59" t="s">
        <v>78</v>
      </c>
      <c r="F109" s="57">
        <f aca="true" t="shared" si="33" ref="F109:M111">(F50/F$68)</f>
        <v>-0.11018938801064329</v>
      </c>
      <c r="G109" s="57">
        <f t="shared" si="33"/>
        <v>0</v>
      </c>
      <c r="H109" s="57">
        <f t="shared" si="33"/>
        <v>0</v>
      </c>
      <c r="I109" s="57">
        <f t="shared" si="33"/>
        <v>0</v>
      </c>
      <c r="J109" s="57">
        <f t="shared" si="33"/>
        <v>0</v>
      </c>
      <c r="K109" s="57">
        <f t="shared" si="33"/>
        <v>0</v>
      </c>
      <c r="L109" s="57">
        <f t="shared" si="33"/>
        <v>0</v>
      </c>
      <c r="M109" s="57">
        <f t="shared" si="33"/>
        <v>0</v>
      </c>
      <c r="N109" s="58">
        <f>SUM(H50:L50)/SUM($H$68:$L$68)</f>
        <v>0</v>
      </c>
      <c r="O109" s="37"/>
      <c r="P109" s="37"/>
      <c r="Q109" s="37"/>
      <c r="R109" s="37"/>
      <c r="S109" s="37"/>
      <c r="T109" s="37"/>
      <c r="U109" s="37"/>
    </row>
    <row r="110" spans="1:21" ht="12.75">
      <c r="A110" s="27" t="s">
        <v>108</v>
      </c>
      <c r="B110" s="57">
        <f>(B51/B$68)</f>
        <v>-0.006546439589656124</v>
      </c>
      <c r="C110" s="59" t="s">
        <v>78</v>
      </c>
      <c r="D110" s="59" t="s">
        <v>78</v>
      </c>
      <c r="E110" s="57">
        <f>(E51/E$68)</f>
        <v>-0.0024331689592525306</v>
      </c>
      <c r="F110" s="57">
        <f t="shared" si="33"/>
        <v>-0.0023477852559085927</v>
      </c>
      <c r="G110" s="57">
        <f t="shared" si="33"/>
        <v>-0.002459984256100761</v>
      </c>
      <c r="H110" s="57">
        <f t="shared" si="33"/>
        <v>-0.0019247055200554315</v>
      </c>
      <c r="I110" s="57">
        <f t="shared" si="33"/>
        <v>-0.008924377642085486</v>
      </c>
      <c r="J110" s="57">
        <f t="shared" si="33"/>
        <v>0</v>
      </c>
      <c r="K110" s="57">
        <f t="shared" si="33"/>
        <v>0</v>
      </c>
      <c r="L110" s="57">
        <f t="shared" si="33"/>
        <v>0</v>
      </c>
      <c r="M110" s="57">
        <f t="shared" si="33"/>
        <v>0</v>
      </c>
      <c r="N110" s="58">
        <f>SUM(H51:L51)/SUM($H$68:$L$68)</f>
        <v>-0.002112182418286393</v>
      </c>
      <c r="O110" s="37"/>
      <c r="P110" s="37"/>
      <c r="Q110" s="37"/>
      <c r="R110" s="37"/>
      <c r="S110" s="37"/>
      <c r="T110" s="37"/>
      <c r="U110" s="37"/>
    </row>
    <row r="111" spans="1:21" ht="12.75">
      <c r="A111" s="27" t="s">
        <v>99</v>
      </c>
      <c r="B111" s="57">
        <f>(B52/B$68)</f>
        <v>0.001755750081516968</v>
      </c>
      <c r="C111" s="57">
        <f>(C52/C$68)</f>
        <v>-0.0004153727475918271</v>
      </c>
      <c r="D111" s="57">
        <f>(D52/D$68)</f>
        <v>-0.004025404776813669</v>
      </c>
      <c r="E111" s="59" t="s">
        <v>78</v>
      </c>
      <c r="F111" s="57">
        <f t="shared" si="33"/>
        <v>-9.391141023634372E-05</v>
      </c>
      <c r="G111" s="57">
        <f t="shared" si="33"/>
        <v>0</v>
      </c>
      <c r="H111" s="57">
        <f t="shared" si="33"/>
        <v>0.002001693740857649</v>
      </c>
      <c r="I111" s="57">
        <f t="shared" si="33"/>
        <v>0.0030530765617660873</v>
      </c>
      <c r="J111" s="57">
        <f t="shared" si="33"/>
        <v>-0.048465984882169855</v>
      </c>
      <c r="K111" s="57">
        <f t="shared" si="33"/>
        <v>-0.004487323311644604</v>
      </c>
      <c r="L111" s="57">
        <f t="shared" si="33"/>
        <v>-0.0002256317689530686</v>
      </c>
      <c r="M111" s="57">
        <f t="shared" si="33"/>
        <v>-0.0005868544600938967</v>
      </c>
      <c r="N111" s="58">
        <f>SUM(H52:L52)/SUM($H$68:$L$68)</f>
        <v>-0.01012919128945255</v>
      </c>
      <c r="O111" s="37"/>
      <c r="P111" s="37"/>
      <c r="Q111" s="37"/>
      <c r="R111" s="37"/>
      <c r="S111" s="37"/>
      <c r="T111" s="37"/>
      <c r="U111" s="37"/>
    </row>
    <row r="112" spans="1:21" ht="7.5" customHeight="1">
      <c r="A112" s="2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8"/>
      <c r="O112" s="37"/>
      <c r="P112" s="37"/>
      <c r="Q112" s="37"/>
      <c r="R112" s="37"/>
      <c r="S112" s="37"/>
      <c r="T112" s="37"/>
      <c r="U112" s="37"/>
    </row>
    <row r="113" spans="1:21" ht="12.75">
      <c r="A113" s="236" t="s">
        <v>109</v>
      </c>
      <c r="B113" s="244">
        <f aca="true" t="shared" si="34" ref="B113:L113">(B54/B$68)</f>
        <v>-0.16647018987183027</v>
      </c>
      <c r="C113" s="244">
        <f t="shared" si="34"/>
        <v>-0.17629606187075975</v>
      </c>
      <c r="D113" s="244">
        <f t="shared" si="34"/>
        <v>0.07284491755374661</v>
      </c>
      <c r="E113" s="244">
        <f t="shared" si="34"/>
        <v>-0.052524007267064625</v>
      </c>
      <c r="F113" s="244">
        <f t="shared" si="34"/>
        <v>-0.06961965878854282</v>
      </c>
      <c r="G113" s="244">
        <f t="shared" si="34"/>
        <v>0.09065861978483336</v>
      </c>
      <c r="H113" s="244">
        <f t="shared" si="34"/>
        <v>0.01278004465316808</v>
      </c>
      <c r="I113" s="244">
        <f t="shared" si="34"/>
        <v>0.19774542038515736</v>
      </c>
      <c r="J113" s="244">
        <f t="shared" si="34"/>
        <v>0.20342374388617163</v>
      </c>
      <c r="K113" s="244">
        <f t="shared" si="34"/>
        <v>0.19430109939421136</v>
      </c>
      <c r="L113" s="244">
        <f t="shared" si="34"/>
        <v>0.026398916967509026</v>
      </c>
      <c r="M113" s="244">
        <f>(M54/M$68)</f>
        <v>-0.07775821596244131</v>
      </c>
      <c r="N113" s="289">
        <f>SUM(H54:L54)/SUM($H$68:$L$68)</f>
        <v>0.12950695627550288</v>
      </c>
      <c r="O113" s="37"/>
      <c r="P113" s="37"/>
      <c r="Q113" s="37"/>
      <c r="R113" s="37"/>
      <c r="S113" s="37"/>
      <c r="T113" s="37"/>
      <c r="U113" s="37"/>
    </row>
    <row r="114" spans="1:21" ht="12.75">
      <c r="A114" s="236" t="s">
        <v>110</v>
      </c>
      <c r="B114" s="244">
        <f aca="true" t="shared" si="35" ref="B114:L114">(B55/B$68)</f>
        <v>-0.06571521733677795</v>
      </c>
      <c r="C114" s="244">
        <f t="shared" si="35"/>
        <v>-0.0029273888877900554</v>
      </c>
      <c r="D114" s="244">
        <f t="shared" si="35"/>
        <v>0.005516295434892822</v>
      </c>
      <c r="E114" s="244">
        <f t="shared" si="35"/>
        <v>-0.0017518816506618606</v>
      </c>
      <c r="F114" s="244">
        <f t="shared" si="35"/>
        <v>-0.029425575207387786</v>
      </c>
      <c r="G114" s="244">
        <f t="shared" si="35"/>
        <v>0.04618210443453162</v>
      </c>
      <c r="H114" s="244">
        <f t="shared" si="35"/>
        <v>-0.020453203993122386</v>
      </c>
      <c r="I114" s="244">
        <f t="shared" si="35"/>
        <v>0.039689995302959136</v>
      </c>
      <c r="J114" s="244">
        <f t="shared" si="35"/>
        <v>-0.03757225433526012</v>
      </c>
      <c r="K114" s="244">
        <f t="shared" si="35"/>
        <v>0.013013237603769351</v>
      </c>
      <c r="L114" s="244">
        <f t="shared" si="35"/>
        <v>-0.0194043321299639</v>
      </c>
      <c r="M114" s="244">
        <f>(M55/M$68)</f>
        <v>0.035211267605633804</v>
      </c>
      <c r="N114" s="289">
        <f>SUM(H55:L55)/SUM($H$68:$L$68)</f>
        <v>-0.004999605416471309</v>
      </c>
      <c r="O114" s="37"/>
      <c r="P114" s="37"/>
      <c r="Q114" s="37"/>
      <c r="R114" s="37"/>
      <c r="S114" s="37"/>
      <c r="T114" s="37"/>
      <c r="U114" s="37"/>
    </row>
    <row r="115" spans="1:21" ht="12.75">
      <c r="A115" s="30" t="s">
        <v>111</v>
      </c>
      <c r="B115" s="70">
        <f aca="true" t="shared" si="36" ref="B115:L115">(B56/B$68)</f>
        <v>0.10439188341819458</v>
      </c>
      <c r="C115" s="70">
        <f t="shared" si="36"/>
        <v>0.030500227466028443</v>
      </c>
      <c r="D115" s="70">
        <f t="shared" si="36"/>
        <v>0.04156603154724633</v>
      </c>
      <c r="E115" s="70">
        <f t="shared" si="36"/>
        <v>0.051226317155463275</v>
      </c>
      <c r="F115" s="70">
        <f t="shared" si="36"/>
        <v>0.04773830020347472</v>
      </c>
      <c r="G115" s="70">
        <f t="shared" si="36"/>
        <v>0.019187877197585804</v>
      </c>
      <c r="H115" s="70">
        <f t="shared" si="36"/>
        <v>0.051145841352939675</v>
      </c>
      <c r="I115" s="70">
        <f t="shared" si="36"/>
        <v>0.013856270549553781</v>
      </c>
      <c r="J115" s="70">
        <f t="shared" si="36"/>
        <v>0.050689195197865716</v>
      </c>
      <c r="K115" s="70">
        <f t="shared" si="36"/>
        <v>0.013237603769351581</v>
      </c>
      <c r="L115" s="70">
        <f t="shared" si="36"/>
        <v>0.026398916967509026</v>
      </c>
      <c r="M115" s="70">
        <f>(M56/M$68)</f>
        <v>0.009096244131455399</v>
      </c>
      <c r="N115" s="288">
        <f>SUM(H56:L56)/SUM($H$68:$L$68)</f>
        <v>0.03074502012375996</v>
      </c>
      <c r="O115" s="37"/>
      <c r="P115" s="37"/>
      <c r="Q115" s="37"/>
      <c r="R115" s="37"/>
      <c r="S115" s="37"/>
      <c r="T115" s="37"/>
      <c r="U115" s="37"/>
    </row>
    <row r="116" spans="1:21" ht="12.75">
      <c r="A116" s="30" t="s">
        <v>112</v>
      </c>
      <c r="B116" s="70">
        <f aca="true" t="shared" si="37" ref="B116:L116">(B57/B$68)</f>
        <v>0.038676666081416636</v>
      </c>
      <c r="C116" s="70">
        <f t="shared" si="37"/>
        <v>0.027572838578238425</v>
      </c>
      <c r="D116" s="70">
        <f t="shared" si="37"/>
        <v>0.047082326982139135</v>
      </c>
      <c r="E116" s="70">
        <f t="shared" si="37"/>
        <v>0.049474435504801455</v>
      </c>
      <c r="F116" s="70">
        <f t="shared" si="37"/>
        <v>0.0183127249960869</v>
      </c>
      <c r="G116" s="70">
        <f t="shared" si="37"/>
        <v>0.06536998163211756</v>
      </c>
      <c r="H116" s="70">
        <f t="shared" si="37"/>
        <v>0.030692637359817285</v>
      </c>
      <c r="I116" s="70">
        <f t="shared" si="37"/>
        <v>0.05354626585251292</v>
      </c>
      <c r="J116" s="70">
        <f t="shared" si="37"/>
        <v>0.013116940862605602</v>
      </c>
      <c r="K116" s="70">
        <f t="shared" si="37"/>
        <v>0.026250841373120934</v>
      </c>
      <c r="L116" s="70">
        <f t="shared" si="37"/>
        <v>0.006994584837545126</v>
      </c>
      <c r="M116" s="70">
        <f>(M57/M$68)</f>
        <v>0.0443075117370892</v>
      </c>
      <c r="N116" s="288">
        <f>SUM(H57:L57)/SUM($H$68:$L$68)</f>
        <v>0.025745414707288656</v>
      </c>
      <c r="O116" s="37"/>
      <c r="P116" s="37"/>
      <c r="Q116" s="37"/>
      <c r="R116" s="37"/>
      <c r="S116" s="37"/>
      <c r="T116" s="37"/>
      <c r="U116" s="37"/>
    </row>
    <row r="117" spans="2:21" ht="12.7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58"/>
      <c r="O117" s="37"/>
      <c r="P117" s="37"/>
      <c r="Q117" s="37"/>
      <c r="R117" s="37"/>
      <c r="S117" s="37"/>
      <c r="T117" s="37"/>
      <c r="U117" s="37"/>
    </row>
    <row r="118" spans="2:21" ht="12.75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37"/>
      <c r="O118" s="37"/>
      <c r="P118" s="37"/>
      <c r="Q118" s="37"/>
      <c r="R118" s="37"/>
      <c r="S118" s="37"/>
      <c r="T118" s="37"/>
      <c r="U118" s="37"/>
    </row>
    <row r="119" spans="2:21" ht="12.75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37"/>
      <c r="O119" s="37"/>
      <c r="P119" s="37"/>
      <c r="Q119" s="37"/>
      <c r="R119" s="37"/>
      <c r="S119" s="37"/>
      <c r="T119" s="37"/>
      <c r="U119" s="37"/>
    </row>
    <row r="120" spans="2:21" ht="12.75">
      <c r="B120" s="37"/>
      <c r="C120" s="37"/>
      <c r="D120" s="37"/>
      <c r="E120" s="37"/>
      <c r="F120" s="38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21" ht="12.75">
      <c r="B121" s="37"/>
      <c r="C121" s="37"/>
      <c r="D121" s="37"/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2:21" ht="12.75">
      <c r="B122" s="37"/>
      <c r="C122" s="37"/>
      <c r="D122" s="37"/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2:21" ht="12.75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2:21" ht="12.75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2:21" ht="12.75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2:21" ht="12.75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2:21" ht="12.75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2:21" ht="12.75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2:21" ht="12.75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2:21" ht="12.75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2:21" ht="12.75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2:21" ht="12.75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2:21" ht="12.75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2:21" ht="12.75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2:21" ht="12.75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2:21" ht="12.75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2:21" ht="12.75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2:21" ht="12.75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2:21" ht="12.75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2:21" ht="12.75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2:21" ht="12.75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2:21" ht="12.75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2:21" ht="12.75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2:21" ht="12.75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2:21" ht="12.75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2:21" ht="12.75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2:21" ht="12.75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2:21" ht="12.75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2:21" ht="12.75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2:21" ht="12.75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2:21" ht="12.75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2:21" ht="12.75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2:21" ht="12.75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2:21" ht="12.75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2:21" ht="12.75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2:21" ht="12.75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2:21" ht="12.75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2:21" ht="12.75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2:21" ht="12.75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2:21" ht="12.75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2:21" ht="12.75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2:21" ht="12.75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2:21" ht="12.75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2:21" ht="12.75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2:21" ht="12.75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2:21" ht="12.75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2:21" ht="12.75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2:21" ht="12.75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2:21" ht="12.75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2:21" ht="12.75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2:21" ht="12.75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2:21" ht="12.75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2:21" ht="12.75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2:21" ht="12.75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2:21" ht="12.75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2:21" ht="12.75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2:21" ht="12.75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2:21" ht="12.75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2:21" ht="12.75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2:21" ht="12.75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2:21" ht="12.75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2:21" ht="12.75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2:21" ht="12.75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2:21" ht="12.75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2:21" ht="12.75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2:21" ht="12.75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2:21" ht="12.75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2:21" ht="12.75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2:21" ht="12.75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2:21" ht="12.75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2:21" ht="12.75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2:21" ht="12.75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2:21" ht="12.75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2:21" ht="12.75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2:21" ht="12.75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2:21" ht="12.75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2:21" ht="12.75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2:21" ht="12.75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2:21" ht="12.75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2:21" ht="12.75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2:21" ht="12.75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2:21" ht="12.75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2:21" ht="12.75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2:21" ht="12.75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2:21" ht="12.75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2:21" ht="12.75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2:21" ht="12.75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2:21" ht="12.75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2:21" ht="12.75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2:21" ht="12.75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2:21" ht="12.75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2:21" ht="12.75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2:21" ht="12.75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2:21" ht="12.75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2:21" ht="12.75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2:21" ht="12.75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2:21" ht="12.75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2:21" ht="12.75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2:21" ht="12.75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2:21" ht="12.75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2:21" ht="12.75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2:21" ht="12.75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2:21" ht="12.75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2:21" ht="12.75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2:21" ht="12.75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2:21" ht="12.75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2:21" ht="12.75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2:21" ht="12.75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2:21" ht="12.75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2:21" ht="12.75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2:21" ht="12.75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2:21" ht="12.75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2:21" ht="12.75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</sheetData>
  <sheetProtection/>
  <mergeCells count="1">
    <mergeCell ref="B7:G7"/>
  </mergeCells>
  <printOptions horizontalCentered="1"/>
  <pageMargins left="0.7" right="0.7" top="0.75" bottom="1" header="0.5" footer="0.5"/>
  <pageSetup fitToHeight="2" horizontalDpi="600" verticalDpi="600" orientation="portrait" scale="63" r:id="rId1"/>
  <rowBreaks count="1" manualBreakCount="1"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Y202"/>
  <sheetViews>
    <sheetView showGridLines="0" zoomScalePageLayoutView="0" workbookViewId="0" topLeftCell="A1">
      <selection activeCell="H106" sqref="H106"/>
    </sheetView>
  </sheetViews>
  <sheetFormatPr defaultColWidth="13.7109375" defaultRowHeight="12.75"/>
  <cols>
    <col min="1" max="1" width="30.28125" style="52" customWidth="1"/>
    <col min="2" max="10" width="10.7109375" style="0" customWidth="1"/>
    <col min="11" max="11" width="12.57421875" style="1" customWidth="1"/>
    <col min="12" max="12" width="13.7109375" style="0" customWidth="1"/>
    <col min="13" max="13" width="13.7109375" style="52" customWidth="1"/>
    <col min="14" max="14" width="29.28125" style="52" customWidth="1"/>
    <col min="15" max="18" width="13.7109375" style="52" customWidth="1"/>
    <col min="19" max="26" width="12.7109375" style="52" customWidth="1"/>
    <col min="27" max="52" width="13.7109375" style="52" customWidth="1"/>
  </cols>
  <sheetData>
    <row r="2" spans="11:24" ht="12.75">
      <c r="K2" s="283" t="s">
        <v>226</v>
      </c>
      <c r="X2" s="283" t="s">
        <v>226</v>
      </c>
    </row>
    <row r="3" spans="11:24" ht="12.75">
      <c r="K3" s="284" t="s">
        <v>216</v>
      </c>
      <c r="X3" s="284" t="s">
        <v>219</v>
      </c>
    </row>
    <row r="4" spans="1:25" ht="15.75">
      <c r="A4" s="218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82"/>
      <c r="N4" s="105" t="str">
        <f>A4</f>
        <v>PacifiCorp</v>
      </c>
      <c r="O4" s="106"/>
      <c r="P4" s="10"/>
      <c r="Q4" s="12"/>
      <c r="R4" s="12"/>
      <c r="S4" s="12"/>
      <c r="T4" s="12"/>
      <c r="U4" s="12"/>
      <c r="V4" s="12"/>
      <c r="W4" s="12"/>
      <c r="X4" s="13"/>
      <c r="Y4" s="2"/>
    </row>
    <row r="5" spans="1:25" ht="12.75">
      <c r="A5" s="262" t="s">
        <v>124</v>
      </c>
      <c r="B5" s="10"/>
      <c r="C5" s="10"/>
      <c r="D5" s="10"/>
      <c r="E5" s="10"/>
      <c r="F5" s="10"/>
      <c r="G5" s="10"/>
      <c r="H5" s="10"/>
      <c r="I5" s="10"/>
      <c r="J5" s="10"/>
      <c r="K5" s="73"/>
      <c r="N5" s="107" t="s">
        <v>182</v>
      </c>
      <c r="O5" s="106"/>
      <c r="P5" s="12"/>
      <c r="Q5" s="10"/>
      <c r="R5" s="12"/>
      <c r="S5" s="12"/>
      <c r="T5" s="12"/>
      <c r="U5" s="12"/>
      <c r="V5" s="12"/>
      <c r="W5" s="12"/>
      <c r="X5" s="13"/>
      <c r="Y5" s="2"/>
    </row>
    <row r="6" spans="1:25" ht="12.75">
      <c r="A6" s="137">
        <f ca="1">NOW()</f>
        <v>40946.62491261574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N6" s="111"/>
      <c r="O6" s="19"/>
      <c r="P6" s="2"/>
      <c r="Q6" s="2"/>
      <c r="R6" s="2"/>
      <c r="S6" s="2"/>
      <c r="T6" s="2"/>
      <c r="U6" s="2"/>
      <c r="V6" s="2"/>
      <c r="W6" s="2"/>
      <c r="X6" s="5"/>
      <c r="Y6" s="2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5"/>
      <c r="L7" s="2"/>
      <c r="N7" s="111"/>
      <c r="O7" s="19"/>
      <c r="P7" s="2"/>
      <c r="Q7" s="2"/>
      <c r="R7" s="2"/>
      <c r="S7" s="2"/>
      <c r="T7" s="2"/>
      <c r="U7" s="2"/>
      <c r="V7" s="2"/>
      <c r="W7" s="2"/>
      <c r="X7" s="5"/>
      <c r="Y7" s="2"/>
    </row>
    <row r="8" spans="2:25" ht="12.75">
      <c r="B8" s="74" t="s">
        <v>125</v>
      </c>
      <c r="C8" s="14" t="s">
        <v>126</v>
      </c>
      <c r="D8" s="14" t="s">
        <v>126</v>
      </c>
      <c r="E8" s="14" t="s">
        <v>126</v>
      </c>
      <c r="F8" s="14" t="s">
        <v>126</v>
      </c>
      <c r="G8" s="14" t="s">
        <v>126</v>
      </c>
      <c r="H8" s="14" t="s">
        <v>126</v>
      </c>
      <c r="I8" s="14" t="s">
        <v>126</v>
      </c>
      <c r="J8" s="14" t="s">
        <v>126</v>
      </c>
      <c r="K8" s="15" t="s">
        <v>4</v>
      </c>
      <c r="L8" s="2"/>
      <c r="O8" s="74" t="s">
        <v>125</v>
      </c>
      <c r="P8" s="14" t="s">
        <v>126</v>
      </c>
      <c r="Q8" s="14" t="s">
        <v>126</v>
      </c>
      <c r="R8" s="14" t="s">
        <v>126</v>
      </c>
      <c r="S8" s="14" t="s">
        <v>126</v>
      </c>
      <c r="T8" s="14" t="s">
        <v>126</v>
      </c>
      <c r="U8" s="14" t="s">
        <v>126</v>
      </c>
      <c r="V8" s="14" t="s">
        <v>126</v>
      </c>
      <c r="W8" s="14" t="s">
        <v>126</v>
      </c>
      <c r="X8" s="15" t="s">
        <v>127</v>
      </c>
      <c r="Y8" s="2"/>
    </row>
    <row r="9" spans="1:25" ht="12.75">
      <c r="A9" s="263" t="s">
        <v>0</v>
      </c>
      <c r="B9" s="75">
        <v>2010</v>
      </c>
      <c r="C9" s="4">
        <f aca="true" t="shared" si="0" ref="C9:J9">B9+1</f>
        <v>2011</v>
      </c>
      <c r="D9" s="4">
        <f t="shared" si="0"/>
        <v>2012</v>
      </c>
      <c r="E9" s="4">
        <f t="shared" si="0"/>
        <v>2013</v>
      </c>
      <c r="F9" s="4">
        <f t="shared" si="0"/>
        <v>2014</v>
      </c>
      <c r="G9" s="4">
        <f t="shared" si="0"/>
        <v>2015</v>
      </c>
      <c r="H9" s="4">
        <f t="shared" si="0"/>
        <v>2016</v>
      </c>
      <c r="I9" s="4">
        <f t="shared" si="0"/>
        <v>2017</v>
      </c>
      <c r="J9" s="4">
        <f t="shared" si="0"/>
        <v>2018</v>
      </c>
      <c r="K9" s="16" t="s">
        <v>23</v>
      </c>
      <c r="L9" s="2"/>
      <c r="O9" s="88">
        <f aca="true" t="shared" si="1" ref="O9:W9">B9</f>
        <v>2010</v>
      </c>
      <c r="P9" s="4">
        <f t="shared" si="1"/>
        <v>2011</v>
      </c>
      <c r="Q9" s="4">
        <f t="shared" si="1"/>
        <v>2012</v>
      </c>
      <c r="R9" s="4">
        <f t="shared" si="1"/>
        <v>2013</v>
      </c>
      <c r="S9" s="4">
        <f t="shared" si="1"/>
        <v>2014</v>
      </c>
      <c r="T9" s="4">
        <f t="shared" si="1"/>
        <v>2015</v>
      </c>
      <c r="U9" s="4">
        <f t="shared" si="1"/>
        <v>2016</v>
      </c>
      <c r="V9" s="4">
        <f t="shared" si="1"/>
        <v>2017</v>
      </c>
      <c r="W9" s="4">
        <f t="shared" si="1"/>
        <v>2018</v>
      </c>
      <c r="X9" s="16" t="s">
        <v>128</v>
      </c>
      <c r="Y9" s="2"/>
    </row>
    <row r="10" spans="1:25" ht="7.5" customHeight="1">
      <c r="A10" s="111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O10" s="85"/>
      <c r="P10" s="2"/>
      <c r="Q10" s="2"/>
      <c r="R10" s="2"/>
      <c r="S10" s="2"/>
      <c r="T10" s="2"/>
      <c r="U10" s="2"/>
      <c r="V10" s="2"/>
      <c r="W10" s="2"/>
      <c r="X10" s="5"/>
      <c r="Y10" s="2"/>
    </row>
    <row r="11" spans="1:25" ht="12.75">
      <c r="A11" s="193" t="str">
        <f>Historical!A11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N11" s="193" t="str">
        <f aca="true" t="shared" si="2" ref="N11:N17">A11</f>
        <v>Current Assets:</v>
      </c>
      <c r="O11" s="77"/>
      <c r="P11" s="5"/>
      <c r="Q11" s="5"/>
      <c r="R11" s="5"/>
      <c r="S11" s="5"/>
      <c r="T11" s="5"/>
      <c r="U11" s="2"/>
      <c r="V11" s="2"/>
      <c r="W11" s="2"/>
      <c r="X11" s="5"/>
      <c r="Y11" s="2"/>
    </row>
    <row r="12" spans="1:25" ht="12.75">
      <c r="A12" s="52" t="str">
        <f>Historical!A12</f>
        <v>Cash &amp; Equivalents</v>
      </c>
      <c r="B12" s="77">
        <f>Historical!L12</f>
        <v>31</v>
      </c>
      <c r="C12" s="2">
        <f>Assumptions!$C$14*Forecast!C80</f>
        <v>70.22353199364882</v>
      </c>
      <c r="D12" s="2">
        <f>Assumptions!$C$14*Forecast!D80</f>
        <v>72.85478383462969</v>
      </c>
      <c r="E12" s="2">
        <f>Assumptions!$C$14*Forecast!E80</f>
        <v>75.58462778646152</v>
      </c>
      <c r="F12" s="2">
        <f>Assumptions!$C$14*Forecast!F80</f>
        <v>78.41675806197897</v>
      </c>
      <c r="G12" s="2">
        <f>Assumptions!$C$14*Forecast!G80</f>
        <v>81.35500729491409</v>
      </c>
      <c r="H12" s="2">
        <f>Assumptions!$C$14*Forecast!H80</f>
        <v>84.40335172648035</v>
      </c>
      <c r="I12" s="2">
        <f>Assumptions!$C$14*Forecast!I80</f>
        <v>87.56591658629604</v>
      </c>
      <c r="J12" s="2">
        <f>Assumptions!$C$14*Forecast!J80</f>
        <v>90.84698167492911</v>
      </c>
      <c r="K12" s="5">
        <f>RATE(8,,-B12,J12)</f>
        <v>0.14384874788112934</v>
      </c>
      <c r="L12" s="2">
        <v>151</v>
      </c>
      <c r="N12" s="52" t="str">
        <f t="shared" si="2"/>
        <v>Cash &amp; Equivalents</v>
      </c>
      <c r="O12" s="90">
        <f aca="true" t="shared" si="3" ref="O12:W17">B12/B$38</f>
        <v>0.0015387670008934777</v>
      </c>
      <c r="P12" s="95">
        <f t="shared" si="3"/>
        <v>0.0033977309540645477</v>
      </c>
      <c r="Q12" s="18">
        <f t="shared" si="3"/>
        <v>0.0032659692097506006</v>
      </c>
      <c r="R12" s="18">
        <f t="shared" si="3"/>
        <v>0.0031343161248280353</v>
      </c>
      <c r="S12" s="18">
        <f t="shared" si="3"/>
        <v>0.0031169973161310426</v>
      </c>
      <c r="T12" s="18">
        <f t="shared" si="3"/>
        <v>0.0031984476174454694</v>
      </c>
      <c r="U12" s="18">
        <f t="shared" si="3"/>
        <v>0.003207253334155397</v>
      </c>
      <c r="V12" s="18">
        <f t="shared" si="3"/>
        <v>0.003355626166647642</v>
      </c>
      <c r="W12" s="18">
        <f t="shared" si="3"/>
        <v>0.0034293494912796874</v>
      </c>
      <c r="X12" s="18">
        <f aca="true" t="shared" si="4" ref="X12:X17">SUM(C12:J12)/SUM($C$38:$J$38)</f>
        <v>0.0032619285288517574</v>
      </c>
      <c r="Y12" s="2"/>
    </row>
    <row r="13" spans="1:25" ht="12.75">
      <c r="A13" s="52" t="s">
        <v>141</v>
      </c>
      <c r="B13" s="77">
        <v>0</v>
      </c>
      <c r="C13" s="2">
        <f aca="true" t="shared" si="5" ref="C13:J13">C67</f>
        <v>0</v>
      </c>
      <c r="D13" s="2">
        <f t="shared" si="5"/>
        <v>0</v>
      </c>
      <c r="E13" s="2">
        <f t="shared" si="5"/>
        <v>0</v>
      </c>
      <c r="F13" s="2">
        <f t="shared" si="5"/>
        <v>0</v>
      </c>
      <c r="G13" s="2">
        <f t="shared" si="5"/>
        <v>0</v>
      </c>
      <c r="H13" s="2">
        <f t="shared" si="5"/>
        <v>0</v>
      </c>
      <c r="I13" s="2">
        <f t="shared" si="5"/>
        <v>0</v>
      </c>
      <c r="J13" s="2">
        <f t="shared" si="5"/>
        <v>0</v>
      </c>
      <c r="K13" s="5"/>
      <c r="N13" s="52" t="str">
        <f t="shared" si="2"/>
        <v>Surplus Cash</v>
      </c>
      <c r="O13" s="90">
        <f t="shared" si="3"/>
        <v>0</v>
      </c>
      <c r="P13" s="95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4"/>
        <v>0</v>
      </c>
      <c r="Y13" s="2"/>
    </row>
    <row r="14" spans="1:25" ht="12.75">
      <c r="A14" s="52" t="str">
        <f>Historical!A13</f>
        <v>Accounts Receivable</v>
      </c>
      <c r="B14" s="77">
        <f>Historical!L13</f>
        <v>628</v>
      </c>
      <c r="C14" s="2">
        <f>Assumptions!$C$16*Forecast!C80</f>
        <v>628.0849221439463</v>
      </c>
      <c r="D14" s="2">
        <f>Assumptions!$C$16*Forecast!D80</f>
        <v>651.6190503879237</v>
      </c>
      <c r="E14" s="2">
        <f>Assumptions!$C$16*Forecast!E80</f>
        <v>676.0349944066111</v>
      </c>
      <c r="F14" s="2">
        <f>Assumptions!$C$16*Forecast!F80</f>
        <v>701.3657955369324</v>
      </c>
      <c r="G14" s="2">
        <f>Assumptions!$C$16*Forecast!G80</f>
        <v>727.6457331634601</v>
      </c>
      <c r="H14" s="2">
        <f>Assumptions!$C$16*Forecast!H80</f>
        <v>754.9103711076381</v>
      </c>
      <c r="I14" s="2">
        <f>Assumptions!$C$16*Forecast!I80</f>
        <v>783.1966057551942</v>
      </c>
      <c r="J14" s="2">
        <f>Assumptions!$C$16*Forecast!J80</f>
        <v>812.5427159868714</v>
      </c>
      <c r="K14" s="5">
        <f>RATE(8,,-B14,J14)</f>
        <v>0.03272768529144296</v>
      </c>
      <c r="L14" s="2">
        <v>661</v>
      </c>
      <c r="N14" s="52" t="str">
        <f t="shared" si="2"/>
        <v>Accounts Receivable</v>
      </c>
      <c r="O14" s="90">
        <f t="shared" si="3"/>
        <v>0.03117244117939045</v>
      </c>
      <c r="P14" s="95">
        <f t="shared" si="3"/>
        <v>0.03038957912203444</v>
      </c>
      <c r="Q14" s="18">
        <f t="shared" si="3"/>
        <v>0.029211091475949354</v>
      </c>
      <c r="R14" s="18">
        <f t="shared" si="3"/>
        <v>0.028033575688206323</v>
      </c>
      <c r="S14" s="18">
        <f t="shared" si="3"/>
        <v>0.027878674869303323</v>
      </c>
      <c r="T14" s="18">
        <f t="shared" si="3"/>
        <v>0.028607172919847115</v>
      </c>
      <c r="U14" s="18">
        <f t="shared" si="3"/>
        <v>0.02868593195883531</v>
      </c>
      <c r="V14" s="18">
        <f t="shared" si="3"/>
        <v>0.030012990514542773</v>
      </c>
      <c r="W14" s="18">
        <f t="shared" si="3"/>
        <v>0.03067237786372793</v>
      </c>
      <c r="X14" s="18">
        <f t="shared" si="4"/>
        <v>0.02917495130077292</v>
      </c>
      <c r="Y14" s="2"/>
    </row>
    <row r="15" spans="1:25" ht="12.75">
      <c r="A15" s="52" t="str">
        <f>Historical!A14</f>
        <v>Material, Supplies, Fuel</v>
      </c>
      <c r="B15" s="77">
        <f>Historical!L14</f>
        <v>374</v>
      </c>
      <c r="C15" s="2">
        <f>(1+Assumptions!$C$17)*Forecast!B15</f>
        <v>384.285</v>
      </c>
      <c r="D15" s="2">
        <f>(1+Assumptions!$C$17)*Forecast!C15</f>
        <v>394.8528375000001</v>
      </c>
      <c r="E15" s="2">
        <f>(1+Assumptions!$C$17)*Forecast!D15</f>
        <v>405.7112905312501</v>
      </c>
      <c r="F15" s="2">
        <f>(1+Assumptions!$C$17)*Forecast!E15</f>
        <v>416.8683510208595</v>
      </c>
      <c r="G15" s="2">
        <f>(1+Assumptions!$C$17)*Forecast!F15</f>
        <v>428.33223067393317</v>
      </c>
      <c r="H15" s="2">
        <f>(1+Assumptions!$C$17)*Forecast!G15</f>
        <v>440.11136701746636</v>
      </c>
      <c r="I15" s="2">
        <f>(1+Assumptions!$C$17)*Forecast!H15</f>
        <v>452.2144296104467</v>
      </c>
      <c r="J15" s="2">
        <f>(1+Assumptions!$C$17)*Forecast!I15</f>
        <v>464.65032642473403</v>
      </c>
      <c r="K15" s="5">
        <f>RATE(8,,-B15,J15)</f>
        <v>0.027500000000006148</v>
      </c>
      <c r="L15" s="2">
        <v>408</v>
      </c>
      <c r="N15" s="52" t="str">
        <f t="shared" si="2"/>
        <v>Material, Supplies, Fuel</v>
      </c>
      <c r="O15" s="90">
        <f t="shared" si="3"/>
        <v>0.018564479301101954</v>
      </c>
      <c r="P15" s="95">
        <f t="shared" si="3"/>
        <v>0.018593440156225483</v>
      </c>
      <c r="Q15" s="18">
        <f t="shared" si="3"/>
        <v>0.017700652473073286</v>
      </c>
      <c r="R15" s="18">
        <f t="shared" si="3"/>
        <v>0.01682388968732421</v>
      </c>
      <c r="S15" s="18">
        <f t="shared" si="3"/>
        <v>0.016570151118527388</v>
      </c>
      <c r="T15" s="18">
        <f t="shared" si="3"/>
        <v>0.016839752686738315</v>
      </c>
      <c r="U15" s="18">
        <f t="shared" si="3"/>
        <v>0.016723845918355934</v>
      </c>
      <c r="V15" s="18">
        <f t="shared" si="3"/>
        <v>0.017329374625354336</v>
      </c>
      <c r="W15" s="18">
        <f t="shared" si="3"/>
        <v>0.017539915263770876</v>
      </c>
      <c r="X15" s="18">
        <f t="shared" si="4"/>
        <v>0.017229192467530102</v>
      </c>
      <c r="Y15" s="2"/>
    </row>
    <row r="16" spans="1:25" ht="12.75">
      <c r="A16" s="52" t="str">
        <f>Historical!A15</f>
        <v>Other Current Assets</v>
      </c>
      <c r="B16" s="77">
        <f>Historical!L15</f>
        <v>601</v>
      </c>
      <c r="C16" s="3">
        <f>Assumptions!$C$18*Forecast!C38</f>
        <v>545.969891002036</v>
      </c>
      <c r="D16" s="3">
        <f>C16*(1+Assumptions!$C$35)</f>
        <v>555.6335580727721</v>
      </c>
      <c r="E16" s="3">
        <f>D16*(1+Assumptions!$C$35)</f>
        <v>565.4682720506602</v>
      </c>
      <c r="F16" s="3">
        <f>E16*(1+Assumptions!$C$35)</f>
        <v>575.4770604659569</v>
      </c>
      <c r="G16" s="3">
        <f>F16*(1+Assumptions!$C$35)</f>
        <v>585.6630044362043</v>
      </c>
      <c r="H16" s="3">
        <f>G16*(1+Assumptions!$C$35)</f>
        <v>596.0292396147252</v>
      </c>
      <c r="I16" s="3">
        <f>H16*(1+Assumptions!$C$35)</f>
        <v>606.5789571559059</v>
      </c>
      <c r="J16" s="3">
        <f>I16*(1+Assumptions!$C$35)</f>
        <v>617.3154046975654</v>
      </c>
      <c r="K16" s="5">
        <f>RATE(8,,-B16,J16)</f>
        <v>0.003353754984775719</v>
      </c>
      <c r="L16" s="2">
        <v>181</v>
      </c>
      <c r="N16" s="52" t="str">
        <f t="shared" si="2"/>
        <v>Other Current Assets</v>
      </c>
      <c r="O16" s="90">
        <f t="shared" si="3"/>
        <v>0.029832224759257422</v>
      </c>
      <c r="P16" s="95">
        <f t="shared" si="3"/>
        <v>0.02641648384778824</v>
      </c>
      <c r="Q16" s="18">
        <f t="shared" si="3"/>
        <v>0.02490820776695905</v>
      </c>
      <c r="R16" s="18">
        <f t="shared" si="3"/>
        <v>0.023448634663839535</v>
      </c>
      <c r="S16" s="18">
        <f t="shared" si="3"/>
        <v>0.022874708127433915</v>
      </c>
      <c r="T16" s="18">
        <f t="shared" si="3"/>
        <v>0.023025164688074917</v>
      </c>
      <c r="U16" s="18">
        <f t="shared" si="3"/>
        <v>0.022648588319137696</v>
      </c>
      <c r="V16" s="18">
        <f t="shared" si="3"/>
        <v>0.023244800033175722</v>
      </c>
      <c r="W16" s="18">
        <f t="shared" si="3"/>
        <v>0.02330281347853445</v>
      </c>
      <c r="X16" s="18">
        <f t="shared" si="4"/>
        <v>0.023644230413384006</v>
      </c>
      <c r="Y16" s="2"/>
    </row>
    <row r="17" spans="1:25" ht="12.75">
      <c r="A17" s="193" t="str">
        <f>Historical!A16</f>
        <v>Total Current Assets</v>
      </c>
      <c r="B17" s="267">
        <f>SUM(B12:B16)</f>
        <v>1634</v>
      </c>
      <c r="C17" s="2">
        <f aca="true" t="shared" si="6" ref="C17:J17">SUM(C11:C16)</f>
        <v>1628.563345139631</v>
      </c>
      <c r="D17" s="2">
        <f t="shared" si="6"/>
        <v>1674.9602297953254</v>
      </c>
      <c r="E17" s="2">
        <f t="shared" si="6"/>
        <v>1722.7991847749827</v>
      </c>
      <c r="F17" s="2">
        <f t="shared" si="6"/>
        <v>1772.1279650857277</v>
      </c>
      <c r="G17" s="2">
        <f t="shared" si="6"/>
        <v>1822.9959755685118</v>
      </c>
      <c r="H17" s="2">
        <f t="shared" si="6"/>
        <v>1875.45432946631</v>
      </c>
      <c r="I17" s="2">
        <f t="shared" si="6"/>
        <v>1929.5559091078426</v>
      </c>
      <c r="J17" s="2">
        <f t="shared" si="6"/>
        <v>1985.3554287840998</v>
      </c>
      <c r="K17" s="17">
        <f>RATE(8,,-B17,J17)</f>
        <v>0.02464465032706286</v>
      </c>
      <c r="L17" s="2">
        <v>1401</v>
      </c>
      <c r="N17" s="52" t="str">
        <f t="shared" si="2"/>
        <v>Total Current Assets</v>
      </c>
      <c r="O17" s="91">
        <f t="shared" si="3"/>
        <v>0.0811079122406433</v>
      </c>
      <c r="P17" s="93">
        <f t="shared" si="3"/>
        <v>0.07879723408011272</v>
      </c>
      <c r="Q17" s="17">
        <f t="shared" si="3"/>
        <v>0.07508592092573228</v>
      </c>
      <c r="R17" s="17">
        <f t="shared" si="3"/>
        <v>0.07144041616419809</v>
      </c>
      <c r="S17" s="17">
        <f t="shared" si="3"/>
        <v>0.07044053143139567</v>
      </c>
      <c r="T17" s="17">
        <f t="shared" si="3"/>
        <v>0.07167053791210583</v>
      </c>
      <c r="U17" s="17">
        <f t="shared" si="3"/>
        <v>0.07126561953048434</v>
      </c>
      <c r="V17" s="17">
        <f t="shared" si="3"/>
        <v>0.07394279133972047</v>
      </c>
      <c r="W17" s="17">
        <f t="shared" si="3"/>
        <v>0.07494445609731294</v>
      </c>
      <c r="X17" s="17">
        <f t="shared" si="4"/>
        <v>0.07331030271053879</v>
      </c>
      <c r="Y17" s="2"/>
    </row>
    <row r="18" spans="2:25" ht="7.5" customHeight="1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O18" s="90"/>
      <c r="P18" s="95"/>
      <c r="Q18" s="18"/>
      <c r="R18" s="18"/>
      <c r="S18" s="18"/>
      <c r="T18" s="18"/>
      <c r="U18" s="18"/>
      <c r="V18" s="18"/>
      <c r="W18" s="18"/>
      <c r="X18" s="18"/>
      <c r="Y18" s="2"/>
    </row>
    <row r="19" spans="1:25" ht="12.75">
      <c r="A19" s="193" t="str">
        <f>Historical!A18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N19" s="193" t="str">
        <f aca="true" t="shared" si="7" ref="N19:N24">A19</f>
        <v>Plant &amp; Equipment:</v>
      </c>
      <c r="O19" s="90"/>
      <c r="P19" s="95"/>
      <c r="Q19" s="18"/>
      <c r="R19" s="18"/>
      <c r="S19" s="18"/>
      <c r="T19" s="18"/>
      <c r="U19" s="18"/>
      <c r="V19" s="18"/>
      <c r="W19" s="18"/>
      <c r="X19" s="18"/>
      <c r="Y19" s="2"/>
    </row>
    <row r="20" spans="1:25" ht="12.75">
      <c r="A20" s="52" t="str">
        <f>Historical!A19</f>
        <v>Plant in Service</v>
      </c>
      <c r="B20" s="77">
        <f>Historical!L19</f>
        <v>22034</v>
      </c>
      <c r="C20" s="2">
        <v>22807</v>
      </c>
      <c r="D20" s="2">
        <f>(1+Assumptions!$C$22)*Forecast!C20</f>
        <v>24694.73967547072</v>
      </c>
      <c r="E20" s="2">
        <f>(1+Assumptions!$C$22)*Forecast!D20</f>
        <v>26738.727918589368</v>
      </c>
      <c r="F20" s="2">
        <f>(1+Assumptions!$C$22/2)*Forecast!E20</f>
        <v>27845.312685624438</v>
      </c>
      <c r="G20" s="2">
        <f>(1+Assumptions!$C$22/5)*Forecast!F20</f>
        <v>28306.265038257763</v>
      </c>
      <c r="H20" s="2">
        <f>(1+Assumptions!$C$22/5)*Forecast!G20+1000</f>
        <v>29774.848013459316</v>
      </c>
      <c r="I20" s="2">
        <f>(1+Assumptions!$C$22/5)*Forecast!H20</f>
        <v>30267.741966422156</v>
      </c>
      <c r="J20" s="2">
        <f>(1+Assumptions!$C$22/5)*Forecast!I20</f>
        <v>30768.795304405452</v>
      </c>
      <c r="K20" s="5">
        <f>RATE(8,,-B20,J20)</f>
        <v>0.042622621434213734</v>
      </c>
      <c r="L20" s="2">
        <v>22614</v>
      </c>
      <c r="N20" s="52" t="str">
        <f t="shared" si="7"/>
        <v>Plant in Service</v>
      </c>
      <c r="O20" s="90">
        <f aca="true" t="shared" si="8" ref="O20:W24">B20/B$38</f>
        <v>1.093715874118932</v>
      </c>
      <c r="P20" s="95">
        <f t="shared" si="8"/>
        <v>1.1035054442484993</v>
      </c>
      <c r="Q20" s="18">
        <f t="shared" si="8"/>
        <v>1.1070276401610555</v>
      </c>
      <c r="R20" s="18">
        <f t="shared" si="8"/>
        <v>1.1087919399351145</v>
      </c>
      <c r="S20" s="18">
        <f t="shared" si="8"/>
        <v>1.1068267428158796</v>
      </c>
      <c r="T20" s="18">
        <f t="shared" si="8"/>
        <v>1.112852287532834</v>
      </c>
      <c r="U20" s="18">
        <f t="shared" si="8"/>
        <v>1.1314181085438724</v>
      </c>
      <c r="V20" s="18">
        <f t="shared" si="8"/>
        <v>1.159894521834541</v>
      </c>
      <c r="W20" s="18">
        <f t="shared" si="8"/>
        <v>1.161480002737075</v>
      </c>
      <c r="X20" s="18">
        <f>SUM(C20:J20)/SUM($C$38:$J$38)</f>
        <v>1.1252221472421133</v>
      </c>
      <c r="Y20" s="2"/>
    </row>
    <row r="21" spans="1:25" ht="12.75">
      <c r="A21" s="52" t="str">
        <f>Historical!A20</f>
        <v>Construction Work in Progress</v>
      </c>
      <c r="B21" s="77">
        <f>Historical!L20</f>
        <v>1004</v>
      </c>
      <c r="C21" s="2">
        <v>1000</v>
      </c>
      <c r="D21" s="2">
        <v>1000</v>
      </c>
      <c r="E21" s="2">
        <v>1000</v>
      </c>
      <c r="F21" s="2">
        <v>1200</v>
      </c>
      <c r="G21" s="2">
        <v>1300</v>
      </c>
      <c r="H21" s="2">
        <v>1000</v>
      </c>
      <c r="I21" s="2">
        <f>Assumptions!$C$23/2</f>
        <v>600</v>
      </c>
      <c r="J21" s="2">
        <v>800</v>
      </c>
      <c r="K21" s="5">
        <f>RATE(8,,-B21,J21)</f>
        <v>-0.027992682806292156</v>
      </c>
      <c r="L21" s="2">
        <v>1246</v>
      </c>
      <c r="N21" s="52" t="str">
        <f t="shared" si="7"/>
        <v>Construction Work in Progress</v>
      </c>
      <c r="O21" s="90">
        <f t="shared" si="8"/>
        <v>0.04983619577087263</v>
      </c>
      <c r="P21" s="95">
        <f t="shared" si="8"/>
        <v>0.04838450669743935</v>
      </c>
      <c r="Q21" s="18">
        <f t="shared" si="8"/>
        <v>0.04482847985883673</v>
      </c>
      <c r="R21" s="18">
        <f t="shared" si="8"/>
        <v>0.04146763987094006</v>
      </c>
      <c r="S21" s="18">
        <f t="shared" si="8"/>
        <v>0.04769894690623297</v>
      </c>
      <c r="T21" s="18">
        <f t="shared" si="8"/>
        <v>0.05110910859618406</v>
      </c>
      <c r="U21" s="18">
        <f t="shared" si="8"/>
        <v>0.03799912288494068</v>
      </c>
      <c r="V21" s="18">
        <f t="shared" si="8"/>
        <v>0.02299268686355161</v>
      </c>
      <c r="W21" s="18">
        <f t="shared" si="8"/>
        <v>0.03019890746442777</v>
      </c>
      <c r="X21" s="18">
        <f>SUM(C21:J21)/SUM($C$38:$J$38)</f>
        <v>0.04018588201372639</v>
      </c>
      <c r="Y21" s="2"/>
    </row>
    <row r="22" spans="1:25" ht="12.75" hidden="1">
      <c r="A22" s="52" t="str">
        <f>Historical!A21</f>
        <v>Australian Electric Operations</v>
      </c>
      <c r="B22" s="77">
        <f>Historical!L21</f>
        <v>0</v>
      </c>
      <c r="C22" s="259">
        <f>B22</f>
        <v>0</v>
      </c>
      <c r="D22" s="19">
        <f aca="true" t="shared" si="9" ref="D22:J22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>
        <v>0</v>
      </c>
      <c r="M22" s="111"/>
      <c r="N22" s="52" t="str">
        <f t="shared" si="7"/>
        <v>Australian Electric Operations</v>
      </c>
      <c r="O22" s="90">
        <f t="shared" si="8"/>
        <v>0</v>
      </c>
      <c r="P22" s="95">
        <f t="shared" si="8"/>
        <v>0</v>
      </c>
      <c r="Q22" s="18">
        <f t="shared" si="8"/>
        <v>0</v>
      </c>
      <c r="R22" s="18">
        <f t="shared" si="8"/>
        <v>0</v>
      </c>
      <c r="S22" s="18">
        <f t="shared" si="8"/>
        <v>0</v>
      </c>
      <c r="T22" s="18">
        <f t="shared" si="8"/>
        <v>0</v>
      </c>
      <c r="U22" s="18">
        <f t="shared" si="8"/>
        <v>0</v>
      </c>
      <c r="V22" s="18">
        <f t="shared" si="8"/>
        <v>0</v>
      </c>
      <c r="W22" s="18">
        <f t="shared" si="8"/>
        <v>0</v>
      </c>
      <c r="X22" s="18">
        <f>SUM(C22:J22)/SUM($C$38:$J$38)</f>
        <v>0</v>
      </c>
      <c r="Y22" s="2"/>
    </row>
    <row r="23" spans="1:25" ht="12.75" customHeight="1" hidden="1">
      <c r="A23" s="52" t="str">
        <f>Historical!A22</f>
        <v>Other PP&amp;E</v>
      </c>
      <c r="B23" s="77">
        <f>Historical!L22</f>
        <v>0</v>
      </c>
      <c r="C23" s="100">
        <f>B23</f>
        <v>0</v>
      </c>
      <c r="D23" s="100">
        <f aca="true" t="shared" si="10" ref="D23:J23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3"/>
      <c r="L23" s="19">
        <v>0</v>
      </c>
      <c r="N23" s="52" t="str">
        <f t="shared" si="7"/>
        <v>Other PP&amp;E</v>
      </c>
      <c r="O23" s="260">
        <f t="shared" si="8"/>
        <v>0</v>
      </c>
      <c r="P23" s="261">
        <f t="shared" si="8"/>
        <v>0</v>
      </c>
      <c r="Q23" s="103">
        <f t="shared" si="8"/>
        <v>0</v>
      </c>
      <c r="R23" s="103">
        <f t="shared" si="8"/>
        <v>0</v>
      </c>
      <c r="S23" s="103">
        <f t="shared" si="8"/>
        <v>0</v>
      </c>
      <c r="T23" s="103">
        <f t="shared" si="8"/>
        <v>0</v>
      </c>
      <c r="U23" s="103">
        <f t="shared" si="8"/>
        <v>0</v>
      </c>
      <c r="V23" s="103">
        <f t="shared" si="8"/>
        <v>0</v>
      </c>
      <c r="W23" s="103">
        <f t="shared" si="8"/>
        <v>0</v>
      </c>
      <c r="X23" s="103">
        <f>SUM(C23:J23)/SUM($C$38:$J$38)</f>
        <v>0</v>
      </c>
      <c r="Y23" s="2"/>
    </row>
    <row r="24" spans="1:25" ht="12.75" customHeight="1">
      <c r="A24" s="193" t="str">
        <f>Historical!A23</f>
        <v>Total Plant &amp; Equipment:</v>
      </c>
      <c r="B24" s="267">
        <f>SUM(B20:B23)</f>
        <v>23038</v>
      </c>
      <c r="C24" s="291">
        <f>SUM(C20:C23)</f>
        <v>23807</v>
      </c>
      <c r="D24" s="20">
        <f aca="true" t="shared" si="11" ref="D24:J24">SUM(D20:D23)</f>
        <v>25694.73967547072</v>
      </c>
      <c r="E24" s="20">
        <f t="shared" si="11"/>
        <v>27738.727918589368</v>
      </c>
      <c r="F24" s="20">
        <f t="shared" si="11"/>
        <v>29045.312685624438</v>
      </c>
      <c r="G24" s="20">
        <f t="shared" si="11"/>
        <v>29606.265038257763</v>
      </c>
      <c r="H24" s="20">
        <f t="shared" si="11"/>
        <v>30774.848013459316</v>
      </c>
      <c r="I24" s="20">
        <f t="shared" si="11"/>
        <v>30867.741966422156</v>
      </c>
      <c r="J24" s="20">
        <f t="shared" si="11"/>
        <v>31568.795304405452</v>
      </c>
      <c r="K24" s="17">
        <f>RATE(8,,-B24,J24)</f>
        <v>0.04016360624612484</v>
      </c>
      <c r="L24" s="2">
        <v>23860</v>
      </c>
      <c r="N24" s="193" t="str">
        <f t="shared" si="7"/>
        <v>Total Plant &amp; Equipment:</v>
      </c>
      <c r="O24" s="90">
        <f t="shared" si="8"/>
        <v>1.1435520698898045</v>
      </c>
      <c r="P24" s="95">
        <f t="shared" si="8"/>
        <v>1.1518899509459386</v>
      </c>
      <c r="Q24" s="18">
        <f t="shared" si="8"/>
        <v>1.151856120019892</v>
      </c>
      <c r="R24" s="18">
        <f t="shared" si="8"/>
        <v>1.1502595798060544</v>
      </c>
      <c r="S24" s="18">
        <f t="shared" si="8"/>
        <v>1.1545256897221126</v>
      </c>
      <c r="T24" s="18">
        <f t="shared" si="8"/>
        <v>1.163961396129018</v>
      </c>
      <c r="U24" s="18">
        <f t="shared" si="8"/>
        <v>1.1694172314288132</v>
      </c>
      <c r="V24" s="18">
        <f t="shared" si="8"/>
        <v>1.1828872086980924</v>
      </c>
      <c r="W24" s="18">
        <f t="shared" si="8"/>
        <v>1.1916789102015029</v>
      </c>
      <c r="X24" s="18">
        <f>SUM(C24:J24)/SUM($C$38:$J$38)</f>
        <v>1.1654080292558398</v>
      </c>
      <c r="Y24" s="2"/>
    </row>
    <row r="25" spans="2:25" ht="7.5" customHeight="1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O25" s="90"/>
      <c r="P25" s="95"/>
      <c r="Q25" s="18"/>
      <c r="R25" s="18"/>
      <c r="S25" s="18"/>
      <c r="T25" s="18"/>
      <c r="U25" s="18"/>
      <c r="V25" s="18"/>
      <c r="W25" s="18"/>
      <c r="X25" s="18"/>
      <c r="Y25" s="2"/>
    </row>
    <row r="26" spans="1:25" ht="12.75" customHeight="1">
      <c r="A26" s="52" t="str">
        <f>Historical!A25</f>
        <v>Accumulated Depreciation &amp; Amort.</v>
      </c>
      <c r="B26" s="77">
        <f>Historical!L25</f>
        <v>6646</v>
      </c>
      <c r="C26" s="2">
        <v>6871</v>
      </c>
      <c r="D26" s="2">
        <f>C26+D85*0.5</f>
        <v>7210.0960765657055</v>
      </c>
      <c r="E26" s="2">
        <f aca="true" t="shared" si="12" ref="E26:J26">D26+E85*0.5</f>
        <v>7577.259199105434</v>
      </c>
      <c r="F26" s="2">
        <f t="shared" si="12"/>
        <v>7959.61740196673</v>
      </c>
      <c r="G26" s="2">
        <f t="shared" si="12"/>
        <v>8348.305176887332</v>
      </c>
      <c r="H26" s="2">
        <f t="shared" si="12"/>
        <v>8757.158814317378</v>
      </c>
      <c r="I26" s="2">
        <f t="shared" si="12"/>
        <v>9172.780630226287</v>
      </c>
      <c r="J26" s="2">
        <f t="shared" si="12"/>
        <v>9595.282665294948</v>
      </c>
      <c r="K26" s="5">
        <f>RATE(8,,-B26,J26)</f>
        <v>0.04697709236584597</v>
      </c>
      <c r="L26" s="2">
        <v>6815</v>
      </c>
      <c r="N26" s="52" t="str">
        <f>A26</f>
        <v>Accumulated Depreciation &amp; Amort.</v>
      </c>
      <c r="O26" s="90">
        <f aca="true" t="shared" si="13" ref="O26:W26">B26/B$38</f>
        <v>0.32989178993348556</v>
      </c>
      <c r="P26" s="95">
        <f t="shared" si="13"/>
        <v>0.33244994551810575</v>
      </c>
      <c r="Q26" s="18">
        <f t="shared" si="13"/>
        <v>0.3232176467486034</v>
      </c>
      <c r="R26" s="18">
        <f t="shared" si="13"/>
        <v>0.3142110556772718</v>
      </c>
      <c r="S26" s="18">
        <f t="shared" si="13"/>
        <v>0.3163878065419492</v>
      </c>
      <c r="T26" s="18">
        <f t="shared" si="13"/>
        <v>0.3282111045227848</v>
      </c>
      <c r="U26" s="18">
        <f t="shared" si="13"/>
        <v>0.3327643539081875</v>
      </c>
      <c r="V26" s="18">
        <f t="shared" si="13"/>
        <v>0.35151145449807436</v>
      </c>
      <c r="W26" s="18">
        <f t="shared" si="13"/>
        <v>0.3622088166303375</v>
      </c>
      <c r="X26" s="18">
        <f>SUM(C26:J26)/SUM($C$38:$J$38)</f>
        <v>0.3331435051227709</v>
      </c>
      <c r="Y26" s="2"/>
    </row>
    <row r="27" spans="2:25" ht="7.5" customHeight="1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O27" s="90"/>
      <c r="P27" s="95"/>
      <c r="Q27" s="18"/>
      <c r="R27" s="18"/>
      <c r="S27" s="18"/>
      <c r="T27" s="18"/>
      <c r="U27" s="18"/>
      <c r="V27" s="18"/>
      <c r="W27" s="18"/>
      <c r="X27" s="18"/>
      <c r="Y27" s="2"/>
    </row>
    <row r="28" spans="1:25" ht="12.75">
      <c r="A28" s="193" t="str">
        <f>Historical!A27</f>
        <v>Net Plant &amp; Equipment</v>
      </c>
      <c r="B28" s="268">
        <f>B24-B26</f>
        <v>16392</v>
      </c>
      <c r="C28" s="2">
        <f>C24-C26</f>
        <v>16936</v>
      </c>
      <c r="D28" s="2">
        <f aca="true" t="shared" si="14" ref="D28:J28">D24-D26</f>
        <v>18484.643598905015</v>
      </c>
      <c r="E28" s="2">
        <f t="shared" si="14"/>
        <v>20161.468719483935</v>
      </c>
      <c r="F28" s="2">
        <f t="shared" si="14"/>
        <v>21085.695283657707</v>
      </c>
      <c r="G28" s="2">
        <f t="shared" si="14"/>
        <v>21257.95986137043</v>
      </c>
      <c r="H28" s="2">
        <f t="shared" si="14"/>
        <v>22017.68919914194</v>
      </c>
      <c r="I28" s="2">
        <f t="shared" si="14"/>
        <v>21694.96133619587</v>
      </c>
      <c r="J28" s="2">
        <f t="shared" si="14"/>
        <v>21973.512639110504</v>
      </c>
      <c r="K28" s="5">
        <f>RATE(8,,-B28,J28)</f>
        <v>0.037309708975279986</v>
      </c>
      <c r="L28" s="2">
        <v>17045</v>
      </c>
      <c r="N28" s="193" t="str">
        <f>A28</f>
        <v>Net Plant &amp; Equipment</v>
      </c>
      <c r="O28" s="90">
        <f aca="true" t="shared" si="15" ref="O28:W28">B28/B$38</f>
        <v>0.8136602799563188</v>
      </c>
      <c r="P28" s="95">
        <f t="shared" si="15"/>
        <v>0.8194400054278328</v>
      </c>
      <c r="Q28" s="18">
        <f t="shared" si="15"/>
        <v>0.8286384732712887</v>
      </c>
      <c r="R28" s="18">
        <f t="shared" si="15"/>
        <v>0.8360485241287828</v>
      </c>
      <c r="S28" s="18">
        <f t="shared" si="15"/>
        <v>0.8381378831801632</v>
      </c>
      <c r="T28" s="18">
        <f t="shared" si="15"/>
        <v>0.8357502916062332</v>
      </c>
      <c r="U28" s="18">
        <f t="shared" si="15"/>
        <v>0.8366528775206257</v>
      </c>
      <c r="V28" s="18">
        <f t="shared" si="15"/>
        <v>0.8313757542000181</v>
      </c>
      <c r="W28" s="18">
        <f t="shared" si="15"/>
        <v>0.8294700935711653</v>
      </c>
      <c r="X28" s="18">
        <f>SUM(C28:J28)/SUM($C$38:$J$38)</f>
        <v>0.8322645241330688</v>
      </c>
      <c r="Y28" s="2"/>
    </row>
    <row r="29" spans="1:25" ht="12.75">
      <c r="A29" s="193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O29" s="90"/>
      <c r="P29" s="95"/>
      <c r="Q29" s="18"/>
      <c r="R29" s="18"/>
      <c r="S29" s="18"/>
      <c r="T29" s="18"/>
      <c r="U29" s="18"/>
      <c r="V29" s="18"/>
      <c r="W29" s="18"/>
      <c r="X29" s="18"/>
      <c r="Y29" s="2"/>
    </row>
    <row r="30" spans="1:25" ht="12.75">
      <c r="A30" s="193" t="str">
        <f>Historical!A29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>
        <v>1717</v>
      </c>
      <c r="N30" s="193" t="str">
        <f>A30</f>
        <v>Other Assets:</v>
      </c>
      <c r="O30" s="90"/>
      <c r="P30" s="95"/>
      <c r="Q30" s="18"/>
      <c r="R30" s="18"/>
      <c r="S30" s="18"/>
      <c r="T30" s="18"/>
      <c r="U30" s="18"/>
      <c r="V30" s="18"/>
      <c r="W30" s="18"/>
      <c r="X30" s="18"/>
      <c r="Y30" s="2"/>
    </row>
    <row r="31" spans="1:25" ht="12.75">
      <c r="A31" s="52" t="str">
        <f>Historical!A30</f>
        <v>Regulatory Assets</v>
      </c>
      <c r="B31" s="77">
        <f>Historical!L30</f>
        <v>1715</v>
      </c>
      <c r="C31" s="2">
        <v>1650</v>
      </c>
      <c r="D31" s="2">
        <f>(1+Assumptions!$C$31)*Forecast!C31</f>
        <v>1695.3750000000002</v>
      </c>
      <c r="E31" s="2">
        <f>(1+Assumptions!$C$31)*Forecast!D31</f>
        <v>1741.9978125000005</v>
      </c>
      <c r="F31" s="2">
        <f>(1+Assumptions!$C$31)*Forecast!E31</f>
        <v>1789.9027523437505</v>
      </c>
      <c r="G31" s="2">
        <f>(1+Assumptions!$C$31)*Forecast!F31</f>
        <v>1839.1250780332039</v>
      </c>
      <c r="H31" s="2">
        <f>(1+Assumptions!$C$31)*Forecast!G31</f>
        <v>1889.701017679117</v>
      </c>
      <c r="I31" s="2">
        <f>(1+Assumptions!$C$31)*Forecast!H31</f>
        <v>1941.667795665293</v>
      </c>
      <c r="J31" s="2">
        <f>(1+Assumptions!$C$31)*Forecast!I31</f>
        <v>1995.0636600460887</v>
      </c>
      <c r="K31" s="5">
        <f>RATE(8,,-B31,J31)</f>
        <v>0.019087745420725822</v>
      </c>
      <c r="L31" s="2">
        <v>0</v>
      </c>
      <c r="N31" s="52" t="str">
        <f aca="true" t="shared" si="16" ref="N31:N38">A31</f>
        <v>Regulatory Assets</v>
      </c>
      <c r="O31" s="90">
        <f aca="true" t="shared" si="17" ref="O31:W38">B31/B$38</f>
        <v>0.0851285615010424</v>
      </c>
      <c r="P31" s="95">
        <f t="shared" si="17"/>
        <v>0.07983443605077492</v>
      </c>
      <c r="Q31" s="18">
        <f t="shared" si="17"/>
        <v>0.07600108404067533</v>
      </c>
      <c r="R31" s="18">
        <f t="shared" si="17"/>
        <v>0.07223653794471538</v>
      </c>
      <c r="S31" s="18">
        <f t="shared" si="17"/>
        <v>0.07114706362613735</v>
      </c>
      <c r="T31" s="18">
        <f t="shared" si="17"/>
        <v>0.07230464871935731</v>
      </c>
      <c r="U31" s="18">
        <f t="shared" si="17"/>
        <v>0.07180698118658622</v>
      </c>
      <c r="V31" s="18">
        <f t="shared" si="17"/>
        <v>0.07440693269795766</v>
      </c>
      <c r="W31" s="18">
        <f t="shared" si="17"/>
        <v>0.07531092856921802</v>
      </c>
      <c r="X31" s="18">
        <f aca="true" t="shared" si="18" ref="X31:X38">SUM(C31:J31)/SUM($C$38:$J$38)</f>
        <v>0.07397678174121985</v>
      </c>
      <c r="Y31" s="2"/>
    </row>
    <row r="32" spans="1:25" ht="12.75" hidden="1">
      <c r="A32" s="52" t="str">
        <f>Historical!A31</f>
        <v>Intangible Assets-net</v>
      </c>
      <c r="B32" s="77">
        <f>Historical!L31</f>
        <v>0</v>
      </c>
      <c r="C32" s="2">
        <f aca="true" t="shared" si="19" ref="C32:D34">B32</f>
        <v>0</v>
      </c>
      <c r="D32" s="2">
        <f t="shared" si="19"/>
        <v>0</v>
      </c>
      <c r="E32" s="2">
        <f aca="true" t="shared" si="20" ref="E32:J32">D32</f>
        <v>0</v>
      </c>
      <c r="F32" s="2">
        <f t="shared" si="20"/>
        <v>0</v>
      </c>
      <c r="G32" s="2">
        <f t="shared" si="20"/>
        <v>0</v>
      </c>
      <c r="H32" s="2">
        <f t="shared" si="20"/>
        <v>0</v>
      </c>
      <c r="I32" s="2">
        <f t="shared" si="20"/>
        <v>0</v>
      </c>
      <c r="J32" s="2">
        <f t="shared" si="20"/>
        <v>0</v>
      </c>
      <c r="K32" s="5"/>
      <c r="L32" s="2">
        <v>6</v>
      </c>
      <c r="N32" s="52" t="str">
        <f t="shared" si="16"/>
        <v>Intangible Assets-net</v>
      </c>
      <c r="O32" s="90">
        <f t="shared" si="17"/>
        <v>0</v>
      </c>
      <c r="P32" s="95">
        <f t="shared" si="17"/>
        <v>0</v>
      </c>
      <c r="Q32" s="18">
        <f t="shared" si="17"/>
        <v>0</v>
      </c>
      <c r="R32" s="18">
        <f t="shared" si="17"/>
        <v>0</v>
      </c>
      <c r="S32" s="18">
        <f t="shared" si="17"/>
        <v>0</v>
      </c>
      <c r="T32" s="18">
        <f t="shared" si="17"/>
        <v>0</v>
      </c>
      <c r="U32" s="18">
        <f t="shared" si="17"/>
        <v>0</v>
      </c>
      <c r="V32" s="18">
        <f t="shared" si="17"/>
        <v>0</v>
      </c>
      <c r="W32" s="18">
        <f t="shared" si="17"/>
        <v>0</v>
      </c>
      <c r="X32" s="18">
        <f t="shared" si="18"/>
        <v>0</v>
      </c>
      <c r="Y32" s="2"/>
    </row>
    <row r="33" spans="1:25" ht="12.75">
      <c r="A33" s="52" t="str">
        <f>Historical!A32</f>
        <v>Financial Assets/Derivatives</v>
      </c>
      <c r="B33" s="77">
        <f>Historical!L32</f>
        <v>9</v>
      </c>
      <c r="C33" s="2">
        <f>Assumptions!$C$33*Forecast!C38</f>
        <v>53.20963130621228</v>
      </c>
      <c r="D33" s="2">
        <f>Assumptions!$C$33*Forecast!D38</f>
        <v>57.430494418074915</v>
      </c>
      <c r="E33" s="2">
        <f>Assumptions!$C$33*Forecast!E38</f>
        <v>62.08508056683244</v>
      </c>
      <c r="F33" s="2">
        <f>Assumptions!$C$33*Forecast!F38</f>
        <v>64.7692730163974</v>
      </c>
      <c r="G33" s="2">
        <f>Assumptions!$C$33*Forecast!G38</f>
        <v>65.48496702297612</v>
      </c>
      <c r="H33" s="2">
        <f>Assumptions!$C$33*Forecast!H38</f>
        <v>67.75213654534136</v>
      </c>
      <c r="I33" s="2">
        <f>Assumptions!$C$33*Forecast!I38</f>
        <v>67.18279888510675</v>
      </c>
      <c r="J33" s="2">
        <f>Assumptions!$C$33*Forecast!J38</f>
        <v>68.2017192929596</v>
      </c>
      <c r="K33" s="5">
        <f>RATE(8,,-B33,J33)</f>
        <v>0.2880837509472937</v>
      </c>
      <c r="L33" s="2">
        <v>0</v>
      </c>
      <c r="N33" s="52" t="str">
        <f t="shared" si="16"/>
        <v>Financial Assets/Derivatives</v>
      </c>
      <c r="O33" s="90">
        <f t="shared" si="17"/>
        <v>0.00044673880671100964</v>
      </c>
      <c r="P33" s="95">
        <f t="shared" si="17"/>
        <v>0.0025745217623037065</v>
      </c>
      <c r="Q33" s="18">
        <f t="shared" si="17"/>
        <v>0.0025745217623037065</v>
      </c>
      <c r="R33" s="18">
        <f t="shared" si="17"/>
        <v>0.0025745217623037065</v>
      </c>
      <c r="S33" s="18">
        <f t="shared" si="17"/>
        <v>0.0025745217623037065</v>
      </c>
      <c r="T33" s="18">
        <f t="shared" si="17"/>
        <v>0.0025745217623037065</v>
      </c>
      <c r="U33" s="18">
        <f t="shared" si="17"/>
        <v>0.0025745217623037065</v>
      </c>
      <c r="V33" s="18">
        <f t="shared" si="17"/>
        <v>0.0025745217623037065</v>
      </c>
      <c r="W33" s="18">
        <f t="shared" si="17"/>
        <v>0.0025745217623037065</v>
      </c>
      <c r="X33" s="18">
        <f t="shared" si="18"/>
        <v>0.002574521762303707</v>
      </c>
      <c r="Y33" s="2"/>
    </row>
    <row r="34" spans="1:25" ht="12.75" hidden="1">
      <c r="A34" s="52" t="str">
        <f>Historical!A33</f>
        <v>Investments in Affiliates</v>
      </c>
      <c r="B34" s="77">
        <f>Historical!L33</f>
        <v>0</v>
      </c>
      <c r="C34" s="2">
        <f t="shared" si="19"/>
        <v>0</v>
      </c>
      <c r="D34" s="2">
        <f t="shared" si="19"/>
        <v>0</v>
      </c>
      <c r="E34" s="2">
        <f aca="true" t="shared" si="21" ref="E34:J34">D34</f>
        <v>0</v>
      </c>
      <c r="F34" s="2">
        <f t="shared" si="21"/>
        <v>0</v>
      </c>
      <c r="G34" s="2">
        <f t="shared" si="21"/>
        <v>0</v>
      </c>
      <c r="H34" s="2">
        <f t="shared" si="21"/>
        <v>0</v>
      </c>
      <c r="I34" s="2">
        <f t="shared" si="21"/>
        <v>0</v>
      </c>
      <c r="J34" s="2">
        <f t="shared" si="21"/>
        <v>0</v>
      </c>
      <c r="K34" s="5"/>
      <c r="L34" s="2">
        <v>401</v>
      </c>
      <c r="N34" s="52" t="str">
        <f t="shared" si="16"/>
        <v>Investments in Affiliates</v>
      </c>
      <c r="O34" s="90">
        <f t="shared" si="17"/>
        <v>0</v>
      </c>
      <c r="P34" s="95">
        <f t="shared" si="17"/>
        <v>0</v>
      </c>
      <c r="Q34" s="18">
        <f t="shared" si="17"/>
        <v>0</v>
      </c>
      <c r="R34" s="18">
        <f t="shared" si="17"/>
        <v>0</v>
      </c>
      <c r="S34" s="18">
        <f t="shared" si="17"/>
        <v>0</v>
      </c>
      <c r="T34" s="18">
        <f t="shared" si="17"/>
        <v>0</v>
      </c>
      <c r="U34" s="18">
        <f t="shared" si="17"/>
        <v>0</v>
      </c>
      <c r="V34" s="18">
        <f t="shared" si="17"/>
        <v>0</v>
      </c>
      <c r="W34" s="18">
        <f t="shared" si="17"/>
        <v>0</v>
      </c>
      <c r="X34" s="18">
        <f t="shared" si="18"/>
        <v>0</v>
      </c>
      <c r="Y34" s="2"/>
    </row>
    <row r="35" spans="1:25" ht="12.75">
      <c r="A35" s="52" t="str">
        <f>Historical!A34</f>
        <v>Deferred Charges and Other</v>
      </c>
      <c r="B35" s="77">
        <f>Historical!L34</f>
        <v>396</v>
      </c>
      <c r="C35" s="3">
        <v>400</v>
      </c>
      <c r="D35" s="3">
        <f>Assumptions!$C$35*Forecast!D38</f>
        <v>394.83828262159824</v>
      </c>
      <c r="E35" s="3">
        <f>Assumptions!$C$35*Forecast!E38</f>
        <v>426.8388568794318</v>
      </c>
      <c r="F35" s="3">
        <f>Assumptions!$C$35*Forecast!F38</f>
        <v>445.292849792969</v>
      </c>
      <c r="G35" s="3">
        <f>Assumptions!$C$35*Forecast!G38</f>
        <v>450.2132913685368</v>
      </c>
      <c r="H35" s="3">
        <f>Assumptions!$C$35*Forecast!H38</f>
        <v>465.80022527347955</v>
      </c>
      <c r="I35" s="3">
        <f>Assumptions!$C$35*Forecast!I38</f>
        <v>461.8859928386621</v>
      </c>
      <c r="J35" s="3">
        <f>Assumptions!$C$35*Forecast!J38</f>
        <v>468.8911351074373</v>
      </c>
      <c r="K35" s="5">
        <f>RATE(8,,-B35,J35)</f>
        <v>0.021344147173406706</v>
      </c>
      <c r="L35" s="2">
        <v>2124</v>
      </c>
      <c r="N35" s="52" t="str">
        <f t="shared" si="16"/>
        <v>Deferred Charges and Other</v>
      </c>
      <c r="O35" s="90">
        <f t="shared" si="17"/>
        <v>0.019656507495284425</v>
      </c>
      <c r="P35" s="95">
        <f t="shared" si="17"/>
        <v>0.01935380267897574</v>
      </c>
      <c r="Q35" s="18">
        <f t="shared" si="17"/>
        <v>0.0177</v>
      </c>
      <c r="R35" s="18">
        <f t="shared" si="17"/>
        <v>0.0177</v>
      </c>
      <c r="S35" s="18">
        <f t="shared" si="17"/>
        <v>0.0177</v>
      </c>
      <c r="T35" s="18">
        <f t="shared" si="17"/>
        <v>0.0177</v>
      </c>
      <c r="U35" s="18">
        <f t="shared" si="17"/>
        <v>0.0177</v>
      </c>
      <c r="V35" s="18">
        <f t="shared" si="17"/>
        <v>0.0177</v>
      </c>
      <c r="W35" s="18">
        <f t="shared" si="17"/>
        <v>0.0177</v>
      </c>
      <c r="X35" s="18">
        <f t="shared" si="18"/>
        <v>0.01787386965286875</v>
      </c>
      <c r="Y35" s="2"/>
    </row>
    <row r="36" spans="1:25" ht="12.75">
      <c r="A36" s="193" t="str">
        <f>Historical!A35</f>
        <v>Total Other Assets</v>
      </c>
      <c r="B36" s="267">
        <f>SUM(B31:B35)</f>
        <v>2120</v>
      </c>
      <c r="C36" s="3">
        <f aca="true" t="shared" si="22" ref="C36:J36">SUM(C31:C35)</f>
        <v>2103.209631306212</v>
      </c>
      <c r="D36" s="3">
        <f t="shared" si="22"/>
        <v>2147.6437770396733</v>
      </c>
      <c r="E36" s="3">
        <f t="shared" si="22"/>
        <v>2230.9217499462648</v>
      </c>
      <c r="F36" s="3">
        <f t="shared" si="22"/>
        <v>2299.9648751531167</v>
      </c>
      <c r="G36" s="3">
        <f t="shared" si="22"/>
        <v>2354.8233364247167</v>
      </c>
      <c r="H36" s="3">
        <f t="shared" si="22"/>
        <v>2423.253379497938</v>
      </c>
      <c r="I36" s="3">
        <f t="shared" si="22"/>
        <v>2470.7365873890617</v>
      </c>
      <c r="J36" s="3">
        <f t="shared" si="22"/>
        <v>2532.1565144464857</v>
      </c>
      <c r="K36" s="17">
        <f>RATE(8,,-B36,J36)</f>
        <v>0.02245531220013721</v>
      </c>
      <c r="L36" s="2">
        <v>19169</v>
      </c>
      <c r="N36" s="193" t="str">
        <f t="shared" si="16"/>
        <v>Total Other Assets</v>
      </c>
      <c r="O36" s="91">
        <f t="shared" si="17"/>
        <v>0.10523180780303783</v>
      </c>
      <c r="P36" s="96">
        <f t="shared" si="17"/>
        <v>0.10176276049205436</v>
      </c>
      <c r="Q36" s="97">
        <f t="shared" si="17"/>
        <v>0.09627560580297903</v>
      </c>
      <c r="R36" s="97">
        <f t="shared" si="17"/>
        <v>0.09251105970701909</v>
      </c>
      <c r="S36" s="97">
        <f t="shared" si="17"/>
        <v>0.09142158538844104</v>
      </c>
      <c r="T36" s="97">
        <f t="shared" si="17"/>
        <v>0.092579170481661</v>
      </c>
      <c r="U36" s="97">
        <f t="shared" si="17"/>
        <v>0.09208150294888995</v>
      </c>
      <c r="V36" s="97">
        <f t="shared" si="17"/>
        <v>0.09468145446026136</v>
      </c>
      <c r="W36" s="97">
        <f t="shared" si="17"/>
        <v>0.09558545033152174</v>
      </c>
      <c r="X36" s="97">
        <f t="shared" si="18"/>
        <v>0.09442517315639229</v>
      </c>
      <c r="Y36" s="2"/>
    </row>
    <row r="37" spans="1:25" ht="12.75">
      <c r="A37" s="52" t="str">
        <f>Historical!A36</f>
        <v>Total Non-Current Assets</v>
      </c>
      <c r="B37" s="85">
        <f>B28+B36</f>
        <v>18512</v>
      </c>
      <c r="C37" s="3">
        <f>C28+C36</f>
        <v>19039.209631306214</v>
      </c>
      <c r="D37" s="3">
        <f aca="true" t="shared" si="23" ref="D37:J37">D28+D36</f>
        <v>20632.28737594469</v>
      </c>
      <c r="E37" s="3">
        <f t="shared" si="23"/>
        <v>22392.3904694302</v>
      </c>
      <c r="F37" s="3">
        <f t="shared" si="23"/>
        <v>23385.660158810824</v>
      </c>
      <c r="G37" s="3">
        <f t="shared" si="23"/>
        <v>23612.783197795146</v>
      </c>
      <c r="H37" s="3">
        <f t="shared" si="23"/>
        <v>24440.94257863988</v>
      </c>
      <c r="I37" s="3">
        <f t="shared" si="23"/>
        <v>24165.697923584932</v>
      </c>
      <c r="J37" s="3">
        <f t="shared" si="23"/>
        <v>24505.66915355699</v>
      </c>
      <c r="K37" s="17">
        <f>RATE(8,,-B37,J37)</f>
        <v>0.035682535844110554</v>
      </c>
      <c r="L37" s="2">
        <v>20570</v>
      </c>
      <c r="N37" s="52" t="str">
        <f t="shared" si="16"/>
        <v>Total Non-Current Assets</v>
      </c>
      <c r="O37" s="91">
        <f t="shared" si="17"/>
        <v>0.9188920877593567</v>
      </c>
      <c r="P37" s="93">
        <f t="shared" si="17"/>
        <v>0.9212027659198873</v>
      </c>
      <c r="Q37" s="17">
        <f t="shared" si="17"/>
        <v>0.9249140790742678</v>
      </c>
      <c r="R37" s="17">
        <f t="shared" si="17"/>
        <v>0.9285595838358018</v>
      </c>
      <c r="S37" s="17">
        <f t="shared" si="17"/>
        <v>0.9295594685686043</v>
      </c>
      <c r="T37" s="17">
        <f t="shared" si="17"/>
        <v>0.9283294620878941</v>
      </c>
      <c r="U37" s="17">
        <f t="shared" si="17"/>
        <v>0.9287343804695157</v>
      </c>
      <c r="V37" s="17">
        <f t="shared" si="17"/>
        <v>0.9260572086602795</v>
      </c>
      <c r="W37" s="17">
        <f t="shared" si="17"/>
        <v>0.9250555439026871</v>
      </c>
      <c r="X37" s="17">
        <f t="shared" si="18"/>
        <v>0.9266896972894613</v>
      </c>
      <c r="Y37"/>
    </row>
    <row r="38" spans="1:25" ht="13.5" thickBot="1">
      <c r="A38" s="193" t="str">
        <f>Historical!A37</f>
        <v>Total Assets</v>
      </c>
      <c r="B38" s="267">
        <f aca="true" t="shared" si="24" ref="B38:J38">B37+B17</f>
        <v>20146</v>
      </c>
      <c r="C38" s="270">
        <f t="shared" si="24"/>
        <v>20667.772976445845</v>
      </c>
      <c r="D38" s="270">
        <f t="shared" si="24"/>
        <v>22307.247605740013</v>
      </c>
      <c r="E38" s="270">
        <f t="shared" si="24"/>
        <v>24115.189654205184</v>
      </c>
      <c r="F38" s="270">
        <f t="shared" si="24"/>
        <v>25157.788123896553</v>
      </c>
      <c r="G38" s="270">
        <f t="shared" si="24"/>
        <v>25435.77917336366</v>
      </c>
      <c r="H38" s="270">
        <f t="shared" si="24"/>
        <v>26316.396908106188</v>
      </c>
      <c r="I38" s="270">
        <f t="shared" si="24"/>
        <v>26095.253832692775</v>
      </c>
      <c r="J38" s="270">
        <f t="shared" si="24"/>
        <v>26491.02458234109</v>
      </c>
      <c r="K38" s="201">
        <f>RATE(8,,-B38,J38)</f>
        <v>0.034817443312419115</v>
      </c>
      <c r="L38" s="2"/>
      <c r="N38" s="193" t="str">
        <f t="shared" si="16"/>
        <v>Total Assets</v>
      </c>
      <c r="O38" s="91">
        <f t="shared" si="17"/>
        <v>1</v>
      </c>
      <c r="P38" s="93">
        <f t="shared" si="17"/>
        <v>1</v>
      </c>
      <c r="Q38" s="17">
        <f t="shared" si="17"/>
        <v>1</v>
      </c>
      <c r="R38" s="17">
        <f t="shared" si="17"/>
        <v>1</v>
      </c>
      <c r="S38" s="17">
        <f t="shared" si="17"/>
        <v>1</v>
      </c>
      <c r="T38" s="17">
        <f t="shared" si="17"/>
        <v>1</v>
      </c>
      <c r="U38" s="17">
        <f t="shared" si="17"/>
        <v>1</v>
      </c>
      <c r="V38" s="17">
        <f t="shared" si="17"/>
        <v>1</v>
      </c>
      <c r="W38" s="17">
        <f t="shared" si="17"/>
        <v>1</v>
      </c>
      <c r="X38" s="17">
        <f t="shared" si="18"/>
        <v>1</v>
      </c>
      <c r="Y38" s="2"/>
    </row>
    <row r="39" spans="2:25" ht="13.5" thickTop="1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O39" s="92"/>
      <c r="P39" s="94"/>
      <c r="Q39" s="71"/>
      <c r="R39" s="71"/>
      <c r="S39" s="71"/>
      <c r="T39" s="71"/>
      <c r="U39" s="71"/>
      <c r="V39" s="71"/>
      <c r="W39" s="71"/>
      <c r="X39" s="71"/>
      <c r="Y39" s="2"/>
    </row>
    <row r="40" spans="2:25" ht="12.75" customHeight="1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O40" s="90"/>
      <c r="P40" s="18"/>
      <c r="Q40" s="18"/>
      <c r="R40" s="18"/>
      <c r="S40" s="18"/>
      <c r="T40" s="18"/>
      <c r="U40" s="18"/>
      <c r="V40" s="18"/>
      <c r="W40" s="18"/>
      <c r="X40" s="18"/>
      <c r="Y40" s="2"/>
    </row>
    <row r="41" spans="1:25" ht="12.75" customHeight="1">
      <c r="A41" s="193" t="str">
        <f>Historical!A40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>
        <v>521</v>
      </c>
      <c r="N41" s="193" t="str">
        <f aca="true" t="shared" si="25" ref="N41:N48">A41</f>
        <v>Current Liabilities:</v>
      </c>
      <c r="O41" s="90"/>
      <c r="P41" s="5"/>
      <c r="Q41" s="5"/>
      <c r="R41" s="5"/>
      <c r="S41" s="5"/>
      <c r="T41" s="5"/>
      <c r="U41" s="5"/>
      <c r="V41" s="5"/>
      <c r="W41" s="5"/>
      <c r="X41" s="5"/>
      <c r="Y41" s="2"/>
    </row>
    <row r="42" spans="1:25" ht="12.75" customHeight="1">
      <c r="A42" s="52" t="str">
        <f>Historical!A41</f>
        <v>Current Maturities LTD</v>
      </c>
      <c r="B42" s="77">
        <f>Historical!L41</f>
        <v>588</v>
      </c>
      <c r="C42" s="2">
        <f>Assumptions!$C$41*(Forecast!C50)</f>
        <v>287.9966977001772</v>
      </c>
      <c r="D42" s="2">
        <f>Assumptions!$C$41*(Forecast!D50)</f>
        <v>272.12261198032894</v>
      </c>
      <c r="E42" s="2">
        <f>Assumptions!$C$41*(Forecast!E50)</f>
        <v>257.12348975642817</v>
      </c>
      <c r="F42" s="2">
        <f>Assumptions!$C$41*(Forecast!F50)</f>
        <v>242.95110392848625</v>
      </c>
      <c r="G42" s="2">
        <f>Assumptions!$C$41*(Forecast!G50)</f>
        <v>229.5598856253252</v>
      </c>
      <c r="H42" s="2">
        <f>Assumptions!$C$41*(Forecast!H50)</f>
        <v>216.90677768570336</v>
      </c>
      <c r="I42" s="2">
        <f>Assumptions!$C$41*(Forecast!I50)</f>
        <v>204.95109621541266</v>
      </c>
      <c r="J42" s="2">
        <f>Assumptions!$C$41*(Forecast!J50)</f>
        <v>193.65439977520785</v>
      </c>
      <c r="K42" s="5">
        <f aca="true" t="shared" si="26" ref="K42:K48">RATE(8,,-B42,J42)</f>
        <v>-0.12962530639294878</v>
      </c>
      <c r="L42" s="2">
        <v>0</v>
      </c>
      <c r="N42" s="52" t="str">
        <f t="shared" si="25"/>
        <v>Current Maturities LTD</v>
      </c>
      <c r="O42" s="90">
        <f aca="true" t="shared" si="27" ref="O42:W48">B42/B$38</f>
        <v>0.029186935371785964</v>
      </c>
      <c r="P42" s="95">
        <f t="shared" si="27"/>
        <v>0.013934578148714639</v>
      </c>
      <c r="Q42" s="18">
        <f t="shared" si="27"/>
        <v>0.012198843030294218</v>
      </c>
      <c r="R42" s="18">
        <f t="shared" si="27"/>
        <v>0.010662304275578908</v>
      </c>
      <c r="S42" s="18">
        <f t="shared" si="27"/>
        <v>0.009657093172579628</v>
      </c>
      <c r="T42" s="18">
        <f t="shared" si="27"/>
        <v>0.009025077787501798</v>
      </c>
      <c r="U42" s="18">
        <f t="shared" si="27"/>
        <v>0.008242267299855551</v>
      </c>
      <c r="V42" s="18">
        <f t="shared" si="27"/>
        <v>0.007853960629371035</v>
      </c>
      <c r="W42" s="18">
        <f t="shared" si="27"/>
        <v>0.007310189123613506</v>
      </c>
      <c r="X42" s="18">
        <f aca="true" t="shared" si="28" ref="X42:X48">SUM(C42:J42)/SUM($C$38:$J$38)</f>
        <v>0.009691746480898215</v>
      </c>
      <c r="Y42" s="2"/>
    </row>
    <row r="43" spans="1:25" ht="12.75" customHeight="1">
      <c r="A43" s="52" t="str">
        <f>Historical!A42</f>
        <v>Short-term Debt</v>
      </c>
      <c r="B43" s="77">
        <f>Historical!L42</f>
        <v>36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5"/>
      <c r="L43" s="2">
        <v>495</v>
      </c>
      <c r="N43" s="52" t="str">
        <f t="shared" si="25"/>
        <v>Short-term Debt</v>
      </c>
      <c r="O43" s="90">
        <f t="shared" si="27"/>
        <v>0.0017869552268440386</v>
      </c>
      <c r="P43" s="95">
        <f t="shared" si="27"/>
        <v>0</v>
      </c>
      <c r="Q43" s="18">
        <f t="shared" si="27"/>
        <v>0</v>
      </c>
      <c r="R43" s="18">
        <f t="shared" si="27"/>
        <v>0</v>
      </c>
      <c r="S43" s="18">
        <f t="shared" si="27"/>
        <v>0</v>
      </c>
      <c r="T43" s="18">
        <f t="shared" si="27"/>
        <v>0</v>
      </c>
      <c r="U43" s="18">
        <f t="shared" si="27"/>
        <v>0</v>
      </c>
      <c r="V43" s="18">
        <f t="shared" si="27"/>
        <v>0</v>
      </c>
      <c r="W43" s="18">
        <f t="shared" si="27"/>
        <v>0</v>
      </c>
      <c r="X43" s="18">
        <f t="shared" si="28"/>
        <v>0</v>
      </c>
      <c r="Y43" s="2"/>
    </row>
    <row r="44" spans="1:25" ht="12.75" customHeight="1">
      <c r="A44" s="52" t="str">
        <f>Historical!A43</f>
        <v>Accounts Payable</v>
      </c>
      <c r="B44" s="77">
        <f>Historical!L43</f>
        <v>479</v>
      </c>
      <c r="C44" s="2">
        <f>Assumptions!$C$43*Forecast!C80</f>
        <v>545.28</v>
      </c>
      <c r="D44" s="2">
        <f>Assumptions!$C$43*Forecast!D80</f>
        <v>565.7114559965427</v>
      </c>
      <c r="E44" s="2">
        <f>Assumptions!$C$43*Forecast!E80</f>
        <v>586.9084716947775</v>
      </c>
      <c r="F44" s="2">
        <f>Assumptions!$C$43*Forecast!F80</f>
        <v>608.8997323561441</v>
      </c>
      <c r="G44" s="2">
        <f>Assumptions!$C$43*Forecast!G80</f>
        <v>631.7149980690644</v>
      </c>
      <c r="H44" s="2">
        <f>Assumptions!$C$43*Forecast!H80</f>
        <v>655.3851440223439</v>
      </c>
      <c r="I44" s="2">
        <f>Assumptions!$C$43*Forecast!I80</f>
        <v>679.9422022876026</v>
      </c>
      <c r="J44" s="2">
        <f>Assumptions!$C$43*Forecast!J80</f>
        <v>705.419405167282</v>
      </c>
      <c r="K44" s="5">
        <f t="shared" si="26"/>
        <v>0.049576228902530044</v>
      </c>
      <c r="L44" s="2">
        <v>324</v>
      </c>
      <c r="N44" s="52" t="str">
        <f t="shared" si="25"/>
        <v>Accounts Payable</v>
      </c>
      <c r="O44" s="90">
        <f t="shared" si="27"/>
        <v>0.023776432046063736</v>
      </c>
      <c r="P44" s="95">
        <f t="shared" si="27"/>
        <v>0.026383103811979728</v>
      </c>
      <c r="Q44" s="18">
        <f t="shared" si="27"/>
        <v>0.025359984611054213</v>
      </c>
      <c r="R44" s="18">
        <f t="shared" si="27"/>
        <v>0.02433770914144285</v>
      </c>
      <c r="S44" s="18">
        <f t="shared" si="27"/>
        <v>0.024203230004062652</v>
      </c>
      <c r="T44" s="18">
        <f t="shared" si="27"/>
        <v>0.024835684952423092</v>
      </c>
      <c r="U44" s="18">
        <f t="shared" si="27"/>
        <v>0.02490406062466959</v>
      </c>
      <c r="V44" s="18">
        <f t="shared" si="27"/>
        <v>0.02605616357085419</v>
      </c>
      <c r="W44" s="18">
        <f t="shared" si="27"/>
        <v>0.02662861917532304</v>
      </c>
      <c r="X44" s="18">
        <f t="shared" si="28"/>
        <v>0.02532860905334629</v>
      </c>
      <c r="Y44" s="2"/>
    </row>
    <row r="45" spans="1:25" ht="12.75">
      <c r="A45" s="52" t="str">
        <f>Historical!A44</f>
        <v>Accrued Expenses</v>
      </c>
      <c r="B45" s="77">
        <f>Historical!L44</f>
        <v>254</v>
      </c>
      <c r="C45" s="2">
        <v>330</v>
      </c>
      <c r="D45" s="2">
        <f>Assumptions!$C$44*Forecast!D38</f>
        <v>290.72722016776333</v>
      </c>
      <c r="E45" s="2">
        <f>Assumptions!$C$44*Forecast!E38</f>
        <v>314.28987456890246</v>
      </c>
      <c r="F45" s="2">
        <f>Assumptions!$C$44*Forecast!F38</f>
        <v>327.8779137659274</v>
      </c>
      <c r="G45" s="2">
        <f>Assumptions!$C$44*Forecast!G38</f>
        <v>331.50093200966154</v>
      </c>
      <c r="H45" s="2">
        <f>Assumptions!$C$44*Forecast!H38</f>
        <v>342.97789907332793</v>
      </c>
      <c r="I45" s="2">
        <f>Assumptions!$C$44*Forecast!I38</f>
        <v>340.09577247884175</v>
      </c>
      <c r="J45" s="2">
        <f>Assumptions!$C$44*Forecast!J38</f>
        <v>345.2537969874037</v>
      </c>
      <c r="K45" s="5">
        <f t="shared" si="26"/>
        <v>0.03911375413686061</v>
      </c>
      <c r="L45" s="2">
        <v>112</v>
      </c>
      <c r="N45" s="52" t="str">
        <f t="shared" si="25"/>
        <v>Accrued Expenses</v>
      </c>
      <c r="O45" s="90">
        <f t="shared" si="27"/>
        <v>0.012607961878288493</v>
      </c>
      <c r="P45" s="95">
        <f t="shared" si="27"/>
        <v>0.015966887210154986</v>
      </c>
      <c r="Q45" s="18">
        <f t="shared" si="27"/>
        <v>0.01303285933370617</v>
      </c>
      <c r="R45" s="18">
        <f t="shared" si="27"/>
        <v>0.01303285933370617</v>
      </c>
      <c r="S45" s="18">
        <f t="shared" si="27"/>
        <v>0.01303285933370617</v>
      </c>
      <c r="T45" s="18">
        <f t="shared" si="27"/>
        <v>0.01303285933370617</v>
      </c>
      <c r="U45" s="18">
        <f t="shared" si="27"/>
        <v>0.013032859333706171</v>
      </c>
      <c r="V45" s="18">
        <f t="shared" si="27"/>
        <v>0.013032859333706171</v>
      </c>
      <c r="W45" s="18">
        <f t="shared" si="27"/>
        <v>0.01303285933370617</v>
      </c>
      <c r="X45" s="18">
        <f t="shared" si="28"/>
        <v>0.01334132322415127</v>
      </c>
      <c r="Y45" s="2"/>
    </row>
    <row r="46" spans="1:25" ht="12.75">
      <c r="A46" s="52" t="str">
        <f>Historical!A45</f>
        <v>Derivative Contacts</v>
      </c>
      <c r="B46" s="77">
        <f>Historical!L45</f>
        <v>84</v>
      </c>
      <c r="C46" s="2">
        <f>Assumptions!$C$45*Forecast!C80</f>
        <v>90.88</v>
      </c>
      <c r="D46" s="2">
        <f>Assumptions!$C$45*Forecast!D80</f>
        <v>94.28524266609045</v>
      </c>
      <c r="E46" s="2">
        <f>Assumptions!$C$45*Forecast!E80</f>
        <v>97.81807861579625</v>
      </c>
      <c r="F46" s="2">
        <f>Assumptions!$C$45*Forecast!F80</f>
        <v>101.48328872602403</v>
      </c>
      <c r="G46" s="2">
        <f>Assumptions!$C$45*Forecast!G80</f>
        <v>105.28583301151075</v>
      </c>
      <c r="H46" s="2">
        <f>Assumptions!$C$45*Forecast!H80</f>
        <v>109.23085733705732</v>
      </c>
      <c r="I46" s="2">
        <f>Assumptions!$C$45*Forecast!I80</f>
        <v>113.32370038126712</v>
      </c>
      <c r="J46" s="2">
        <f>Assumptions!$C$45*Forecast!J80</f>
        <v>117.56990086121367</v>
      </c>
      <c r="K46" s="5">
        <f t="shared" si="26"/>
        <v>0.042922671020894664</v>
      </c>
      <c r="L46" s="2">
        <v>113</v>
      </c>
      <c r="N46" s="52" t="str">
        <f t="shared" si="25"/>
        <v>Derivative Contacts</v>
      </c>
      <c r="O46" s="90">
        <f t="shared" si="27"/>
        <v>0.004169562195969423</v>
      </c>
      <c r="P46" s="95">
        <f t="shared" si="27"/>
        <v>0.004397183968663287</v>
      </c>
      <c r="Q46" s="18">
        <f t="shared" si="27"/>
        <v>0.004226664101842369</v>
      </c>
      <c r="R46" s="18">
        <f t="shared" si="27"/>
        <v>0.004056284856907142</v>
      </c>
      <c r="S46" s="18">
        <f t="shared" si="27"/>
        <v>0.004033871667343775</v>
      </c>
      <c r="T46" s="18">
        <f t="shared" si="27"/>
        <v>0.004139280825403849</v>
      </c>
      <c r="U46" s="18">
        <f t="shared" si="27"/>
        <v>0.004150676770778265</v>
      </c>
      <c r="V46" s="18">
        <f t="shared" si="27"/>
        <v>0.004342693928475698</v>
      </c>
      <c r="W46" s="18">
        <f t="shared" si="27"/>
        <v>0.004438103195887173</v>
      </c>
      <c r="X46" s="18">
        <f t="shared" si="28"/>
        <v>0.004221434842224382</v>
      </c>
      <c r="Y46" s="2"/>
    </row>
    <row r="47" spans="1:25" ht="12.75">
      <c r="A47" s="52" t="str">
        <f>Historical!A46</f>
        <v>Other </v>
      </c>
      <c r="B47" s="77">
        <f>Historical!L46</f>
        <v>97</v>
      </c>
      <c r="C47" s="3">
        <f>Assumptions!$C$46*Forecast!C38</f>
        <v>139.20163406457542</v>
      </c>
      <c r="D47" s="3">
        <f>Assumptions!$C$46*Forecast!D38</f>
        <v>150.24382751547367</v>
      </c>
      <c r="E47" s="3">
        <f>Assumptions!$C$46*Forecast!E38</f>
        <v>162.4206831315685</v>
      </c>
      <c r="F47" s="3">
        <f>Assumptions!$C$46*Forecast!F38</f>
        <v>169.44279484237856</v>
      </c>
      <c r="G47" s="3">
        <f>Assumptions!$C$46*Forecast!G38</f>
        <v>171.31512082473034</v>
      </c>
      <c r="H47" s="3">
        <f>Assumptions!$C$46*Forecast!H38</f>
        <v>177.24625950145705</v>
      </c>
      <c r="I47" s="3">
        <f>Assumptions!$C$46*Forecast!I38</f>
        <v>175.75681613014194</v>
      </c>
      <c r="J47" s="3">
        <f>Assumptions!$C$46*Forecast!J38</f>
        <v>178.42241223131808</v>
      </c>
      <c r="K47" s="5">
        <f t="shared" si="26"/>
        <v>0.079157191084109</v>
      </c>
      <c r="L47" s="2">
        <v>1565</v>
      </c>
      <c r="N47" s="52" t="str">
        <f t="shared" si="25"/>
        <v>Other </v>
      </c>
      <c r="O47" s="90">
        <f t="shared" si="27"/>
        <v>0.004814851583440882</v>
      </c>
      <c r="P47" s="95">
        <f t="shared" si="27"/>
        <v>0.006735202395691951</v>
      </c>
      <c r="Q47" s="18">
        <f t="shared" si="27"/>
        <v>0.006735202395691951</v>
      </c>
      <c r="R47" s="18">
        <f t="shared" si="27"/>
        <v>0.006735202395691951</v>
      </c>
      <c r="S47" s="18">
        <f t="shared" si="27"/>
        <v>0.006735202395691951</v>
      </c>
      <c r="T47" s="18">
        <f t="shared" si="27"/>
        <v>0.006735202395691951</v>
      </c>
      <c r="U47" s="18">
        <f t="shared" si="27"/>
        <v>0.006735202395691951</v>
      </c>
      <c r="V47" s="18">
        <f t="shared" si="27"/>
        <v>0.006735202395691951</v>
      </c>
      <c r="W47" s="18">
        <f t="shared" si="27"/>
        <v>0.006735202395691951</v>
      </c>
      <c r="X47" s="18">
        <f t="shared" si="28"/>
        <v>0.0067352023956919515</v>
      </c>
      <c r="Y47" s="2"/>
    </row>
    <row r="48" spans="1:25" ht="12.75">
      <c r="A48" s="193" t="str">
        <f>Historical!A47</f>
        <v>Total Current Liabilities</v>
      </c>
      <c r="B48" s="267">
        <f>SUM(B42:B47)</f>
        <v>1538</v>
      </c>
      <c r="C48" s="193">
        <f aca="true" t="shared" si="29" ref="C48:J48">SUM(C41:C47)</f>
        <v>1393.3583317647526</v>
      </c>
      <c r="D48" s="193">
        <f t="shared" si="29"/>
        <v>1373.090358326199</v>
      </c>
      <c r="E48" s="193">
        <f t="shared" si="29"/>
        <v>1418.560597767473</v>
      </c>
      <c r="F48" s="193">
        <f t="shared" si="29"/>
        <v>1450.6548336189603</v>
      </c>
      <c r="G48" s="193">
        <f t="shared" si="29"/>
        <v>1469.3767695402921</v>
      </c>
      <c r="H48" s="193">
        <f t="shared" si="29"/>
        <v>1501.7469376198894</v>
      </c>
      <c r="I48" s="193">
        <f t="shared" si="29"/>
        <v>1514.0695874932662</v>
      </c>
      <c r="J48" s="193">
        <f t="shared" si="29"/>
        <v>1540.3199150224252</v>
      </c>
      <c r="K48" s="201">
        <f t="shared" si="26"/>
        <v>0.00018842535231355267</v>
      </c>
      <c r="L48" s="2"/>
      <c r="N48" s="193" t="str">
        <f t="shared" si="25"/>
        <v>Total Current Liabilities</v>
      </c>
      <c r="O48" s="91">
        <f t="shared" si="27"/>
        <v>0.07634269830239253</v>
      </c>
      <c r="P48" s="93">
        <f t="shared" si="27"/>
        <v>0.06741695553520459</v>
      </c>
      <c r="Q48" s="17">
        <f t="shared" si="27"/>
        <v>0.06155355347258892</v>
      </c>
      <c r="R48" s="17">
        <f t="shared" si="27"/>
        <v>0.05882436000332702</v>
      </c>
      <c r="S48" s="17">
        <f t="shared" si="27"/>
        <v>0.057662256573384175</v>
      </c>
      <c r="T48" s="17">
        <f t="shared" si="27"/>
        <v>0.05776810529472685</v>
      </c>
      <c r="U48" s="17">
        <f t="shared" si="27"/>
        <v>0.05706506642470152</v>
      </c>
      <c r="V48" s="17">
        <f t="shared" si="27"/>
        <v>0.05802087985809905</v>
      </c>
      <c r="W48" s="17">
        <f t="shared" si="27"/>
        <v>0.05814497322422184</v>
      </c>
      <c r="X48" s="17">
        <f t="shared" si="28"/>
        <v>0.05931831599631209</v>
      </c>
      <c r="Y48" s="2"/>
    </row>
    <row r="49" spans="2:25" ht="12.75">
      <c r="B49" s="77"/>
      <c r="C49" s="2"/>
      <c r="D49" s="2"/>
      <c r="E49" s="2"/>
      <c r="F49" s="2"/>
      <c r="G49" s="2"/>
      <c r="H49" s="2"/>
      <c r="I49" s="2"/>
      <c r="J49" s="2"/>
      <c r="K49" s="5"/>
      <c r="L49" s="2">
        <v>6206</v>
      </c>
      <c r="O49" s="90"/>
      <c r="P49" s="95"/>
      <c r="Q49" s="18"/>
      <c r="R49" s="18"/>
      <c r="S49" s="18"/>
      <c r="T49" s="18"/>
      <c r="U49" s="18"/>
      <c r="V49" s="18"/>
      <c r="W49" s="18"/>
      <c r="X49" s="18"/>
      <c r="Y49" s="2"/>
    </row>
    <row r="50" spans="1:25" ht="12.75">
      <c r="A50" s="193" t="str">
        <f>Historical!A49</f>
        <v>Long-Term Debt</v>
      </c>
      <c r="B50" s="77">
        <f>Historical!L49</f>
        <v>5813</v>
      </c>
      <c r="C50" s="2">
        <f aca="true" t="shared" si="30" ref="C50:J50">B50-B42</f>
        <v>5225</v>
      </c>
      <c r="D50" s="2">
        <f t="shared" si="30"/>
        <v>4937.003302299823</v>
      </c>
      <c r="E50" s="2">
        <f t="shared" si="30"/>
        <v>4664.8806903194945</v>
      </c>
      <c r="F50" s="2">
        <f t="shared" si="30"/>
        <v>4407.757200563066</v>
      </c>
      <c r="G50" s="2">
        <f t="shared" si="30"/>
        <v>4164.80609663458</v>
      </c>
      <c r="H50" s="2">
        <f t="shared" si="30"/>
        <v>3935.246211009255</v>
      </c>
      <c r="I50" s="2">
        <f t="shared" si="30"/>
        <v>3718.339433323552</v>
      </c>
      <c r="J50" s="2">
        <f t="shared" si="30"/>
        <v>3513.3883371081392</v>
      </c>
      <c r="K50" s="5">
        <f>RATE(8,,-B50,J50)</f>
        <v>-0.06099970427069899</v>
      </c>
      <c r="L50" s="2">
        <v>3733</v>
      </c>
      <c r="N50" s="52" t="str">
        <f>A50</f>
        <v>Long-Term Debt</v>
      </c>
      <c r="O50" s="90">
        <f aca="true" t="shared" si="31" ref="O50:W52">B50/B$38</f>
        <v>0.28854363149012213</v>
      </c>
      <c r="P50" s="95">
        <f t="shared" si="31"/>
        <v>0.2528090474941206</v>
      </c>
      <c r="Q50" s="18">
        <f t="shared" si="31"/>
        <v>0.22131835310015804</v>
      </c>
      <c r="R50" s="18">
        <f t="shared" si="31"/>
        <v>0.19344159250707105</v>
      </c>
      <c r="S50" s="18">
        <f t="shared" si="31"/>
        <v>0.1752044805710198</v>
      </c>
      <c r="T50" s="18">
        <f t="shared" si="31"/>
        <v>0.16373809774995862</v>
      </c>
      <c r="U50" s="18">
        <f t="shared" si="31"/>
        <v>0.1495359043546379</v>
      </c>
      <c r="V50" s="18">
        <f t="shared" si="31"/>
        <v>0.1424910237380073</v>
      </c>
      <c r="W50" s="18">
        <f t="shared" si="31"/>
        <v>0.13262561159866057</v>
      </c>
      <c r="X50" s="18">
        <f>SUM(C50:J50)/SUM($C$38:$J$38)</f>
        <v>0.17583318061310538</v>
      </c>
      <c r="Y50" s="2"/>
    </row>
    <row r="51" spans="1:25" ht="12.75">
      <c r="A51" s="52" t="str">
        <f>Historical!A50</f>
        <v>Deferred Income Taxes</v>
      </c>
      <c r="B51" s="77">
        <f>Historical!L50</f>
        <v>3448</v>
      </c>
      <c r="C51" s="2">
        <f>B51+Assumptions!$C$50</f>
        <v>3848</v>
      </c>
      <c r="D51" s="2">
        <f>C51+Assumptions!$C$50</f>
        <v>4248</v>
      </c>
      <c r="E51" s="2">
        <f>D51+Assumptions!$C$50</f>
        <v>4648</v>
      </c>
      <c r="F51" s="2">
        <f>E51+Assumptions!$C$50</f>
        <v>5048</v>
      </c>
      <c r="G51" s="2">
        <f>F51+Assumptions!$C$50/2</f>
        <v>5248</v>
      </c>
      <c r="H51" s="2">
        <f>G51+Assumptions!$C$50/2</f>
        <v>5448</v>
      </c>
      <c r="I51" s="2">
        <f>H51+Assumptions!$C$50</f>
        <v>5848</v>
      </c>
      <c r="J51" s="2">
        <f>I51+Assumptions!$C$50</f>
        <v>6248</v>
      </c>
      <c r="K51" s="5">
        <f>RATE(8,,-B51,J51)</f>
        <v>0.07713892504266402</v>
      </c>
      <c r="L51" s="2">
        <v>266</v>
      </c>
      <c r="N51" s="52" t="str">
        <f>A51</f>
        <v>Deferred Income Taxes</v>
      </c>
      <c r="O51" s="90">
        <f t="shared" si="31"/>
        <v>0.1711506006155068</v>
      </c>
      <c r="P51" s="95">
        <f t="shared" si="31"/>
        <v>0.18618358177174663</v>
      </c>
      <c r="Q51" s="18">
        <f t="shared" si="31"/>
        <v>0.19043138244033841</v>
      </c>
      <c r="R51" s="18">
        <f t="shared" si="31"/>
        <v>0.19274159012012937</v>
      </c>
      <c r="S51" s="18">
        <f t="shared" si="31"/>
        <v>0.20065356998555336</v>
      </c>
      <c r="T51" s="18">
        <f t="shared" si="31"/>
        <v>0.20632353993290303</v>
      </c>
      <c r="U51" s="18">
        <f t="shared" si="31"/>
        <v>0.20701922147715682</v>
      </c>
      <c r="V51" s="18">
        <f t="shared" si="31"/>
        <v>0.22410205463008304</v>
      </c>
      <c r="W51" s="18">
        <f t="shared" si="31"/>
        <v>0.2358534672971809</v>
      </c>
      <c r="X51" s="18">
        <f>SUM(C51:J51)/SUM($C$38:$J$38)</f>
        <v>0.20644352349937617</v>
      </c>
      <c r="Y51" s="2"/>
    </row>
    <row r="52" spans="1:25" ht="12.75">
      <c r="A52" s="52" t="str">
        <f>Historical!A51</f>
        <v>Derivative Contracts</v>
      </c>
      <c r="B52" s="77">
        <f>Historical!L51</f>
        <v>399</v>
      </c>
      <c r="C52" s="2">
        <f>Assumptions!$C$51*Forecast!C83</f>
        <v>388.6427688504326</v>
      </c>
      <c r="D52" s="2">
        <f>Assumptions!$C$51*Forecast!D83</f>
        <v>392.4331926571462</v>
      </c>
      <c r="E52" s="2">
        <f>Assumptions!$C$51*Forecast!E83</f>
        <v>396.2605843783201</v>
      </c>
      <c r="F52" s="2">
        <f>Assumptions!$C$51*Forecast!F83</f>
        <v>400.1253045611569</v>
      </c>
      <c r="G52" s="2">
        <f>Assumptions!$C$51*Forecast!G83</f>
        <v>408.0289703148788</v>
      </c>
      <c r="H52" s="2">
        <f>Assumptions!$C$51*Forecast!H83</f>
        <v>416.08875699280736</v>
      </c>
      <c r="I52" s="2">
        <f>Assumptions!$C$51*Forecast!I83</f>
        <v>424.30774844789573</v>
      </c>
      <c r="J52" s="2">
        <f>Assumptions!$C$51*Forecast!J83</f>
        <v>432.689089448372</v>
      </c>
      <c r="K52" s="5">
        <f>RATE(8,,-B52,J52)</f>
        <v>0.010183756943318592</v>
      </c>
      <c r="L52" s="2">
        <v>1616</v>
      </c>
      <c r="N52" s="52" t="str">
        <f>A52</f>
        <v>Derivative Contracts</v>
      </c>
      <c r="O52" s="90">
        <f t="shared" si="31"/>
        <v>0.01980542043085476</v>
      </c>
      <c r="P52" s="95">
        <f t="shared" si="31"/>
        <v>0.01880428865235513</v>
      </c>
      <c r="Q52" s="18">
        <f t="shared" si="31"/>
        <v>0.017592183472969872</v>
      </c>
      <c r="R52" s="18">
        <f t="shared" si="31"/>
        <v>0.016431991208048433</v>
      </c>
      <c r="S52" s="18">
        <f t="shared" si="31"/>
        <v>0.015904629715085765</v>
      </c>
      <c r="T52" s="18">
        <f t="shared" si="31"/>
        <v>0.016041536118624848</v>
      </c>
      <c r="U52" s="18">
        <f t="shared" si="31"/>
        <v>0.01581100780801191</v>
      </c>
      <c r="V52" s="18">
        <f t="shared" si="31"/>
        <v>0.016259958656401823</v>
      </c>
      <c r="W52" s="18">
        <f t="shared" si="31"/>
        <v>0.01633342221639862</v>
      </c>
      <c r="X52" s="18">
        <f>SUM(C52:J52)/SUM($C$38:$J$38)</f>
        <v>0.016575793338235813</v>
      </c>
      <c r="Y52" s="2"/>
    </row>
    <row r="53" spans="1:25" ht="12.75" customHeight="1">
      <c r="A53" s="52" t="str">
        <f>Historical!A52</f>
        <v>Other Long-term Liabilities</v>
      </c>
      <c r="B53" s="77">
        <f>Historical!L52</f>
        <v>1637</v>
      </c>
      <c r="C53" s="2">
        <v>1600</v>
      </c>
      <c r="D53" s="2">
        <f>(Assumptions!$C$52+1)*Forecast!C53</f>
        <v>1521.3409531015677</v>
      </c>
      <c r="E53" s="2">
        <f>(Assumptions!$C$52+1)*Forecast!D53</f>
        <v>1446.5489347399914</v>
      </c>
      <c r="F53" s="2">
        <f>(Assumptions!$C$52+1)*Forecast!E53</f>
        <v>1375.4338344283724</v>
      </c>
      <c r="G53" s="2">
        <f>(Assumptions!$C$52+1)*Forecast!F53</f>
        <v>1307.8148878733773</v>
      </c>
      <c r="H53" s="2">
        <f>(Assumptions!$C$52+1)*Forecast!G53</f>
        <v>1243.5202174985648</v>
      </c>
      <c r="I53" s="2">
        <f>(Assumptions!$C$52+1)*Forecast!H53</f>
        <v>1182.3863955564595</v>
      </c>
      <c r="J53" s="2">
        <f>(Assumptions!$C$52+1)*Forecast!I53</f>
        <v>1124.2580287188696</v>
      </c>
      <c r="K53" s="5">
        <f>RATE(8,,-B53,J53)</f>
        <v>-0.04588183382874665</v>
      </c>
      <c r="L53" s="2">
        <v>11821</v>
      </c>
      <c r="O53" s="90"/>
      <c r="P53" s="95"/>
      <c r="Q53" s="18"/>
      <c r="R53" s="18"/>
      <c r="S53" s="18"/>
      <c r="T53" s="18"/>
      <c r="U53" s="18"/>
      <c r="V53" s="18"/>
      <c r="W53" s="18"/>
      <c r="X53" s="18"/>
      <c r="Y53" s="2"/>
    </row>
    <row r="54" spans="1:25" ht="12.75" customHeight="1">
      <c r="A54" s="87" t="s">
        <v>142</v>
      </c>
      <c r="B54" s="77">
        <v>0</v>
      </c>
      <c r="C54" s="3">
        <f>C68</f>
        <v>909.8514947973666</v>
      </c>
      <c r="D54" s="3">
        <f aca="true" t="shared" si="32" ref="D54:J54">D68</f>
        <v>2196.871911790358</v>
      </c>
      <c r="E54" s="3">
        <f t="shared" si="32"/>
        <v>3271.5794582191397</v>
      </c>
      <c r="F54" s="3">
        <f t="shared" si="32"/>
        <v>3792.466340005871</v>
      </c>
      <c r="G54" s="3">
        <f t="shared" si="32"/>
        <v>3949.956501088659</v>
      </c>
      <c r="H54" s="3">
        <f t="shared" si="32"/>
        <v>4688.684281421242</v>
      </c>
      <c r="I54" s="3">
        <f t="shared" si="32"/>
        <v>4259.825976407554</v>
      </c>
      <c r="J54" s="3">
        <f t="shared" si="32"/>
        <v>4334.996221427307</v>
      </c>
      <c r="K54" s="5">
        <f>RATE(7,,-C54,J54)</f>
        <v>0.2498553234997415</v>
      </c>
      <c r="L54" s="2"/>
      <c r="N54" s="52" t="str">
        <f>A54</f>
        <v>Additonal Loans</v>
      </c>
      <c r="O54" s="90">
        <f aca="true" t="shared" si="33" ref="O54:W55">B54/B$38</f>
        <v>0</v>
      </c>
      <c r="P54" s="95">
        <f t="shared" si="33"/>
        <v>0.04402271574369839</v>
      </c>
      <c r="Q54" s="18">
        <f t="shared" si="33"/>
        <v>0.0984824282501382</v>
      </c>
      <c r="R54" s="18">
        <f t="shared" si="33"/>
        <v>0.13566467878259647</v>
      </c>
      <c r="S54" s="18">
        <f t="shared" si="33"/>
        <v>0.15074720882967976</v>
      </c>
      <c r="T54" s="18">
        <f t="shared" si="33"/>
        <v>0.15529135058795654</v>
      </c>
      <c r="U54" s="18">
        <f t="shared" si="33"/>
        <v>0.17816589017841558</v>
      </c>
      <c r="V54" s="18">
        <f t="shared" si="33"/>
        <v>0.16324140794793646</v>
      </c>
      <c r="W54" s="18">
        <f t="shared" si="33"/>
        <v>0.16364018718690912</v>
      </c>
      <c r="X54" s="18">
        <f>SUM(C54:J54)/SUM($C$38:$J$38)</f>
        <v>0.13940041028727881</v>
      </c>
      <c r="Y54" s="2"/>
    </row>
    <row r="55" spans="1:25" ht="12.75" customHeight="1">
      <c r="A55" s="193" t="str">
        <f>Historical!A53</f>
        <v>Total LTD &amp; Deferrals</v>
      </c>
      <c r="B55" s="267">
        <f aca="true" t="shared" si="34" ref="B55:J55">SUM(B50:B54)</f>
        <v>11297</v>
      </c>
      <c r="C55" s="193">
        <f t="shared" si="34"/>
        <v>11971.494263647799</v>
      </c>
      <c r="D55" s="193">
        <f t="shared" si="34"/>
        <v>13295.649359848896</v>
      </c>
      <c r="E55" s="193">
        <f t="shared" si="34"/>
        <v>14427.269667656945</v>
      </c>
      <c r="F55" s="193">
        <f t="shared" si="34"/>
        <v>15023.782679558466</v>
      </c>
      <c r="G55" s="193">
        <f t="shared" si="34"/>
        <v>15078.606455911497</v>
      </c>
      <c r="H55" s="193">
        <f t="shared" si="34"/>
        <v>15731.53946692187</v>
      </c>
      <c r="I55" s="193">
        <f t="shared" si="34"/>
        <v>15432.859553735461</v>
      </c>
      <c r="J55" s="193">
        <f t="shared" si="34"/>
        <v>15653.331676702688</v>
      </c>
      <c r="K55" s="201">
        <f>RATE(8,,-B55,J55)</f>
        <v>0.04161075945769855</v>
      </c>
      <c r="L55" s="2">
        <v>13386</v>
      </c>
      <c r="N55" s="52" t="str">
        <f>A55</f>
        <v>Total LTD &amp; Deferrals</v>
      </c>
      <c r="O55" s="91">
        <f t="shared" si="33"/>
        <v>0.5607564777126973</v>
      </c>
      <c r="P55" s="93">
        <f t="shared" si="33"/>
        <v>0.5792348443778237</v>
      </c>
      <c r="Q55" s="17">
        <f t="shared" si="33"/>
        <v>0.5960237495381416</v>
      </c>
      <c r="R55" s="17">
        <f t="shared" si="33"/>
        <v>0.5982648228993352</v>
      </c>
      <c r="S55" s="17">
        <f t="shared" si="33"/>
        <v>0.5971821769692015</v>
      </c>
      <c r="T55" s="17">
        <f t="shared" si="33"/>
        <v>0.5928108729494637</v>
      </c>
      <c r="U55" s="17">
        <f t="shared" si="33"/>
        <v>0.5977847013728583</v>
      </c>
      <c r="V55" s="17">
        <f t="shared" si="33"/>
        <v>0.5914048452136839</v>
      </c>
      <c r="W55" s="17">
        <f t="shared" si="33"/>
        <v>0.5908918935184256</v>
      </c>
      <c r="X55" s="17">
        <f>SUM(C55:J55)/SUM($C$38:$J$38)</f>
        <v>0.5931971986336954</v>
      </c>
      <c r="Y55" s="2"/>
    </row>
    <row r="56" spans="2:25" ht="12.75" customHeight="1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O56" s="90"/>
      <c r="P56" s="95"/>
      <c r="Q56" s="18"/>
      <c r="R56" s="18"/>
      <c r="S56" s="18"/>
      <c r="T56" s="18"/>
      <c r="U56" s="18"/>
      <c r="V56" s="18"/>
      <c r="W56" s="18"/>
      <c r="X56" s="18"/>
      <c r="Y56" s="2"/>
    </row>
    <row r="57" spans="1:25" ht="12.75" customHeight="1">
      <c r="A57" s="52" t="str">
        <f>Historical!A55</f>
        <v>Total Liabilities</v>
      </c>
      <c r="B57" s="77">
        <f aca="true" t="shared" si="35" ref="B57:J57">B48+B55</f>
        <v>12835</v>
      </c>
      <c r="C57" s="2">
        <f t="shared" si="35"/>
        <v>13364.85259541255</v>
      </c>
      <c r="D57" s="2">
        <f t="shared" si="35"/>
        <v>14668.739718175095</v>
      </c>
      <c r="E57" s="2">
        <f t="shared" si="35"/>
        <v>15845.830265424418</v>
      </c>
      <c r="F57" s="2">
        <f t="shared" si="35"/>
        <v>16474.437513177425</v>
      </c>
      <c r="G57" s="2">
        <f t="shared" si="35"/>
        <v>16547.98322545179</v>
      </c>
      <c r="H57" s="2">
        <f t="shared" si="35"/>
        <v>17233.28640454176</v>
      </c>
      <c r="I57" s="2">
        <f t="shared" si="35"/>
        <v>16946.929141228728</v>
      </c>
      <c r="J57" s="2">
        <f t="shared" si="35"/>
        <v>17193.651591725113</v>
      </c>
      <c r="K57" s="5">
        <f>RATE(8,,-B57,J57)</f>
        <v>0.03722154940237354</v>
      </c>
      <c r="L57" s="2">
        <v>41</v>
      </c>
      <c r="N57" s="52" t="str">
        <f>A57</f>
        <v>Total Liabilities</v>
      </c>
      <c r="O57" s="90">
        <f aca="true" t="shared" si="36" ref="O57:W57">B57/B$38</f>
        <v>0.6370991760150898</v>
      </c>
      <c r="P57" s="95">
        <f t="shared" si="36"/>
        <v>0.6466517999130282</v>
      </c>
      <c r="Q57" s="18">
        <f t="shared" si="36"/>
        <v>0.6575773030107306</v>
      </c>
      <c r="R57" s="18">
        <f t="shared" si="36"/>
        <v>0.6570891829026623</v>
      </c>
      <c r="S57" s="18">
        <f t="shared" si="36"/>
        <v>0.6548444335425856</v>
      </c>
      <c r="T57" s="18">
        <f t="shared" si="36"/>
        <v>0.6505789782441905</v>
      </c>
      <c r="U57" s="18">
        <f t="shared" si="36"/>
        <v>0.6548497677975599</v>
      </c>
      <c r="V57" s="18">
        <f t="shared" si="36"/>
        <v>0.6494257250717829</v>
      </c>
      <c r="W57" s="18">
        <f t="shared" si="36"/>
        <v>0.6490368667426475</v>
      </c>
      <c r="X57" s="18">
        <f>SUM(C57:J57)/SUM($C$38:$J$38)</f>
        <v>0.6525155146300073</v>
      </c>
      <c r="Y57" s="2"/>
    </row>
    <row r="58" spans="2:25" ht="12.75" customHeight="1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O58" s="90"/>
      <c r="P58" s="95"/>
      <c r="Q58" s="18"/>
      <c r="R58" s="18"/>
      <c r="S58" s="18"/>
      <c r="T58" s="18"/>
      <c r="U58" s="18"/>
      <c r="V58" s="18"/>
      <c r="W58" s="18"/>
      <c r="X58" s="18"/>
      <c r="Y58" s="2"/>
    </row>
    <row r="59" spans="1:25" ht="12.75" customHeight="1">
      <c r="A59" s="52" t="str">
        <f>Historical!A57</f>
        <v>Preferred Stock</v>
      </c>
      <c r="B59" s="77">
        <f>Historical!L57</f>
        <v>41</v>
      </c>
      <c r="C59" s="2">
        <f>B59</f>
        <v>41</v>
      </c>
      <c r="D59" s="2">
        <f aca="true" t="shared" si="37" ref="D59:J59">C59</f>
        <v>41</v>
      </c>
      <c r="E59" s="2">
        <f t="shared" si="37"/>
        <v>41</v>
      </c>
      <c r="F59" s="2">
        <f t="shared" si="37"/>
        <v>41</v>
      </c>
      <c r="G59" s="2">
        <f t="shared" si="37"/>
        <v>41</v>
      </c>
      <c r="H59" s="2">
        <f t="shared" si="37"/>
        <v>41</v>
      </c>
      <c r="I59" s="2">
        <f t="shared" si="37"/>
        <v>41</v>
      </c>
      <c r="J59" s="2">
        <f t="shared" si="37"/>
        <v>41</v>
      </c>
      <c r="K59" s="5">
        <f>RATE(8,,-B59,J59)</f>
        <v>3.1897447140414575E-12</v>
      </c>
      <c r="L59" s="2"/>
      <c r="N59" s="52" t="str">
        <f>A59</f>
        <v>Preferred Stock</v>
      </c>
      <c r="O59" s="90">
        <f aca="true" t="shared" si="38" ref="O59:W59">B59/B$38</f>
        <v>0.0020351434527945992</v>
      </c>
      <c r="P59" s="95">
        <f t="shared" si="38"/>
        <v>0.0019837647745950134</v>
      </c>
      <c r="Q59" s="18">
        <f t="shared" si="38"/>
        <v>0.0018379676742123058</v>
      </c>
      <c r="R59" s="18">
        <f t="shared" si="38"/>
        <v>0.0017001732347085422</v>
      </c>
      <c r="S59" s="18">
        <f t="shared" si="38"/>
        <v>0.001629714019296293</v>
      </c>
      <c r="T59" s="18">
        <f t="shared" si="38"/>
        <v>0.001611902655725805</v>
      </c>
      <c r="U59" s="18">
        <f t="shared" si="38"/>
        <v>0.0015579640382825679</v>
      </c>
      <c r="V59" s="18">
        <f t="shared" si="38"/>
        <v>0.0015711669356760268</v>
      </c>
      <c r="W59" s="18">
        <f t="shared" si="38"/>
        <v>0.0015476940075519233</v>
      </c>
      <c r="X59" s="18">
        <f>SUM(C59:J59)/SUM($C$38:$J$38)</f>
        <v>0.001668477126645855</v>
      </c>
      <c r="Y59" s="2"/>
    </row>
    <row r="60" spans="2:25" ht="12.75" customHeight="1">
      <c r="B60" s="77"/>
      <c r="C60" s="2"/>
      <c r="D60" s="2"/>
      <c r="E60" s="2"/>
      <c r="F60" s="2"/>
      <c r="G60" s="2"/>
      <c r="H60" s="2"/>
      <c r="I60" s="2"/>
      <c r="J60" s="2"/>
      <c r="K60" s="5"/>
      <c r="L60" s="2">
        <v>4472</v>
      </c>
      <c r="O60" s="90"/>
      <c r="P60" s="95"/>
      <c r="Q60" s="18"/>
      <c r="R60" s="18"/>
      <c r="S60" s="18"/>
      <c r="T60" s="18"/>
      <c r="U60" s="18"/>
      <c r="V60" s="18"/>
      <c r="W60" s="18"/>
      <c r="X60" s="18"/>
      <c r="Y60" s="2"/>
    </row>
    <row r="61" spans="1:25" ht="12.75" customHeight="1">
      <c r="A61" s="193" t="str">
        <f>Historical!A59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>
        <v>2671</v>
      </c>
      <c r="N61" s="193" t="str">
        <f>A61</f>
        <v>Common Equity:</v>
      </c>
      <c r="O61" s="90"/>
      <c r="P61" s="95"/>
      <c r="Q61" s="18"/>
      <c r="R61" s="18"/>
      <c r="S61" s="18"/>
      <c r="T61" s="18"/>
      <c r="U61" s="18"/>
      <c r="V61" s="18"/>
      <c r="W61" s="18"/>
      <c r="X61" s="18"/>
      <c r="Y61" s="2"/>
    </row>
    <row r="62" spans="1:25" ht="12.75" customHeight="1">
      <c r="A62" s="52" t="str">
        <f>Historical!A60</f>
        <v>Common Stock</v>
      </c>
      <c r="B62" s="77">
        <f>Historical!L60</f>
        <v>4472</v>
      </c>
      <c r="C62" s="2">
        <v>4472</v>
      </c>
      <c r="D62" s="2">
        <f aca="true" t="shared" si="39" ref="D62:J62">C62</f>
        <v>4472</v>
      </c>
      <c r="E62" s="2">
        <f t="shared" si="39"/>
        <v>4472</v>
      </c>
      <c r="F62" s="2">
        <f t="shared" si="39"/>
        <v>4472</v>
      </c>
      <c r="G62" s="2">
        <f t="shared" si="39"/>
        <v>4472</v>
      </c>
      <c r="H62" s="2">
        <f t="shared" si="39"/>
        <v>4472</v>
      </c>
      <c r="I62" s="2">
        <f t="shared" si="39"/>
        <v>4472</v>
      </c>
      <c r="J62" s="2">
        <f t="shared" si="39"/>
        <v>4472</v>
      </c>
      <c r="K62" s="5">
        <f>RATE(8,,-B62,J62)</f>
        <v>6.936766611779639E-17</v>
      </c>
      <c r="L62" s="2">
        <v>7143</v>
      </c>
      <c r="N62" s="52" t="str">
        <f>A62</f>
        <v>Common Stock</v>
      </c>
      <c r="O62" s="90">
        <f aca="true" t="shared" si="40" ref="O62:W65">B62/B$38</f>
        <v>0.22197954929018168</v>
      </c>
      <c r="P62" s="95">
        <f t="shared" si="40"/>
        <v>0.21637551395094876</v>
      </c>
      <c r="Q62" s="18">
        <f t="shared" si="40"/>
        <v>0.20047296192871786</v>
      </c>
      <c r="R62" s="18">
        <f t="shared" si="40"/>
        <v>0.18544328550284392</v>
      </c>
      <c r="S62" s="18">
        <f t="shared" si="40"/>
        <v>0.17775807547056152</v>
      </c>
      <c r="T62" s="18">
        <f t="shared" si="40"/>
        <v>0.17581533357087317</v>
      </c>
      <c r="U62" s="18">
        <f t="shared" si="40"/>
        <v>0.16993207754145473</v>
      </c>
      <c r="V62" s="18">
        <f t="shared" si="40"/>
        <v>0.17137215942300468</v>
      </c>
      <c r="W62" s="18">
        <f t="shared" si="40"/>
        <v>0.16881189272615124</v>
      </c>
      <c r="X62" s="18">
        <f>SUM(C62:J62)/SUM($C$38:$J$38)</f>
        <v>0.1819860904965918</v>
      </c>
      <c r="Y62" s="2"/>
    </row>
    <row r="63" spans="1:25" ht="12.75" customHeight="1">
      <c r="A63" s="52" t="str">
        <f>Historical!A61</f>
        <v>Retained Earnings</v>
      </c>
      <c r="B63" s="77">
        <f>Historical!L61</f>
        <v>2798</v>
      </c>
      <c r="C63" s="3">
        <f aca="true" t="shared" si="41" ref="C63:J63">B63+(IF(C102&gt;C104,(C102-C104-C105),C102))</f>
        <v>2789.9203793015286</v>
      </c>
      <c r="D63" s="3">
        <f t="shared" si="41"/>
        <v>3125.5078818149864</v>
      </c>
      <c r="E63" s="3">
        <f t="shared" si="41"/>
        <v>3756.359377256361</v>
      </c>
      <c r="F63" s="3">
        <f t="shared" si="41"/>
        <v>4170.350589512584</v>
      </c>
      <c r="G63" s="3">
        <f t="shared" si="41"/>
        <v>4374.767003413092</v>
      </c>
      <c r="H63" s="3">
        <f t="shared" si="41"/>
        <v>4570.043505262679</v>
      </c>
      <c r="I63" s="3">
        <f t="shared" si="41"/>
        <v>4635.237387668466</v>
      </c>
      <c r="J63" s="3">
        <f t="shared" si="41"/>
        <v>4784.262264050536</v>
      </c>
      <c r="K63" s="5">
        <f>RATE(8,,-B63,J63)</f>
        <v>0.0693525479949448</v>
      </c>
      <c r="L63" s="2">
        <v>20570</v>
      </c>
      <c r="N63" s="52" t="str">
        <f>A63</f>
        <v>Retained Earnings</v>
      </c>
      <c r="O63" s="90">
        <f t="shared" si="40"/>
        <v>0.13888613124193389</v>
      </c>
      <c r="P63" s="95">
        <f t="shared" si="40"/>
        <v>0.13498892127763734</v>
      </c>
      <c r="Q63" s="18">
        <f t="shared" si="40"/>
        <v>0.14011176712857856</v>
      </c>
      <c r="R63" s="18">
        <f t="shared" si="40"/>
        <v>0.1557673578818954</v>
      </c>
      <c r="S63" s="18">
        <f t="shared" si="40"/>
        <v>0.16576777612461507</v>
      </c>
      <c r="T63" s="18">
        <f t="shared" si="40"/>
        <v>0.17199264758495572</v>
      </c>
      <c r="U63" s="18">
        <f t="shared" si="40"/>
        <v>0.1736576447460016</v>
      </c>
      <c r="V63" s="18">
        <f t="shared" si="40"/>
        <v>0.1776276029881467</v>
      </c>
      <c r="W63" s="18">
        <f t="shared" si="40"/>
        <v>0.18059936674701982</v>
      </c>
      <c r="X63" s="103">
        <f>SUM(C63:J63)/SUM($C$38:$J$38)</f>
        <v>0.16382842215349339</v>
      </c>
      <c r="Y63" s="2"/>
    </row>
    <row r="64" spans="1:25" ht="12.75" customHeight="1">
      <c r="A64" s="193" t="str">
        <f>Historical!A62</f>
        <v>Total Common Equity</v>
      </c>
      <c r="B64" s="269">
        <f>SUM(B62:B63)</f>
        <v>7270</v>
      </c>
      <c r="C64" s="196">
        <f aca="true" t="shared" si="42" ref="C64:J64">SUM(C61:C63)</f>
        <v>7261.920379301529</v>
      </c>
      <c r="D64" s="196">
        <f t="shared" si="42"/>
        <v>7597.507881814987</v>
      </c>
      <c r="E64" s="196">
        <f t="shared" si="42"/>
        <v>8228.359377256362</v>
      </c>
      <c r="F64" s="196">
        <f t="shared" si="42"/>
        <v>8642.350589512584</v>
      </c>
      <c r="G64" s="196">
        <f t="shared" si="42"/>
        <v>8846.767003413093</v>
      </c>
      <c r="H64" s="196">
        <f t="shared" si="42"/>
        <v>9042.043505262678</v>
      </c>
      <c r="I64" s="196">
        <f t="shared" si="42"/>
        <v>9107.237387668465</v>
      </c>
      <c r="J64" s="196">
        <f t="shared" si="42"/>
        <v>9256.262264050536</v>
      </c>
      <c r="K64" s="201">
        <f>RATE(8,,-B64,J64)</f>
        <v>0.030653435050257503</v>
      </c>
      <c r="L64" s="2"/>
      <c r="N64" s="193" t="str">
        <f>A64</f>
        <v>Total Common Equity</v>
      </c>
      <c r="O64" s="274">
        <f t="shared" si="40"/>
        <v>0.36086568053211554</v>
      </c>
      <c r="P64" s="275">
        <f t="shared" si="40"/>
        <v>0.3513644352285861</v>
      </c>
      <c r="Q64" s="201">
        <f t="shared" si="40"/>
        <v>0.3405847290572964</v>
      </c>
      <c r="R64" s="201">
        <f t="shared" si="40"/>
        <v>0.3412106433847394</v>
      </c>
      <c r="S64" s="201">
        <f t="shared" si="40"/>
        <v>0.3435258515951766</v>
      </c>
      <c r="T64" s="201">
        <f t="shared" si="40"/>
        <v>0.34780798115582895</v>
      </c>
      <c r="U64" s="201">
        <f t="shared" si="40"/>
        <v>0.34358972228745627</v>
      </c>
      <c r="V64" s="201">
        <f t="shared" si="40"/>
        <v>0.3489997624111513</v>
      </c>
      <c r="W64" s="201">
        <f t="shared" si="40"/>
        <v>0.34941125947317103</v>
      </c>
      <c r="X64" s="201">
        <f>SUM(C64:J64)/SUM($C$38:$J$38)</f>
        <v>0.3458145126500852</v>
      </c>
      <c r="Y64" s="2"/>
    </row>
    <row r="65" spans="1:25" ht="12.75" customHeight="1" thickBot="1">
      <c r="A65" s="193" t="str">
        <f>Historical!A63</f>
        <v>Total Liabilities &amp; Equity</v>
      </c>
      <c r="B65" s="267">
        <f aca="true" t="shared" si="43" ref="B65:J65">B57+B59+B64</f>
        <v>20146</v>
      </c>
      <c r="C65" s="270">
        <f t="shared" si="43"/>
        <v>20667.77297471408</v>
      </c>
      <c r="D65" s="270">
        <f t="shared" si="43"/>
        <v>22307.24759999008</v>
      </c>
      <c r="E65" s="270">
        <f t="shared" si="43"/>
        <v>24115.18964268078</v>
      </c>
      <c r="F65" s="270">
        <f t="shared" si="43"/>
        <v>25157.788102690007</v>
      </c>
      <c r="G65" s="270">
        <f t="shared" si="43"/>
        <v>25435.750228864883</v>
      </c>
      <c r="H65" s="270">
        <f t="shared" si="43"/>
        <v>26316.329909804437</v>
      </c>
      <c r="I65" s="270">
        <f t="shared" si="43"/>
        <v>26095.166528897193</v>
      </c>
      <c r="J65" s="270">
        <f t="shared" si="43"/>
        <v>26490.91385577565</v>
      </c>
      <c r="K65" s="201">
        <f>RATE(8,,-B65,J65)</f>
        <v>0.03481690264820982</v>
      </c>
      <c r="L65" s="2"/>
      <c r="N65" s="193" t="str">
        <f>A65</f>
        <v>Total Liabilities &amp; Equity</v>
      </c>
      <c r="O65" s="274">
        <f t="shared" si="40"/>
        <v>1</v>
      </c>
      <c r="P65" s="275">
        <f t="shared" si="40"/>
        <v>0.9999999999162094</v>
      </c>
      <c r="Q65" s="201">
        <f t="shared" si="40"/>
        <v>0.9999999997422393</v>
      </c>
      <c r="R65" s="201">
        <f t="shared" si="40"/>
        <v>0.9999999995221102</v>
      </c>
      <c r="S65" s="201">
        <f t="shared" si="40"/>
        <v>0.9999999991570584</v>
      </c>
      <c r="T65" s="201">
        <f t="shared" si="40"/>
        <v>0.9999988620557453</v>
      </c>
      <c r="U65" s="201">
        <f t="shared" si="40"/>
        <v>0.9999974541232987</v>
      </c>
      <c r="V65" s="201">
        <f t="shared" si="40"/>
        <v>0.9999966544186103</v>
      </c>
      <c r="W65" s="201">
        <f t="shared" si="40"/>
        <v>0.9999958202233704</v>
      </c>
      <c r="X65" s="201">
        <f>SUM(C65:J65)/SUM($C$38:$J$38)</f>
        <v>0.9999985044067385</v>
      </c>
      <c r="Y65" s="2"/>
    </row>
    <row r="66" spans="2:25" ht="12.75" customHeight="1" thickTop="1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O66" s="71"/>
      <c r="P66" s="129"/>
      <c r="Q66" s="129"/>
      <c r="R66" s="129"/>
      <c r="S66" s="129"/>
      <c r="T66" s="129"/>
      <c r="U66" s="129"/>
      <c r="V66" s="129"/>
      <c r="W66" s="129"/>
      <c r="X66" s="71"/>
      <c r="Y66" s="2"/>
    </row>
    <row r="67" spans="2:12" ht="12.75" customHeight="1">
      <c r="B67" s="77"/>
      <c r="C67" s="2">
        <f aca="true" t="shared" si="44" ref="C67:J67">IF(C38&lt;C65,(((C65-C38)*0.1)+C13),0)</f>
        <v>0</v>
      </c>
      <c r="D67" s="2">
        <f t="shared" si="44"/>
        <v>0</v>
      </c>
      <c r="E67" s="2">
        <f t="shared" si="44"/>
        <v>0</v>
      </c>
      <c r="F67" s="2">
        <f t="shared" si="44"/>
        <v>0</v>
      </c>
      <c r="G67" s="2">
        <f t="shared" si="44"/>
        <v>0</v>
      </c>
      <c r="H67" s="2">
        <f t="shared" si="44"/>
        <v>0</v>
      </c>
      <c r="I67" s="2">
        <f t="shared" si="44"/>
        <v>0</v>
      </c>
      <c r="J67" s="2">
        <f t="shared" si="44"/>
        <v>0</v>
      </c>
      <c r="K67" s="5"/>
      <c r="L67" s="2"/>
    </row>
    <row r="68" spans="1:12" ht="12.75" customHeight="1">
      <c r="A68" s="111"/>
      <c r="B68" s="77"/>
      <c r="C68" s="2">
        <f aca="true" t="shared" si="45" ref="C68:J68">IF(C38&gt;C65,(((C38-C65)*0.1)+C54),0)</f>
        <v>909.8514949705432</v>
      </c>
      <c r="D68" s="2">
        <f t="shared" si="45"/>
        <v>2196.871912365351</v>
      </c>
      <c r="E68" s="2">
        <f t="shared" si="45"/>
        <v>3271.57945937158</v>
      </c>
      <c r="F68" s="2">
        <f t="shared" si="45"/>
        <v>3792.466342126526</v>
      </c>
      <c r="G68" s="2">
        <f t="shared" si="45"/>
        <v>3949.9593955385367</v>
      </c>
      <c r="H68" s="2">
        <f t="shared" si="45"/>
        <v>4688.690981251418</v>
      </c>
      <c r="I68" s="2">
        <f t="shared" si="45"/>
        <v>4259.834706787112</v>
      </c>
      <c r="J68" s="2">
        <f t="shared" si="45"/>
        <v>4335.007294083852</v>
      </c>
      <c r="K68" s="5"/>
      <c r="L68" s="2"/>
    </row>
    <row r="69" spans="1:12" ht="12.75" customHeight="1">
      <c r="A69" s="111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>
      <c r="A70" s="111"/>
      <c r="B70" s="19"/>
      <c r="C70" s="2"/>
      <c r="D70" s="2"/>
      <c r="E70" s="2"/>
      <c r="F70" s="2"/>
      <c r="G70" s="2"/>
      <c r="H70" s="2"/>
      <c r="I70" s="2"/>
      <c r="J70" s="2"/>
      <c r="K70" s="283" t="s">
        <v>226</v>
      </c>
      <c r="L70" s="2"/>
      <c r="X70" s="283" t="s">
        <v>226</v>
      </c>
    </row>
    <row r="71" spans="1:25" ht="12.75" customHeight="1">
      <c r="A71" s="111"/>
      <c r="B71" s="19"/>
      <c r="C71" s="2"/>
      <c r="D71" s="2"/>
      <c r="E71" s="2"/>
      <c r="F71" s="2"/>
      <c r="G71" s="2"/>
      <c r="H71" s="2"/>
      <c r="I71" s="2"/>
      <c r="J71" s="2"/>
      <c r="K71" s="284" t="s">
        <v>217</v>
      </c>
      <c r="L71" s="2"/>
      <c r="O71"/>
      <c r="P71"/>
      <c r="Q71"/>
      <c r="R71"/>
      <c r="S71"/>
      <c r="T71"/>
      <c r="U71"/>
      <c r="V71"/>
      <c r="W71"/>
      <c r="X71" s="284" t="s">
        <v>220</v>
      </c>
      <c r="Y71"/>
    </row>
    <row r="72" spans="1:25" ht="12.75" customHeight="1">
      <c r="A72" s="105" t="str">
        <f>A4</f>
        <v>PacifiCorp</v>
      </c>
      <c r="B72" s="107"/>
      <c r="C72" s="10"/>
      <c r="D72" s="10"/>
      <c r="E72" s="12"/>
      <c r="F72" s="12"/>
      <c r="G72" s="12"/>
      <c r="H72" s="12"/>
      <c r="I72" s="12"/>
      <c r="J72" s="12"/>
      <c r="K72" s="13"/>
      <c r="L72" s="2"/>
      <c r="N72" s="105" t="str">
        <f>A72</f>
        <v>PacifiCorp</v>
      </c>
      <c r="O72" s="109"/>
      <c r="P72" s="12"/>
      <c r="Q72" s="12"/>
      <c r="R72" s="12"/>
      <c r="S72" s="12"/>
      <c r="T72" s="12"/>
      <c r="U72" s="12"/>
      <c r="V72" s="12"/>
      <c r="W72" s="12"/>
      <c r="X72" s="13"/>
      <c r="Y72" s="2"/>
    </row>
    <row r="73" spans="1:25" ht="12.75" customHeight="1">
      <c r="A73" s="107" t="s">
        <v>153</v>
      </c>
      <c r="B73" s="107"/>
      <c r="C73" s="10"/>
      <c r="D73" s="10"/>
      <c r="E73" s="12"/>
      <c r="F73" s="12"/>
      <c r="G73" s="12"/>
      <c r="H73" s="12"/>
      <c r="I73" s="12"/>
      <c r="J73" s="12"/>
      <c r="K73" s="13"/>
      <c r="L73" s="2"/>
      <c r="N73" s="107" t="s">
        <v>200</v>
      </c>
      <c r="O73" s="109"/>
      <c r="P73" s="10"/>
      <c r="Q73" s="12"/>
      <c r="R73" s="12"/>
      <c r="S73" s="12"/>
      <c r="T73" s="12"/>
      <c r="U73" s="12"/>
      <c r="V73" s="12"/>
      <c r="W73" s="12"/>
      <c r="X73" s="13"/>
      <c r="Y73" s="2"/>
    </row>
    <row r="74" spans="1:25" ht="12.75" customHeight="1">
      <c r="A74" s="136">
        <f>A6</f>
        <v>40946.62491261574</v>
      </c>
      <c r="B74" s="107"/>
      <c r="C74" s="12"/>
      <c r="D74" s="12"/>
      <c r="E74" s="12"/>
      <c r="F74" s="12"/>
      <c r="G74" s="12"/>
      <c r="H74" s="12"/>
      <c r="I74" s="12"/>
      <c r="J74" s="12"/>
      <c r="K74" s="13"/>
      <c r="L74" s="2"/>
      <c r="N74" s="107"/>
      <c r="O74" s="109"/>
      <c r="P74" s="10"/>
      <c r="Q74" s="12"/>
      <c r="R74" s="12"/>
      <c r="S74" s="12"/>
      <c r="T74" s="12"/>
      <c r="U74" s="12"/>
      <c r="V74" s="12"/>
      <c r="W74" s="12"/>
      <c r="X74" s="13"/>
      <c r="Y74" s="2"/>
    </row>
    <row r="75" spans="1:25" ht="12.75" customHeight="1">
      <c r="A75" s="104"/>
      <c r="B75" s="104"/>
      <c r="C75" s="2"/>
      <c r="D75" s="2"/>
      <c r="E75" s="2"/>
      <c r="F75" s="2"/>
      <c r="G75" s="2"/>
      <c r="H75" s="2"/>
      <c r="I75" s="2"/>
      <c r="J75" s="2"/>
      <c r="K75" s="5"/>
      <c r="L75" s="2"/>
      <c r="N75" s="104"/>
      <c r="O75" s="108"/>
      <c r="P75" s="2"/>
      <c r="Q75" s="2"/>
      <c r="R75" s="2"/>
      <c r="S75" s="2"/>
      <c r="T75" s="2"/>
      <c r="U75" s="2"/>
      <c r="V75" s="2"/>
      <c r="W75" s="2"/>
      <c r="X75" s="5"/>
      <c r="Y75" s="2"/>
    </row>
    <row r="76" spans="2:25" ht="12.75" customHeight="1">
      <c r="B76" s="74" t="s">
        <v>125</v>
      </c>
      <c r="C76" s="14" t="s">
        <v>126</v>
      </c>
      <c r="D76" s="14" t="s">
        <v>126</v>
      </c>
      <c r="E76" s="14" t="s">
        <v>126</v>
      </c>
      <c r="F76" s="14" t="s">
        <v>126</v>
      </c>
      <c r="G76" s="14" t="s">
        <v>126</v>
      </c>
      <c r="H76" s="14" t="s">
        <v>126</v>
      </c>
      <c r="I76" s="14" t="s">
        <v>126</v>
      </c>
      <c r="J76" s="14" t="s">
        <v>126</v>
      </c>
      <c r="K76" s="15" t="s">
        <v>4</v>
      </c>
      <c r="L76" s="2"/>
      <c r="O76" s="74" t="str">
        <f>B8</f>
        <v>Historical</v>
      </c>
      <c r="P76" s="14" t="s">
        <v>126</v>
      </c>
      <c r="Q76" s="14" t="s">
        <v>126</v>
      </c>
      <c r="R76" s="14" t="s">
        <v>126</v>
      </c>
      <c r="S76" s="14" t="s">
        <v>126</v>
      </c>
      <c r="T76" s="14" t="s">
        <v>126</v>
      </c>
      <c r="U76" s="14" t="s">
        <v>126</v>
      </c>
      <c r="V76" s="14" t="s">
        <v>126</v>
      </c>
      <c r="W76" s="14" t="s">
        <v>126</v>
      </c>
      <c r="X76" s="15"/>
      <c r="Y76" s="2"/>
    </row>
    <row r="77" spans="2:25" ht="12.75" customHeight="1">
      <c r="B77" s="88">
        <f>B9</f>
        <v>2010</v>
      </c>
      <c r="C77" s="4">
        <f>C9</f>
        <v>2011</v>
      </c>
      <c r="D77" s="4">
        <f aca="true" t="shared" si="46" ref="D77:J77">D9</f>
        <v>2012</v>
      </c>
      <c r="E77" s="4">
        <f t="shared" si="46"/>
        <v>2013</v>
      </c>
      <c r="F77" s="4">
        <f t="shared" si="46"/>
        <v>2014</v>
      </c>
      <c r="G77" s="4">
        <f t="shared" si="46"/>
        <v>2015</v>
      </c>
      <c r="H77" s="4">
        <f t="shared" si="46"/>
        <v>2016</v>
      </c>
      <c r="I77" s="4">
        <f t="shared" si="46"/>
        <v>2017</v>
      </c>
      <c r="J77" s="4">
        <f t="shared" si="46"/>
        <v>2018</v>
      </c>
      <c r="K77" s="16" t="s">
        <v>23</v>
      </c>
      <c r="L77" s="2"/>
      <c r="O77" s="98">
        <f>B9</f>
        <v>2010</v>
      </c>
      <c r="P77" s="4">
        <f aca="true" t="shared" si="47" ref="P77:W77">C9</f>
        <v>2011</v>
      </c>
      <c r="Q77" s="4">
        <f t="shared" si="47"/>
        <v>2012</v>
      </c>
      <c r="R77" s="4">
        <f t="shared" si="47"/>
        <v>2013</v>
      </c>
      <c r="S77" s="4">
        <f t="shared" si="47"/>
        <v>2014</v>
      </c>
      <c r="T77" s="4">
        <f t="shared" si="47"/>
        <v>2015</v>
      </c>
      <c r="U77" s="4">
        <f t="shared" si="47"/>
        <v>2016</v>
      </c>
      <c r="V77" s="4">
        <f t="shared" si="47"/>
        <v>2017</v>
      </c>
      <c r="W77" s="4">
        <f t="shared" si="47"/>
        <v>2018</v>
      </c>
      <c r="X77" s="16" t="s">
        <v>3</v>
      </c>
      <c r="Y77" s="2"/>
    </row>
    <row r="78" spans="1:25" ht="12.75" customHeight="1">
      <c r="A78" s="193" t="str">
        <f>Historical!A74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N78" s="52" t="str">
        <f>A78</f>
        <v>Operating Sales and Revenues:</v>
      </c>
      <c r="O78" s="91"/>
      <c r="P78" s="5"/>
      <c r="Q78" s="5"/>
      <c r="R78" s="5"/>
      <c r="S78" s="5"/>
      <c r="T78" s="5"/>
      <c r="U78" s="5"/>
      <c r="V78" s="5"/>
      <c r="W78" s="5"/>
      <c r="X78" s="5"/>
      <c r="Y78" s="2"/>
    </row>
    <row r="79" spans="1:25" ht="12.75" customHeight="1">
      <c r="A79" s="52" t="str">
        <f>Historical!A75</f>
        <v>Revenues</v>
      </c>
      <c r="B79" s="77">
        <f>Historical!L75</f>
        <v>4432</v>
      </c>
      <c r="C79" s="2">
        <f>Historical!M75*4/3</f>
        <v>4544</v>
      </c>
      <c r="D79" s="2">
        <f>(1+Assumptions!$C$64)*Forecast!C79</f>
        <v>4714.262133304523</v>
      </c>
      <c r="E79" s="2">
        <f>(1+Assumptions!$C$64)*Forecast!D79</f>
        <v>4890.903930789813</v>
      </c>
      <c r="F79" s="2">
        <f>(1+Assumptions!$C$64)*Forecast!E79</f>
        <v>5074.164436301201</v>
      </c>
      <c r="G79" s="2">
        <f>(1+Assumptions!$C$64)*Forecast!F79</f>
        <v>5264.2916505755375</v>
      </c>
      <c r="H79" s="2">
        <f>(1+Assumptions!$C$64)*Forecast!G79</f>
        <v>5461.542866852866</v>
      </c>
      <c r="I79" s="2">
        <f>(1+Assumptions!$C$64)*Forecast!H79</f>
        <v>5666.185019063356</v>
      </c>
      <c r="J79" s="2">
        <f>(1+Assumptions!$C$64)*Forecast!I79</f>
        <v>5878.495043060683</v>
      </c>
      <c r="K79" s="5">
        <f>RATE(8,,-B79,J79)</f>
        <v>0.03593689449356408</v>
      </c>
      <c r="L79" s="2"/>
      <c r="N79" s="52" t="str">
        <f aca="true" t="shared" si="48" ref="N79:N105">A79</f>
        <v>Revenues</v>
      </c>
      <c r="O79" s="90">
        <f aca="true" t="shared" si="49" ref="O79:W80">B79/B$80</f>
        <v>1</v>
      </c>
      <c r="P79" s="95">
        <f t="shared" si="49"/>
        <v>1</v>
      </c>
      <c r="Q79" s="18">
        <f t="shared" si="49"/>
        <v>1</v>
      </c>
      <c r="R79" s="18">
        <f t="shared" si="49"/>
        <v>1</v>
      </c>
      <c r="S79" s="18">
        <f t="shared" si="49"/>
        <v>1</v>
      </c>
      <c r="T79" s="18">
        <f t="shared" si="49"/>
        <v>1</v>
      </c>
      <c r="U79" s="18">
        <f t="shared" si="49"/>
        <v>1</v>
      </c>
      <c r="V79" s="18">
        <f t="shared" si="49"/>
        <v>1</v>
      </c>
      <c r="W79" s="18">
        <f t="shared" si="49"/>
        <v>1</v>
      </c>
      <c r="X79" s="18">
        <f>SUM(C79:J79)/SUM(C$80:J$80)</f>
        <v>1</v>
      </c>
      <c r="Y79" s="2"/>
    </row>
    <row r="80" spans="1:25" ht="12.75" customHeight="1">
      <c r="A80" s="193" t="str">
        <f>Historical!A76</f>
        <v>Total Revenues</v>
      </c>
      <c r="B80" s="267">
        <f>B79</f>
        <v>4432</v>
      </c>
      <c r="C80" s="219">
        <f aca="true" t="shared" si="50" ref="C80:J80">SUM(C78:C79)</f>
        <v>4544</v>
      </c>
      <c r="D80" s="219">
        <f t="shared" si="50"/>
        <v>4714.262133304523</v>
      </c>
      <c r="E80" s="219">
        <f t="shared" si="50"/>
        <v>4890.903930789813</v>
      </c>
      <c r="F80" s="219">
        <f t="shared" si="50"/>
        <v>5074.164436301201</v>
      </c>
      <c r="G80" s="219">
        <f t="shared" si="50"/>
        <v>5264.2916505755375</v>
      </c>
      <c r="H80" s="219">
        <f t="shared" si="50"/>
        <v>5461.542866852866</v>
      </c>
      <c r="I80" s="219">
        <f t="shared" si="50"/>
        <v>5666.185019063356</v>
      </c>
      <c r="J80" s="219">
        <f t="shared" si="50"/>
        <v>5878.495043060683</v>
      </c>
      <c r="K80" s="201">
        <f>RATE(8,,-B80,J80)</f>
        <v>0.03593689449356408</v>
      </c>
      <c r="L80" s="193"/>
      <c r="N80" s="52" t="str">
        <f t="shared" si="48"/>
        <v>Total Revenues</v>
      </c>
      <c r="O80" s="91">
        <f t="shared" si="49"/>
        <v>1</v>
      </c>
      <c r="P80" s="93">
        <f t="shared" si="49"/>
        <v>1</v>
      </c>
      <c r="Q80" s="17">
        <f t="shared" si="49"/>
        <v>1</v>
      </c>
      <c r="R80" s="17">
        <f t="shared" si="49"/>
        <v>1</v>
      </c>
      <c r="S80" s="17">
        <f t="shared" si="49"/>
        <v>1</v>
      </c>
      <c r="T80" s="17">
        <f t="shared" si="49"/>
        <v>1</v>
      </c>
      <c r="U80" s="17">
        <f t="shared" si="49"/>
        <v>1</v>
      </c>
      <c r="V80" s="17">
        <f t="shared" si="49"/>
        <v>1</v>
      </c>
      <c r="W80" s="17">
        <f t="shared" si="49"/>
        <v>1</v>
      </c>
      <c r="X80" s="17">
        <f>SUM(C80:J80)/SUM(C$80:J$80)</f>
        <v>1</v>
      </c>
      <c r="Y80" s="2"/>
    </row>
    <row r="81" spans="2:25" ht="12.75" customHeight="1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O81" s="90"/>
      <c r="P81" s="5"/>
      <c r="Q81" s="5"/>
      <c r="R81" s="5"/>
      <c r="S81" s="5"/>
      <c r="T81" s="5"/>
      <c r="U81" s="5"/>
      <c r="V81" s="5"/>
      <c r="W81" s="5"/>
      <c r="X81" s="5"/>
      <c r="Y81" s="2"/>
    </row>
    <row r="82" spans="1:25" ht="12.75" customHeight="1">
      <c r="A82" s="52" t="str">
        <f>Historical!A78</f>
        <v>Operating Expenses:</v>
      </c>
      <c r="B82" s="77"/>
      <c r="C82" s="2"/>
      <c r="D82" s="2"/>
      <c r="E82" s="2"/>
      <c r="F82" s="2"/>
      <c r="G82" s="2"/>
      <c r="H82" s="2"/>
      <c r="I82" s="2"/>
      <c r="J82" s="2"/>
      <c r="K82" s="5"/>
      <c r="L82" s="2"/>
      <c r="N82" s="52" t="str">
        <f t="shared" si="48"/>
        <v>Operating Expenses:</v>
      </c>
      <c r="O82" s="90"/>
      <c r="P82" s="95"/>
      <c r="Q82" s="18"/>
      <c r="R82" s="18"/>
      <c r="S82" s="18"/>
      <c r="T82" s="18"/>
      <c r="U82" s="18"/>
      <c r="V82" s="18"/>
      <c r="W82" s="18"/>
      <c r="X82" s="5"/>
      <c r="Y82" s="2"/>
    </row>
    <row r="83" spans="1:25" ht="12.75" customHeight="1">
      <c r="A83" s="52" t="str">
        <f>Historical!A79</f>
        <v>Energy Costs</v>
      </c>
      <c r="B83" s="77">
        <f>Historical!L79</f>
        <v>1618</v>
      </c>
      <c r="C83" s="2">
        <f>Historical!M79*4/3</f>
        <v>1576</v>
      </c>
      <c r="D83" s="2">
        <f>(1+Assumptions!$C$68)*Forecast!C83</f>
        <v>1591.3706910257206</v>
      </c>
      <c r="E83" s="2">
        <f>(1+Assumptions!$C$68)*Forecast!D83</f>
        <v>1606.891292040406</v>
      </c>
      <c r="F83" s="2">
        <f>(1+Assumptions!$C$68)*Forecast!E83</f>
        <v>1622.5632651126612</v>
      </c>
      <c r="G83" s="2">
        <f>(1+Assumptions!$C$68+0.01)*Forecast!F83</f>
        <v>1654.613719221739</v>
      </c>
      <c r="H83" s="2">
        <f>(1+Assumptions!$C$68+0.01)*Forecast!G83</f>
        <v>1687.297265198903</v>
      </c>
      <c r="I83" s="2">
        <f>(1+Assumptions!$C$68+0.01)*Forecast!H83</f>
        <v>1720.6264084929705</v>
      </c>
      <c r="J83" s="2">
        <f>(1+Assumptions!$C$68+0.01)*Forecast!I83</f>
        <v>1754.6139015725962</v>
      </c>
      <c r="K83" s="5">
        <f>RATE(8,,-B83,J83)</f>
        <v>0.0101837569433185</v>
      </c>
      <c r="L83" s="2"/>
      <c r="N83" s="52" t="str">
        <f t="shared" si="48"/>
        <v>Energy Costs</v>
      </c>
      <c r="O83" s="90">
        <f aca="true" t="shared" si="51" ref="O83:W89">B83/B$80</f>
        <v>0.365072202166065</v>
      </c>
      <c r="P83" s="95">
        <f t="shared" si="51"/>
        <v>0.34683098591549294</v>
      </c>
      <c r="Q83" s="18">
        <f t="shared" si="51"/>
        <v>0.3375651684244017</v>
      </c>
      <c r="R83" s="18">
        <f t="shared" si="51"/>
        <v>0.32854689333080306</v>
      </c>
      <c r="S83" s="18">
        <f t="shared" si="51"/>
        <v>0.31976954737703067</v>
      </c>
      <c r="T83" s="18">
        <f t="shared" si="51"/>
        <v>0.31430890023747876</v>
      </c>
      <c r="U83" s="18">
        <f t="shared" si="51"/>
        <v>0.30894150358856076</v>
      </c>
      <c r="V83" s="18">
        <f t="shared" si="51"/>
        <v>0.30366576500839315</v>
      </c>
      <c r="W83" s="18">
        <f t="shared" si="51"/>
        <v>0.2984801192685948</v>
      </c>
      <c r="X83" s="18">
        <f aca="true" t="shared" si="52" ref="X83:X89">SUM(C83:J83)/SUM(C$80:J$80)</f>
        <v>0.3184563039941239</v>
      </c>
      <c r="Y83" s="2"/>
    </row>
    <row r="84" spans="1:25" ht="12.75" customHeight="1">
      <c r="A84" s="52" t="str">
        <f>Historical!A80</f>
        <v>Other operations and maintenance</v>
      </c>
      <c r="B84" s="77">
        <f>Historical!L80</f>
        <v>1081</v>
      </c>
      <c r="C84" s="2">
        <f>Historical!M80*4/3</f>
        <v>1081.3333333333333</v>
      </c>
      <c r="D84" s="2">
        <f>C84*(1+Assumptions!$C$69+0.01)</f>
        <v>1132.6638586003426</v>
      </c>
      <c r="E84" s="2">
        <f>D84*(1+Assumptions!$C$69+0.01)</f>
        <v>1186.4310264297937</v>
      </c>
      <c r="F84" s="2">
        <f>E84*(1+Assumptions!$C$69)</f>
        <v>1230.8861931504389</v>
      </c>
      <c r="G84" s="2">
        <f>F84*(1+Assumptions!$C$69+0.005)</f>
        <v>1283.1615108021233</v>
      </c>
      <c r="H84" s="2">
        <f>G84*(1+Assumptions!$C$69+0.005)</f>
        <v>1337.6569434009014</v>
      </c>
      <c r="I84" s="2">
        <f>H84*(1+Assumptions!$C$69+0.005)</f>
        <v>1394.4667784728892</v>
      </c>
      <c r="J84" s="2">
        <f>I84*(1+Assumptions!$C$69+0.005)</f>
        <v>1453.6893079033432</v>
      </c>
      <c r="K84" s="5">
        <f>RATE(8,,-B84,J84)</f>
        <v>0.03772131608699987</v>
      </c>
      <c r="L84" s="2"/>
      <c r="N84" s="52" t="str">
        <f t="shared" si="48"/>
        <v>Other operations and maintenance</v>
      </c>
      <c r="O84" s="90">
        <f t="shared" si="51"/>
        <v>0.24390794223826714</v>
      </c>
      <c r="P84" s="95">
        <f t="shared" si="51"/>
        <v>0.2379694835680751</v>
      </c>
      <c r="Q84" s="18">
        <f t="shared" si="51"/>
        <v>0.24026323241520456</v>
      </c>
      <c r="R84" s="18">
        <f t="shared" si="51"/>
        <v>0.24257909033150885</v>
      </c>
      <c r="S84" s="18">
        <f t="shared" si="51"/>
        <v>0.24257909033150887</v>
      </c>
      <c r="T84" s="18">
        <f t="shared" si="51"/>
        <v>0.2437481803770954</v>
      </c>
      <c r="U84" s="18">
        <f t="shared" si="51"/>
        <v>0.2449229047563453</v>
      </c>
      <c r="V84" s="18">
        <f t="shared" si="51"/>
        <v>0.24610329062346792</v>
      </c>
      <c r="W84" s="18">
        <f t="shared" si="51"/>
        <v>0.24728936526354012</v>
      </c>
      <c r="X84" s="18">
        <f t="shared" si="52"/>
        <v>0.24341655810958238</v>
      </c>
      <c r="Y84" s="2"/>
    </row>
    <row r="85" spans="1:25" ht="12.75" customHeight="1">
      <c r="A85" s="52" t="str">
        <f>Historical!A81</f>
        <v>Depreciation and amortization</v>
      </c>
      <c r="B85" s="77">
        <f>Historical!L81</f>
        <v>561</v>
      </c>
      <c r="C85" s="2">
        <f>Historical!M81*4/3</f>
        <v>608</v>
      </c>
      <c r="D85" s="2">
        <f>Assumptions!$C$70*Forecast!D20</f>
        <v>678.1921531314115</v>
      </c>
      <c r="E85" s="2">
        <f>Assumptions!$C$70*Forecast!E20</f>
        <v>734.3262450794573</v>
      </c>
      <c r="F85" s="2">
        <f>Assumptions!$C$70*Forecast!F20</f>
        <v>764.7164057225915</v>
      </c>
      <c r="G85" s="2">
        <f>Assumptions!$C$70*Forecast!G20</f>
        <v>777.3755498412032</v>
      </c>
      <c r="H85" s="2">
        <f>Assumptions!$C$70*Forecast!H20</f>
        <v>817.7072748600899</v>
      </c>
      <c r="I85" s="2">
        <f>Assumptions!$C$70*Forecast!I20</f>
        <v>831.2436318178171</v>
      </c>
      <c r="J85" s="2">
        <f>Assumptions!$C$70*Forecast!J20</f>
        <v>845.0040701373232</v>
      </c>
      <c r="K85" s="5">
        <f>RATE(8,,-B85,J85)</f>
        <v>0.05253608110770441</v>
      </c>
      <c r="L85" s="2"/>
      <c r="N85" s="52" t="str">
        <f t="shared" si="48"/>
        <v>Depreciation and amortization</v>
      </c>
      <c r="O85" s="90">
        <f t="shared" si="51"/>
        <v>0.12657942238267147</v>
      </c>
      <c r="P85" s="95">
        <f t="shared" si="51"/>
        <v>0.13380281690140844</v>
      </c>
      <c r="Q85" s="18">
        <f t="shared" si="51"/>
        <v>0.14385966116314028</v>
      </c>
      <c r="R85" s="18">
        <f t="shared" si="51"/>
        <v>0.15014121223208607</v>
      </c>
      <c r="S85" s="18">
        <f t="shared" si="51"/>
        <v>0.15070784861675265</v>
      </c>
      <c r="T85" s="18">
        <f t="shared" si="51"/>
        <v>0.14766954444026936</v>
      </c>
      <c r="U85" s="18">
        <f t="shared" si="51"/>
        <v>0.14972092956056607</v>
      </c>
      <c r="V85" s="18">
        <f t="shared" si="51"/>
        <v>0.14670252189456834</v>
      </c>
      <c r="W85" s="18">
        <f t="shared" si="51"/>
        <v>0.14374496600704206</v>
      </c>
      <c r="X85" s="18">
        <f t="shared" si="52"/>
        <v>0.14596298123060056</v>
      </c>
      <c r="Y85" s="2"/>
    </row>
    <row r="86" spans="1:25" ht="12.75" customHeight="1">
      <c r="A86" s="52" t="str">
        <f>Historical!A82</f>
        <v>Taxes, other than income taxes</v>
      </c>
      <c r="B86" s="77">
        <f>Historical!L82</f>
        <v>136</v>
      </c>
      <c r="C86" s="2">
        <f>Historical!M82*4/3</f>
        <v>150.66666666666666</v>
      </c>
      <c r="D86" s="2">
        <f>Assumptions!$C$71*Forecast!D80</f>
        <v>127.32317826153789</v>
      </c>
      <c r="E86" s="2">
        <f>Assumptions!$C$71*Forecast!E80</f>
        <v>132.09393441248892</v>
      </c>
      <c r="F86" s="2">
        <f>Assumptions!$C$71*Forecast!F80</f>
        <v>137.04344917253692</v>
      </c>
      <c r="G86" s="2">
        <f>Assumptions!$C$71*Forecast!G80</f>
        <v>142.17842056591854</v>
      </c>
      <c r="H86" s="2">
        <f>Assumptions!$C$71*Forecast!H80</f>
        <v>147.5057975895587</v>
      </c>
      <c r="I86" s="2">
        <f>Assumptions!$C$71*Forecast!I80</f>
        <v>153.0327896169318</v>
      </c>
      <c r="J86" s="2">
        <f>Assumptions!$C$71*Forecast!J80</f>
        <v>158.7668761542824</v>
      </c>
      <c r="K86" s="5">
        <f>RATE(8,,-B86,J86)</f>
        <v>0.019536137405651566</v>
      </c>
      <c r="L86" s="2"/>
      <c r="N86" s="52" t="str">
        <f t="shared" si="48"/>
        <v>Taxes, other than income taxes</v>
      </c>
      <c r="O86" s="90">
        <f t="shared" si="51"/>
        <v>0.030685920577617327</v>
      </c>
      <c r="P86" s="95">
        <f t="shared" si="51"/>
        <v>0.033157276995305164</v>
      </c>
      <c r="Q86" s="18">
        <f t="shared" si="51"/>
        <v>0.027008081999099418</v>
      </c>
      <c r="R86" s="18">
        <f t="shared" si="51"/>
        <v>0.027008081999099418</v>
      </c>
      <c r="S86" s="18">
        <f t="shared" si="51"/>
        <v>0.02700808199909942</v>
      </c>
      <c r="T86" s="18">
        <f t="shared" si="51"/>
        <v>0.027008081999099418</v>
      </c>
      <c r="U86" s="18">
        <f t="shared" si="51"/>
        <v>0.027008081999099418</v>
      </c>
      <c r="V86" s="18">
        <f t="shared" si="51"/>
        <v>0.027008081999099418</v>
      </c>
      <c r="W86" s="18">
        <f t="shared" si="51"/>
        <v>0.027008081999099418</v>
      </c>
      <c r="X86" s="18">
        <f t="shared" si="52"/>
        <v>0.027681481680640666</v>
      </c>
      <c r="Y86" s="2"/>
    </row>
    <row r="87" spans="1:25" ht="12.75" customHeight="1" hidden="1">
      <c r="A87" s="52" t="str">
        <f>Historical!A83</f>
        <v>Other Operating Expenses</v>
      </c>
      <c r="B87" s="77">
        <f>Historical!K83</f>
        <v>0</v>
      </c>
      <c r="C87" s="2">
        <f>B87*(1+Assumptions!$C$20)</f>
        <v>0</v>
      </c>
      <c r="D87" s="2">
        <f>C87*(1+Assumptions!$C$20)</f>
        <v>0</v>
      </c>
      <c r="E87" s="2">
        <f>D87*(1+Assumptions!$C$20)</f>
        <v>0</v>
      </c>
      <c r="F87" s="2">
        <f>E87*(1+Assumptions!$C$20)</f>
        <v>0</v>
      </c>
      <c r="G87" s="2">
        <f>F87*(1+Assumptions!$C$20)</f>
        <v>0</v>
      </c>
      <c r="H87" s="2">
        <f>G87*(1+Assumptions!$C$20)</f>
        <v>0</v>
      </c>
      <c r="I87" s="2">
        <f>H87*(1+Assumptions!$C$20)</f>
        <v>0</v>
      </c>
      <c r="J87" s="2">
        <f>I87*(1+Assumptions!$C$20)</f>
        <v>0</v>
      </c>
      <c r="K87" s="5"/>
      <c r="L87" s="2"/>
      <c r="N87" s="52" t="str">
        <f t="shared" si="48"/>
        <v>Other Operating Expenses</v>
      </c>
      <c r="O87" s="90">
        <f t="shared" si="51"/>
        <v>0</v>
      </c>
      <c r="P87" s="95">
        <f t="shared" si="51"/>
        <v>0</v>
      </c>
      <c r="Q87" s="18">
        <f t="shared" si="51"/>
        <v>0</v>
      </c>
      <c r="R87" s="18">
        <f t="shared" si="51"/>
        <v>0</v>
      </c>
      <c r="S87" s="18">
        <f t="shared" si="51"/>
        <v>0</v>
      </c>
      <c r="T87" s="18">
        <f t="shared" si="51"/>
        <v>0</v>
      </c>
      <c r="U87" s="18">
        <f t="shared" si="51"/>
        <v>0</v>
      </c>
      <c r="V87" s="18">
        <f t="shared" si="51"/>
        <v>0</v>
      </c>
      <c r="W87" s="18">
        <f t="shared" si="51"/>
        <v>0</v>
      </c>
      <c r="X87" s="18">
        <f t="shared" si="52"/>
        <v>0</v>
      </c>
      <c r="Y87" s="2"/>
    </row>
    <row r="88" spans="1:25" ht="12.75" customHeight="1">
      <c r="A88" s="52" t="str">
        <f>Historical!A84</f>
        <v>Total Operating Expenses</v>
      </c>
      <c r="B88" s="85">
        <f>SUM(B83:B87)</f>
        <v>3396</v>
      </c>
      <c r="C88" s="20">
        <f aca="true" t="shared" si="53" ref="C88:J88">SUM(C82:C87)</f>
        <v>3415.9999999999995</v>
      </c>
      <c r="D88" s="20">
        <f t="shared" si="53"/>
        <v>3529.549881019013</v>
      </c>
      <c r="E88" s="20">
        <f t="shared" si="53"/>
        <v>3659.742497962146</v>
      </c>
      <c r="F88" s="20">
        <f t="shared" si="53"/>
        <v>3755.2093131582283</v>
      </c>
      <c r="G88" s="20">
        <f t="shared" si="53"/>
        <v>3857.3292004309847</v>
      </c>
      <c r="H88" s="20">
        <f t="shared" si="53"/>
        <v>3990.1672810494533</v>
      </c>
      <c r="I88" s="20">
        <f t="shared" si="53"/>
        <v>4099.369608400609</v>
      </c>
      <c r="J88" s="20">
        <f t="shared" si="53"/>
        <v>4212.074155767545</v>
      </c>
      <c r="K88" s="17">
        <f>RATE(8,,-B88,J88)</f>
        <v>0.027285222598651352</v>
      </c>
      <c r="L88" s="2"/>
      <c r="N88" s="52" t="str">
        <f t="shared" si="48"/>
        <v>Total Operating Expenses</v>
      </c>
      <c r="O88" s="134">
        <f t="shared" si="51"/>
        <v>0.766245487364621</v>
      </c>
      <c r="P88" s="96">
        <f t="shared" si="51"/>
        <v>0.7517605633802816</v>
      </c>
      <c r="Q88" s="97">
        <f t="shared" si="51"/>
        <v>0.748696144001846</v>
      </c>
      <c r="R88" s="97">
        <f t="shared" si="51"/>
        <v>0.7482752778934973</v>
      </c>
      <c r="S88" s="97">
        <f t="shared" si="51"/>
        <v>0.7400645683243916</v>
      </c>
      <c r="T88" s="97">
        <f t="shared" si="51"/>
        <v>0.7327347070539431</v>
      </c>
      <c r="U88" s="97">
        <f t="shared" si="51"/>
        <v>0.7305934199045716</v>
      </c>
      <c r="V88" s="97">
        <f t="shared" si="51"/>
        <v>0.7234796595255288</v>
      </c>
      <c r="W88" s="97">
        <f t="shared" si="51"/>
        <v>0.7165225325382764</v>
      </c>
      <c r="X88" s="97">
        <f t="shared" si="52"/>
        <v>0.7355173250149475</v>
      </c>
      <c r="Y88" s="2"/>
    </row>
    <row r="89" spans="1:25" ht="12.75" customHeight="1">
      <c r="A89" s="52" t="str">
        <f>Historical!A85</f>
        <v>Earnings From Operations</v>
      </c>
      <c r="B89" s="85">
        <f aca="true" t="shared" si="54" ref="B89:J89">B80-B88</f>
        <v>1036</v>
      </c>
      <c r="C89" s="20">
        <f t="shared" si="54"/>
        <v>1128.0000000000005</v>
      </c>
      <c r="D89" s="20">
        <f t="shared" si="54"/>
        <v>1184.7122522855097</v>
      </c>
      <c r="E89" s="20">
        <f t="shared" si="54"/>
        <v>1231.1614328276669</v>
      </c>
      <c r="F89" s="20">
        <f t="shared" si="54"/>
        <v>1318.9551231429728</v>
      </c>
      <c r="G89" s="20">
        <f t="shared" si="54"/>
        <v>1406.9624501445528</v>
      </c>
      <c r="H89" s="20">
        <f t="shared" si="54"/>
        <v>1471.3755858034124</v>
      </c>
      <c r="I89" s="20">
        <f t="shared" si="54"/>
        <v>1566.8154106627471</v>
      </c>
      <c r="J89" s="20">
        <f t="shared" si="54"/>
        <v>1666.4208872931385</v>
      </c>
      <c r="K89" s="17">
        <f>RATE(8,,-B89,J89)</f>
        <v>0.06121436014703491</v>
      </c>
      <c r="L89" s="2"/>
      <c r="N89" s="52" t="str">
        <f t="shared" si="48"/>
        <v>Earnings From Operations</v>
      </c>
      <c r="O89" s="91">
        <f t="shared" si="51"/>
        <v>0.23375451263537905</v>
      </c>
      <c r="P89" s="93">
        <f t="shared" si="51"/>
        <v>0.24823943661971842</v>
      </c>
      <c r="Q89" s="17">
        <f t="shared" si="51"/>
        <v>0.2513038559981539</v>
      </c>
      <c r="R89" s="17">
        <f t="shared" si="51"/>
        <v>0.2517247221065026</v>
      </c>
      <c r="S89" s="17">
        <f t="shared" si="51"/>
        <v>0.2599354316756084</v>
      </c>
      <c r="T89" s="17">
        <f t="shared" si="51"/>
        <v>0.267265292946057</v>
      </c>
      <c r="U89" s="17">
        <f t="shared" si="51"/>
        <v>0.26940658009542845</v>
      </c>
      <c r="V89" s="17">
        <f t="shared" si="51"/>
        <v>0.27652034047447116</v>
      </c>
      <c r="W89" s="17">
        <f t="shared" si="51"/>
        <v>0.28347746746172364</v>
      </c>
      <c r="X89" s="17">
        <f t="shared" si="52"/>
        <v>0.2644826749850525</v>
      </c>
      <c r="Y89" s="2"/>
    </row>
    <row r="90" spans="2:25" ht="12.75" customHeight="1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O90" s="90"/>
      <c r="P90" s="95"/>
      <c r="Q90" s="18"/>
      <c r="R90" s="18"/>
      <c r="S90" s="18"/>
      <c r="T90" s="18"/>
      <c r="U90" s="18"/>
      <c r="V90" s="18"/>
      <c r="W90" s="18"/>
      <c r="X90" s="18"/>
      <c r="Y90" s="2"/>
    </row>
    <row r="91" spans="1:25" ht="12.75" customHeight="1">
      <c r="A91" s="52" t="str">
        <f>Historical!A87</f>
        <v>Interest expense (net)</v>
      </c>
      <c r="B91" s="77">
        <f>Historical!L87</f>
        <v>342</v>
      </c>
      <c r="C91" s="2">
        <f>Historical!M87*4/3</f>
        <v>372</v>
      </c>
      <c r="D91" s="2">
        <f>AVERAGE(C43:D43)*Assumptions!$C$9+(AVERAGE(Forecast!C42:D42)+AVERAGE(Forecast!C50:D50))*Assumptions!$C$10</f>
        <v>241.24775876955738</v>
      </c>
      <c r="E91" s="2">
        <f>AVERAGE(D43:E43)*Assumptions!$C$9+(AVERAGE(Forecast!D42:E42)+AVERAGE(Forecast!D50:E50))*Assumptions!$C$10</f>
        <v>227.95042712301168</v>
      </c>
      <c r="F91" s="2">
        <f>AVERAGE(E43:F43)*Assumptions!$C$9+(AVERAGE(Forecast!E42:F42)+AVERAGE(Forecast!E50:F50))*Assumptions!$C$10</f>
        <v>215.3860309027682</v>
      </c>
      <c r="G91" s="2">
        <f>AVERAGE(F43:G43)*Assumptions!$C$9+(AVERAGE(Forecast!F42:G42)+AVERAGE(Forecast!F50:G50))*Assumptions!$C$10</f>
        <v>203.5141714519078</v>
      </c>
      <c r="H91" s="2">
        <f>AVERAGE(G43:H43)*Assumptions!$C$9+(AVERAGE(Forecast!G42:H42)+AVERAGE(Forecast!G50:H50))*Assumptions!$C$10</f>
        <v>192.29667684648442</v>
      </c>
      <c r="I91" s="2">
        <f>AVERAGE(H43:I43)*Assumptions!$C$9+(AVERAGE(Forecast!H42:I42)+AVERAGE(Forecast!H50:I50))*Assumptions!$C$10</f>
        <v>181.69747916026327</v>
      </c>
      <c r="J91" s="2">
        <f>AVERAGE(I43:J43)*Assumptions!$C$9+(AVERAGE(Forecast!I42:J42)+AVERAGE(Forecast!I50:J50))*Assumptions!$C$10</f>
        <v>171.682498494502</v>
      </c>
      <c r="K91" s="5">
        <f>RATE(8,,-B91,J91)</f>
        <v>-0.08253925814239023</v>
      </c>
      <c r="L91" s="2"/>
      <c r="M91" s="130"/>
      <c r="N91" s="52" t="str">
        <f t="shared" si="48"/>
        <v>Interest expense (net)</v>
      </c>
      <c r="O91" s="90">
        <f aca="true" t="shared" si="55" ref="O91:W94">B91/B$80</f>
        <v>0.07716606498194946</v>
      </c>
      <c r="P91" s="95">
        <f t="shared" si="55"/>
        <v>0.0818661971830986</v>
      </c>
      <c r="Q91" s="18">
        <f t="shared" si="55"/>
        <v>0.05117402298553383</v>
      </c>
      <c r="R91" s="18">
        <f t="shared" si="55"/>
        <v>0.0466070138258064</v>
      </c>
      <c r="S91" s="18">
        <f t="shared" si="55"/>
        <v>0.042447585924072516</v>
      </c>
      <c r="T91" s="18">
        <f t="shared" si="55"/>
        <v>0.03865936482255079</v>
      </c>
      <c r="U91" s="18">
        <f t="shared" si="55"/>
        <v>0.03520922229020104</v>
      </c>
      <c r="V91" s="18">
        <f t="shared" si="55"/>
        <v>0.032066986614266726</v>
      </c>
      <c r="W91" s="18">
        <f t="shared" si="55"/>
        <v>0.029205178746755257</v>
      </c>
      <c r="X91" s="5">
        <f aca="true" t="shared" si="56" ref="X91:X96">SUM(C91:J91)/SUM(C$80:J$80)</f>
        <v>0.043519106008836496</v>
      </c>
      <c r="Y91" s="2"/>
    </row>
    <row r="92" spans="1:25" ht="12.75" customHeight="1">
      <c r="A92" s="52" t="str">
        <f>Historical!A88</f>
        <v>Interest income</v>
      </c>
      <c r="B92" s="77">
        <f>Historical!L88</f>
        <v>-5</v>
      </c>
      <c r="C92" s="2">
        <f>Historical!M88*4/3</f>
        <v>-6.666666666666667</v>
      </c>
      <c r="D92" s="2">
        <f>-AVERAGE(C12:D12)*Assumptions!$C$11</f>
        <v>-2.1461747374241775</v>
      </c>
      <c r="E92" s="2">
        <f>-AVERAGE(D12:E12)*Assumptions!$C$11</f>
        <v>-2.226591174316368</v>
      </c>
      <c r="F92" s="2">
        <f>-AVERAGE(E12:F12)*Assumptions!$C$11</f>
        <v>-2.3100207877266072</v>
      </c>
      <c r="G92" s="2">
        <f>-AVERAGE(F12:G12)*Assumptions!$C$11</f>
        <v>-2.3965764803533958</v>
      </c>
      <c r="H92" s="2">
        <f>-AVERAGE(G12:H12)*Assumptions!$C$11</f>
        <v>-2.4863753853209163</v>
      </c>
      <c r="I92" s="2">
        <f>-AVERAGE(H12:I12)*Assumptions!$C$11</f>
        <v>-2.5795390246916456</v>
      </c>
      <c r="J92" s="2">
        <f>-AVERAGE(I12:J12)*Assumptions!$C$11</f>
        <v>-2.6761934739183775</v>
      </c>
      <c r="K92" s="5">
        <f>RATE(8,,-B92,J92)</f>
        <v>-0.07515609691362299</v>
      </c>
      <c r="L92" s="2"/>
      <c r="M92" s="130"/>
      <c r="N92" s="52" t="str">
        <f t="shared" si="48"/>
        <v>Interest income</v>
      </c>
      <c r="O92" s="90">
        <f t="shared" si="55"/>
        <v>-0.001128158844765343</v>
      </c>
      <c r="P92" s="95">
        <f t="shared" si="55"/>
        <v>-0.001467136150234742</v>
      </c>
      <c r="Q92" s="18">
        <f t="shared" si="55"/>
        <v>-0.00045525146390614234</v>
      </c>
      <c r="R92" s="18">
        <f t="shared" si="55"/>
        <v>-0.0004552514639061423</v>
      </c>
      <c r="S92" s="18">
        <f t="shared" si="55"/>
        <v>-0.00045525146390614234</v>
      </c>
      <c r="T92" s="18">
        <f t="shared" si="55"/>
        <v>-0.00045525146390614234</v>
      </c>
      <c r="U92" s="18">
        <f t="shared" si="55"/>
        <v>-0.0004552514639061423</v>
      </c>
      <c r="V92" s="18">
        <f t="shared" si="55"/>
        <v>-0.00045525146390614234</v>
      </c>
      <c r="W92" s="18">
        <f t="shared" si="55"/>
        <v>-0.0004552514639061424</v>
      </c>
      <c r="X92" s="5">
        <f t="shared" si="56"/>
        <v>-0.000566063176000261</v>
      </c>
      <c r="Y92" s="2"/>
    </row>
    <row r="93" spans="1:25" ht="12.75" customHeight="1" hidden="1">
      <c r="A93" s="52" t="str">
        <f>Historical!A89</f>
        <v>Loss (Gain) on Sale of Assets</v>
      </c>
      <c r="B93" s="77">
        <f>Historical!K89</f>
        <v>0</v>
      </c>
      <c r="C93" s="2">
        <f>Assumptions!$C$25</f>
        <v>0</v>
      </c>
      <c r="D93" s="2">
        <f>Assumptions!$C$25</f>
        <v>0</v>
      </c>
      <c r="E93" s="2">
        <f>Assumptions!$C$25</f>
        <v>0</v>
      </c>
      <c r="F93" s="2">
        <f>Assumptions!$C$25</f>
        <v>0</v>
      </c>
      <c r="G93" s="2">
        <f>Assumptions!$C$25</f>
        <v>0</v>
      </c>
      <c r="H93" s="2">
        <f>Assumptions!$C$25</f>
        <v>0</v>
      </c>
      <c r="I93" s="2">
        <f>Assumptions!$C$25</f>
        <v>0</v>
      </c>
      <c r="J93" s="2">
        <f>Assumptions!$C$25</f>
        <v>0</v>
      </c>
      <c r="K93" s="5" t="e">
        <f>RATE(8,,-B93,J93)</f>
        <v>#NUM!</v>
      </c>
      <c r="L93" s="2"/>
      <c r="M93" s="130"/>
      <c r="N93" s="52" t="str">
        <f t="shared" si="48"/>
        <v>Loss (Gain) on Sale of Assets</v>
      </c>
      <c r="O93" s="90">
        <f t="shared" si="55"/>
        <v>0</v>
      </c>
      <c r="P93" s="95">
        <f t="shared" si="55"/>
        <v>0</v>
      </c>
      <c r="Q93" s="18">
        <f t="shared" si="55"/>
        <v>0</v>
      </c>
      <c r="R93" s="18">
        <f t="shared" si="55"/>
        <v>0</v>
      </c>
      <c r="S93" s="18">
        <f t="shared" si="55"/>
        <v>0</v>
      </c>
      <c r="T93" s="18">
        <f t="shared" si="55"/>
        <v>0</v>
      </c>
      <c r="U93" s="18">
        <f t="shared" si="55"/>
        <v>0</v>
      </c>
      <c r="V93" s="18">
        <f t="shared" si="55"/>
        <v>0</v>
      </c>
      <c r="W93" s="18">
        <f t="shared" si="55"/>
        <v>0</v>
      </c>
      <c r="X93" s="5">
        <f t="shared" si="56"/>
        <v>0</v>
      </c>
      <c r="Y93" s="2"/>
    </row>
    <row r="94" spans="1:25" ht="22.5" customHeight="1">
      <c r="A94" s="114" t="s">
        <v>201</v>
      </c>
      <c r="B94" s="77">
        <v>0</v>
      </c>
      <c r="C94" s="2">
        <f>((B13+C13)/2)*-Assumptions!$C$11+((B54+C54)/2)*Assumptions!$C$8</f>
        <v>22.746287369934166</v>
      </c>
      <c r="D94" s="2">
        <f>((C13+D13)/2)*-Assumptions!$C$11+((C54+D54)/2)*Assumptions!$C$8</f>
        <v>77.66808516469312</v>
      </c>
      <c r="E94" s="2">
        <f>((D13+E13)/2)*-Assumptions!$C$11+((D54+E54)/2)*Assumptions!$C$8</f>
        <v>136.71128425023744</v>
      </c>
      <c r="F94" s="2">
        <f>((E13+F13)/2)*-Assumptions!$C$11+((E54+F54)/2)*Assumptions!$C$8</f>
        <v>176.60114495562527</v>
      </c>
      <c r="G94" s="2">
        <f>((F13+G13)/2)*-Assumptions!$C$11+((F54+G54)/2)*Assumptions!$C$8</f>
        <v>193.56057102736327</v>
      </c>
      <c r="H94" s="2">
        <f>((G13+H13)/2)*-Assumptions!$C$11+((G54+H54)/2)*Assumptions!$C$8</f>
        <v>215.96601956274753</v>
      </c>
      <c r="I94" s="2">
        <f>((H13+I13)/2)*-Assumptions!$C$11+((H54+I54)/2)*Assumptions!$C$8</f>
        <v>223.7127564457199</v>
      </c>
      <c r="J94" s="2">
        <f>((I13+J13)/2)*-Assumptions!$C$11+((I54+J54)/2)*Assumptions!$C$8</f>
        <v>214.87055494587153</v>
      </c>
      <c r="K94" s="5"/>
      <c r="L94" s="2"/>
      <c r="M94" s="130"/>
      <c r="N94" s="114" t="str">
        <f t="shared" si="48"/>
        <v>Interest Expense (Income) on Additional Loans (Surplus Cash)</v>
      </c>
      <c r="O94" s="90">
        <f>B94/B$80</f>
        <v>0</v>
      </c>
      <c r="P94" s="95">
        <f>C94/C$80</f>
        <v>0.005005785072608751</v>
      </c>
      <c r="Q94" s="18">
        <f t="shared" si="55"/>
        <v>0.0164751307773059</v>
      </c>
      <c r="R94" s="18">
        <f aca="true" t="shared" si="57" ref="R94:W94">E94/E$80</f>
        <v>0.027952150805824656</v>
      </c>
      <c r="S94" s="18">
        <f t="shared" si="57"/>
        <v>0.03480398539948741</v>
      </c>
      <c r="T94" s="18">
        <f t="shared" si="57"/>
        <v>0.03676858804093834</v>
      </c>
      <c r="U94" s="18">
        <f t="shared" si="57"/>
        <v>0.039543042108757594</v>
      </c>
      <c r="V94" s="18">
        <f t="shared" si="57"/>
        <v>0.03948207756948617</v>
      </c>
      <c r="W94" s="18">
        <f t="shared" si="57"/>
        <v>0.036551966680573665</v>
      </c>
      <c r="X94" s="5">
        <f t="shared" si="56"/>
        <v>0.03041021388331106</v>
      </c>
      <c r="Y94" s="2"/>
    </row>
    <row r="95" spans="1:25" ht="12.75" customHeight="1">
      <c r="A95" s="52" t="str">
        <f>Historical!A90</f>
        <v>Other (Income) Expense</v>
      </c>
      <c r="B95" s="77">
        <f>Historical!L90</f>
        <v>-78</v>
      </c>
      <c r="C95" s="2">
        <f>Historical!M90*4/3</f>
        <v>-41.333333333333336</v>
      </c>
      <c r="D95" s="2">
        <f>Assumptions!$C$80*Forecast!D80</f>
        <v>-84.8567183994814</v>
      </c>
      <c r="E95" s="2">
        <f>Assumptions!$C$80*Forecast!E80</f>
        <v>-88.03627075421663</v>
      </c>
      <c r="F95" s="2">
        <f>Assumptions!$C$80*Forecast!F80</f>
        <v>-91.33495985342161</v>
      </c>
      <c r="G95" s="2">
        <f>Assumptions!$C$80*Forecast!G80</f>
        <v>-94.75724971035967</v>
      </c>
      <c r="H95" s="2">
        <f>Assumptions!$C$80*Forecast!H80</f>
        <v>-98.30777160335157</v>
      </c>
      <c r="I95" s="2">
        <f>Assumptions!$C$80*Forecast!I80</f>
        <v>-101.9913303431404</v>
      </c>
      <c r="J95" s="2">
        <f>Assumptions!$C$80*Forecast!J80</f>
        <v>-105.81291077509229</v>
      </c>
      <c r="K95" s="5">
        <f>RATE(8,,-B95,J95)</f>
        <v>0.0388563705633632</v>
      </c>
      <c r="L95" s="2"/>
      <c r="M95" s="130"/>
      <c r="N95" s="52" t="str">
        <f t="shared" si="48"/>
        <v>Other (Income) Expense</v>
      </c>
      <c r="O95" s="90">
        <f>B95/B$80</f>
        <v>-0.01759927797833935</v>
      </c>
      <c r="P95" s="95">
        <f aca="true" t="shared" si="58" ref="P95:W96">C95/C$80</f>
        <v>-0.0090962441314554</v>
      </c>
      <c r="Q95" s="18">
        <f t="shared" si="58"/>
        <v>-0.018</v>
      </c>
      <c r="R95" s="18">
        <f t="shared" si="58"/>
        <v>-0.018</v>
      </c>
      <c r="S95" s="18">
        <f t="shared" si="58"/>
        <v>-0.018</v>
      </c>
      <c r="T95" s="18">
        <f t="shared" si="58"/>
        <v>-0.018</v>
      </c>
      <c r="U95" s="18">
        <f t="shared" si="58"/>
        <v>-0.018</v>
      </c>
      <c r="V95" s="18">
        <f t="shared" si="58"/>
        <v>-0.018</v>
      </c>
      <c r="W95" s="18">
        <f t="shared" si="58"/>
        <v>-0.018</v>
      </c>
      <c r="X95" s="5">
        <f t="shared" si="56"/>
        <v>-0.01702494775818647</v>
      </c>
      <c r="Y95" s="2"/>
    </row>
    <row r="96" spans="1:25" ht="12.75" customHeight="1">
      <c r="A96" s="52" t="str">
        <f>Historical!A91</f>
        <v>Total Other (Income)/Expense</v>
      </c>
      <c r="B96" s="85">
        <f>SUM(B91:B95)</f>
        <v>259</v>
      </c>
      <c r="C96" s="20">
        <f>SUM(C91:C95)</f>
        <v>346.7462873699342</v>
      </c>
      <c r="D96" s="20">
        <f aca="true" t="shared" si="59" ref="D96:J96">SUM(D91:D95)</f>
        <v>231.91295079734493</v>
      </c>
      <c r="E96" s="20">
        <f t="shared" si="59"/>
        <v>274.3988494447161</v>
      </c>
      <c r="F96" s="20">
        <f t="shared" si="59"/>
        <v>298.34219521724526</v>
      </c>
      <c r="G96" s="20">
        <f t="shared" si="59"/>
        <v>299.92091628855803</v>
      </c>
      <c r="H96" s="20">
        <f t="shared" si="59"/>
        <v>307.46854942055944</v>
      </c>
      <c r="I96" s="20">
        <f t="shared" si="59"/>
        <v>300.83936623815106</v>
      </c>
      <c r="J96" s="20">
        <f t="shared" si="59"/>
        <v>278.0639491913629</v>
      </c>
      <c r="K96" s="17">
        <f>RATE(8,,-B96,J96)</f>
        <v>0.00891740760315134</v>
      </c>
      <c r="L96" s="2"/>
      <c r="N96" s="52" t="str">
        <f t="shared" si="48"/>
        <v>Total Other (Income)/Expense</v>
      </c>
      <c r="O96" s="91">
        <f>B96/B$80</f>
        <v>0.05843862815884476</v>
      </c>
      <c r="P96" s="93">
        <f t="shared" si="58"/>
        <v>0.0763086019740172</v>
      </c>
      <c r="Q96" s="17">
        <f t="shared" si="58"/>
        <v>0.04919390229893359</v>
      </c>
      <c r="R96" s="17">
        <f t="shared" si="58"/>
        <v>0.056103913167724916</v>
      </c>
      <c r="S96" s="17">
        <f t="shared" si="58"/>
        <v>0.058796319859653785</v>
      </c>
      <c r="T96" s="17">
        <f t="shared" si="58"/>
        <v>0.056972701399583</v>
      </c>
      <c r="U96" s="17">
        <f t="shared" si="58"/>
        <v>0.05629701293505249</v>
      </c>
      <c r="V96" s="17">
        <f t="shared" si="58"/>
        <v>0.05309381271984674</v>
      </c>
      <c r="W96" s="17">
        <f t="shared" si="58"/>
        <v>0.047301893963422784</v>
      </c>
      <c r="X96" s="17">
        <f t="shared" si="56"/>
        <v>0.05633830895796083</v>
      </c>
      <c r="Y96" s="19"/>
    </row>
    <row r="97" spans="2:25" ht="12.75" customHeight="1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O97" s="90"/>
      <c r="P97" s="95"/>
      <c r="Q97" s="18"/>
      <c r="R97" s="18"/>
      <c r="S97" s="18"/>
      <c r="T97" s="18"/>
      <c r="U97" s="18"/>
      <c r="V97" s="18"/>
      <c r="W97" s="18"/>
      <c r="X97" s="18"/>
      <c r="Y97" s="19"/>
    </row>
    <row r="98" spans="1:25" ht="12.75" customHeight="1">
      <c r="A98" s="193" t="str">
        <f>Historical!A93</f>
        <v>Earnings Before Taxes</v>
      </c>
      <c r="B98" s="268">
        <f>B89-B96</f>
        <v>777</v>
      </c>
      <c r="C98" s="278">
        <f>C89-C96</f>
        <v>781.2537126300663</v>
      </c>
      <c r="D98" s="104">
        <f aca="true" t="shared" si="60" ref="D98:J98">D89-D96</f>
        <v>952.7993014881648</v>
      </c>
      <c r="E98" s="104">
        <f t="shared" si="60"/>
        <v>956.7625833829508</v>
      </c>
      <c r="F98" s="104">
        <f t="shared" si="60"/>
        <v>1020.6129279257275</v>
      </c>
      <c r="G98" s="104">
        <f t="shared" si="60"/>
        <v>1107.0415338559947</v>
      </c>
      <c r="H98" s="104">
        <f t="shared" si="60"/>
        <v>1163.907036382853</v>
      </c>
      <c r="I98" s="104">
        <f t="shared" si="60"/>
        <v>1265.976044424596</v>
      </c>
      <c r="J98" s="104">
        <f t="shared" si="60"/>
        <v>1388.3569381017755</v>
      </c>
      <c r="K98" s="200">
        <f>RATE(8,,-B98,J98)</f>
        <v>0.07525139462719224</v>
      </c>
      <c r="L98" s="193"/>
      <c r="M98" s="193"/>
      <c r="N98" s="193" t="str">
        <f t="shared" si="48"/>
        <v>Earnings Before Taxes</v>
      </c>
      <c r="O98" s="276"/>
      <c r="P98" s="277"/>
      <c r="Q98" s="108"/>
      <c r="R98" s="108"/>
      <c r="S98" s="108"/>
      <c r="T98" s="108"/>
      <c r="U98" s="108"/>
      <c r="V98" s="108"/>
      <c r="W98" s="108"/>
      <c r="X98" s="108"/>
      <c r="Y98" s="193"/>
    </row>
    <row r="99" spans="2:25" ht="12.75" customHeight="1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O99" s="90">
        <f aca="true" t="shared" si="61" ref="O99:W102">B99/B$80</f>
        <v>0</v>
      </c>
      <c r="P99" s="95">
        <f t="shared" si="61"/>
        <v>0</v>
      </c>
      <c r="Q99" s="18">
        <f t="shared" si="61"/>
        <v>0</v>
      </c>
      <c r="R99" s="18">
        <f t="shared" si="61"/>
        <v>0</v>
      </c>
      <c r="S99" s="18">
        <f t="shared" si="61"/>
        <v>0</v>
      </c>
      <c r="T99" s="18">
        <f t="shared" si="61"/>
        <v>0</v>
      </c>
      <c r="U99" s="18">
        <f t="shared" si="61"/>
        <v>0</v>
      </c>
      <c r="V99" s="18">
        <f t="shared" si="61"/>
        <v>0</v>
      </c>
      <c r="W99" s="18">
        <f t="shared" si="61"/>
        <v>0</v>
      </c>
      <c r="X99" s="5">
        <f>SUM(C99:J99)/SUM(C$80:J$80)</f>
        <v>0</v>
      </c>
      <c r="Y99" s="2"/>
    </row>
    <row r="100" spans="1:25" ht="12.75" customHeight="1">
      <c r="A100" s="52" t="str">
        <f>Historical!A95</f>
        <v>Extraordinary Items</v>
      </c>
      <c r="B100" s="77">
        <f>Historical!K95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N100" s="52" t="str">
        <f t="shared" si="48"/>
        <v>Extraordinary Items</v>
      </c>
      <c r="O100" s="91">
        <f t="shared" si="61"/>
        <v>0</v>
      </c>
      <c r="P100" s="93">
        <f t="shared" si="61"/>
        <v>0</v>
      </c>
      <c r="Q100" s="17">
        <f t="shared" si="61"/>
        <v>0</v>
      </c>
      <c r="R100" s="17">
        <f t="shared" si="61"/>
        <v>0</v>
      </c>
      <c r="S100" s="17">
        <f t="shared" si="61"/>
        <v>0</v>
      </c>
      <c r="T100" s="17">
        <f t="shared" si="61"/>
        <v>0</v>
      </c>
      <c r="U100" s="17">
        <f t="shared" si="61"/>
        <v>0</v>
      </c>
      <c r="V100" s="17">
        <f t="shared" si="61"/>
        <v>0</v>
      </c>
      <c r="W100" s="17">
        <f t="shared" si="61"/>
        <v>0</v>
      </c>
      <c r="X100" s="17">
        <f>SUM(C100:J100)/SUM(C$80:J$80)</f>
        <v>0</v>
      </c>
      <c r="Y100" s="2"/>
    </row>
    <row r="101" spans="1:25" ht="12.75" customHeight="1">
      <c r="A101" s="52" t="str">
        <f>Historical!A96</f>
        <v>Income Taxes</v>
      </c>
      <c r="B101" s="77">
        <f>Historical!L96</f>
        <v>211</v>
      </c>
      <c r="C101" s="100">
        <f>Historical!M96*4/3</f>
        <v>237.33333333333334</v>
      </c>
      <c r="D101" s="100">
        <f>Assumptions!H$86*Forecast!D98</f>
        <v>315.21179898856576</v>
      </c>
      <c r="E101" s="100">
        <f>Assumptions!I$86*Forecast!E98</f>
        <v>323.91108797317537</v>
      </c>
      <c r="F101" s="100">
        <f>Assumptions!J$86*Forecast!F98</f>
        <v>304.621715732934</v>
      </c>
      <c r="G101" s="100">
        <f>Assumptions!K$86*Forecast!G98</f>
        <v>300.62517843451076</v>
      </c>
      <c r="H101" s="100">
        <f>Assumptions!$C$86*Forecast!H98</f>
        <v>366.6307164605987</v>
      </c>
      <c r="I101" s="100">
        <f>Assumptions!$C$86*Forecast!I98</f>
        <v>398.78245399374777</v>
      </c>
      <c r="J101" s="100">
        <f>Assumptions!$C$86*Forecast!J98</f>
        <v>437.3324355020593</v>
      </c>
      <c r="K101" s="103">
        <f>RATE(8,,-B101,J101)</f>
        <v>0.09538339762041462</v>
      </c>
      <c r="L101" s="2"/>
      <c r="N101" s="52" t="str">
        <f t="shared" si="48"/>
        <v>Income Taxes</v>
      </c>
      <c r="O101" s="90">
        <f t="shared" si="61"/>
        <v>0.04760830324909747</v>
      </c>
      <c r="P101" s="95">
        <f t="shared" si="61"/>
        <v>0.05223004694835681</v>
      </c>
      <c r="Q101" s="18">
        <f t="shared" si="61"/>
        <v>0.06686344332906537</v>
      </c>
      <c r="R101" s="18">
        <f t="shared" si="61"/>
        <v>0.066227243993498</v>
      </c>
      <c r="S101" s="18">
        <f t="shared" si="61"/>
        <v>0.06003386755731298</v>
      </c>
      <c r="T101" s="18">
        <f t="shared" si="61"/>
        <v>0.05710648238906821</v>
      </c>
      <c r="U101" s="18">
        <f t="shared" si="61"/>
        <v>0.06712951365551843</v>
      </c>
      <c r="V101" s="18">
        <f t="shared" si="61"/>
        <v>0.07037935624270669</v>
      </c>
      <c r="W101" s="18">
        <f t="shared" si="61"/>
        <v>0.07439530565196477</v>
      </c>
      <c r="X101" s="103">
        <f>SUM(C101:J101)/SUM(C$80:J$80)</f>
        <v>0.06469510635244052</v>
      </c>
      <c r="Y101" s="2"/>
    </row>
    <row r="102" spans="1:25" ht="12.75" customHeight="1" thickBot="1">
      <c r="A102" s="52" t="str">
        <f>Historical!A97</f>
        <v>Net Income</v>
      </c>
      <c r="B102" s="85">
        <f>B98-B100-B101</f>
        <v>566</v>
      </c>
      <c r="C102" s="20">
        <f>C98-C100-C101</f>
        <v>543.9203792967329</v>
      </c>
      <c r="D102" s="20">
        <f aca="true" t="shared" si="62" ref="D102:J102">D98-D100-D101</f>
        <v>637.587502499599</v>
      </c>
      <c r="E102" s="20">
        <f t="shared" si="62"/>
        <v>632.8514954097755</v>
      </c>
      <c r="F102" s="20">
        <f t="shared" si="62"/>
        <v>715.9912121927935</v>
      </c>
      <c r="G102" s="20">
        <f t="shared" si="62"/>
        <v>806.4163554214839</v>
      </c>
      <c r="H102" s="20">
        <f t="shared" si="62"/>
        <v>797.2763199222543</v>
      </c>
      <c r="I102" s="20">
        <f t="shared" si="62"/>
        <v>867.1935904308482</v>
      </c>
      <c r="J102" s="20">
        <f t="shared" si="62"/>
        <v>951.0245025997162</v>
      </c>
      <c r="K102" s="5">
        <f>RATE(8,,-B102,J102)</f>
        <v>0.06701840197983877</v>
      </c>
      <c r="L102" s="2"/>
      <c r="N102" s="52" t="str">
        <f t="shared" si="48"/>
        <v>Net Income</v>
      </c>
      <c r="O102" s="91">
        <f t="shared" si="61"/>
        <v>0.12770758122743683</v>
      </c>
      <c r="P102" s="93">
        <f t="shared" si="61"/>
        <v>0.1197007876973444</v>
      </c>
      <c r="Q102" s="17">
        <f t="shared" si="61"/>
        <v>0.13524651037015498</v>
      </c>
      <c r="R102" s="17">
        <f t="shared" si="61"/>
        <v>0.1293935649452797</v>
      </c>
      <c r="S102" s="17">
        <f t="shared" si="61"/>
        <v>0.1411052442586416</v>
      </c>
      <c r="T102" s="17">
        <f t="shared" si="61"/>
        <v>0.15318610915740574</v>
      </c>
      <c r="U102" s="17">
        <f t="shared" si="61"/>
        <v>0.14598005350485752</v>
      </c>
      <c r="V102" s="17">
        <f t="shared" si="61"/>
        <v>0.1530471715119177</v>
      </c>
      <c r="W102" s="17">
        <f t="shared" si="61"/>
        <v>0.16178026784633606</v>
      </c>
      <c r="X102" s="72">
        <f>SUM(C102:J102)/SUM(C$80:J$80)</f>
        <v>0.14344925967465116</v>
      </c>
      <c r="Y102" s="2"/>
    </row>
    <row r="103" spans="2:25" ht="12.75" customHeight="1" thickTop="1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O103" s="92"/>
      <c r="P103" s="94"/>
      <c r="Q103" s="71"/>
      <c r="R103" s="71"/>
      <c r="S103" s="71"/>
      <c r="T103" s="71"/>
      <c r="U103" s="71"/>
      <c r="V103" s="71"/>
      <c r="W103" s="71"/>
      <c r="X103" s="71"/>
      <c r="Y103" s="2"/>
    </row>
    <row r="104" spans="1:25" ht="12.75" customHeight="1">
      <c r="A104" s="52" t="str">
        <f>Historical!A99</f>
        <v>Preferred Stock Dividends</v>
      </c>
      <c r="B104" s="77">
        <f>Historical!L99</f>
        <v>2</v>
      </c>
      <c r="C104" s="2">
        <f aca="true" t="shared" si="63" ref="C104:J104">C59*$B$104/$B$59</f>
        <v>2</v>
      </c>
      <c r="D104" s="2">
        <f t="shared" si="63"/>
        <v>2</v>
      </c>
      <c r="E104" s="2">
        <f t="shared" si="63"/>
        <v>2</v>
      </c>
      <c r="F104" s="2">
        <f t="shared" si="63"/>
        <v>2</v>
      </c>
      <c r="G104" s="2">
        <f t="shared" si="63"/>
        <v>2</v>
      </c>
      <c r="H104" s="2">
        <f t="shared" si="63"/>
        <v>2</v>
      </c>
      <c r="I104" s="2">
        <f t="shared" si="63"/>
        <v>2</v>
      </c>
      <c r="J104" s="2">
        <f t="shared" si="63"/>
        <v>2</v>
      </c>
      <c r="K104" s="5">
        <f>RATE(8,,-B104,J104)</f>
        <v>3.1899074321543544E-12</v>
      </c>
      <c r="L104" s="2"/>
      <c r="N104" s="52" t="str">
        <f t="shared" si="48"/>
        <v>Preferred Stock Dividends</v>
      </c>
      <c r="O104" s="90">
        <f aca="true" t="shared" si="64" ref="O104:W105">B104/B$80</f>
        <v>0.0004512635379061372</v>
      </c>
      <c r="P104" s="95">
        <f t="shared" si="64"/>
        <v>0.00044014084507042255</v>
      </c>
      <c r="Q104" s="18">
        <f t="shared" si="64"/>
        <v>0.00042424454632480825</v>
      </c>
      <c r="R104" s="18">
        <f t="shared" si="64"/>
        <v>0.0004089223645161699</v>
      </c>
      <c r="S104" s="18">
        <f t="shared" si="64"/>
        <v>0.0003941535646128754</v>
      </c>
      <c r="T104" s="18">
        <f t="shared" si="64"/>
        <v>0.00037991816045779736</v>
      </c>
      <c r="U104" s="18">
        <f t="shared" si="64"/>
        <v>0.0003661968877216688</v>
      </c>
      <c r="V104" s="18">
        <f t="shared" si="64"/>
        <v>0.0003529711778332661</v>
      </c>
      <c r="W104" s="18">
        <f t="shared" si="64"/>
        <v>0.00034022313285113955</v>
      </c>
      <c r="X104" s="5"/>
      <c r="Y104" s="2"/>
    </row>
    <row r="105" spans="1:25" ht="12.75" customHeight="1">
      <c r="A105" s="52" t="str">
        <f>Historical!A100</f>
        <v>Common Stock Dividends</v>
      </c>
      <c r="B105" s="77">
        <f>Historical!L100</f>
        <v>0</v>
      </c>
      <c r="C105" s="2">
        <v>550</v>
      </c>
      <c r="D105" s="2">
        <v>300</v>
      </c>
      <c r="E105" s="2">
        <v>0</v>
      </c>
      <c r="F105" s="2">
        <v>300</v>
      </c>
      <c r="G105" s="2">
        <v>600</v>
      </c>
      <c r="H105" s="2">
        <v>600</v>
      </c>
      <c r="I105" s="2">
        <v>800</v>
      </c>
      <c r="J105" s="2">
        <v>800</v>
      </c>
      <c r="K105" s="5"/>
      <c r="L105" s="2"/>
      <c r="N105" s="52" t="str">
        <f t="shared" si="48"/>
        <v>Common Stock Dividends</v>
      </c>
      <c r="O105" s="90">
        <f t="shared" si="64"/>
        <v>0</v>
      </c>
      <c r="P105" s="95">
        <f t="shared" si="64"/>
        <v>0.1210387323943662</v>
      </c>
      <c r="Q105" s="18">
        <f t="shared" si="64"/>
        <v>0.06363668194872124</v>
      </c>
      <c r="R105" s="18">
        <f t="shared" si="64"/>
        <v>0</v>
      </c>
      <c r="S105" s="18">
        <f t="shared" si="64"/>
        <v>0.059123034691931316</v>
      </c>
      <c r="T105" s="18">
        <f t="shared" si="64"/>
        <v>0.11397544813733922</v>
      </c>
      <c r="U105" s="18">
        <f t="shared" si="64"/>
        <v>0.10985906631650064</v>
      </c>
      <c r="V105" s="18">
        <f t="shared" si="64"/>
        <v>0.14118847113330643</v>
      </c>
      <c r="W105" s="18">
        <f t="shared" si="64"/>
        <v>0.1360892531404558</v>
      </c>
      <c r="X105" s="5"/>
      <c r="Y105" s="2"/>
    </row>
    <row r="106" spans="2:25" ht="12.75" customHeight="1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O106" s="18"/>
      <c r="P106" s="18"/>
      <c r="Q106" s="18"/>
      <c r="R106" s="18"/>
      <c r="S106" s="18"/>
      <c r="T106" s="18"/>
      <c r="U106" s="18"/>
      <c r="V106" s="18"/>
      <c r="W106" s="18"/>
      <c r="X106" s="5"/>
      <c r="Y106" s="2"/>
    </row>
    <row r="107" spans="2:25" ht="12.75" customHeight="1"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O107" s="18"/>
      <c r="P107" s="18"/>
      <c r="Q107" s="18"/>
      <c r="R107" s="18"/>
      <c r="S107" s="18"/>
      <c r="T107" s="18"/>
      <c r="U107" s="18"/>
      <c r="V107" s="18"/>
      <c r="W107" s="18"/>
      <c r="X107" s="5"/>
      <c r="Y107" s="2"/>
    </row>
    <row r="108" spans="2:25" ht="12.75" customHeight="1">
      <c r="B108" s="19"/>
      <c r="C108" s="2"/>
      <c r="D108" s="2"/>
      <c r="E108" s="2"/>
      <c r="F108" s="2"/>
      <c r="G108" s="2"/>
      <c r="H108" s="2"/>
      <c r="I108" s="2"/>
      <c r="J108" s="2"/>
      <c r="K108" s="283" t="s">
        <v>226</v>
      </c>
      <c r="L108" s="2"/>
      <c r="O108" s="18"/>
      <c r="P108" s="18"/>
      <c r="Q108" s="18"/>
      <c r="R108" s="18"/>
      <c r="S108" s="18"/>
      <c r="T108" s="18"/>
      <c r="U108" s="18"/>
      <c r="V108" s="18"/>
      <c r="W108" s="18"/>
      <c r="X108" s="5"/>
      <c r="Y108" s="2"/>
    </row>
    <row r="109" spans="1:25" ht="12.75" customHeight="1">
      <c r="A109" s="111"/>
      <c r="B109" s="19"/>
      <c r="C109" s="2"/>
      <c r="D109" s="2"/>
      <c r="E109" s="2"/>
      <c r="F109" s="2"/>
      <c r="G109" s="2"/>
      <c r="H109" s="2"/>
      <c r="I109" s="2"/>
      <c r="J109" s="2"/>
      <c r="K109" s="284" t="s">
        <v>218</v>
      </c>
      <c r="L109" s="2"/>
      <c r="N109" s="111"/>
      <c r="O109" s="19"/>
      <c r="P109" s="2"/>
      <c r="Q109" s="2"/>
      <c r="R109" s="2"/>
      <c r="S109" s="2"/>
      <c r="T109" s="2"/>
      <c r="U109" s="2"/>
      <c r="V109" s="2"/>
      <c r="W109" s="2"/>
      <c r="X109" s="5"/>
      <c r="Y109" s="2"/>
    </row>
    <row r="110" spans="1:25" ht="15.75" customHeight="1">
      <c r="A110" s="217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Y110" s="2"/>
    </row>
    <row r="111" spans="1:25" ht="12.75" customHeight="1">
      <c r="A111" s="218" t="s">
        <v>154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Y111" s="2"/>
    </row>
    <row r="112" spans="1:12" ht="12.75" customHeight="1">
      <c r="A112" s="136">
        <f>A6</f>
        <v>40946.62491261574</v>
      </c>
      <c r="B112" s="106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2:12" ht="12.75" customHeight="1">
      <c r="B113" s="106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>
      <c r="A114" s="107"/>
      <c r="B114" s="106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>
      <c r="A115" s="111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>
      <c r="A116" s="111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>
      <c r="A117" s="111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126</v>
      </c>
      <c r="L117" s="2"/>
    </row>
    <row r="118" spans="2:12" ht="12.75" customHeight="1">
      <c r="B118" s="74" t="s">
        <v>125</v>
      </c>
      <c r="C118" s="14" t="s">
        <v>126</v>
      </c>
      <c r="D118" s="14" t="s">
        <v>126</v>
      </c>
      <c r="E118" s="14" t="s">
        <v>126</v>
      </c>
      <c r="F118" s="14" t="s">
        <v>126</v>
      </c>
      <c r="G118" s="14" t="s">
        <v>126</v>
      </c>
      <c r="H118" s="14" t="s">
        <v>126</v>
      </c>
      <c r="I118" s="14" t="s">
        <v>126</v>
      </c>
      <c r="J118" s="14" t="s">
        <v>126</v>
      </c>
      <c r="K118" s="99" t="s">
        <v>143</v>
      </c>
      <c r="L118" s="2"/>
    </row>
    <row r="119" spans="1:12" ht="12.75" customHeight="1">
      <c r="A119" s="193" t="str">
        <f>Historical!A111</f>
        <v>Ratio Group And Name</v>
      </c>
      <c r="B119" s="98" t="s">
        <v>3</v>
      </c>
      <c r="C119" s="4">
        <f aca="true" t="shared" si="65" ref="C119:J119">P77</f>
        <v>2011</v>
      </c>
      <c r="D119" s="4">
        <f t="shared" si="65"/>
        <v>2012</v>
      </c>
      <c r="E119" s="4">
        <f t="shared" si="65"/>
        <v>2013</v>
      </c>
      <c r="F119" s="4">
        <f t="shared" si="65"/>
        <v>2014</v>
      </c>
      <c r="G119" s="4">
        <f t="shared" si="65"/>
        <v>2015</v>
      </c>
      <c r="H119" s="4">
        <f t="shared" si="65"/>
        <v>2016</v>
      </c>
      <c r="I119" s="4">
        <f t="shared" si="65"/>
        <v>2017</v>
      </c>
      <c r="J119" s="4">
        <f t="shared" si="65"/>
        <v>2018</v>
      </c>
      <c r="K119" s="79" t="s">
        <v>3</v>
      </c>
      <c r="L119" s="2"/>
    </row>
    <row r="120" spans="1:12" ht="6.75" customHeight="1">
      <c r="A120" s="264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>
      <c r="A121" s="193" t="str">
        <f>Historical!A113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>
      <c r="A122" s="52" t="str">
        <f>Historical!A114</f>
        <v>Current</v>
      </c>
      <c r="B122" s="89">
        <f>Historical!N114</f>
        <v>1.102375725206047</v>
      </c>
      <c r="C122" s="8">
        <f aca="true" t="shared" si="66" ref="C122:J122">C17/C48</f>
        <v>1.1688043972701412</v>
      </c>
      <c r="D122" s="8">
        <f t="shared" si="66"/>
        <v>1.2198470549579175</v>
      </c>
      <c r="E122" s="8">
        <f t="shared" si="66"/>
        <v>1.214469926407317</v>
      </c>
      <c r="F122" s="8">
        <f t="shared" si="66"/>
        <v>1.2216055287699181</v>
      </c>
      <c r="G122" s="8">
        <f t="shared" si="66"/>
        <v>1.2406593144512912</v>
      </c>
      <c r="H122" s="8">
        <f t="shared" si="66"/>
        <v>1.2488484460895304</v>
      </c>
      <c r="I122" s="8">
        <f t="shared" si="66"/>
        <v>1.2744169257784688</v>
      </c>
      <c r="J122" s="8">
        <f t="shared" si="66"/>
        <v>1.2889240796157566</v>
      </c>
      <c r="K122" s="8">
        <f>AVERAGE(C122:J122)</f>
        <v>1.2346969591675427</v>
      </c>
      <c r="L122" s="2"/>
    </row>
    <row r="123" spans="1:12" ht="12.75" customHeight="1">
      <c r="A123" s="52" t="str">
        <f>Historical!A115</f>
        <v>Quick</v>
      </c>
      <c r="B123" s="89">
        <f>Historical!N115</f>
        <v>0.5092202966347282</v>
      </c>
      <c r="C123" s="8">
        <f aca="true" t="shared" si="67" ref="C123:J123">SUM(C12:C14)/C48</f>
        <v>0.5011693246583276</v>
      </c>
      <c r="D123" s="8">
        <f t="shared" si="67"/>
        <v>0.52762283984405</v>
      </c>
      <c r="E123" s="8">
        <f t="shared" si="67"/>
        <v>0.5298466793565038</v>
      </c>
      <c r="F123" s="8">
        <f t="shared" si="67"/>
        <v>0.5375383140961117</v>
      </c>
      <c r="G123" s="8">
        <f t="shared" si="67"/>
        <v>0.5505740646161689</v>
      </c>
      <c r="H123" s="8">
        <f t="shared" si="67"/>
        <v>0.5588915827351991</v>
      </c>
      <c r="I123" s="8">
        <f t="shared" si="67"/>
        <v>0.5751139376514046</v>
      </c>
      <c r="J123" s="8">
        <f t="shared" si="67"/>
        <v>0.5864948500965452</v>
      </c>
      <c r="K123" s="8">
        <f>AVERAGE(C123:J123)</f>
        <v>0.5459064491317889</v>
      </c>
      <c r="L123" s="2"/>
    </row>
    <row r="124" spans="1:12" ht="12.75" customHeight="1">
      <c r="A124" s="52" t="str">
        <f>Historical!A116</f>
        <v>Days Revenues Cash</v>
      </c>
      <c r="B124" s="89">
        <f>Historical!N116</f>
        <v>10.95588131586533</v>
      </c>
      <c r="C124" s="178">
        <f>((C80/365)/((B12+B13+C12+C13)/2))^-1</f>
        <v>4.06542574578365</v>
      </c>
      <c r="D124" s="178">
        <f aca="true" t="shared" si="68" ref="D124:J124">((D80/365)/((C12+C13+D12+D13)/2))^-1</f>
        <v>5.538892810858065</v>
      </c>
      <c r="E124" s="178">
        <f t="shared" si="68"/>
        <v>5.538892810858065</v>
      </c>
      <c r="F124" s="178">
        <f t="shared" si="68"/>
        <v>5.538892810858065</v>
      </c>
      <c r="G124" s="178">
        <f t="shared" si="68"/>
        <v>5.538892810858066</v>
      </c>
      <c r="H124" s="178">
        <f t="shared" si="68"/>
        <v>5.538892810858065</v>
      </c>
      <c r="I124" s="178">
        <f t="shared" si="68"/>
        <v>5.538892810858065</v>
      </c>
      <c r="J124" s="178">
        <f t="shared" si="68"/>
        <v>5.538892810858065</v>
      </c>
      <c r="K124" s="8">
        <f>AVERAGE(C124:J124)</f>
        <v>5.354709427723764</v>
      </c>
      <c r="L124" s="2"/>
    </row>
    <row r="125" spans="1:12" ht="12.75" customHeight="1">
      <c r="A125" s="52" t="str">
        <f>Historical!A117</f>
        <v>Days Revenues Receivable</v>
      </c>
      <c r="B125" s="89">
        <f>Historical!N117</f>
        <v>43.6802693453747</v>
      </c>
      <c r="C125" s="8">
        <f aca="true" t="shared" si="69" ref="C125:J125">365*(((B14+C14)/2)/((B80+C80)/2))</f>
        <v>51.07742831801921</v>
      </c>
      <c r="D125" s="8">
        <f t="shared" si="69"/>
        <v>50.45136368453794</v>
      </c>
      <c r="E125" s="8">
        <f t="shared" si="69"/>
        <v>50.45136368453795</v>
      </c>
      <c r="F125" s="8">
        <f t="shared" si="69"/>
        <v>50.45136368453793</v>
      </c>
      <c r="G125" s="8">
        <f t="shared" si="69"/>
        <v>50.45136368453794</v>
      </c>
      <c r="H125" s="8">
        <f t="shared" si="69"/>
        <v>50.45136368453794</v>
      </c>
      <c r="I125" s="8">
        <f t="shared" si="69"/>
        <v>50.45136368453793</v>
      </c>
      <c r="J125" s="8">
        <f t="shared" si="69"/>
        <v>50.45136368453793</v>
      </c>
      <c r="K125" s="8">
        <f>AVERAGE(C125:J125)</f>
        <v>50.529621763723085</v>
      </c>
      <c r="L125" s="2"/>
    </row>
    <row r="126" spans="2:12" ht="6.75" customHeight="1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>
      <c r="A127" s="193" t="str">
        <f>Historical!A119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>
      <c r="A128" s="52" t="str">
        <f>Historical!A120</f>
        <v>Net Worth/Total Debt</v>
      </c>
      <c r="B128" s="89">
        <f>Historical!N120</f>
        <v>0.5266534308628223</v>
      </c>
      <c r="C128" s="8">
        <f aca="true" t="shared" si="70" ref="C128:J128">C64/(C57+C59)</f>
        <v>0.5416977642874083</v>
      </c>
      <c r="D128" s="8">
        <f t="shared" si="70"/>
        <v>0.516495058877734</v>
      </c>
      <c r="E128" s="8">
        <f t="shared" si="70"/>
        <v>0.5179358776913665</v>
      </c>
      <c r="F128" s="8">
        <f t="shared" si="70"/>
        <v>0.5232892306132961</v>
      </c>
      <c r="G128" s="8">
        <f t="shared" si="70"/>
        <v>0.5332916962529606</v>
      </c>
      <c r="H128" s="8">
        <f t="shared" si="70"/>
        <v>0.5234394807119408</v>
      </c>
      <c r="I128" s="8">
        <f t="shared" si="70"/>
        <v>0.5361005047734584</v>
      </c>
      <c r="J128" s="8">
        <f t="shared" si="70"/>
        <v>0.537072781238859</v>
      </c>
      <c r="K128" s="8">
        <f>AVERAGE(C128:J128)</f>
        <v>0.5286652993058779</v>
      </c>
      <c r="L128" s="2"/>
    </row>
    <row r="129" spans="1:12" ht="12.75" customHeight="1">
      <c r="A129" s="52" t="str">
        <f>Historical!A121</f>
        <v>Net Worth/Non Current Debt</v>
      </c>
      <c r="B129" s="89">
        <f>Historical!N121</f>
        <v>0.5995027673043625</v>
      </c>
      <c r="C129" s="8">
        <f aca="true" t="shared" si="71" ref="C129:J129">C64/(C55+C59)</f>
        <v>0.6045306012155649</v>
      </c>
      <c r="D129" s="8">
        <f t="shared" si="71"/>
        <v>0.569671412722893</v>
      </c>
      <c r="E129" s="8">
        <f t="shared" si="71"/>
        <v>0.5687175844980569</v>
      </c>
      <c r="F129" s="8">
        <f t="shared" si="71"/>
        <v>0.5736790747894069</v>
      </c>
      <c r="G129" s="8">
        <f t="shared" si="71"/>
        <v>0.585118867293941</v>
      </c>
      <c r="H129" s="8">
        <f t="shared" si="71"/>
        <v>0.573277595800323</v>
      </c>
      <c r="I129" s="8">
        <f t="shared" si="71"/>
        <v>0.5885562910818805</v>
      </c>
      <c r="J129" s="8">
        <f t="shared" si="71"/>
        <v>0.5897837802033273</v>
      </c>
      <c r="K129" s="8">
        <f>AVERAGE(C129:J129)</f>
        <v>0.5816669009506742</v>
      </c>
      <c r="L129" s="2"/>
    </row>
    <row r="130" spans="1:12" ht="12.75" customHeight="1">
      <c r="A130" s="52" t="str">
        <f>Historical!A122</f>
        <v>Net Worth/Fixed Assets</v>
      </c>
      <c r="B130" s="89">
        <f>Historical!N122</f>
        <v>0.42641056148097817</v>
      </c>
      <c r="C130" s="8">
        <f aca="true" t="shared" si="72" ref="C130:J130">C64/C28</f>
        <v>0.42878604034609874</v>
      </c>
      <c r="D130" s="8">
        <f t="shared" si="72"/>
        <v>0.4110172771881328</v>
      </c>
      <c r="E130" s="8">
        <f t="shared" si="72"/>
        <v>0.40812301384097677</v>
      </c>
      <c r="F130" s="8">
        <f t="shared" si="72"/>
        <v>0.4098679447488158</v>
      </c>
      <c r="G130" s="8">
        <f t="shared" si="72"/>
        <v>0.4161625603353064</v>
      </c>
      <c r="H130" s="8">
        <f t="shared" si="72"/>
        <v>0.41067177502056207</v>
      </c>
      <c r="I130" s="8">
        <f t="shared" si="72"/>
        <v>0.4197858316748393</v>
      </c>
      <c r="J130" s="8">
        <f t="shared" si="72"/>
        <v>0.4212463622031636</v>
      </c>
      <c r="K130" s="8">
        <f>AVERAGE(C130:J130)</f>
        <v>0.41570760066973694</v>
      </c>
      <c r="L130" s="2"/>
    </row>
    <row r="131" spans="1:12" ht="12.75" customHeight="1">
      <c r="A131" s="52" t="str">
        <f>Historical!A123</f>
        <v>Times Interest Earned</v>
      </c>
      <c r="B131" s="89">
        <f>Historical!N123</f>
        <v>3.2654436756431933</v>
      </c>
      <c r="C131" s="8">
        <f>(C98+C91+C93)/(C91+C93)</f>
        <v>3.100144388790501</v>
      </c>
      <c r="D131" s="8">
        <f aca="true" t="shared" si="73" ref="D131:I131">(D98+D91+D94)/(D91+D94)</f>
        <v>3.9876198364249325</v>
      </c>
      <c r="E131" s="8">
        <f t="shared" si="73"/>
        <v>3.6236990436422802</v>
      </c>
      <c r="F131" s="8">
        <f t="shared" si="73"/>
        <v>3.6036895867594074</v>
      </c>
      <c r="G131" s="8">
        <f t="shared" si="73"/>
        <v>3.78799282710304</v>
      </c>
      <c r="H131" s="8">
        <f t="shared" si="73"/>
        <v>3.8508777476357596</v>
      </c>
      <c r="I131" s="8">
        <f t="shared" si="73"/>
        <v>4.122703704143754</v>
      </c>
      <c r="J131" s="8">
        <f>(J98+J91+J94)/(J91+J94)</f>
        <v>4.591633608233629</v>
      </c>
      <c r="K131" s="8">
        <f>AVERAGE(C131:J131)</f>
        <v>3.8335450928416632</v>
      </c>
      <c r="L131" s="2"/>
    </row>
    <row r="132" spans="2:12" ht="6.75" customHeight="1">
      <c r="B132" s="89"/>
      <c r="C132" s="8"/>
      <c r="D132" s="8"/>
      <c r="E132" s="8"/>
      <c r="F132" s="8"/>
      <c r="G132" s="8"/>
      <c r="H132" s="8"/>
      <c r="I132" s="81"/>
      <c r="J132" s="81"/>
      <c r="K132" s="8"/>
      <c r="L132" s="2"/>
    </row>
    <row r="133" spans="1:12" ht="12.75" customHeight="1">
      <c r="A133" s="193" t="str">
        <f>Historical!A125</f>
        <v>Profitability Ratios:</v>
      </c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>
      <c r="A134" s="52" t="str">
        <f>Historical!A126</f>
        <v>Return On Total Assets</v>
      </c>
      <c r="B134" s="90">
        <f>Historical!N126</f>
        <v>0.042999818829093185</v>
      </c>
      <c r="C134" s="5">
        <f aca="true" t="shared" si="74" ref="C134:J134">(C102+((C91+C92)*(1-(C101/C98))))/((B38+C38)/2)</f>
        <v>0.03911771866542549</v>
      </c>
      <c r="D134" s="5">
        <f t="shared" si="74"/>
        <v>0.03711867032552143</v>
      </c>
      <c r="E134" s="5">
        <f t="shared" si="74"/>
        <v>0.033697357638702005</v>
      </c>
      <c r="F134" s="5">
        <f t="shared" si="74"/>
        <v>0.035129622565987374</v>
      </c>
      <c r="G134" s="5">
        <f t="shared" si="74"/>
        <v>0.03766957168454124</v>
      </c>
      <c r="H134" s="5">
        <f t="shared" si="74"/>
        <v>0.03583603421673991</v>
      </c>
      <c r="I134" s="5">
        <f t="shared" si="74"/>
        <v>0.03777363870179163</v>
      </c>
      <c r="J134" s="5">
        <f t="shared" si="74"/>
        <v>0.040573086884727355</v>
      </c>
      <c r="K134" s="5">
        <f>AVERAGE(C134:J134)</f>
        <v>0.03711446258542955</v>
      </c>
      <c r="L134" s="2"/>
    </row>
    <row r="135" spans="1:12" ht="12.75" customHeight="1">
      <c r="A135" s="52" t="str">
        <f>Historical!A127</f>
        <v>Return On Total Capital</v>
      </c>
      <c r="B135" s="90">
        <f>Historical!N127</f>
        <v>0.06640139463523598</v>
      </c>
      <c r="C135" s="5">
        <f aca="true" t="shared" si="75" ref="C135:J135">(C102+((C91+C92+C93)*(1-(C101/C98))))/((B42+B43+B50+B59+B64+C42+C43+C50+C59+C64)/2)</f>
        <v>0.060101892516047466</v>
      </c>
      <c r="D135" s="5">
        <f t="shared" si="75"/>
        <v>0.06215724507924119</v>
      </c>
      <c r="E135" s="5">
        <f t="shared" si="75"/>
        <v>0.06007579514587852</v>
      </c>
      <c r="F135" s="5">
        <f t="shared" si="75"/>
        <v>0.06525593005059897</v>
      </c>
      <c r="G135" s="5">
        <f t="shared" si="75"/>
        <v>0.07160445862039388</v>
      </c>
      <c r="H135" s="5">
        <f t="shared" si="75"/>
        <v>0.06993889615735677</v>
      </c>
      <c r="I135" s="5">
        <f t="shared" si="75"/>
        <v>0.07525751697186497</v>
      </c>
      <c r="J135" s="5">
        <f t="shared" si="75"/>
        <v>0.08182241578919099</v>
      </c>
      <c r="K135" s="5">
        <f>AVERAGE(C135:J135)</f>
        <v>0.06827676879132161</v>
      </c>
      <c r="L135" s="2"/>
    </row>
    <row r="136" spans="1:12" ht="12.75" customHeight="1">
      <c r="A136" s="52" t="str">
        <f>Historical!A128</f>
        <v>Return On Common Equity</v>
      </c>
      <c r="B136" s="90">
        <f>Historical!N128</f>
        <v>0.08924019878943076</v>
      </c>
      <c r="C136" s="5">
        <f aca="true" t="shared" si="76" ref="C136:J136">(C102-C104)/((C64+B64)/2)</f>
        <v>0.07458345010871578</v>
      </c>
      <c r="D136" s="5">
        <f t="shared" si="76"/>
        <v>0.08554669686219031</v>
      </c>
      <c r="E136" s="5">
        <f t="shared" si="76"/>
        <v>0.07972409790663104</v>
      </c>
      <c r="F136" s="5">
        <f t="shared" si="76"/>
        <v>0.08464269892602937</v>
      </c>
      <c r="G136" s="5">
        <f t="shared" si="76"/>
        <v>0.09199050222486571</v>
      </c>
      <c r="H136" s="5">
        <f t="shared" si="76"/>
        <v>0.088913270061926</v>
      </c>
      <c r="I136" s="5">
        <f t="shared" si="76"/>
        <v>0.09534191415460734</v>
      </c>
      <c r="J136" s="5">
        <f t="shared" si="76"/>
        <v>0.10335987372765064</v>
      </c>
      <c r="K136" s="5">
        <f>AVERAGE(C136:J136)</f>
        <v>0.08801281299657703</v>
      </c>
      <c r="L136" s="2"/>
    </row>
    <row r="137" spans="2:12" ht="6.75" customHeight="1">
      <c r="B137" s="89"/>
      <c r="C137" s="8"/>
      <c r="D137" s="8"/>
      <c r="E137" s="8"/>
      <c r="F137" s="8"/>
      <c r="G137" s="8"/>
      <c r="H137" s="8"/>
      <c r="I137" s="81"/>
      <c r="J137" s="81"/>
      <c r="K137" s="8"/>
      <c r="L137" s="2"/>
    </row>
    <row r="138" spans="1:12" ht="12.75" customHeight="1">
      <c r="A138" s="193" t="str">
        <f>Historical!A130</f>
        <v>Asset-Utilization Ratios:</v>
      </c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>
      <c r="A139" s="52" t="str">
        <f>Historical!A131</f>
        <v>Revenues/Fixed Assets</v>
      </c>
      <c r="B139" s="89">
        <f>Historical!N131</f>
        <v>0.34341546094463604</v>
      </c>
      <c r="C139" s="8">
        <f aca="true" t="shared" si="77" ref="C139:J139">C80/((B28+C28)/2)</f>
        <v>0.2726836293807009</v>
      </c>
      <c r="D139" s="8">
        <f t="shared" si="77"/>
        <v>0.26618726563456674</v>
      </c>
      <c r="E139" s="8">
        <f t="shared" si="77"/>
        <v>0.25311233846735876</v>
      </c>
      <c r="F139" s="8">
        <f t="shared" si="77"/>
        <v>0.24603700927970323</v>
      </c>
      <c r="G139" s="8">
        <f t="shared" si="77"/>
        <v>0.2486460666914653</v>
      </c>
      <c r="H139" s="8">
        <f t="shared" si="77"/>
        <v>0.2524072075367829</v>
      </c>
      <c r="I139" s="8">
        <f t="shared" si="77"/>
        <v>0.25924692049880377</v>
      </c>
      <c r="J139" s="8">
        <f t="shared" si="77"/>
        <v>0.2692329045610731</v>
      </c>
      <c r="K139" s="102">
        <f>AVERAGE(C139:J139)</f>
        <v>0.25844416775630685</v>
      </c>
      <c r="L139" s="2"/>
    </row>
    <row r="140" spans="1:12" ht="12.75" customHeight="1">
      <c r="A140" s="52" t="str">
        <f>Historical!A132</f>
        <v>Revenues/Total Assets</v>
      </c>
      <c r="B140" s="89">
        <f>Historical!N132</f>
        <v>0.27411061341344173</v>
      </c>
      <c r="C140" s="8">
        <f aca="true" t="shared" si="78" ref="C140:J140">C80/C38</f>
        <v>0.2198591984331644</v>
      </c>
      <c r="D140" s="8">
        <f t="shared" si="78"/>
        <v>0.21133320509211848</v>
      </c>
      <c r="E140" s="8">
        <f t="shared" si="78"/>
        <v>0.2028142428453571</v>
      </c>
      <c r="F140" s="8">
        <f t="shared" si="78"/>
        <v>0.20169358336718876</v>
      </c>
      <c r="G140" s="8">
        <f t="shared" si="78"/>
        <v>0.20696404127019244</v>
      </c>
      <c r="H140" s="8">
        <f t="shared" si="78"/>
        <v>0.20753383853891327</v>
      </c>
      <c r="I140" s="8">
        <f t="shared" si="78"/>
        <v>0.21713469642378494</v>
      </c>
      <c r="J140" s="8">
        <f t="shared" si="78"/>
        <v>0.22190515979435865</v>
      </c>
      <c r="K140" s="102">
        <f>AVERAGE(C140:J140)</f>
        <v>0.21115474572063475</v>
      </c>
      <c r="L140" s="2"/>
    </row>
    <row r="141" spans="2:12" ht="6.75" customHeight="1">
      <c r="B141" s="89"/>
      <c r="C141" s="2"/>
      <c r="D141" s="2"/>
      <c r="E141" s="2"/>
      <c r="F141" s="2"/>
      <c r="G141" s="2"/>
      <c r="H141" s="2"/>
      <c r="I141" s="2"/>
      <c r="J141" s="2"/>
      <c r="K141" s="5"/>
      <c r="L141" s="2"/>
    </row>
    <row r="142" spans="1:12" ht="12.75" customHeight="1">
      <c r="A142" s="193" t="str">
        <f>Historical!A134</f>
        <v>Regulatory Capital Structure</v>
      </c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>
      <c r="A143" s="52" t="str">
        <f>Historical!A135</f>
        <v>Common Equity</v>
      </c>
      <c r="B143" s="90">
        <f>Historical!N135</f>
        <v>0.509628477838904</v>
      </c>
      <c r="C143" s="141">
        <f aca="true" t="shared" si="79" ref="C143:J143">C64/C$146</f>
        <v>0.5290720400401134</v>
      </c>
      <c r="D143" s="141">
        <f t="shared" si="79"/>
        <v>0.5050021602334093</v>
      </c>
      <c r="E143" s="141">
        <f t="shared" si="79"/>
        <v>0.499810961508687</v>
      </c>
      <c r="F143" s="141">
        <f t="shared" si="79"/>
        <v>0.5046178645431865</v>
      </c>
      <c r="G143" s="141">
        <f t="shared" si="79"/>
        <v>0.5133891989270595</v>
      </c>
      <c r="H143" s="141">
        <f t="shared" si="79"/>
        <v>0.5044692734041719</v>
      </c>
      <c r="I143" s="141">
        <f t="shared" si="79"/>
        <v>0.5254778245844625</v>
      </c>
      <c r="J143" s="141">
        <f t="shared" si="79"/>
        <v>0.5338316763358429</v>
      </c>
      <c r="K143" s="5">
        <f>AVERAGE(C143:J143)</f>
        <v>0.5144588749471166</v>
      </c>
      <c r="L143" s="2"/>
    </row>
    <row r="144" spans="1:12" ht="12.75" customHeight="1">
      <c r="A144" s="52" t="str">
        <f>Historical!A136</f>
        <v>Preferred Stock</v>
      </c>
      <c r="B144" s="90">
        <f>Historical!N136</f>
        <v>0.004783718652856704</v>
      </c>
      <c r="C144" s="141">
        <f aca="true" t="shared" si="80" ref="C144:J144">C59/C$146</f>
        <v>0.0029870822741974268</v>
      </c>
      <c r="D144" s="141">
        <f t="shared" si="80"/>
        <v>0.0027252473958109926</v>
      </c>
      <c r="E144" s="141">
        <f t="shared" si="80"/>
        <v>0.0024904417129006143</v>
      </c>
      <c r="F144" s="141">
        <f t="shared" si="80"/>
        <v>0.002393947367904395</v>
      </c>
      <c r="G144" s="141">
        <f t="shared" si="80"/>
        <v>0.002379282414455894</v>
      </c>
      <c r="H144" s="141">
        <f t="shared" si="80"/>
        <v>0.0022874519678580314</v>
      </c>
      <c r="I144" s="141">
        <f t="shared" si="80"/>
        <v>0.002365656004216507</v>
      </c>
      <c r="J144" s="141">
        <f t="shared" si="80"/>
        <v>0.002364572016803657</v>
      </c>
      <c r="K144" s="5">
        <f>AVERAGE(C144:J144)</f>
        <v>0.00249921014426844</v>
      </c>
      <c r="L144" s="2"/>
    </row>
    <row r="145" spans="1:12" ht="12.75" customHeight="1">
      <c r="A145" s="52" t="str">
        <f>Historical!A137</f>
        <v>Long Term Debt (incl. current portion)</v>
      </c>
      <c r="B145" s="90">
        <f>Historical!N137</f>
        <v>0.48558780350823944</v>
      </c>
      <c r="C145" s="180">
        <f aca="true" t="shared" si="81" ref="C145:J145">(C42+C50+C54)/C$146</f>
        <v>0.4679408776992779</v>
      </c>
      <c r="D145" s="180">
        <f t="shared" si="81"/>
        <v>0.4922725924117202</v>
      </c>
      <c r="E145" s="180">
        <f t="shared" si="81"/>
        <v>0.4976985968524391</v>
      </c>
      <c r="F145" s="180">
        <f t="shared" si="81"/>
        <v>0.49298818821833496</v>
      </c>
      <c r="G145" s="180">
        <f t="shared" si="81"/>
        <v>0.48423170110195557</v>
      </c>
      <c r="H145" s="180">
        <f t="shared" si="81"/>
        <v>0.4932436734399983</v>
      </c>
      <c r="I145" s="180">
        <f t="shared" si="81"/>
        <v>0.47215704135355085</v>
      </c>
      <c r="J145" s="180">
        <f t="shared" si="81"/>
        <v>0.46380439704551724</v>
      </c>
      <c r="K145" s="5">
        <f>AVERAGE(C145:J145)</f>
        <v>0.4830421335153493</v>
      </c>
      <c r="L145" s="2"/>
    </row>
    <row r="146" spans="2:12" ht="12.75" customHeight="1">
      <c r="B146" s="110"/>
      <c r="C146" s="140">
        <f aca="true" t="shared" si="82" ref="C146:J146">C42+C50+C54+C59+C64</f>
        <v>13725.768571799072</v>
      </c>
      <c r="D146" s="140">
        <f t="shared" si="82"/>
        <v>15044.505707885497</v>
      </c>
      <c r="E146" s="140">
        <f t="shared" si="82"/>
        <v>16462.943015551424</v>
      </c>
      <c r="F146" s="140">
        <f t="shared" si="82"/>
        <v>17126.525234010005</v>
      </c>
      <c r="G146" s="140">
        <f t="shared" si="82"/>
        <v>17232.08948676166</v>
      </c>
      <c r="H146" s="140">
        <f t="shared" si="82"/>
        <v>17923.88077537888</v>
      </c>
      <c r="I146" s="140">
        <f t="shared" si="82"/>
        <v>17331.353893614985</v>
      </c>
      <c r="J146" s="140">
        <f t="shared" si="82"/>
        <v>17339.30122236119</v>
      </c>
      <c r="K146" s="17"/>
      <c r="L146" s="2"/>
    </row>
    <row r="147" spans="5:12" ht="12.75">
      <c r="E147" s="2"/>
      <c r="F147" s="2"/>
      <c r="G147" s="2"/>
      <c r="H147" s="2"/>
      <c r="I147" s="2"/>
      <c r="J147" s="2"/>
      <c r="K147" s="5"/>
      <c r="L147" s="2"/>
    </row>
    <row r="148" spans="3:12" ht="12.75">
      <c r="C148" s="55">
        <f>SUM(C143:C145)</f>
        <v>1.0000000000135887</v>
      </c>
      <c r="D148" s="55">
        <f aca="true" t="shared" si="83" ref="D148:J148">SUM(D143:D145)</f>
        <v>1.0000000000409406</v>
      </c>
      <c r="E148" s="55">
        <f t="shared" si="83"/>
        <v>1.0000000000740266</v>
      </c>
      <c r="F148" s="55">
        <f t="shared" si="83"/>
        <v>1.0000000001294258</v>
      </c>
      <c r="G148" s="55">
        <f t="shared" si="83"/>
        <v>1.000000182443471</v>
      </c>
      <c r="H148" s="55">
        <f t="shared" si="83"/>
        <v>1.0000003988120283</v>
      </c>
      <c r="I148" s="55">
        <f t="shared" si="83"/>
        <v>1.0000005219422299</v>
      </c>
      <c r="J148" s="55">
        <f t="shared" si="83"/>
        <v>1.0000006453981638</v>
      </c>
      <c r="K148" s="55">
        <f>SUM(K143:K145)</f>
        <v>1.0000002186067345</v>
      </c>
      <c r="L148" s="2"/>
    </row>
    <row r="149" spans="5:12" ht="12.75">
      <c r="E149" s="2"/>
      <c r="F149" s="2"/>
      <c r="G149" s="2"/>
      <c r="H149" s="2"/>
      <c r="I149" s="2"/>
      <c r="J149" s="2"/>
      <c r="K149" s="5"/>
      <c r="L149" s="2"/>
    </row>
    <row r="150" spans="2:12" ht="12.75">
      <c r="B150" s="19"/>
      <c r="E150" s="2"/>
      <c r="F150" s="2"/>
      <c r="G150" s="2"/>
      <c r="H150" s="2"/>
      <c r="I150" s="2"/>
      <c r="J150" s="2"/>
      <c r="K150" s="5"/>
      <c r="L150" s="2"/>
    </row>
    <row r="151" spans="1:12" ht="12.75">
      <c r="A151" s="52" t="s">
        <v>155</v>
      </c>
      <c r="B151" s="19"/>
      <c r="E151" s="2"/>
      <c r="F151" s="2"/>
      <c r="G151" s="2"/>
      <c r="H151" s="2"/>
      <c r="I151" s="2"/>
      <c r="J151" s="2"/>
      <c r="K151" s="5"/>
      <c r="L151" s="2"/>
    </row>
    <row r="152" spans="1:12" ht="12.75">
      <c r="A152" s="264"/>
      <c r="B152" s="20" t="s">
        <v>129</v>
      </c>
      <c r="C152" s="20" t="s">
        <v>130</v>
      </c>
      <c r="D152" s="20"/>
      <c r="E152" s="20"/>
      <c r="F152" s="2"/>
      <c r="G152" s="2"/>
      <c r="H152" s="2"/>
      <c r="I152" s="2"/>
      <c r="J152" s="2"/>
      <c r="K152" s="5"/>
      <c r="L152" s="2"/>
    </row>
    <row r="153" spans="2:12" ht="12.75">
      <c r="B153" s="8"/>
      <c r="C153" s="83"/>
      <c r="D153" s="82"/>
      <c r="E153" s="2"/>
      <c r="F153" s="2"/>
      <c r="G153" s="2"/>
      <c r="H153" s="2"/>
      <c r="I153" s="2"/>
      <c r="J153" s="2"/>
      <c r="K153" s="5"/>
      <c r="L153" s="2"/>
    </row>
    <row r="154" spans="1:12" ht="12.75">
      <c r="A154" s="265">
        <f>B9</f>
        <v>2010</v>
      </c>
      <c r="B154" s="8">
        <f>B102-C154</f>
        <v>0</v>
      </c>
      <c r="C154" s="2">
        <f>B$102</f>
        <v>566</v>
      </c>
      <c r="D154" s="82"/>
      <c r="E154" s="2"/>
      <c r="F154" s="2"/>
      <c r="G154" s="2"/>
      <c r="H154" s="2"/>
      <c r="I154" s="2"/>
      <c r="J154" s="2"/>
      <c r="K154" s="5"/>
      <c r="L154" s="2"/>
    </row>
    <row r="155" spans="1:12" ht="12.75">
      <c r="A155" s="265">
        <f aca="true" t="shared" si="84" ref="A155:A162">A154+1</f>
        <v>2011</v>
      </c>
      <c r="B155" s="8">
        <f>C102-C155</f>
        <v>-4.795765562448651E-09</v>
      </c>
      <c r="C155" s="2">
        <f>C$102</f>
        <v>543.9203792967329</v>
      </c>
      <c r="D155" s="82"/>
      <c r="E155" s="2"/>
      <c r="F155" s="2"/>
      <c r="G155" s="2"/>
      <c r="H155" s="2"/>
      <c r="I155" s="2"/>
      <c r="J155" s="2"/>
      <c r="K155" s="5"/>
      <c r="L155" s="2"/>
    </row>
    <row r="156" spans="1:12" ht="12.75">
      <c r="A156" s="265">
        <f t="shared" si="84"/>
        <v>2012</v>
      </c>
      <c r="B156" s="8">
        <f>D102-C156</f>
        <v>-1.3858766578778159E-08</v>
      </c>
      <c r="C156" s="2">
        <f>D$102</f>
        <v>637.587502499599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ht="12.75">
      <c r="A157" s="265">
        <f t="shared" si="84"/>
        <v>2013</v>
      </c>
      <c r="B157" s="8">
        <f>E102-C157</f>
        <v>-3.159902917104773E-08</v>
      </c>
      <c r="C157" s="2">
        <f>E$102</f>
        <v>632.8514954097755</v>
      </c>
      <c r="D157" s="2"/>
      <c r="E157" s="2"/>
      <c r="F157" s="2"/>
      <c r="G157" s="2"/>
      <c r="H157" s="2"/>
      <c r="I157" s="2"/>
      <c r="J157" s="2"/>
      <c r="K157" s="5"/>
      <c r="L157" s="2"/>
    </row>
    <row r="158" spans="1:12" ht="12.75">
      <c r="A158" s="265">
        <f t="shared" si="84"/>
        <v>2014</v>
      </c>
      <c r="B158" s="8">
        <f>F102-C158</f>
        <v>-6.342929737002123E-08</v>
      </c>
      <c r="C158" s="2">
        <f>F$102</f>
        <v>715.9912121927935</v>
      </c>
      <c r="D158" s="2"/>
      <c r="E158" s="2"/>
      <c r="F158" s="2"/>
      <c r="G158" s="2"/>
      <c r="H158" s="2"/>
      <c r="I158" s="2"/>
      <c r="J158" s="2"/>
      <c r="K158" s="5"/>
      <c r="L158" s="2"/>
    </row>
    <row r="159" spans="1:12" ht="12.75">
      <c r="A159" s="265">
        <f t="shared" si="84"/>
        <v>2015</v>
      </c>
      <c r="B159" s="8">
        <f>G102-C159</f>
        <v>-5.847902468758548E-05</v>
      </c>
      <c r="C159" s="2">
        <f>G$102</f>
        <v>806.4163554214839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ht="12.75">
      <c r="A160" s="265">
        <f t="shared" si="84"/>
        <v>2016</v>
      </c>
      <c r="B160" s="8">
        <f>H102-C160</f>
        <v>-0.00018192733227806457</v>
      </c>
      <c r="C160" s="2">
        <f>H$102</f>
        <v>797.2763199222543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ht="12.75">
      <c r="A161" s="265">
        <f t="shared" si="84"/>
        <v>2017</v>
      </c>
      <c r="B161" s="8">
        <f>I102-C161</f>
        <v>-0.0002919749387046977</v>
      </c>
      <c r="C161" s="2">
        <f>I$102</f>
        <v>867.1935904308482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ht="12.75">
      <c r="A162" s="265">
        <f t="shared" si="84"/>
        <v>2018</v>
      </c>
      <c r="B162" s="8">
        <f>J102-C162</f>
        <v>-0.0003737823535630014</v>
      </c>
      <c r="C162" s="2">
        <f>J$102</f>
        <v>951.0245025997162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ht="12.75">
      <c r="A163" s="265"/>
      <c r="B163" s="8"/>
      <c r="C163" s="2"/>
      <c r="D163" s="2"/>
      <c r="E163" s="2"/>
      <c r="F163" s="2"/>
      <c r="G163" s="2"/>
      <c r="H163" s="2"/>
      <c r="I163" s="2"/>
      <c r="J163" s="2"/>
      <c r="K163" s="5"/>
      <c r="L163" s="2"/>
    </row>
    <row r="164" spans="1:12" ht="12.75">
      <c r="A164" s="266" t="s">
        <v>131</v>
      </c>
      <c r="B164" s="3"/>
      <c r="C164" s="2"/>
      <c r="D164" s="2"/>
      <c r="E164" s="2"/>
      <c r="F164" s="2"/>
      <c r="G164" s="2"/>
      <c r="H164" s="2"/>
      <c r="I164" s="2"/>
      <c r="J164" s="2"/>
      <c r="K164" s="5"/>
      <c r="L164" s="2"/>
    </row>
    <row r="165" spans="1:12" ht="12.75">
      <c r="A165" s="52" t="s">
        <v>132</v>
      </c>
      <c r="B165" s="2" t="s">
        <v>129</v>
      </c>
      <c r="C165" s="82" t="s">
        <v>133</v>
      </c>
      <c r="D165" s="2"/>
      <c r="E165" s="2"/>
      <c r="F165" s="2"/>
      <c r="G165" s="2"/>
      <c r="H165" s="2"/>
      <c r="I165" s="2"/>
      <c r="J165" s="2"/>
      <c r="K165" s="5"/>
      <c r="L165" s="2"/>
    </row>
    <row r="166" spans="1:12" ht="12.75">
      <c r="A166" s="265">
        <f aca="true" t="shared" si="85" ref="A166:A174">A154</f>
        <v>2010</v>
      </c>
      <c r="B166" s="8">
        <f>$C166-B$65</f>
        <v>0</v>
      </c>
      <c r="C166" s="2">
        <f>B$38</f>
        <v>20146</v>
      </c>
      <c r="D166" s="2"/>
      <c r="E166" s="2"/>
      <c r="F166" s="2"/>
      <c r="G166" s="2"/>
      <c r="H166" s="2"/>
      <c r="I166" s="2"/>
      <c r="J166" s="2"/>
      <c r="K166" s="5"/>
      <c r="L166" s="2"/>
    </row>
    <row r="167" spans="1:12" ht="12.75">
      <c r="A167" s="265">
        <f t="shared" si="85"/>
        <v>2011</v>
      </c>
      <c r="B167" s="8">
        <f>$C167-C$65</f>
        <v>1.7317652236670256E-06</v>
      </c>
      <c r="C167" s="2">
        <f>C$38</f>
        <v>20667.772976445845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ht="12.75">
      <c r="A168" s="265">
        <f t="shared" si="85"/>
        <v>2012</v>
      </c>
      <c r="B168" s="8">
        <f>$C168-D$65</f>
        <v>5.749931005993858E-06</v>
      </c>
      <c r="C168" s="2">
        <f>D$38</f>
        <v>22307.247605740013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ht="12.75">
      <c r="A169" s="265">
        <f t="shared" si="85"/>
        <v>2013</v>
      </c>
      <c r="B169" s="8">
        <f>$C169-E$65</f>
        <v>1.1524403817020357E-05</v>
      </c>
      <c r="C169" s="2">
        <f>E$38</f>
        <v>24115.189654205184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ht="12.75">
      <c r="A170" s="265">
        <f t="shared" si="85"/>
        <v>2014</v>
      </c>
      <c r="B170" s="8">
        <f>$C170-F$65</f>
        <v>2.120654608006589E-05</v>
      </c>
      <c r="C170" s="2">
        <f>F$38</f>
        <v>25157.788123896553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ht="12.75">
      <c r="A171" s="265">
        <f t="shared" si="85"/>
        <v>2015</v>
      </c>
      <c r="B171" s="8">
        <f>$C171-G$65</f>
        <v>0.0289444987756724</v>
      </c>
      <c r="C171" s="2">
        <f>G$38</f>
        <v>25435.77917336366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ht="12.75">
      <c r="A172" s="265">
        <f t="shared" si="85"/>
        <v>2016</v>
      </c>
      <c r="B172" s="8">
        <f>$C172-H$65</f>
        <v>0.06699830175057286</v>
      </c>
      <c r="C172" s="2">
        <f>H$38</f>
        <v>26316.396908106188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ht="12.75">
      <c r="A173" s="265">
        <f t="shared" si="85"/>
        <v>2017</v>
      </c>
      <c r="B173" s="8">
        <f>$C173-I$65</f>
        <v>0.08730379558255663</v>
      </c>
      <c r="C173" s="2">
        <f>I$38</f>
        <v>26095.253832692775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ht="12.75">
      <c r="A174" s="265">
        <f t="shared" si="85"/>
        <v>2018</v>
      </c>
      <c r="B174" s="8">
        <f>$C174-J$65</f>
        <v>0.1107265654427465</v>
      </c>
      <c r="C174" s="2">
        <f>J$38</f>
        <v>26491.02458234109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3:11" ht="12.75">
      <c r="C202" s="2"/>
      <c r="D202" s="2"/>
      <c r="E202" s="2"/>
      <c r="F202" s="2"/>
      <c r="G202" s="2"/>
      <c r="H202" s="2"/>
      <c r="I202" s="2"/>
      <c r="J202" s="2"/>
      <c r="K202" s="5"/>
    </row>
  </sheetData>
  <sheetProtection/>
  <printOptions horizontalCentered="1"/>
  <pageMargins left="0.5" right="0.5" top="0.59" bottom="1" header="0.5" footer="0.5"/>
  <pageSetup fitToHeight="2" horizontalDpi="600" verticalDpi="600" orientation="portrait" scale="56" r:id="rId1"/>
  <rowBreaks count="1" manualBreakCount="1">
    <brk id="68" max="23" man="1"/>
  </rowBreaks>
  <colBreaks count="1" manualBreakCount="1">
    <brk id="12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6">
      <selection activeCell="C19" sqref="C19"/>
    </sheetView>
  </sheetViews>
  <sheetFormatPr defaultColWidth="9.140625" defaultRowHeight="12.75"/>
  <cols>
    <col min="1" max="1" width="25.140625" style="52" customWidth="1"/>
    <col min="2" max="3" width="12.7109375" style="52" customWidth="1"/>
    <col min="4" max="4" width="26.421875" style="125" customWidth="1"/>
    <col min="5" max="5" width="38.00390625" style="114" customWidth="1"/>
    <col min="6" max="6" width="10.7109375" style="52" hidden="1" customWidth="1"/>
    <col min="7" max="15" width="10.7109375" style="52" customWidth="1"/>
    <col min="16" max="25" width="9.140625" style="52" customWidth="1"/>
    <col min="27" max="53" width="9.140625" style="52" customWidth="1"/>
  </cols>
  <sheetData>
    <row r="1" ht="12.75">
      <c r="A1" s="52" t="s">
        <v>134</v>
      </c>
    </row>
    <row r="2" spans="1:5" ht="12.75">
      <c r="A2" s="52" t="s">
        <v>135</v>
      </c>
      <c r="D2" s="125" t="s">
        <v>183</v>
      </c>
      <c r="E2" s="114" t="s">
        <v>184</v>
      </c>
    </row>
    <row r="4" spans="1:6" ht="12.75">
      <c r="A4" s="119" t="s">
        <v>136</v>
      </c>
      <c r="B4" s="119"/>
      <c r="C4" s="120">
        <v>0.5</v>
      </c>
      <c r="D4" s="128" t="s">
        <v>224</v>
      </c>
      <c r="E4" s="272" t="s">
        <v>185</v>
      </c>
      <c r="F4" s="55"/>
    </row>
    <row r="5" spans="1:6" ht="12.75">
      <c r="A5" s="119" t="s">
        <v>148</v>
      </c>
      <c r="B5" s="119"/>
      <c r="C5" s="271">
        <v>2</v>
      </c>
      <c r="D5" s="128" t="s">
        <v>186</v>
      </c>
      <c r="E5" s="115"/>
      <c r="F5" s="55"/>
    </row>
    <row r="6" spans="1:13" ht="25.5">
      <c r="A6" s="119" t="s">
        <v>137</v>
      </c>
      <c r="B6" s="119"/>
      <c r="C6" s="120">
        <v>0.025</v>
      </c>
      <c r="E6" s="115" t="s">
        <v>144</v>
      </c>
      <c r="F6" s="84">
        <f>Historical!F9</f>
        <v>2004</v>
      </c>
      <c r="G6" s="84"/>
      <c r="H6" s="84">
        <f>Historical!H9</f>
        <v>2006</v>
      </c>
      <c r="I6" s="84">
        <f>Historical!I9</f>
        <v>2007</v>
      </c>
      <c r="J6" s="84">
        <f>Historical!J9</f>
        <v>2008</v>
      </c>
      <c r="K6" s="84">
        <f>Historical!K9</f>
        <v>2009</v>
      </c>
      <c r="L6" s="84">
        <f>Historical!L9</f>
        <v>2010</v>
      </c>
      <c r="M6" s="135" t="s">
        <v>197</v>
      </c>
    </row>
    <row r="7" spans="1:13" ht="12.75">
      <c r="A7" s="119" t="s">
        <v>138</v>
      </c>
      <c r="B7" s="119"/>
      <c r="C7" s="120">
        <v>0.32</v>
      </c>
      <c r="E7" s="115" t="s">
        <v>233</v>
      </c>
      <c r="F7" s="55">
        <f>Historical!F96/Historical!F93</f>
        <v>0.36721728081321503</v>
      </c>
      <c r="G7" s="55"/>
      <c r="H7" s="55">
        <f>Historical!H96/Historical!H93</f>
        <v>0.35600785574004673</v>
      </c>
      <c r="I7" s="55">
        <f>Historical!I96/Historical!I93</f>
        <v>0.3308270676691729</v>
      </c>
      <c r="J7" s="55">
        <f>Historical!J96/Historical!J93</f>
        <v>0.3385490753911807</v>
      </c>
      <c r="K7" s="55">
        <f>Historical!K96/Historical!K93</f>
        <v>0.29846938775510207</v>
      </c>
      <c r="L7" s="55">
        <f>Historical!L96/Historical!L93</f>
        <v>0.27155727155727155</v>
      </c>
      <c r="M7" s="55">
        <f>AVERAGE(H7:L7)</f>
        <v>0.31908213162255483</v>
      </c>
    </row>
    <row r="8" spans="1:5" ht="12.75">
      <c r="A8" s="119" t="s">
        <v>210</v>
      </c>
      <c r="B8" s="119"/>
      <c r="C8" s="120">
        <v>0.05</v>
      </c>
      <c r="E8" s="115"/>
    </row>
    <row r="9" spans="1:5" ht="12.75">
      <c r="A9" s="121" t="s">
        <v>146</v>
      </c>
      <c r="B9" s="119"/>
      <c r="C9" s="120">
        <v>0.02</v>
      </c>
      <c r="E9" s="115"/>
    </row>
    <row r="10" spans="1:6" ht="12.75">
      <c r="A10" s="119" t="s">
        <v>145</v>
      </c>
      <c r="B10" s="119"/>
      <c r="C10" s="120">
        <v>0.045</v>
      </c>
      <c r="E10" s="115"/>
      <c r="F10" s="55"/>
    </row>
    <row r="11" spans="1:6" ht="12.75">
      <c r="A11" s="119" t="s">
        <v>147</v>
      </c>
      <c r="B11" s="119"/>
      <c r="C11" s="120">
        <v>0.03</v>
      </c>
      <c r="E11" s="115"/>
      <c r="F11" s="55"/>
    </row>
    <row r="12" spans="1:3" ht="12.75">
      <c r="A12" s="119"/>
      <c r="B12" s="119"/>
      <c r="C12" s="119"/>
    </row>
    <row r="13" spans="1:13" ht="12.75">
      <c r="A13" s="193" t="str">
        <f>Historical!A11</f>
        <v>Current Assets:</v>
      </c>
      <c r="B13" s="119"/>
      <c r="C13" s="120"/>
      <c r="D13" s="126"/>
      <c r="E13" s="133"/>
      <c r="M13" s="130"/>
    </row>
    <row r="14" spans="1:14" ht="12.75">
      <c r="A14" s="52" t="str">
        <f>Historical!A12</f>
        <v>Cash &amp; Equivalents</v>
      </c>
      <c r="B14" s="119"/>
      <c r="C14" s="120">
        <f>AVERAGE(J14:L14)</f>
        <v>0.015454122357757222</v>
      </c>
      <c r="D14" s="125" t="s">
        <v>194</v>
      </c>
      <c r="E14" s="273" t="s">
        <v>195</v>
      </c>
      <c r="F14" s="55">
        <f>Historical!F12/Historical!F76</f>
        <v>0.018312724996087024</v>
      </c>
      <c r="G14" s="55"/>
      <c r="H14" s="55">
        <f>Historical!H12/Historical!H76</f>
        <v>0.030692637359817282</v>
      </c>
      <c r="I14" s="55">
        <f>Historical!I12/Historical!I76</f>
        <v>0.05354626585251292</v>
      </c>
      <c r="J14" s="55">
        <f>Historical!J12/Historical!J76</f>
        <v>0.013116940862605602</v>
      </c>
      <c r="K14" s="55">
        <f>Historical!K12/Historical!K76</f>
        <v>0.026250841373120934</v>
      </c>
      <c r="L14" s="55">
        <f>Historical!L12/Historical!L76</f>
        <v>0.006994584837545126</v>
      </c>
      <c r="M14" s="55">
        <f>AVERAGE(J14:L14)</f>
        <v>0.015454122357757222</v>
      </c>
      <c r="N14" s="55"/>
    </row>
    <row r="15" spans="1:5" ht="12.75">
      <c r="A15" s="52" t="s">
        <v>141</v>
      </c>
      <c r="B15" s="119"/>
      <c r="C15" s="120"/>
      <c r="D15" s="273" t="s">
        <v>189</v>
      </c>
      <c r="E15" s="126"/>
    </row>
    <row r="16" spans="1:14" ht="12.75">
      <c r="A16" s="52" t="str">
        <f>Historical!A13</f>
        <v>Accounts Receivable</v>
      </c>
      <c r="B16" s="119"/>
      <c r="C16" s="120">
        <f>N16</f>
        <v>0.13822291420421354</v>
      </c>
      <c r="D16" s="125" t="s">
        <v>239</v>
      </c>
      <c r="E16" s="116"/>
      <c r="F16" s="120">
        <f>Historical!F13/Historical!F76</f>
        <v>0.07359524182188136</v>
      </c>
      <c r="G16" s="120"/>
      <c r="H16" s="120">
        <f>Historical!H13/Historical!H76</f>
        <v>0.06846819103343856</v>
      </c>
      <c r="I16" s="120">
        <f>Historical!I13/Historical!I76</f>
        <v>0.1369187411930484</v>
      </c>
      <c r="J16" s="120">
        <f>Historical!J13/Historical!J76</f>
        <v>0.13539350822587817</v>
      </c>
      <c r="K16" s="120">
        <f>Historical!K13/Historical!K76</f>
        <v>0.1388826564954005</v>
      </c>
      <c r="L16" s="120">
        <f>Historical!L13/Historical!L76</f>
        <v>0.14169675090252706</v>
      </c>
      <c r="M16" s="55">
        <f>AVERAGE(H16:L16)</f>
        <v>0.12427196957005852</v>
      </c>
      <c r="N16" s="55">
        <f>AVERAGE(I16:L16)</f>
        <v>0.13822291420421354</v>
      </c>
    </row>
    <row r="17" spans="1:13" ht="12.75">
      <c r="A17" s="52" t="str">
        <f>Historical!A14</f>
        <v>Material, Supplies, Fuel</v>
      </c>
      <c r="B17" s="119"/>
      <c r="C17" s="120">
        <v>0.0275</v>
      </c>
      <c r="D17" s="125" t="s">
        <v>209</v>
      </c>
      <c r="E17" s="117"/>
      <c r="F17" s="84"/>
      <c r="G17" s="84"/>
      <c r="H17" s="84"/>
      <c r="I17" s="84"/>
      <c r="J17" s="84"/>
      <c r="K17" s="84"/>
      <c r="L17" s="113"/>
      <c r="M17" s="112"/>
    </row>
    <row r="18" spans="1:14" ht="12.75">
      <c r="A18" s="52" t="str">
        <f>Historical!A15</f>
        <v>Other Current Assets</v>
      </c>
      <c r="B18" s="119"/>
      <c r="C18" s="120">
        <f>Historical!AC15</f>
        <v>0.026416483847788243</v>
      </c>
      <c r="D18" s="273" t="s">
        <v>238</v>
      </c>
      <c r="E18" s="116"/>
      <c r="F18" s="55"/>
      <c r="G18" s="55"/>
      <c r="H18" s="55"/>
      <c r="I18" s="55"/>
      <c r="J18" s="55"/>
      <c r="K18" s="55"/>
      <c r="L18" s="55"/>
      <c r="M18" s="55"/>
      <c r="N18" s="101"/>
    </row>
    <row r="19" spans="1:13" ht="12.75">
      <c r="A19" s="52" t="str">
        <f>Historical!A16</f>
        <v>Total Current Assets</v>
      </c>
      <c r="B19" s="119"/>
      <c r="C19" s="120"/>
      <c r="D19" s="273" t="s">
        <v>189</v>
      </c>
      <c r="E19" s="116"/>
      <c r="F19" s="55"/>
      <c r="G19" s="55"/>
      <c r="H19" s="55"/>
      <c r="I19" s="55"/>
      <c r="J19" s="55"/>
      <c r="K19" s="55"/>
      <c r="L19" s="55"/>
      <c r="M19" s="55"/>
    </row>
    <row r="20" spans="2:3" ht="12.75">
      <c r="B20" s="119"/>
      <c r="C20" s="120"/>
    </row>
    <row r="21" spans="1:3" ht="12.75">
      <c r="A21" s="193" t="str">
        <f>Historical!A18</f>
        <v>Plant &amp; Equipment:</v>
      </c>
      <c r="B21" s="119"/>
      <c r="C21" s="119"/>
    </row>
    <row r="22" spans="1:4" ht="12.75">
      <c r="A22" s="52" t="str">
        <f>Historical!A19</f>
        <v>Plant in Service</v>
      </c>
      <c r="B22" s="119"/>
      <c r="C22" s="120">
        <f>Historical!N19</f>
        <v>0.08277018790155305</v>
      </c>
      <c r="D22" s="125" t="s">
        <v>190</v>
      </c>
    </row>
    <row r="23" spans="1:12" ht="12.75">
      <c r="A23" s="52" t="str">
        <f>Historical!A20</f>
        <v>Construction Work in Progress</v>
      </c>
      <c r="B23" s="119"/>
      <c r="C23" s="122">
        <v>1200</v>
      </c>
      <c r="D23" s="125" t="s">
        <v>191</v>
      </c>
      <c r="F23" s="84"/>
      <c r="G23" s="84"/>
      <c r="H23" s="84"/>
      <c r="I23" s="84"/>
      <c r="J23" s="84"/>
      <c r="K23" s="84"/>
      <c r="L23" s="112"/>
    </row>
    <row r="24" spans="1:14" ht="24" customHeight="1" hidden="1">
      <c r="A24" s="52" t="str">
        <f>Historical!A21</f>
        <v>Australian Electric Operations</v>
      </c>
      <c r="B24" s="119"/>
      <c r="C24" s="122">
        <v>0</v>
      </c>
      <c r="D24" s="126"/>
      <c r="F24" s="55"/>
      <c r="G24" s="55"/>
      <c r="H24" s="55"/>
      <c r="I24" s="55"/>
      <c r="J24" s="55"/>
      <c r="K24" s="55"/>
      <c r="L24" s="55"/>
      <c r="M24" s="55"/>
      <c r="N24" s="55"/>
    </row>
    <row r="25" spans="1:3" ht="12.75" hidden="1">
      <c r="A25" s="52" t="str">
        <f>Historical!A22</f>
        <v>Other PP&amp;E</v>
      </c>
      <c r="B25" s="119"/>
      <c r="C25" s="122">
        <v>0</v>
      </c>
    </row>
    <row r="26" spans="1:4" ht="12.75">
      <c r="A26" s="52" t="str">
        <f>Historical!A23</f>
        <v>Total Plant &amp; Equipment:</v>
      </c>
      <c r="B26" s="119"/>
      <c r="C26" s="119"/>
      <c r="D26" s="273" t="s">
        <v>189</v>
      </c>
    </row>
    <row r="27" spans="1:13" ht="25.5">
      <c r="A27" s="52" t="str">
        <f>Historical!A25</f>
        <v>Accumulated Depreciation &amp; Amort.</v>
      </c>
      <c r="B27" s="119"/>
      <c r="C27" s="120"/>
      <c r="D27" s="125" t="s">
        <v>234</v>
      </c>
      <c r="F27" s="55">
        <f>Historical!F25/Historical!F19</f>
        <v>0.37079375651569557</v>
      </c>
      <c r="G27" s="55"/>
      <c r="H27" s="55">
        <f>Historical!H25/Historical!H19</f>
        <v>0.3715634601123</v>
      </c>
      <c r="I27" s="55">
        <f>Historical!I25/Historical!I19</f>
        <v>0.35999764899494535</v>
      </c>
      <c r="J27" s="55">
        <f>Historical!J25/Historical!J19</f>
        <v>0.33237989300280735</v>
      </c>
      <c r="K27" s="55">
        <f>Historical!K25/Historical!K19</f>
        <v>0.32577471716674866</v>
      </c>
      <c r="L27" s="55">
        <f>Historical!L25/Historical!L19</f>
        <v>0.3016247617318689</v>
      </c>
      <c r="M27" s="55">
        <f>AVERAGE(H27:L27)</f>
        <v>0.3382680962017341</v>
      </c>
    </row>
    <row r="28" spans="1:5" ht="12.75">
      <c r="A28" s="52" t="str">
        <f>Historical!A27</f>
        <v>Net Plant &amp; Equipment</v>
      </c>
      <c r="B28" s="119"/>
      <c r="C28" s="120"/>
      <c r="D28" s="273" t="s">
        <v>189</v>
      </c>
      <c r="E28" s="116"/>
    </row>
    <row r="29" spans="2:5" ht="12.75">
      <c r="B29" s="119"/>
      <c r="C29" s="120"/>
      <c r="D29" s="273"/>
      <c r="E29" s="116"/>
    </row>
    <row r="30" spans="1:3" ht="12.75">
      <c r="A30" s="193" t="str">
        <f>Historical!A29</f>
        <v>Other Assets:</v>
      </c>
      <c r="B30" s="119"/>
      <c r="C30" s="119"/>
    </row>
    <row r="31" spans="1:7" ht="12.75">
      <c r="A31" s="52" t="str">
        <f>Historical!A30</f>
        <v>Regulatory Assets</v>
      </c>
      <c r="B31" s="119"/>
      <c r="C31" s="57">
        <v>0.0275</v>
      </c>
      <c r="D31" s="125" t="s">
        <v>192</v>
      </c>
      <c r="G31" s="55">
        <f>RATE(2,,-Historical!J30,Historical!L30)</f>
        <v>0.02763538415466365</v>
      </c>
    </row>
    <row r="32" spans="1:12" ht="12.75" hidden="1">
      <c r="A32" s="52" t="str">
        <f>Historical!A31</f>
        <v>Intangible Assets-net</v>
      </c>
      <c r="B32" s="119"/>
      <c r="C32" s="119"/>
      <c r="F32" s="84"/>
      <c r="G32" s="84"/>
      <c r="H32" s="84"/>
      <c r="I32" s="84"/>
      <c r="J32" s="84"/>
      <c r="K32" s="84"/>
      <c r="L32" s="84"/>
    </row>
    <row r="33" spans="1:13" ht="12" customHeight="1">
      <c r="A33" s="52" t="str">
        <f>Historical!A32</f>
        <v>Financial Assets/Derivatives</v>
      </c>
      <c r="B33" s="119"/>
      <c r="C33" s="120">
        <f>AVERAGE(Historical!Y32:AA32)</f>
        <v>0.0025745217623037065</v>
      </c>
      <c r="D33" s="125" t="s">
        <v>187</v>
      </c>
      <c r="E33" s="117" t="s">
        <v>193</v>
      </c>
      <c r="F33" s="55"/>
      <c r="G33" s="55"/>
      <c r="H33" s="55"/>
      <c r="I33" s="55"/>
      <c r="J33" s="55"/>
      <c r="K33" s="55"/>
      <c r="L33" s="55"/>
      <c r="M33" s="55"/>
    </row>
    <row r="34" spans="1:13" ht="12.75" hidden="1">
      <c r="A34" s="52" t="str">
        <f>Historical!A33</f>
        <v>Investments in Affiliates</v>
      </c>
      <c r="B34" s="119"/>
      <c r="C34" s="120"/>
      <c r="D34" s="125" t="s">
        <v>187</v>
      </c>
      <c r="E34" s="116"/>
      <c r="F34" s="55"/>
      <c r="G34" s="55"/>
      <c r="H34" s="55"/>
      <c r="I34" s="55"/>
      <c r="J34" s="55"/>
      <c r="K34" s="55"/>
      <c r="L34" s="55"/>
      <c r="M34" s="55"/>
    </row>
    <row r="35" spans="1:15" ht="12.75">
      <c r="A35" s="52" t="str">
        <f>Historical!A34</f>
        <v>Deferred Charges and Other</v>
      </c>
      <c r="B35" s="119"/>
      <c r="C35" s="120">
        <v>0.0177</v>
      </c>
      <c r="D35" s="125" t="s">
        <v>187</v>
      </c>
      <c r="E35" s="114" t="s">
        <v>222</v>
      </c>
      <c r="O35"/>
    </row>
    <row r="36" spans="1:12" ht="12.75">
      <c r="A36" s="52" t="str">
        <f>Historical!A35</f>
        <v>Total Other Assets</v>
      </c>
      <c r="B36" s="119"/>
      <c r="C36" s="120"/>
      <c r="D36" s="273" t="s">
        <v>189</v>
      </c>
      <c r="E36" s="116"/>
      <c r="L36"/>
    </row>
    <row r="37" spans="1:13" ht="12.75">
      <c r="A37" s="52" t="str">
        <f>Historical!A36</f>
        <v>Total Non-Current Assets</v>
      </c>
      <c r="B37" s="119"/>
      <c r="C37" s="119"/>
      <c r="D37" s="273" t="s">
        <v>189</v>
      </c>
      <c r="F37" s="84"/>
      <c r="G37" s="84"/>
      <c r="H37" s="84"/>
      <c r="I37" s="84"/>
      <c r="J37" s="84"/>
      <c r="K37" s="84"/>
      <c r="L37" s="84"/>
      <c r="M37" s="132"/>
    </row>
    <row r="38" spans="1:14" ht="12.75">
      <c r="A38" s="193" t="str">
        <f>Historical!A37</f>
        <v>Total Assets</v>
      </c>
      <c r="B38" s="119"/>
      <c r="C38" s="119"/>
      <c r="D38" s="273" t="s">
        <v>189</v>
      </c>
      <c r="E38" s="116"/>
      <c r="F38" s="119"/>
      <c r="G38" s="119"/>
      <c r="H38" s="119"/>
      <c r="I38" s="119"/>
      <c r="J38" s="119"/>
      <c r="K38" s="119"/>
      <c r="L38" s="119"/>
      <c r="M38" s="119"/>
      <c r="N38" s="120"/>
    </row>
    <row r="39" spans="2:14" ht="12.75">
      <c r="B39" s="119"/>
      <c r="C39" s="119"/>
      <c r="D39" s="126"/>
      <c r="E39" s="116"/>
      <c r="F39" s="119"/>
      <c r="G39" s="119"/>
      <c r="H39" s="119"/>
      <c r="I39" s="119"/>
      <c r="J39" s="119"/>
      <c r="K39" s="119"/>
      <c r="L39" s="119"/>
      <c r="M39" s="119"/>
      <c r="N39" s="120"/>
    </row>
    <row r="40" spans="1:13" ht="12.75">
      <c r="A40" s="52" t="str">
        <f>Historical!A40</f>
        <v>Current Liabilities:</v>
      </c>
      <c r="B40" s="119"/>
      <c r="C40" s="120"/>
      <c r="E40" s="116"/>
      <c r="F40" s="84">
        <f>F6</f>
        <v>2004</v>
      </c>
      <c r="G40" s="84"/>
      <c r="H40" s="84">
        <f aca="true" t="shared" si="0" ref="H40:M40">H6</f>
        <v>2006</v>
      </c>
      <c r="I40" s="84">
        <f t="shared" si="0"/>
        <v>2007</v>
      </c>
      <c r="J40" s="84">
        <f t="shared" si="0"/>
        <v>2008</v>
      </c>
      <c r="K40" s="84">
        <f t="shared" si="0"/>
        <v>2009</v>
      </c>
      <c r="L40" s="84">
        <f t="shared" si="0"/>
        <v>2010</v>
      </c>
      <c r="M40" s="113" t="str">
        <f t="shared" si="0"/>
        <v>average </v>
      </c>
    </row>
    <row r="41" spans="1:13" ht="12.75">
      <c r="A41" s="52" t="str">
        <f>Historical!A41</f>
        <v>Current Maturities LTD</v>
      </c>
      <c r="B41" s="119"/>
      <c r="C41" s="120">
        <f>M41</f>
        <v>0.05511898520577554</v>
      </c>
      <c r="D41" s="125" t="s">
        <v>196</v>
      </c>
      <c r="F41" s="55">
        <f>Historical!F41/Historical!F49</f>
        <v>0.06817794443497528</v>
      </c>
      <c r="G41" s="55"/>
      <c r="H41" s="55">
        <f>Historical!H41/(Historical!H49)</f>
        <v>0.0582907820478366</v>
      </c>
      <c r="I41" s="55">
        <f>Historical!I41/(Historical!I49)</f>
        <v>0.08710288239006943</v>
      </c>
      <c r="J41" s="55">
        <f>Historical!J41/(Historical!J49)</f>
        <v>0.02654867256637168</v>
      </c>
      <c r="K41" s="55">
        <f>Historical!K41/(Historical!K49)</f>
        <v>0.0025</v>
      </c>
      <c r="L41" s="55">
        <f>Historical!L41/(Historical!L49)</f>
        <v>0.10115258902460003</v>
      </c>
      <c r="M41" s="55">
        <f>AVERAGE(H41:L41)</f>
        <v>0.05511898520577554</v>
      </c>
    </row>
    <row r="42" spans="1:13" ht="25.5">
      <c r="A42" s="52" t="str">
        <f>Historical!A42</f>
        <v>Short-term Debt</v>
      </c>
      <c r="B42" s="119"/>
      <c r="C42" s="120"/>
      <c r="D42" s="125" t="s">
        <v>211</v>
      </c>
      <c r="M42" s="55"/>
    </row>
    <row r="43" spans="1:13" ht="12.75">
      <c r="A43" s="52" t="str">
        <f>Historical!A43</f>
        <v>Accounts Payable</v>
      </c>
      <c r="B43" s="123"/>
      <c r="C43" s="120">
        <v>0.12</v>
      </c>
      <c r="D43" s="125" t="s">
        <v>188</v>
      </c>
      <c r="E43" s="115"/>
      <c r="F43" s="55">
        <f>Historical!F43/Historical!F76</f>
        <v>0.08220378776021288</v>
      </c>
      <c r="G43" s="55"/>
      <c r="H43" s="55">
        <f>Historical!H43/Historical!H76</f>
        <v>0.09271948058613699</v>
      </c>
      <c r="I43" s="55">
        <f>Historical!I43/Historical!I76</f>
        <v>0.10591827148896195</v>
      </c>
      <c r="J43" s="55">
        <f>Historical!J43/Historical!J76</f>
        <v>0.16829702089817697</v>
      </c>
      <c r="K43" s="55">
        <f>Historical!K43/Historical!K76</f>
        <v>0.1240744895669733</v>
      </c>
      <c r="L43" s="55">
        <f>Historical!L43/Historical!L76</f>
        <v>0.10807761732851985</v>
      </c>
      <c r="M43" s="55">
        <f>AVERAGE(H43:L43)</f>
        <v>0.11981737597375382</v>
      </c>
    </row>
    <row r="44" spans="1:13" ht="12.75">
      <c r="A44" s="52" t="str">
        <f>Historical!A44</f>
        <v>Accrued Expenses</v>
      </c>
      <c r="B44" s="123"/>
      <c r="C44" s="120">
        <f>AVERAGE(I44:L44)</f>
        <v>0.01303285933370617</v>
      </c>
      <c r="D44" s="125" t="s">
        <v>223</v>
      </c>
      <c r="E44" s="115"/>
      <c r="G44" s="55"/>
      <c r="H44" s="55">
        <f>Historical!H44/Historical!H$37</f>
        <v>0.02751486493916568</v>
      </c>
      <c r="I44" s="55">
        <f>Historical!I44/Historical!I$37</f>
        <v>0.012209029315086871</v>
      </c>
      <c r="J44" s="55">
        <f>Historical!J44/Historical!J$37</f>
        <v>0.013922059765829789</v>
      </c>
      <c r="K44" s="55">
        <f>Historical!K44/Historical!K$37</f>
        <v>0.01339238637561953</v>
      </c>
      <c r="L44" s="55">
        <f>Historical!L44/Historical!L$37</f>
        <v>0.012607961878288493</v>
      </c>
      <c r="M44" s="55">
        <f>AVERAGE(H44:L44)</f>
        <v>0.015929260454798075</v>
      </c>
    </row>
    <row r="45" spans="1:13" ht="12.75">
      <c r="A45" s="52" t="str">
        <f>Historical!A45</f>
        <v>Derivative Contacts</v>
      </c>
      <c r="B45" s="123"/>
      <c r="C45" s="120">
        <v>0.02</v>
      </c>
      <c r="D45" s="125" t="s">
        <v>188</v>
      </c>
      <c r="E45" s="115"/>
      <c r="F45" s="55">
        <f>Historical!F45/Historical!F76</f>
        <v>0</v>
      </c>
      <c r="G45" s="55"/>
      <c r="H45" s="55">
        <f>Historical!H45/Historical!H76</f>
        <v>0</v>
      </c>
      <c r="I45" s="55">
        <f>Historical!I45/Historical!I76</f>
        <v>0.027477689055894785</v>
      </c>
      <c r="J45" s="55">
        <f>Historical!J45/Historical!J76</f>
        <v>0.028901734104046242</v>
      </c>
      <c r="K45" s="55">
        <f>Historical!K45/Historical!K76</f>
        <v>0.019071124074489566</v>
      </c>
      <c r="L45" s="55">
        <f>Historical!L45/Historical!L76</f>
        <v>0.01895306859205776</v>
      </c>
      <c r="M45" s="55">
        <f>AVERAGE(H45:L45)</f>
        <v>0.01888072316529767</v>
      </c>
    </row>
    <row r="46" spans="1:13" ht="12.75">
      <c r="A46" s="52" t="str">
        <f>Historical!A46</f>
        <v>Other </v>
      </c>
      <c r="B46" s="123"/>
      <c r="C46" s="120">
        <f>Historical!AC46</f>
        <v>0.006735202395691951</v>
      </c>
      <c r="D46" s="125" t="s">
        <v>140</v>
      </c>
      <c r="E46" s="115"/>
      <c r="M46" s="55"/>
    </row>
    <row r="47" spans="1:11" ht="12.75">
      <c r="A47" s="193" t="str">
        <f>Historical!A47</f>
        <v>Total Current Liabilities</v>
      </c>
      <c r="B47" s="123"/>
      <c r="C47" s="120"/>
      <c r="D47" s="273" t="s">
        <v>189</v>
      </c>
      <c r="E47" s="115"/>
      <c r="F47" s="84"/>
      <c r="G47" s="84"/>
      <c r="H47" s="84"/>
      <c r="I47" s="84"/>
      <c r="J47" s="84"/>
      <c r="K47" s="84"/>
    </row>
    <row r="48" spans="2:13" ht="12.75">
      <c r="B48" s="123"/>
      <c r="C48" s="120"/>
      <c r="F48" s="84">
        <f>F40</f>
        <v>2004</v>
      </c>
      <c r="G48" s="84"/>
      <c r="H48" s="84">
        <f aca="true" t="shared" si="1" ref="H48:M48">H40</f>
        <v>2006</v>
      </c>
      <c r="I48" s="84">
        <f t="shared" si="1"/>
        <v>2007</v>
      </c>
      <c r="J48" s="84">
        <f t="shared" si="1"/>
        <v>2008</v>
      </c>
      <c r="K48" s="84">
        <f t="shared" si="1"/>
        <v>2009</v>
      </c>
      <c r="L48" s="52">
        <f t="shared" si="1"/>
        <v>2010</v>
      </c>
      <c r="M48" s="52" t="str">
        <f t="shared" si="1"/>
        <v>average </v>
      </c>
    </row>
    <row r="49" spans="1:13" ht="25.5">
      <c r="A49" s="193" t="str">
        <f>Historical!A49</f>
        <v>Long-Term Debt</v>
      </c>
      <c r="B49" s="123"/>
      <c r="C49" s="120"/>
      <c r="D49" s="125" t="s">
        <v>208</v>
      </c>
      <c r="F49" s="55">
        <f>Historical!F49/Historical!F27</f>
        <v>0.38955347756321584</v>
      </c>
      <c r="G49" s="55"/>
      <c r="H49" s="55">
        <f>Historical!H49/Historical!H27</f>
        <v>0.36808056028172365</v>
      </c>
      <c r="I49" s="55">
        <f>Historical!I49/Historical!I27</f>
        <v>0.40113089712212</v>
      </c>
      <c r="J49" s="55">
        <f>Historical!J49/Historical!J27</f>
        <v>0.3923611111111111</v>
      </c>
      <c r="K49" s="55">
        <f>Historical!K49/Historical!K27</f>
        <v>0.4119199330630109</v>
      </c>
      <c r="L49" s="55">
        <f>Historical!L49/Historical!L27</f>
        <v>0.35462420693020985</v>
      </c>
      <c r="M49" s="55">
        <f>AVERAGE(G49:L49)</f>
        <v>0.38562334170163515</v>
      </c>
    </row>
    <row r="50" spans="1:13" ht="12.75">
      <c r="A50" s="52" t="str">
        <f>Historical!A50</f>
        <v>Deferred Income Taxes</v>
      </c>
      <c r="B50" s="123"/>
      <c r="C50" s="292">
        <v>400</v>
      </c>
      <c r="D50" s="127" t="s">
        <v>235</v>
      </c>
      <c r="F50" s="84"/>
      <c r="G50" s="84"/>
      <c r="H50" s="84"/>
      <c r="I50" s="84"/>
      <c r="J50" s="84"/>
      <c r="K50" s="84"/>
      <c r="L50" s="84"/>
      <c r="M50" s="84"/>
    </row>
    <row r="51" spans="1:13" ht="12.75">
      <c r="A51" s="52" t="str">
        <f>Historical!A51</f>
        <v>Derivative Contracts</v>
      </c>
      <c r="B51" s="123"/>
      <c r="C51" s="120">
        <f>M51</f>
        <v>0.2466007416563659</v>
      </c>
      <c r="D51" s="125" t="s">
        <v>198</v>
      </c>
      <c r="E51" s="116"/>
      <c r="F51" s="55">
        <f>Historical!F51/Historical!F79</f>
        <v>0</v>
      </c>
      <c r="G51" s="55"/>
      <c r="H51" s="55"/>
      <c r="I51" s="55">
        <f>Historical!I51/Historical!I79</f>
        <v>0.2811085972850679</v>
      </c>
      <c r="J51" s="55">
        <f>Historical!J51/Historical!J79</f>
        <v>0.2503832396525294</v>
      </c>
      <c r="K51" s="55">
        <f>Historical!K51/Historical!K79</f>
        <v>0.24448419797257007</v>
      </c>
      <c r="L51" s="55">
        <f>Historical!L51/Historical!L79</f>
        <v>0.2466007416563659</v>
      </c>
      <c r="M51" s="55">
        <f>AVERAGE(L51:L51)</f>
        <v>0.2466007416563659</v>
      </c>
    </row>
    <row r="52" spans="1:5" ht="12.75">
      <c r="A52" s="52" t="str">
        <f>Historical!A52</f>
        <v>Other Long-term Liabilities</v>
      </c>
      <c r="B52" s="123"/>
      <c r="C52" s="120">
        <f>Historical!N52</f>
        <v>-0.04916190431152024</v>
      </c>
      <c r="D52" s="127" t="s">
        <v>139</v>
      </c>
      <c r="E52" s="116"/>
    </row>
    <row r="53" spans="1:4" ht="12.75">
      <c r="A53" s="52" t="str">
        <f>Historical!A53</f>
        <v>Total LTD &amp; Deferrals</v>
      </c>
      <c r="B53" s="123"/>
      <c r="C53" s="119"/>
      <c r="D53" s="273" t="s">
        <v>189</v>
      </c>
    </row>
    <row r="54" spans="1:4" ht="12.75">
      <c r="A54" s="52" t="str">
        <f>Historical!A55</f>
        <v>Total Liabilities</v>
      </c>
      <c r="B54" s="119"/>
      <c r="C54" s="120"/>
      <c r="D54" s="273" t="s">
        <v>189</v>
      </c>
    </row>
    <row r="55" spans="2:4" ht="12.75">
      <c r="B55" s="123"/>
      <c r="C55" s="119"/>
      <c r="D55" s="127"/>
    </row>
    <row r="56" spans="1:5" ht="12.75">
      <c r="A56" s="52" t="str">
        <f>Historical!A57</f>
        <v>Preferred Stock</v>
      </c>
      <c r="B56" s="119"/>
      <c r="C56" s="119"/>
      <c r="D56" s="273" t="s">
        <v>199</v>
      </c>
      <c r="E56" s="126"/>
    </row>
    <row r="57" spans="2:4" ht="12.75">
      <c r="B57" s="119"/>
      <c r="C57" s="120"/>
      <c r="D57" s="273"/>
    </row>
    <row r="58" spans="1:4" ht="12.75">
      <c r="A58" s="193" t="str">
        <f>Historical!A59</f>
        <v>Common Equity:</v>
      </c>
      <c r="B58" s="119"/>
      <c r="C58" s="119"/>
      <c r="D58" s="273"/>
    </row>
    <row r="59" spans="1:5" ht="12.75">
      <c r="A59" s="52" t="str">
        <f>Historical!A60</f>
        <v>Common Stock</v>
      </c>
      <c r="B59" s="119"/>
      <c r="C59" s="120"/>
      <c r="D59" s="273" t="s">
        <v>199</v>
      </c>
      <c r="E59" s="118"/>
    </row>
    <row r="60" spans="1:4" ht="12.75">
      <c r="A60" s="52" t="str">
        <f>Historical!A61</f>
        <v>Retained Earnings</v>
      </c>
      <c r="B60" s="119"/>
      <c r="C60" s="120"/>
      <c r="D60" s="273" t="s">
        <v>189</v>
      </c>
    </row>
    <row r="61" spans="1:5" ht="12.75">
      <c r="A61" s="193" t="str">
        <f>Historical!A62</f>
        <v>Total Common Equity</v>
      </c>
      <c r="B61" s="119"/>
      <c r="C61" s="124"/>
      <c r="D61" s="273" t="s">
        <v>189</v>
      </c>
      <c r="E61" s="116"/>
    </row>
    <row r="62" spans="1:4" ht="12.75">
      <c r="A62" s="193" t="str">
        <f>Historical!A63</f>
        <v>Total Liabilities &amp; Equity</v>
      </c>
      <c r="B62" s="119"/>
      <c r="C62" s="120"/>
      <c r="D62" s="273" t="s">
        <v>189</v>
      </c>
    </row>
    <row r="63" spans="2:4" ht="12.75">
      <c r="B63" s="119"/>
      <c r="C63" s="120"/>
      <c r="D63" s="128"/>
    </row>
    <row r="64" spans="1:4" ht="25.5">
      <c r="A64" s="52" t="str">
        <f>Historical!A75</f>
        <v>Revenues</v>
      </c>
      <c r="B64" s="55"/>
      <c r="C64" s="55">
        <f>+Historical!N75+0.01</f>
        <v>0.03746965961807273</v>
      </c>
      <c r="D64" s="125" t="s">
        <v>240</v>
      </c>
    </row>
    <row r="65" spans="1:4" ht="12.75">
      <c r="A65" s="193" t="str">
        <f>Historical!A76</f>
        <v>Total Revenues</v>
      </c>
      <c r="B65" s="55"/>
      <c r="C65" s="55"/>
      <c r="D65" s="273" t="s">
        <v>189</v>
      </c>
    </row>
    <row r="66" spans="2:3" ht="12.75">
      <c r="B66" s="55"/>
      <c r="C66" s="55"/>
    </row>
    <row r="67" spans="1:3" ht="12.75">
      <c r="A67" s="193" t="str">
        <f>Historical!A78</f>
        <v>Operating Expenses:</v>
      </c>
      <c r="B67" s="55"/>
      <c r="C67" s="55"/>
    </row>
    <row r="68" spans="1:16" ht="12.75">
      <c r="A68" s="52" t="str">
        <f>Historical!A79</f>
        <v>Energy Costs</v>
      </c>
      <c r="B68" s="55"/>
      <c r="C68" s="55">
        <f>+Historical!N79</f>
        <v>0.0097529765391628</v>
      </c>
      <c r="D68" s="125" t="s">
        <v>236</v>
      </c>
      <c r="F68" s="84">
        <f>F48</f>
        <v>2004</v>
      </c>
      <c r="G68" s="84"/>
      <c r="H68" s="84">
        <f aca="true" t="shared" si="2" ref="H68:M68">H48</f>
        <v>2006</v>
      </c>
      <c r="I68" s="84">
        <f t="shared" si="2"/>
        <v>2007</v>
      </c>
      <c r="J68" s="84">
        <f t="shared" si="2"/>
        <v>2008</v>
      </c>
      <c r="K68" s="84">
        <f t="shared" si="2"/>
        <v>2009</v>
      </c>
      <c r="L68" s="84">
        <f t="shared" si="2"/>
        <v>2010</v>
      </c>
      <c r="M68" s="84" t="str">
        <f t="shared" si="2"/>
        <v>average </v>
      </c>
      <c r="N68" s="84"/>
      <c r="O68" s="84"/>
      <c r="P68" s="84"/>
    </row>
    <row r="69" spans="1:4" ht="12.75">
      <c r="A69" s="52" t="str">
        <f>Historical!A80</f>
        <v>Other operations and maintenance</v>
      </c>
      <c r="B69" s="55"/>
      <c r="C69" s="55">
        <f>C64</f>
        <v>0.03746965961807273</v>
      </c>
      <c r="D69" s="125" t="s">
        <v>237</v>
      </c>
    </row>
    <row r="70" spans="1:13" ht="12.75">
      <c r="A70" s="52" t="str">
        <f>Historical!A81</f>
        <v>Depreciation and amortization</v>
      </c>
      <c r="B70" s="55"/>
      <c r="C70" s="55">
        <f>M70</f>
        <v>0.027463020952800715</v>
      </c>
      <c r="D70" s="125" t="s">
        <v>202</v>
      </c>
      <c r="E70" s="133"/>
      <c r="F70" s="55">
        <f>Historical!F81/Historical!F19</f>
        <v>0.03104366963975443</v>
      </c>
      <c r="G70" s="55"/>
      <c r="H70" s="55">
        <f>Historical!H81/Historical!H19</f>
        <v>0.02968402373132747</v>
      </c>
      <c r="I70" s="55">
        <f>Historical!I81/Historical!I19</f>
        <v>0.02921123780416128</v>
      </c>
      <c r="J70" s="55">
        <f>Historical!J81/Historical!J19</f>
        <v>0.025954764553207266</v>
      </c>
      <c r="K70" s="55">
        <f>Historical!K81/Historical!K19</f>
        <v>0.027004426955238563</v>
      </c>
      <c r="L70" s="55">
        <f>Historical!L81/Historical!L19</f>
        <v>0.025460651720068984</v>
      </c>
      <c r="M70" s="55">
        <f>AVERAGE(H70:L70)</f>
        <v>0.027463020952800715</v>
      </c>
    </row>
    <row r="71" spans="1:4" ht="12.75">
      <c r="A71" s="52" t="str">
        <f>Historical!A82</f>
        <v>Taxes, other than income taxes</v>
      </c>
      <c r="B71" s="55"/>
      <c r="C71" s="55">
        <f>Historical!AC82</f>
        <v>0.027008081999099418</v>
      </c>
      <c r="D71" s="125" t="s">
        <v>188</v>
      </c>
    </row>
    <row r="72" spans="1:3" ht="12.75" customHeight="1" hidden="1">
      <c r="A72" s="52" t="str">
        <f>Historical!A83</f>
        <v>Other Operating Expenses</v>
      </c>
      <c r="B72" s="55"/>
      <c r="C72" s="55"/>
    </row>
    <row r="73" spans="1:4" ht="12.75">
      <c r="A73" s="52" t="str">
        <f>Historical!A84</f>
        <v>Total Operating Expenses</v>
      </c>
      <c r="B73" s="55"/>
      <c r="C73" s="55"/>
      <c r="D73" s="273" t="s">
        <v>189</v>
      </c>
    </row>
    <row r="74" spans="1:4" ht="12.75">
      <c r="A74" s="52" t="str">
        <f>Historical!A85</f>
        <v>Earnings From Operations</v>
      </c>
      <c r="B74" s="55"/>
      <c r="C74" s="55"/>
      <c r="D74" s="273" t="s">
        <v>189</v>
      </c>
    </row>
    <row r="75" spans="2:3" ht="12.75">
      <c r="B75" s="55"/>
      <c r="C75" s="55"/>
    </row>
    <row r="76" spans="1:4" ht="12.75">
      <c r="A76" s="52" t="str">
        <f>Forecast!A91</f>
        <v>Interest expense (net)</v>
      </c>
      <c r="B76" s="55"/>
      <c r="C76" s="55"/>
      <c r="D76" s="125" t="s">
        <v>203</v>
      </c>
    </row>
    <row r="77" spans="1:4" ht="12.75">
      <c r="A77" s="52" t="str">
        <f>Forecast!A92</f>
        <v>Interest income</v>
      </c>
      <c r="C77" s="55">
        <f>C11</f>
        <v>0.03</v>
      </c>
      <c r="D77" s="125" t="s">
        <v>204</v>
      </c>
    </row>
    <row r="78" ht="12.75" hidden="1">
      <c r="A78" s="52" t="str">
        <f>Forecast!A93</f>
        <v>Loss (Gain) on Sale of Assets</v>
      </c>
    </row>
    <row r="79" spans="1:4" ht="51">
      <c r="A79" s="114" t="str">
        <f>Forecast!A94</f>
        <v>Interest Expense (Income) on Additional Loans (Surplus Cash)</v>
      </c>
      <c r="D79" s="125" t="s">
        <v>205</v>
      </c>
    </row>
    <row r="80" spans="1:4" ht="12.75">
      <c r="A80" s="52" t="str">
        <f>Forecast!A95</f>
        <v>Other (Income) Expense</v>
      </c>
      <c r="C80" s="55">
        <v>-0.018</v>
      </c>
      <c r="D80" s="125" t="s">
        <v>225</v>
      </c>
    </row>
    <row r="81" spans="1:4" ht="12.75">
      <c r="A81" s="52" t="str">
        <f>Forecast!A96</f>
        <v>Total Other (Income)/Expense</v>
      </c>
      <c r="D81" s="273" t="s">
        <v>189</v>
      </c>
    </row>
    <row r="83" spans="1:4" ht="12.75">
      <c r="A83" s="52" t="str">
        <f>Forecast!A98</f>
        <v>Earnings Before Taxes</v>
      </c>
      <c r="D83" s="273" t="s">
        <v>189</v>
      </c>
    </row>
    <row r="84" spans="6:13" ht="12.75">
      <c r="F84" s="84">
        <f>F68</f>
        <v>2004</v>
      </c>
      <c r="G84" s="84"/>
      <c r="H84" s="84"/>
      <c r="I84" s="84"/>
      <c r="J84" s="84"/>
      <c r="K84" s="84"/>
      <c r="L84" s="84"/>
      <c r="M84" s="84"/>
    </row>
    <row r="85" spans="1:13" ht="12.75">
      <c r="A85" s="52" t="str">
        <f>Forecast!A100</f>
        <v>Extraordinary Items</v>
      </c>
      <c r="C85" s="52">
        <v>0</v>
      </c>
      <c r="D85" s="125" t="s">
        <v>206</v>
      </c>
      <c r="G85" s="84">
        <v>2006</v>
      </c>
      <c r="H85" s="84">
        <v>2007</v>
      </c>
      <c r="I85" s="84">
        <v>2008</v>
      </c>
      <c r="J85" s="84">
        <v>2009</v>
      </c>
      <c r="K85" s="84">
        <v>2010</v>
      </c>
      <c r="L85" s="84">
        <v>2011</v>
      </c>
      <c r="M85" s="52" t="s">
        <v>3</v>
      </c>
    </row>
    <row r="86" spans="1:13" ht="12.75">
      <c r="A86" s="52" t="str">
        <f>Forecast!A101</f>
        <v>Income Taxes</v>
      </c>
      <c r="C86" s="55">
        <v>0.315</v>
      </c>
      <c r="D86" s="125" t="s">
        <v>207</v>
      </c>
      <c r="G86" s="55">
        <f>+Historical!H96/Historical!H93</f>
        <v>0.35600785574004673</v>
      </c>
      <c r="H86" s="55">
        <f>+Historical!I96/Historical!I93</f>
        <v>0.3308270676691729</v>
      </c>
      <c r="I86" s="55">
        <f>+Historical!J96/Historical!J93</f>
        <v>0.3385490753911807</v>
      </c>
      <c r="J86" s="55">
        <f>+Historical!K96/Historical!K93</f>
        <v>0.29846938775510207</v>
      </c>
      <c r="K86" s="55">
        <f>+Historical!L96/Historical!L93</f>
        <v>0.27155727155727155</v>
      </c>
      <c r="L86" s="55">
        <f>+Historical!M96/Historical!M93</f>
        <v>0.29519071310116085</v>
      </c>
      <c r="M86" s="55">
        <f>AVERAGE(G86:L86)</f>
        <v>0.31510022853565584</v>
      </c>
    </row>
    <row r="87" spans="1:4" ht="12.75">
      <c r="A87" s="52" t="str">
        <f>Forecast!A102</f>
        <v>Net Income</v>
      </c>
      <c r="D87" s="273" t="s">
        <v>189</v>
      </c>
    </row>
    <row r="89" spans="1:4" ht="12.75">
      <c r="A89" s="52" t="str">
        <f>Forecast!A104</f>
        <v>Preferred Stock Dividends</v>
      </c>
      <c r="C89" s="52">
        <v>2</v>
      </c>
      <c r="D89" s="125" t="s">
        <v>191</v>
      </c>
    </row>
    <row r="90" spans="1:4" ht="38.25">
      <c r="A90" s="52" t="str">
        <f>Forecast!A105</f>
        <v>Common Stock Dividends</v>
      </c>
      <c r="D90" s="125" t="s">
        <v>221</v>
      </c>
    </row>
    <row r="95" ht="12.75">
      <c r="E95" s="115"/>
    </row>
    <row r="96" ht="12.75">
      <c r="E96" s="115"/>
    </row>
    <row r="97" ht="12.75">
      <c r="E97" s="115"/>
    </row>
    <row r="98" ht="12.75">
      <c r="E98" s="115"/>
    </row>
    <row r="138" ht="12.75">
      <c r="E138" s="115"/>
    </row>
    <row r="139" ht="12.75">
      <c r="E139" s="115"/>
    </row>
    <row r="140" ht="12.75">
      <c r="E140" s="115"/>
    </row>
    <row r="141" ht="12.75">
      <c r="E141" s="115"/>
    </row>
  </sheetData>
  <sheetProtection/>
  <printOptions/>
  <pageMargins left="0.22" right="0.19" top="0.61" bottom="1" header="0.5" footer="0.5"/>
  <pageSetup fitToHeight="2" horizontalDpi="600" verticalDpi="600" orientation="landscape" scale="63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Robyn Paschal</dc:creator>
  <cp:keywords/>
  <dc:description/>
  <cp:lastModifiedBy>Melissa Robyn Paschal</cp:lastModifiedBy>
  <cp:lastPrinted>2012-02-01T20:27:45Z</cp:lastPrinted>
  <dcterms:created xsi:type="dcterms:W3CDTF">2005-09-19T14:11:29Z</dcterms:created>
  <dcterms:modified xsi:type="dcterms:W3CDTF">2012-02-07T21:59:56Z</dcterms:modified>
  <cp:category/>
  <cp:version/>
  <cp:contentType/>
  <cp:contentStatus/>
</cp:coreProperties>
</file>