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165" yWindow="-30" windowWidth="14505" windowHeight="11430"/>
  </bookViews>
  <sheets>
    <sheet name="Appendix D" sheetId="33" r:id="rId1"/>
    <sheet name="Table 1" sheetId="25" r:id="rId2"/>
    <sheet name="Table 2" sheetId="17" r:id="rId3"/>
    <sheet name="Table 3" sheetId="26" r:id="rId4"/>
    <sheet name="Table 4" sheetId="29" r:id="rId5"/>
    <sheet name="Table 5" sheetId="28" r:id="rId6"/>
  </sheets>
  <externalReferences>
    <externalReference r:id="rId7"/>
  </externalReferences>
  <definedNames>
    <definedName name="Discount_Rate">'[1]Summary (Cap PMT)'!$K$22</definedName>
    <definedName name="Monthly_Discount_Rate">'[1]Monthly (Cap PMT)'!$N$4</definedName>
    <definedName name="_xlnm.Print_Area" localSheetId="0">'Appendix D'!$B$1:$G$35</definedName>
    <definedName name="_xlnm.Print_Area" localSheetId="1">'Table 1'!$A$1:$H$45</definedName>
    <definedName name="_xlnm.Print_Area" localSheetId="2">'Table 2'!$B$10:$Q$34</definedName>
    <definedName name="_xlnm.Print_Area" localSheetId="3">'Table 3'!$B$10:$Q$34</definedName>
    <definedName name="_xlnm.Print_Area" localSheetId="4">'Table 4'!$A$1:$K$89</definedName>
    <definedName name="_xlnm.Print_Area" localSheetId="5">'Table 5'!$A$1:$D$36</definedName>
    <definedName name="_xlnm.Print_Titles" localSheetId="2">'Table 2'!$1:$9</definedName>
    <definedName name="_xlnm.Print_Titles" localSheetId="3">'Table 3'!$1:$9</definedName>
    <definedName name="_xlnm.Print_Titles" localSheetId="4">'Table 4'!$1:$6</definedName>
  </definedNames>
  <calcPr calcId="125725" calcOnSave="0"/>
</workbook>
</file>

<file path=xl/calcChain.xml><?xml version="1.0" encoding="utf-8"?>
<calcChain xmlns="http://schemas.openxmlformats.org/spreadsheetml/2006/main">
  <c r="D74" i="29"/>
  <c r="B34" i="25" l="1"/>
  <c r="C82" i="29" l="1"/>
  <c r="F61"/>
  <c r="E66"/>
  <c r="K62"/>
  <c r="J62"/>
  <c r="G62"/>
  <c r="F62"/>
  <c r="K61"/>
  <c r="J61"/>
  <c r="G61"/>
  <c r="I57"/>
  <c r="H57"/>
  <c r="F57"/>
  <c r="I56"/>
  <c r="H56"/>
  <c r="D50"/>
  <c r="C50"/>
  <c r="C49"/>
  <c r="C48"/>
  <c r="D47"/>
  <c r="C47"/>
  <c r="C46"/>
  <c r="D45"/>
  <c r="C45"/>
  <c r="B16"/>
  <c r="B17" s="1"/>
  <c r="B18" s="1"/>
  <c r="B19" s="1"/>
  <c r="B20" s="1"/>
  <c r="B15"/>
  <c r="B12"/>
  <c r="B5"/>
  <c r="H62" l="1"/>
  <c r="F63"/>
  <c r="F56"/>
  <c r="F58" s="1"/>
  <c r="H58" s="1"/>
  <c r="C14" s="1"/>
  <c r="D14" s="1"/>
  <c r="D15" s="1"/>
  <c r="I58"/>
  <c r="E14" s="1"/>
  <c r="E15" s="1"/>
  <c r="E16" s="1"/>
  <c r="E17" s="1"/>
  <c r="H61"/>
  <c r="H63" s="1"/>
  <c r="D76" s="1"/>
  <c r="D77" s="1"/>
  <c r="C83"/>
  <c r="C84" s="1"/>
  <c r="G63"/>
  <c r="D46" s="1"/>
  <c r="I61"/>
  <c r="C85"/>
  <c r="B21"/>
  <c r="G56" l="1"/>
  <c r="G57" s="1"/>
  <c r="G58" s="1"/>
  <c r="D16"/>
  <c r="B22"/>
  <c r="I62"/>
  <c r="K63" s="1"/>
  <c r="E77"/>
  <c r="C86"/>
  <c r="E18"/>
  <c r="J63" l="1"/>
  <c r="F14" s="1"/>
  <c r="F15" s="1"/>
  <c r="I63"/>
  <c r="D49"/>
  <c r="C87"/>
  <c r="E19"/>
  <c r="D17"/>
  <c r="B23"/>
  <c r="G14" l="1"/>
  <c r="H14" s="1"/>
  <c r="B24"/>
  <c r="D18"/>
  <c r="F16"/>
  <c r="G15"/>
  <c r="H15" s="1"/>
  <c r="C88"/>
  <c r="E20"/>
  <c r="B36" i="28"/>
  <c r="B25" i="29" l="1"/>
  <c r="C89"/>
  <c r="E21"/>
  <c r="F17"/>
  <c r="G16"/>
  <c r="H16" s="1"/>
  <c r="D19"/>
  <c r="C10" i="25"/>
  <c r="D20" i="29" l="1"/>
  <c r="F18"/>
  <c r="G17"/>
  <c r="H17" s="1"/>
  <c r="F81"/>
  <c r="E22"/>
  <c r="B26"/>
  <c r="B27" l="1"/>
  <c r="F82"/>
  <c r="E23"/>
  <c r="F19"/>
  <c r="G18"/>
  <c r="H18" s="1"/>
  <c r="D21"/>
  <c r="B45" i="25"/>
  <c r="D22" i="29" l="1"/>
  <c r="F20"/>
  <c r="G19"/>
  <c r="H19" s="1"/>
  <c r="F83"/>
  <c r="E24"/>
  <c r="B28"/>
  <c r="B29" l="1"/>
  <c r="F84"/>
  <c r="E25"/>
  <c r="F21"/>
  <c r="G20"/>
  <c r="H20" s="1"/>
  <c r="D23"/>
  <c r="D24" l="1"/>
  <c r="F22"/>
  <c r="G21"/>
  <c r="H21" s="1"/>
  <c r="F85"/>
  <c r="E26"/>
  <c r="B30"/>
  <c r="B31" l="1"/>
  <c r="F86"/>
  <c r="E27"/>
  <c r="F23"/>
  <c r="G22"/>
  <c r="H22" s="1"/>
  <c r="D25"/>
  <c r="D26" l="1"/>
  <c r="F24"/>
  <c r="G23"/>
  <c r="H23" s="1"/>
  <c r="F87"/>
  <c r="E28"/>
  <c r="B32"/>
  <c r="B33" l="1"/>
  <c r="F88"/>
  <c r="E29"/>
  <c r="F25"/>
  <c r="G24"/>
  <c r="H24" s="1"/>
  <c r="D27"/>
  <c r="D28" l="1"/>
  <c r="F26"/>
  <c r="G25"/>
  <c r="H25" s="1"/>
  <c r="F89"/>
  <c r="E30"/>
  <c r="B34"/>
  <c r="B35" l="1"/>
  <c r="I81"/>
  <c r="E31"/>
  <c r="F27"/>
  <c r="G26"/>
  <c r="H26" s="1"/>
  <c r="D29"/>
  <c r="D30" l="1"/>
  <c r="F28"/>
  <c r="G27"/>
  <c r="H27" s="1"/>
  <c r="I82"/>
  <c r="E32"/>
  <c r="B36"/>
  <c r="B37" l="1"/>
  <c r="I83"/>
  <c r="E33"/>
  <c r="F29"/>
  <c r="G28"/>
  <c r="H28" s="1"/>
  <c r="D31"/>
  <c r="D32" l="1"/>
  <c r="F30"/>
  <c r="G29"/>
  <c r="H29" s="1"/>
  <c r="I84"/>
  <c r="E34"/>
  <c r="B38"/>
  <c r="B39" l="1"/>
  <c r="I85"/>
  <c r="E35"/>
  <c r="F31"/>
  <c r="G30"/>
  <c r="H30" s="1"/>
  <c r="D33"/>
  <c r="D34" l="1"/>
  <c r="F32"/>
  <c r="G31"/>
  <c r="H31" s="1"/>
  <c r="I86"/>
  <c r="E36"/>
  <c r="B40"/>
  <c r="I87" l="1"/>
  <c r="E37"/>
  <c r="F33"/>
  <c r="G33" s="1"/>
  <c r="G32"/>
  <c r="H32" s="1"/>
  <c r="D35"/>
  <c r="D36" l="1"/>
  <c r="F34"/>
  <c r="I88"/>
  <c r="E38"/>
  <c r="I89" l="1"/>
  <c r="E39"/>
  <c r="F35"/>
  <c r="G34"/>
  <c r="H34" s="1"/>
  <c r="D37"/>
  <c r="E40" l="1"/>
  <c r="D38"/>
  <c r="F36"/>
  <c r="G35"/>
  <c r="H35" s="1"/>
  <c r="F37" l="1"/>
  <c r="G36"/>
  <c r="H36" s="1"/>
  <c r="D39"/>
  <c r="F38" l="1"/>
  <c r="G37"/>
  <c r="H37" s="1"/>
  <c r="D40"/>
  <c r="F39" l="1"/>
  <c r="G38"/>
  <c r="H38" s="1"/>
  <c r="F40" l="1"/>
  <c r="G40" s="1"/>
  <c r="H40" s="1"/>
  <c r="G39"/>
  <c r="H39" s="1"/>
  <c r="I267" i="28" l="1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6" l="1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104" l="1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9"/>
  <c r="I28"/>
  <c r="I27"/>
  <c r="I26"/>
  <c r="I25"/>
  <c r="I24"/>
  <c r="I23"/>
  <c r="I22"/>
  <c r="I21"/>
  <c r="I20"/>
  <c r="I19"/>
  <c r="I18"/>
  <c r="I17"/>
  <c r="B6" i="26"/>
  <c r="B5" i="17"/>
  <c r="B6"/>
  <c r="B3"/>
  <c r="B3" i="26" s="1"/>
  <c r="B15" i="28"/>
  <c r="B5"/>
  <c r="B5" i="26"/>
  <c r="B3" i="29" l="1"/>
  <c r="B3" i="28" s="1"/>
  <c r="D48" i="29" s="1"/>
  <c r="B16" i="28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H33" i="29" l="1"/>
  <c r="I33" i="28"/>
  <c r="C14" s="1"/>
  <c r="I20" i="29" s="1"/>
  <c r="J20" s="1"/>
  <c r="K20" l="1"/>
  <c r="C31" i="28"/>
  <c r="I37" i="29" s="1"/>
  <c r="J37" s="1"/>
  <c r="K37" s="1"/>
  <c r="C34" i="28"/>
  <c r="I40" i="29" s="1"/>
  <c r="J40" s="1"/>
  <c r="K40" s="1"/>
  <c r="C33" i="28"/>
  <c r="I39" i="29" s="1"/>
  <c r="J39" s="1"/>
  <c r="K39" s="1"/>
  <c r="C32" i="28"/>
  <c r="I38" i="29" s="1"/>
  <c r="J38" s="1"/>
  <c r="K38" s="1"/>
  <c r="C18" i="28"/>
  <c r="I24" i="29" s="1"/>
  <c r="J24" s="1"/>
  <c r="C30" i="28"/>
  <c r="I36" i="29" s="1"/>
  <c r="J36" s="1"/>
  <c r="C23" i="28"/>
  <c r="I29" i="29" s="1"/>
  <c r="J29" s="1"/>
  <c r="C17" i="28"/>
  <c r="I23" i="29" s="1"/>
  <c r="J23" s="1"/>
  <c r="C20" i="28"/>
  <c r="I26" i="29" s="1"/>
  <c r="J26" s="1"/>
  <c r="C29" i="28"/>
  <c r="I35" i="29" s="1"/>
  <c r="J35" s="1"/>
  <c r="C25" i="28"/>
  <c r="I31" i="29" s="1"/>
  <c r="J31" s="1"/>
  <c r="C28" i="28"/>
  <c r="I34" i="29" s="1"/>
  <c r="J34" s="1"/>
  <c r="C16" i="28"/>
  <c r="I22" i="29" s="1"/>
  <c r="J22" s="1"/>
  <c r="C27" i="28"/>
  <c r="I33" i="29" s="1"/>
  <c r="J33" s="1"/>
  <c r="C19" i="28"/>
  <c r="I25" i="29" s="1"/>
  <c r="J25" s="1"/>
  <c r="C26" i="28"/>
  <c r="I32" i="29" s="1"/>
  <c r="J32" s="1"/>
  <c r="C24" i="28"/>
  <c r="I30" i="29" s="1"/>
  <c r="J30" s="1"/>
  <c r="C15" i="28"/>
  <c r="I21" i="29" s="1"/>
  <c r="J21" s="1"/>
  <c r="C22" i="28"/>
  <c r="I28" i="29" s="1"/>
  <c r="J28" s="1"/>
  <c r="C21" i="28"/>
  <c r="I27" i="29" s="1"/>
  <c r="J27" s="1"/>
  <c r="K28" l="1"/>
  <c r="K30"/>
  <c r="K25"/>
  <c r="K22"/>
  <c r="K31"/>
  <c r="K26"/>
  <c r="K29"/>
  <c r="K24"/>
  <c r="K27"/>
  <c r="K21"/>
  <c r="K32"/>
  <c r="K33"/>
  <c r="K34"/>
  <c r="K35"/>
  <c r="K23"/>
  <c r="K36"/>
  <c r="Q12" i="17" l="1"/>
  <c r="B13" i="25"/>
  <c r="B12" i="26"/>
  <c r="B13" i="17"/>
  <c r="B14" l="1"/>
  <c r="Q13"/>
  <c r="C13" i="25"/>
  <c r="B14"/>
  <c r="Q12" i="26"/>
  <c r="B13"/>
  <c r="B14" l="1"/>
  <c r="Q13"/>
  <c r="C14" i="25"/>
  <c r="B15"/>
  <c r="D14"/>
  <c r="B15" i="17"/>
  <c r="Q14"/>
  <c r="B16" l="1"/>
  <c r="Q15"/>
  <c r="C15" i="25"/>
  <c r="D15"/>
  <c r="B16"/>
  <c r="Q14" i="26"/>
  <c r="B15"/>
  <c r="Q15" l="1"/>
  <c r="B16"/>
  <c r="C16" i="25"/>
  <c r="B17"/>
  <c r="D16"/>
  <c r="B17" i="17"/>
  <c r="Q16"/>
  <c r="B18" l="1"/>
  <c r="Q17"/>
  <c r="B18" i="25"/>
  <c r="D17"/>
  <c r="C17"/>
  <c r="Q16" i="26"/>
  <c r="B17"/>
  <c r="Q17" l="1"/>
  <c r="B18"/>
  <c r="B19" i="25"/>
  <c r="C18"/>
  <c r="D18"/>
  <c r="B19" i="17"/>
  <c r="Q18"/>
  <c r="B20" i="25" l="1"/>
  <c r="C19"/>
  <c r="D19"/>
  <c r="Q19" i="17"/>
  <c r="B20"/>
  <c r="B19" i="26"/>
  <c r="Q18"/>
  <c r="Q19" l="1"/>
  <c r="B20"/>
  <c r="B21" i="25"/>
  <c r="C20"/>
  <c r="D20"/>
  <c r="B21" i="17"/>
  <c r="Q20"/>
  <c r="Q21" l="1"/>
  <c r="B22"/>
  <c r="B22" i="25"/>
  <c r="D21"/>
  <c r="C21"/>
  <c r="Q20" i="26"/>
  <c r="B21"/>
  <c r="B23" i="17" l="1"/>
  <c r="Q22"/>
  <c r="Q21" i="26"/>
  <c r="B22"/>
  <c r="C22" i="25"/>
  <c r="D22"/>
  <c r="B23"/>
  <c r="C23" l="1"/>
  <c r="D23"/>
  <c r="B24"/>
  <c r="Q23" i="17"/>
  <c r="B24"/>
  <c r="B23" i="26"/>
  <c r="Q22"/>
  <c r="B24" l="1"/>
  <c r="Q23"/>
  <c r="B25" i="17"/>
  <c r="Q24"/>
  <c r="D24" i="25"/>
  <c r="C24"/>
  <c r="B25"/>
  <c r="B26" l="1"/>
  <c r="C25"/>
  <c r="D25"/>
  <c r="B26" i="17"/>
  <c r="Q25"/>
  <c r="B25" i="26"/>
  <c r="Q24"/>
  <c r="B26" l="1"/>
  <c r="Q25"/>
  <c r="B27" i="17"/>
  <c r="Q26"/>
  <c r="B27" i="25"/>
  <c r="C26"/>
  <c r="B28" i="17" l="1"/>
  <c r="Q27"/>
  <c r="Q26" i="26"/>
  <c r="B27"/>
  <c r="C27" i="25"/>
  <c r="B28"/>
  <c r="B29" l="1"/>
  <c r="C28"/>
  <c r="Q28" i="17"/>
  <c r="B29"/>
  <c r="Q27" i="26"/>
  <c r="B28"/>
  <c r="B30" i="17" l="1"/>
  <c r="Q29"/>
  <c r="B30" i="25"/>
  <c r="C29"/>
  <c r="B29" i="26"/>
  <c r="Q28"/>
  <c r="B31" i="25" l="1"/>
  <c r="C30"/>
  <c r="Q30" i="17"/>
  <c r="B31"/>
  <c r="Q31" s="1"/>
  <c r="B30" i="26"/>
  <c r="Q29"/>
  <c r="B31" l="1"/>
  <c r="Q31" s="1"/>
  <c r="Q30"/>
  <c r="C31" i="25"/>
  <c r="B32"/>
  <c r="C32" l="1"/>
  <c r="B41"/>
  <c r="C35" l="1"/>
  <c r="M13" i="26" l="1"/>
  <c r="L13"/>
  <c r="O13"/>
  <c r="J16"/>
  <c r="G17"/>
  <c r="G19"/>
  <c r="L19"/>
  <c r="K20"/>
  <c r="O20"/>
  <c r="J12"/>
  <c r="K14" l="1"/>
  <c r="E15"/>
  <c r="K16"/>
  <c r="M16"/>
  <c r="G13"/>
  <c r="M17"/>
  <c r="K13"/>
  <c r="H17"/>
  <c r="N19"/>
  <c r="F14"/>
  <c r="N14"/>
  <c r="O17"/>
  <c r="K17"/>
  <c r="N12"/>
  <c r="E17"/>
  <c r="I13"/>
  <c r="J13"/>
  <c r="O21"/>
  <c r="N20"/>
  <c r="I19"/>
  <c r="O15"/>
  <c r="G15"/>
  <c r="J15"/>
  <c r="I20"/>
  <c r="F13"/>
  <c r="F17"/>
  <c r="E13"/>
  <c r="J18"/>
  <c r="I17"/>
  <c r="M20"/>
  <c r="K12"/>
  <c r="K18"/>
  <c r="E18"/>
  <c r="G16"/>
  <c r="J20"/>
  <c r="I15"/>
  <c r="O16"/>
  <c r="K15"/>
  <c r="F20"/>
  <c r="H16"/>
  <c r="F18"/>
  <c r="L17"/>
  <c r="L18"/>
  <c r="M19"/>
  <c r="F19"/>
  <c r="N16"/>
  <c r="N15"/>
  <c r="J21"/>
  <c r="N17"/>
  <c r="N13"/>
  <c r="E19"/>
  <c r="I18"/>
  <c r="F21" l="1"/>
  <c r="G21"/>
  <c r="O18"/>
  <c r="J17"/>
  <c r="H13"/>
  <c r="N21"/>
  <c r="L21"/>
  <c r="N18"/>
  <c r="O19"/>
  <c r="E14"/>
  <c r="L16"/>
  <c r="L15"/>
  <c r="M14"/>
  <c r="J19"/>
  <c r="G20"/>
  <c r="H20"/>
  <c r="M18"/>
  <c r="M12"/>
  <c r="O14"/>
  <c r="H19"/>
  <c r="G14"/>
  <c r="I16"/>
  <c r="F15"/>
  <c r="H14"/>
  <c r="L14"/>
  <c r="E16"/>
  <c r="H15"/>
  <c r="M15"/>
  <c r="F16"/>
  <c r="H18"/>
  <c r="L12"/>
  <c r="I14"/>
  <c r="I21"/>
  <c r="E20"/>
  <c r="M21"/>
  <c r="G18"/>
  <c r="J14"/>
  <c r="O12"/>
  <c r="K19"/>
  <c r="L20"/>
  <c r="E21" l="1"/>
  <c r="H21"/>
  <c r="D21" l="1"/>
  <c r="D13"/>
  <c r="D20"/>
  <c r="D14"/>
  <c r="D16" l="1"/>
  <c r="D19"/>
  <c r="D17"/>
  <c r="D18"/>
  <c r="D15"/>
  <c r="E16" i="25"/>
  <c r="G16" s="1"/>
  <c r="E15"/>
  <c r="G15" s="1"/>
  <c r="E14"/>
  <c r="G14" s="1"/>
  <c r="E21"/>
  <c r="G21" s="1"/>
  <c r="E19" l="1"/>
  <c r="G19" s="1"/>
  <c r="E17"/>
  <c r="G17" s="1"/>
  <c r="E18"/>
  <c r="G18" s="1"/>
  <c r="E20"/>
  <c r="G20" s="1"/>
  <c r="K21" i="26" l="1"/>
  <c r="E22" i="25" l="1"/>
  <c r="G22" s="1"/>
  <c r="E12" i="26" l="1"/>
  <c r="I12"/>
  <c r="D12" l="1"/>
  <c r="G12"/>
  <c r="F12"/>
  <c r="H12"/>
  <c r="E13" i="25" l="1"/>
  <c r="G13" l="1"/>
  <c r="M23" i="26" l="1"/>
  <c r="L23"/>
  <c r="O23"/>
  <c r="J26"/>
  <c r="G27"/>
  <c r="G29"/>
  <c r="L29"/>
  <c r="K30"/>
  <c r="O30"/>
  <c r="J22"/>
  <c r="K24" l="1"/>
  <c r="E25"/>
  <c r="K26"/>
  <c r="M26"/>
  <c r="G23"/>
  <c r="M27"/>
  <c r="K23"/>
  <c r="H27"/>
  <c r="N29"/>
  <c r="F24"/>
  <c r="N24"/>
  <c r="O27"/>
  <c r="K27"/>
  <c r="N22"/>
  <c r="E27"/>
  <c r="I23"/>
  <c r="J23"/>
  <c r="O31"/>
  <c r="N30"/>
  <c r="I29"/>
  <c r="O25"/>
  <c r="G25"/>
  <c r="J25"/>
  <c r="I30"/>
  <c r="F23"/>
  <c r="F27"/>
  <c r="E23"/>
  <c r="J28"/>
  <c r="I27"/>
  <c r="M30"/>
  <c r="K22"/>
  <c r="K28"/>
  <c r="E28"/>
  <c r="G26"/>
  <c r="J30"/>
  <c r="I25"/>
  <c r="O26"/>
  <c r="K25"/>
  <c r="F30"/>
  <c r="H26"/>
  <c r="F28"/>
  <c r="L27"/>
  <c r="L28"/>
  <c r="M29"/>
  <c r="F29"/>
  <c r="N26"/>
  <c r="N25"/>
  <c r="J31"/>
  <c r="N27"/>
  <c r="N23"/>
  <c r="E29"/>
  <c r="I28"/>
  <c r="F31" l="1"/>
  <c r="G31"/>
  <c r="O28"/>
  <c r="J27"/>
  <c r="H23"/>
  <c r="N31"/>
  <c r="L31"/>
  <c r="N28"/>
  <c r="O29"/>
  <c r="E24"/>
  <c r="L26"/>
  <c r="L25"/>
  <c r="M24"/>
  <c r="J29"/>
  <c r="G30"/>
  <c r="H30"/>
  <c r="M28"/>
  <c r="M22"/>
  <c r="O24"/>
  <c r="H29"/>
  <c r="G24"/>
  <c r="I26"/>
  <c r="F25"/>
  <c r="H24"/>
  <c r="L24"/>
  <c r="E26"/>
  <c r="H25"/>
  <c r="M25"/>
  <c r="F26"/>
  <c r="H28"/>
  <c r="L22"/>
  <c r="I24"/>
  <c r="I31"/>
  <c r="E30"/>
  <c r="M31"/>
  <c r="G28"/>
  <c r="J24"/>
  <c r="O22"/>
  <c r="K29"/>
  <c r="L30"/>
  <c r="E31" l="1"/>
  <c r="H31"/>
  <c r="D30" l="1"/>
  <c r="D31"/>
  <c r="D23"/>
  <c r="D24"/>
  <c r="D26" l="1"/>
  <c r="D29"/>
  <c r="D27"/>
  <c r="D28"/>
  <c r="D25"/>
  <c r="E26" i="25"/>
  <c r="G26" s="1"/>
  <c r="E25"/>
  <c r="G25" s="1"/>
  <c r="E24"/>
  <c r="G24" s="1"/>
  <c r="E31"/>
  <c r="G31" s="1"/>
  <c r="E29" l="1"/>
  <c r="G29" s="1"/>
  <c r="E27"/>
  <c r="G27" s="1"/>
  <c r="E28"/>
  <c r="G28" s="1"/>
  <c r="E30"/>
  <c r="G30" s="1"/>
  <c r="K31" i="26" l="1"/>
  <c r="E32" i="25" l="1"/>
  <c r="G32" s="1"/>
  <c r="E22" i="26" l="1"/>
  <c r="I22"/>
  <c r="D22" l="1"/>
  <c r="G22"/>
  <c r="F22"/>
  <c r="H22"/>
  <c r="E23" i="25" l="1"/>
  <c r="G23" l="1"/>
  <c r="E36"/>
  <c r="G36" l="1"/>
</calcChain>
</file>

<file path=xl/comments1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<sst xmlns="http://schemas.openxmlformats.org/spreadsheetml/2006/main" count="167" uniqueCount="120">
  <si>
    <t>Year</t>
  </si>
  <si>
    <t>Energy Cost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</si>
  <si>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</si>
  <si>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</si>
  <si>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</si>
  <si>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</si>
  <si>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</si>
  <si>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</si>
  <si>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</si>
  <si>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</si>
  <si>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</si>
  <si>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</si>
  <si>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</si>
  <si>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</si>
  <si>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</si>
  <si>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</si>
  <si>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</si>
  <si>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</si>
  <si>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</si>
  <si>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</si>
  <si>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</si>
  <si>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</si>
  <si>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</si>
  <si>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</si>
  <si>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</si>
  <si>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</si>
  <si>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</si>
  <si>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</si>
  <si>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</si>
  <si>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</si>
  <si>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</si>
  <si>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</si>
  <si>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</si>
  <si>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</si>
  <si>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</si>
  <si>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</si>
  <si>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</si>
  <si>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</si>
  <si>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</si>
  <si>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</si>
  <si>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</si>
  <si>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</si>
  <si>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</si>
  <si>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</si>
  <si>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</si>
  <si>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</si>
  <si>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</si>
  <si>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</si>
  <si>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</si>
  <si>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</si>
  <si>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Denotes months with capped energy prices</t>
  </si>
  <si>
    <t>Energy Price escalated at</t>
  </si>
  <si>
    <t>Energy Only costs are calculated by GRID and are capped at the IRP Resource Energy Cost</t>
  </si>
  <si>
    <t>IRP Resource Energy Costs are provided for comparison purposes only.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</si>
  <si>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</si>
  <si>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</si>
  <si>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</si>
  <si>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</si>
  <si>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</si>
  <si>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</si>
  <si>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</si>
  <si>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</si>
  <si>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</si>
  <si>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</si>
  <si>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</si>
  <si>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</si>
  <si>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</si>
  <si>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</si>
  <si>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</si>
  <si>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</si>
  <si>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</si>
  <si>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</si>
  <si>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</si>
  <si>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</si>
  <si>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</si>
  <si>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</si>
  <si>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</si>
  <si>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East Side</t>
  </si>
  <si>
    <t>East Side Natural Gas</t>
  </si>
  <si>
    <t xml:space="preserve">  MW Plant capacity</t>
  </si>
  <si>
    <t xml:space="preserve">  Heat Rate in btu/kWh</t>
  </si>
  <si>
    <t xml:space="preserve">  Payment Factor</t>
  </si>
  <si>
    <t xml:space="preserve">  Capacity Factor</t>
  </si>
  <si>
    <t xml:space="preserve">  Plant capacity cost</t>
  </si>
  <si>
    <t xml:space="preserve">  Energy Weighted Capacity Factor</t>
  </si>
  <si>
    <t>Avoided Energy Costs - Unscheduled or Non-dispatch hours($/MWh)</t>
  </si>
  <si>
    <t>(1)   Discount Rate - Company Official Discount Rate</t>
  </si>
  <si>
    <t>East</t>
  </si>
  <si>
    <t xml:space="preserve">Adjust Capacity payment for Partial Displacement </t>
  </si>
  <si>
    <t>Total Resource Energy Cost</t>
  </si>
  <si>
    <t>Total Resource Costs</t>
  </si>
  <si>
    <t>CCCT (Dry "F" 2x1)  - East Side Resource (4500')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</si>
  <si>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</si>
  <si>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Variable O&amp;M Costs in $/MWh </t>
  </si>
  <si>
    <t>(4) Capacity payment for 2016 is 7/12 of annual.  CCCT start 6/1/2016.</t>
  </si>
  <si>
    <t xml:space="preserve">Partial Displacement of East Side 597 MW CCCT (Dry "F" 2x1) </t>
  </si>
  <si>
    <t>CCCT (Dry "F" 2x1) *</t>
  </si>
  <si>
    <t>CCCT Duct Firing (Dry "F" 2x1)</t>
  </si>
  <si>
    <t>2011 IRP Resource Cost</t>
  </si>
  <si>
    <t>Plant Costs  - 2011 IRP Update - [as modeled by PAR]</t>
  </si>
  <si>
    <t xml:space="preserve">  Fixed O&amp;M plus on-going capital</t>
  </si>
  <si>
    <t xml:space="preserve">  Fixed Pipeline</t>
  </si>
  <si>
    <t xml:space="preserve">  Fixed O&amp;M plus on-going capital cost + Fixed Pipeline Costs</t>
  </si>
  <si>
    <t>2011 IRP Update Discount Rate</t>
  </si>
  <si>
    <t>Utah Compliance 2012.Q2 - Wind 80 MW and 35% Capacity Factor</t>
  </si>
  <si>
    <t>Illustrative Avoided Cost Prices</t>
  </si>
  <si>
    <t>Energy Payment ($/MWH)</t>
  </si>
  <si>
    <t>Est Total $/MWH</t>
  </si>
  <si>
    <t>HLH</t>
  </si>
  <si>
    <t>LLH</t>
  </si>
  <si>
    <t>Check Total</t>
  </si>
  <si>
    <t>Check</t>
  </si>
  <si>
    <t>Appendix D</t>
  </si>
  <si>
    <t>Company Official Inflation Forecast Dated 2012 March</t>
  </si>
  <si>
    <t xml:space="preserve">20 Year Nominal Levelized Payment at 7.154% Discount Rate </t>
  </si>
  <si>
    <t xml:space="preserve">Utah Compliance 2012.Q2 </t>
  </si>
  <si>
    <t>Wind 80 MW and 35% Capacity Factor</t>
  </si>
  <si>
    <t xml:space="preserve">     Avoided Costs calculated monthly are  $45.63/MWH</t>
  </si>
  <si>
    <t>(5) Avoided Costs calculated annually starting January 2013</t>
  </si>
  <si>
    <t>at 35.0% CF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</si>
</sst>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&quot;$&quot;#,##0.000_);[Red]\(&quot;$&quot;#,##0.000\)"/>
    <numFmt numFmtId="170" formatCode="_(* #,##0.000_);_(* \(#,##0.000\);_(* &quot;-&quot;_);_(@_)"/>
    <numFmt numFmtId="171" formatCode="_(&quot;$&quot;* #,##0_);_(&quot;$&quot;* \(#,##0\);_(&quot;$&quot;* &quot;-&quot;??_);_(@_)"/>
    <numFmt numFmtId="172" formatCode="mmm\ yyyy&quot;   &quot;"/>
    <numFmt numFmtId="173" formatCode="_(* #,##0_);[Red]_(* \(#,##0\);_(* &quot;-&quot;_);_(@_)"/>
    <numFmt numFmtId="174" formatCode="_(* #,##0.00_);[Red]_(* \(#,##0.00\);_(* &quot;-&quot;_);_(@_)"/>
    <numFmt numFmtId="175" formatCode="&quot;$&quot;#,##0.00_)\(\5\)"/>
    <numFmt numFmtId="176" formatCode="0.000%"/>
  </numFmts>
  <fonts count="29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17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>
      <protection locked="0"/>
    </xf>
    <xf numFmtId="41" fontId="3" fillId="0" borderId="0"/>
    <xf numFmtId="173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173" fontId="1" fillId="0" borderId="0"/>
    <xf numFmtId="41" fontId="3" fillId="0" borderId="0"/>
  </cellStyleXfs>
  <cellXfs count="208">
    <xf numFmtId="173" fontId="0" fillId="0" borderId="0" xfId="0"/>
    <xf numFmtId="173" fontId="4" fillId="0" borderId="0" xfId="0" applyFont="1" applyFill="1" applyAlignment="1">
      <alignment horizontal="centerContinuous"/>
    </xf>
    <xf numFmtId="173" fontId="6" fillId="0" borderId="0" xfId="0" quotePrefix="1" applyFont="1" applyFill="1" applyBorder="1" applyAlignment="1">
      <alignment horizontal="center"/>
    </xf>
    <xf numFmtId="173" fontId="10" fillId="0" borderId="0" xfId="0" applyFont="1" applyFill="1"/>
    <xf numFmtId="173" fontId="10" fillId="0" borderId="1" xfId="0" applyFont="1" applyFill="1" applyBorder="1" applyAlignment="1">
      <alignment horizontal="center"/>
    </xf>
    <xf numFmtId="173" fontId="11" fillId="0" borderId="0" xfId="0" applyFont="1" applyFill="1" applyAlignment="1">
      <alignment horizontal="centerContinuous"/>
    </xf>
    <xf numFmtId="173" fontId="3" fillId="0" borderId="0" xfId="0" applyFont="1" applyFill="1"/>
    <xf numFmtId="173" fontId="5" fillId="0" borderId="0" xfId="0" applyFont="1" applyFill="1" applyAlignment="1">
      <alignment horizontal="centerContinuous"/>
    </xf>
    <xf numFmtId="173" fontId="3" fillId="0" borderId="0" xfId="0" applyFont="1" applyFill="1" applyBorder="1"/>
    <xf numFmtId="173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3" fontId="8" fillId="0" borderId="0" xfId="0" applyFont="1" applyFill="1"/>
    <xf numFmtId="173" fontId="12" fillId="0" borderId="0" xfId="0" applyFont="1" applyFill="1"/>
    <xf numFmtId="173" fontId="3" fillId="0" borderId="0" xfId="0" quotePrefix="1" applyFont="1" applyFill="1" applyBorder="1" applyAlignment="1">
      <alignment horizontal="center"/>
    </xf>
    <xf numFmtId="173" fontId="8" fillId="0" borderId="0" xfId="0" applyFont="1" applyFill="1" applyAlignment="1">
      <alignment horizontal="centerContinuous"/>
    </xf>
    <xf numFmtId="173" fontId="9" fillId="0" borderId="0" xfId="0" applyFont="1" applyFill="1"/>
    <xf numFmtId="173" fontId="3" fillId="0" borderId="0" xfId="0" quotePrefix="1" applyFont="1" applyFill="1"/>
    <xf numFmtId="173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3" fontId="9" fillId="0" borderId="0" xfId="0" applyFont="1" applyFill="1" applyAlignment="1">
      <alignment horizontal="centerContinuous"/>
    </xf>
    <xf numFmtId="173" fontId="4" fillId="0" borderId="0" xfId="0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3" fontId="3" fillId="0" borderId="0" xfId="0" quotePrefix="1" applyFont="1" applyFill="1" applyBorder="1"/>
    <xf numFmtId="173" fontId="3" fillId="0" borderId="0" xfId="0" applyFont="1" applyFill="1" applyBorder="1" applyAlignment="1">
      <alignment horizontal="left"/>
    </xf>
    <xf numFmtId="173" fontId="10" fillId="0" borderId="3" xfId="0" applyFont="1" applyFill="1" applyBorder="1" applyAlignment="1">
      <alignment horizontal="centerContinuous"/>
    </xf>
    <xf numFmtId="173" fontId="10" fillId="0" borderId="4" xfId="0" applyFont="1" applyFill="1" applyBorder="1" applyAlignment="1">
      <alignment horizontal="centerContinuous"/>
    </xf>
    <xf numFmtId="173" fontId="10" fillId="0" borderId="5" xfId="0" applyFont="1" applyFill="1" applyBorder="1"/>
    <xf numFmtId="173" fontId="10" fillId="0" borderId="6" xfId="0" applyFont="1" applyFill="1" applyBorder="1" applyAlignment="1">
      <alignment horizontal="center"/>
    </xf>
    <xf numFmtId="173" fontId="10" fillId="0" borderId="0" xfId="0" quotePrefix="1" applyFont="1" applyFill="1" applyBorder="1" applyAlignment="1">
      <alignment horizontal="center"/>
    </xf>
    <xf numFmtId="173" fontId="10" fillId="0" borderId="7" xfId="0" applyFont="1" applyFill="1" applyBorder="1" applyAlignment="1">
      <alignment horizontal="centerContinuous"/>
    </xf>
    <xf numFmtId="173" fontId="10" fillId="0" borderId="5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Continuous"/>
    </xf>
    <xf numFmtId="173" fontId="10" fillId="0" borderId="9" xfId="0" applyFont="1" applyFill="1" applyBorder="1" applyAlignment="1">
      <alignment horizontal="centerContinuous"/>
    </xf>
    <xf numFmtId="173" fontId="10" fillId="0" borderId="8" xfId="0" applyFont="1" applyFill="1" applyBorder="1" applyAlignment="1">
      <alignment horizontal="center"/>
    </xf>
    <xf numFmtId="173" fontId="10" fillId="0" borderId="10" xfId="0" applyFont="1" applyFill="1" applyBorder="1" applyAlignment="1">
      <alignment horizontal="center"/>
    </xf>
    <xf numFmtId="173" fontId="10" fillId="0" borderId="5" xfId="0" quotePrefix="1" applyFont="1" applyFill="1" applyBorder="1" applyAlignment="1">
      <alignment horizontal="centerContinuous"/>
    </xf>
    <xf numFmtId="173" fontId="10" fillId="0" borderId="3" xfId="0" applyFont="1" applyFill="1" applyBorder="1" applyAlignment="1">
      <alignment horizontal="center"/>
    </xf>
    <xf numFmtId="173" fontId="10" fillId="0" borderId="11" xfId="0" applyFont="1" applyFill="1" applyBorder="1" applyAlignment="1">
      <alignment horizontal="center"/>
    </xf>
    <xf numFmtId="173" fontId="10" fillId="0" borderId="4" xfId="0" applyFont="1" applyFill="1" applyBorder="1" applyAlignment="1">
      <alignment horizontal="center"/>
    </xf>
    <xf numFmtId="173" fontId="10" fillId="0" borderId="2" xfId="0" applyFont="1" applyFill="1" applyBorder="1" applyAlignment="1">
      <alignment horizontal="centerContinuous"/>
    </xf>
    <xf numFmtId="173" fontId="3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173" fontId="3" fillId="0" borderId="7" xfId="0" applyFont="1" applyFill="1" applyBorder="1" applyAlignment="1">
      <alignment horizontal="centerContinuous"/>
    </xf>
    <xf numFmtId="173" fontId="3" fillId="0" borderId="4" xfId="0" applyFont="1" applyFill="1" applyBorder="1" applyAlignment="1">
      <alignment horizontal="centerContinuous"/>
    </xf>
    <xf numFmtId="173" fontId="3" fillId="0" borderId="8" xfId="0" applyFont="1" applyFill="1" applyBorder="1" applyAlignment="1">
      <alignment horizontal="centerContinuous"/>
    </xf>
    <xf numFmtId="173" fontId="3" fillId="0" borderId="2" xfId="0" applyFont="1" applyFill="1" applyBorder="1" applyAlignment="1">
      <alignment horizontal="centerContinuous"/>
    </xf>
    <xf numFmtId="173" fontId="3" fillId="0" borderId="9" xfId="0" applyFont="1" applyFill="1" applyBorder="1" applyAlignment="1">
      <alignment horizontal="centerContinuous"/>
    </xf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3" fontId="3" fillId="2" borderId="0" xfId="0" applyFont="1" applyFill="1"/>
    <xf numFmtId="173" fontId="3" fillId="0" borderId="8" xfId="0" applyFont="1" applyFill="1" applyBorder="1" applyAlignment="1">
      <alignment horizontal="center"/>
    </xf>
    <xf numFmtId="173" fontId="3" fillId="0" borderId="5" xfId="0" applyFont="1" applyFill="1" applyBorder="1" applyAlignment="1">
      <alignment horizontal="centerContinuous"/>
    </xf>
    <xf numFmtId="173" fontId="3" fillId="0" borderId="5" xfId="0" quotePrefix="1" applyFont="1" applyFill="1" applyBorder="1" applyAlignment="1">
      <alignment horizontal="centerContinuous"/>
    </xf>
    <xf numFmtId="173" fontId="3" fillId="0" borderId="3" xfId="0" applyFont="1" applyFill="1" applyBorder="1" applyAlignment="1">
      <alignment horizontal="centerContinuous"/>
    </xf>
    <xf numFmtId="173" fontId="3" fillId="0" borderId="5" xfId="0" applyFont="1" applyFill="1" applyBorder="1"/>
    <xf numFmtId="173" fontId="3" fillId="0" borderId="10" xfId="0" applyFont="1" applyFill="1" applyBorder="1" applyAlignment="1">
      <alignment horizontal="center"/>
    </xf>
    <xf numFmtId="173" fontId="3" fillId="0" borderId="3" xfId="0" applyFont="1" applyFill="1" applyBorder="1" applyAlignment="1">
      <alignment horizontal="center"/>
    </xf>
    <xf numFmtId="173" fontId="3" fillId="0" borderId="11" xfId="0" applyFont="1" applyFill="1" applyBorder="1" applyAlignment="1">
      <alignment horizontal="center"/>
    </xf>
    <xf numFmtId="173" fontId="3" fillId="0" borderId="4" xfId="0" applyFont="1" applyFill="1" applyBorder="1" applyAlignment="1">
      <alignment horizontal="center"/>
    </xf>
    <xf numFmtId="173" fontId="3" fillId="0" borderId="1" xfId="0" applyFont="1" applyFill="1" applyBorder="1" applyAlignment="1">
      <alignment horizontal="center"/>
    </xf>
    <xf numFmtId="173" fontId="3" fillId="0" borderId="6" xfId="0" applyFont="1" applyFill="1" applyBorder="1" applyAlignment="1">
      <alignment horizontal="center"/>
    </xf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73" fontId="15" fillId="2" borderId="0" xfId="0" applyFont="1" applyFill="1"/>
    <xf numFmtId="10" fontId="0" fillId="0" borderId="0" xfId="0" applyNumberFormat="1"/>
    <xf numFmtId="173" fontId="0" fillId="0" borderId="0" xfId="0" applyAlignment="1">
      <alignment horizontal="center"/>
    </xf>
    <xf numFmtId="173" fontId="2" fillId="0" borderId="0" xfId="0" applyFont="1" applyFill="1" applyAlignment="1">
      <alignment horizontal="right"/>
    </xf>
    <xf numFmtId="173" fontId="2" fillId="0" borderId="5" xfId="0" applyFont="1" applyFill="1" applyBorder="1" applyAlignment="1">
      <alignment horizontal="center"/>
    </xf>
    <xf numFmtId="173" fontId="2" fillId="0" borderId="5" xfId="0" applyFont="1" applyFill="1" applyBorder="1" applyAlignment="1">
      <alignment horizontal="center" wrapText="1"/>
    </xf>
    <xf numFmtId="173" fontId="2" fillId="0" borderId="5" xfId="0" applyFont="1" applyFill="1" applyBorder="1" applyAlignment="1">
      <alignment horizontal="centerContinuous" wrapText="1"/>
    </xf>
    <xf numFmtId="173" fontId="11" fillId="0" borderId="6" xfId="0" applyFont="1" applyFill="1" applyBorder="1" applyAlignment="1">
      <alignment horizontal="centerContinuous"/>
    </xf>
    <xf numFmtId="173" fontId="16" fillId="0" borderId="6" xfId="0" quotePrefix="1" applyFont="1" applyFill="1" applyBorder="1" applyAlignment="1">
      <alignment horizontal="center" wrapText="1"/>
    </xf>
    <xf numFmtId="173" fontId="16" fillId="0" borderId="6" xfId="0" applyFont="1" applyFill="1" applyBorder="1" applyAlignment="1">
      <alignment horizontal="center" wrapText="1"/>
    </xf>
    <xf numFmtId="173" fontId="2" fillId="0" borderId="0" xfId="0" applyFont="1" applyFill="1" applyAlignment="1">
      <alignment horizontal="centerContinuous"/>
    </xf>
    <xf numFmtId="173" fontId="2" fillId="0" borderId="5" xfId="0" applyFont="1" applyFill="1" applyBorder="1"/>
    <xf numFmtId="173" fontId="2" fillId="0" borderId="15" xfId="0" applyFont="1" applyFill="1" applyBorder="1" applyAlignment="1">
      <alignment horizontal="center"/>
    </xf>
    <xf numFmtId="173" fontId="2" fillId="0" borderId="6" xfId="0" applyFont="1" applyFill="1" applyBorder="1"/>
    <xf numFmtId="173" fontId="2" fillId="0" borderId="6" xfId="0" applyFont="1" applyFill="1" applyBorder="1" applyAlignment="1">
      <alignment horizontal="center"/>
    </xf>
    <xf numFmtId="8" fontId="1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3" fontId="2" fillId="0" borderId="11" xfId="0" applyFont="1" applyFill="1" applyBorder="1" applyAlignment="1">
      <alignment horizontal="centerContinuous"/>
    </xf>
    <xf numFmtId="173" fontId="5" fillId="0" borderId="7" xfId="0" applyFont="1" applyFill="1" applyBorder="1" applyAlignment="1">
      <alignment horizontal="centerContinuous"/>
    </xf>
    <xf numFmtId="173" fontId="18" fillId="3" borderId="0" xfId="0" applyFont="1" applyFill="1" applyAlignment="1">
      <alignment horizontal="centerContinuous"/>
    </xf>
    <xf numFmtId="173" fontId="19" fillId="3" borderId="0" xfId="0" applyFont="1" applyFill="1" applyAlignment="1">
      <alignment horizontal="centerContinuous"/>
    </xf>
    <xf numFmtId="14" fontId="20" fillId="3" borderId="0" xfId="0" applyNumberFormat="1" applyFont="1" applyFill="1" applyBorder="1" applyAlignment="1">
      <alignment horizontal="centerContinuous" vertical="center"/>
    </xf>
    <xf numFmtId="173" fontId="21" fillId="3" borderId="0" xfId="0" applyFont="1" applyFill="1" applyBorder="1" applyAlignment="1">
      <alignment horizontal="centerContinuous" wrapText="1"/>
    </xf>
    <xf numFmtId="173" fontId="22" fillId="3" borderId="0" xfId="0" applyFont="1" applyFill="1" applyBorder="1" applyAlignment="1">
      <alignment horizontal="centerContinuous"/>
    </xf>
    <xf numFmtId="172" fontId="18" fillId="3" borderId="0" xfId="1" applyNumberFormat="1" applyFont="1" applyFill="1" applyAlignment="1">
      <alignment horizontal="centerContinuous"/>
    </xf>
    <xf numFmtId="173" fontId="18" fillId="0" borderId="0" xfId="0" applyFont="1" applyFill="1" applyBorder="1"/>
    <xf numFmtId="173" fontId="0" fillId="0" borderId="0" xfId="0" applyFill="1" applyBorder="1"/>
    <xf numFmtId="173" fontId="0" fillId="0" borderId="0" xfId="0" applyFill="1" applyBorder="1" applyAlignment="1">
      <alignment horizontal="center"/>
    </xf>
    <xf numFmtId="173" fontId="22" fillId="0" borderId="0" xfId="0" applyFont="1" applyFill="1" applyBorder="1" applyAlignment="1">
      <alignment wrapText="1"/>
    </xf>
    <xf numFmtId="173" fontId="18" fillId="0" borderId="0" xfId="0" applyFont="1" applyFill="1" applyBorder="1" applyAlignment="1">
      <alignment horizontal="center"/>
    </xf>
    <xf numFmtId="173" fontId="19" fillId="3" borderId="0" xfId="0" applyFont="1" applyFill="1" applyBorder="1" applyAlignment="1">
      <alignment horizontal="center"/>
    </xf>
    <xf numFmtId="14" fontId="23" fillId="4" borderId="7" xfId="0" applyNumberFormat="1" applyFont="1" applyFill="1" applyBorder="1" applyAlignment="1">
      <alignment horizontal="center"/>
    </xf>
    <xf numFmtId="168" fontId="18" fillId="0" borderId="0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"/>
    </xf>
    <xf numFmtId="173" fontId="2" fillId="0" borderId="7" xfId="0" applyFont="1" applyFill="1" applyBorder="1" applyAlignment="1">
      <alignment horizontal="centerContinuous"/>
    </xf>
    <xf numFmtId="173" fontId="26" fillId="0" borderId="0" xfId="0" applyFont="1" applyFill="1"/>
    <xf numFmtId="167" fontId="26" fillId="0" borderId="0" xfId="8" applyNumberFormat="1" applyFont="1" applyFill="1"/>
    <xf numFmtId="43" fontId="26" fillId="0" borderId="0" xfId="2" applyNumberFormat="1" applyFont="1" applyFill="1"/>
    <xf numFmtId="164" fontId="2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6" fillId="0" borderId="0" xfId="0" applyNumberFormat="1" applyFont="1" applyFill="1"/>
    <xf numFmtId="6" fontId="26" fillId="0" borderId="0" xfId="2" applyNumberFormat="1" applyFont="1" applyFill="1"/>
    <xf numFmtId="8" fontId="26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3" fontId="2" fillId="0" borderId="0" xfId="0" applyFont="1" applyFill="1" applyBorder="1" applyAlignment="1">
      <alignment horizontal="center"/>
    </xf>
    <xf numFmtId="173" fontId="3" fillId="5" borderId="16" xfId="0" applyFont="1" applyFill="1" applyBorder="1"/>
    <xf numFmtId="173" fontId="27" fillId="0" borderId="17" xfId="0" applyFont="1" applyBorder="1" applyAlignment="1">
      <alignment horizontal="center"/>
    </xf>
    <xf numFmtId="173" fontId="2" fillId="0" borderId="19" xfId="0" applyFont="1" applyFill="1" applyBorder="1" applyAlignment="1">
      <alignment horizontal="centerContinuous"/>
    </xf>
    <xf numFmtId="173" fontId="2" fillId="0" borderId="20" xfId="0" applyFont="1" applyFill="1" applyBorder="1" applyAlignment="1">
      <alignment horizontal="centerContinuous"/>
    </xf>
    <xf numFmtId="173" fontId="2" fillId="0" borderId="21" xfId="0" applyFont="1" applyFill="1" applyBorder="1" applyAlignment="1">
      <alignment horizontal="centerContinuous"/>
    </xf>
    <xf numFmtId="167" fontId="0" fillId="0" borderId="0" xfId="8" applyNumberFormat="1" applyFont="1" applyFill="1"/>
    <xf numFmtId="173" fontId="2" fillId="0" borderId="19" xfId="5" applyFont="1" applyFill="1" applyBorder="1" applyAlignment="1">
      <alignment horizontal="centerContinuous"/>
    </xf>
    <xf numFmtId="173" fontId="2" fillId="0" borderId="3" xfId="5" applyFont="1" applyFill="1" applyBorder="1" applyAlignment="1">
      <alignment horizontal="centerContinuous"/>
    </xf>
    <xf numFmtId="173" fontId="28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8" fillId="0" borderId="0" xfId="1" applyNumberFormat="1" applyFont="1" applyFill="1" applyAlignment="1">
      <alignment horizontal="centerContinuous"/>
    </xf>
    <xf numFmtId="173" fontId="18" fillId="0" borderId="0" xfId="0" applyFont="1" applyFill="1" applyAlignment="1">
      <alignment horizontal="centerContinuous"/>
    </xf>
    <xf numFmtId="173" fontId="3" fillId="0" borderId="0" xfId="0" applyFont="1" applyFill="1" applyBorder="1" applyAlignment="1">
      <alignment horizontal="left" indent="1"/>
    </xf>
    <xf numFmtId="173" fontId="3" fillId="0" borderId="0" xfId="0" applyFont="1" applyFill="1" applyAlignment="1">
      <alignment horizontal="left" indent="1"/>
    </xf>
    <xf numFmtId="167" fontId="0" fillId="6" borderId="0" xfId="8" applyNumberFormat="1" applyFont="1" applyFill="1"/>
    <xf numFmtId="173" fontId="0" fillId="0" borderId="0" xfId="0" applyFill="1"/>
    <xf numFmtId="43" fontId="0" fillId="0" borderId="0" xfId="1" applyFont="1" applyFill="1"/>
    <xf numFmtId="174" fontId="3" fillId="0" borderId="0" xfId="0" applyNumberFormat="1" applyFont="1" applyFill="1"/>
    <xf numFmtId="173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0" fontId="0" fillId="0" borderId="0" xfId="11" applyNumberFormat="1" applyFont="1" applyFill="1" applyAlignment="1">
      <alignment horizontal="left"/>
    </xf>
    <xf numFmtId="0" fontId="0" fillId="0" borderId="0" xfId="7" applyFont="1" applyFill="1" applyBorder="1" applyAlignment="1">
      <alignment horizontal="center"/>
    </xf>
    <xf numFmtId="173" fontId="0" fillId="0" borderId="0" xfId="0" applyFont="1" applyFill="1" applyAlignment="1">
      <alignment horizontal="centerContinuous"/>
    </xf>
    <xf numFmtId="173" fontId="0" fillId="0" borderId="0" xfId="0" applyFont="1" applyFill="1"/>
    <xf numFmtId="173" fontId="0" fillId="0" borderId="0" xfId="0" applyFont="1" applyFill="1" applyBorder="1" applyAlignment="1">
      <alignment horizontal="centerContinuous"/>
    </xf>
    <xf numFmtId="173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18" xfId="0" applyNumberFormat="1" applyFont="1" applyFill="1" applyBorder="1"/>
    <xf numFmtId="165" fontId="0" fillId="0" borderId="18" xfId="0" applyNumberFormat="1" applyFont="1" applyFill="1" applyBorder="1" applyAlignment="1">
      <alignment horizontal="center"/>
    </xf>
    <xf numFmtId="8" fontId="0" fillId="0" borderId="18" xfId="0" applyNumberFormat="1" applyFont="1" applyFill="1" applyBorder="1"/>
    <xf numFmtId="8" fontId="0" fillId="0" borderId="18" xfId="0" applyNumberFormat="1" applyFont="1" applyFill="1" applyBorder="1" applyAlignment="1">
      <alignment horizontal="right"/>
    </xf>
    <xf numFmtId="170" fontId="0" fillId="0" borderId="0" xfId="0" applyNumberFormat="1" applyFont="1" applyFill="1"/>
    <xf numFmtId="41" fontId="0" fillId="0" borderId="0" xfId="4" applyFont="1" applyFill="1"/>
    <xf numFmtId="173" fontId="0" fillId="0" borderId="0" xfId="0" applyFont="1" applyFill="1" applyAlignment="1">
      <alignment horizontal="center"/>
    </xf>
    <xf numFmtId="41" fontId="0" fillId="0" borderId="0" xfId="0" applyNumberFormat="1" applyFont="1" applyFill="1" applyBorder="1"/>
    <xf numFmtId="169" fontId="0" fillId="0" borderId="0" xfId="0" applyNumberFormat="1" applyFont="1" applyFill="1" applyBorder="1"/>
    <xf numFmtId="173" fontId="0" fillId="0" borderId="22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3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3" fontId="0" fillId="0" borderId="11" xfId="0" applyFont="1" applyFill="1" applyBorder="1" applyAlignment="1">
      <alignment horizontal="centerContinuous"/>
    </xf>
    <xf numFmtId="173" fontId="0" fillId="0" borderId="4" xfId="0" applyFont="1" applyFill="1" applyBorder="1" applyAlignment="1">
      <alignment horizontal="centerContinuous"/>
    </xf>
    <xf numFmtId="171" fontId="0" fillId="0" borderId="0" xfId="2" applyNumberFormat="1" applyFont="1" applyFill="1"/>
    <xf numFmtId="10" fontId="0" fillId="0" borderId="0" xfId="0" applyNumberFormat="1" applyFont="1" applyFill="1" applyBorder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4" fontId="0" fillId="0" borderId="0" xfId="0" applyNumberFormat="1"/>
    <xf numFmtId="175" fontId="3" fillId="0" borderId="0" xfId="0" applyNumberFormat="1" applyFont="1" applyFill="1" applyBorder="1" applyAlignment="1">
      <alignment horizontal="center"/>
    </xf>
    <xf numFmtId="176" fontId="3" fillId="0" borderId="0" xfId="8" applyNumberFormat="1" applyFont="1" applyFill="1"/>
    <xf numFmtId="173" fontId="8" fillId="0" borderId="0" xfId="12" applyFont="1"/>
    <xf numFmtId="173" fontId="4" fillId="0" borderId="0" xfId="12" applyFont="1" applyAlignment="1">
      <alignment horizontal="centerContinuous"/>
    </xf>
    <xf numFmtId="173" fontId="4" fillId="0" borderId="5" xfId="12" applyFont="1" applyBorder="1"/>
    <xf numFmtId="173" fontId="4" fillId="0" borderId="8" xfId="12" applyFont="1" applyFill="1" applyBorder="1" applyAlignment="1">
      <alignment horizontal="centerContinuous" vertical="center" wrapText="1"/>
    </xf>
    <xf numFmtId="173" fontId="4" fillId="0" borderId="9" xfId="12" applyFont="1" applyFill="1" applyBorder="1" applyAlignment="1">
      <alignment horizontal="centerContinuous" vertical="center" wrapText="1"/>
    </xf>
    <xf numFmtId="173" fontId="4" fillId="0" borderId="5" xfId="12" applyFont="1" applyFill="1" applyBorder="1" applyAlignment="1">
      <alignment horizontal="centerContinuous" vertical="center" wrapText="1"/>
    </xf>
    <xf numFmtId="173" fontId="4" fillId="0" borderId="6" xfId="12" applyFont="1" applyBorder="1" applyAlignment="1">
      <alignment horizontal="center"/>
    </xf>
    <xf numFmtId="41" fontId="4" fillId="0" borderId="7" xfId="13" applyFont="1" applyFill="1" applyBorder="1" applyAlignment="1">
      <alignment horizontal="centerContinuous"/>
    </xf>
    <xf numFmtId="41" fontId="4" fillId="0" borderId="6" xfId="13" applyFont="1" applyFill="1" applyBorder="1" applyAlignment="1">
      <alignment horizontal="centerContinuous"/>
    </xf>
    <xf numFmtId="0" fontId="4" fillId="0" borderId="0" xfId="12" applyNumberFormat="1" applyFont="1" applyAlignment="1">
      <alignment horizontal="center"/>
    </xf>
    <xf numFmtId="7" fontId="8" fillId="0" borderId="0" xfId="12" applyNumberFormat="1" applyFont="1" applyFill="1" applyBorder="1" applyAlignment="1">
      <alignment horizontal="center"/>
    </xf>
    <xf numFmtId="176" fontId="8" fillId="0" borderId="0" xfId="12" applyNumberFormat="1" applyFont="1"/>
    <xf numFmtId="10" fontId="8" fillId="0" borderId="0" xfId="12" applyNumberFormat="1" applyFont="1" applyBorder="1"/>
    <xf numFmtId="173" fontId="4" fillId="0" borderId="0" xfId="12" applyFont="1" applyFill="1"/>
    <xf numFmtId="8" fontId="8" fillId="0" borderId="0" xfId="13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173" fontId="8" fillId="0" borderId="0" xfId="0" applyFont="1" applyFill="1" applyBorder="1"/>
    <xf numFmtId="173" fontId="8" fillId="0" borderId="0" xfId="0" applyFont="1"/>
  </cellXfs>
  <cellStyles count="14">
    <cellStyle name="Comma" xfId="1" builtinId="3"/>
    <cellStyle name="Currency" xfId="2" builtinId="4"/>
    <cellStyle name="Input" xfId="3" builtinId="20" customBuiltin="1"/>
    <cellStyle name="Normal" xfId="0" builtinId="0" customBuiltin="1"/>
    <cellStyle name="Normal 2" xfId="9"/>
    <cellStyle name="Normal 3" xfId="10"/>
    <cellStyle name="Normal 4" xfId="12"/>
    <cellStyle name="Normal_DRR AC Study - Utah Valley - 53 MW 90 CF (2.28.2005)" xfId="4"/>
    <cellStyle name="Normal_Holly - AC Study (2007.1.22)" xfId="13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ercent" xfId="8" builtinId="5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2\12%20-%20UT%20Compliance%20Filing%20-%202%20May\Scenario\UT%202012.Q2%20-%204-%20-%20Summary%20(HLH%20LLH%20-%20PV%20Split)%20_2012%2006%20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Energy PMT)"/>
      <sheetName val="Monthly Summary (Energy PMT)"/>
      <sheetName val="Monthly (Energy PMT)"/>
      <sheetName val="Summary (Cap PMT)"/>
      <sheetName val="Monthly (Cap PMT)"/>
      <sheetName val="MWH-Split"/>
      <sheetName val="Monthly Levelized"/>
    </sheetNames>
    <sheetDataSet>
      <sheetData sheetId="0"/>
      <sheetData sheetId="1"/>
      <sheetData sheetId="2"/>
      <sheetData sheetId="3">
        <row r="22">
          <cell r="K22">
            <v>7.1540000000000006E-2</v>
          </cell>
        </row>
      </sheetData>
      <sheetData sheetId="4">
        <row r="4">
          <cell r="N4">
            <v>5.7746817352359869E-3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5"/>
  <sheetViews>
    <sheetView showGridLines="0" tabSelected="1" zoomScaleNormal="100" zoomScaleSheetLayoutView="70" workbookViewId="0">
      <pane xSplit="3" ySplit="9" topLeftCell="D10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10.6640625" defaultRowHeight="15.75"/>
  <cols>
    <col min="1" max="1" width="2.1640625" style="190" customWidth="1"/>
    <col min="2" max="2" width="25.83203125" style="190" customWidth="1"/>
    <col min="3" max="3" width="2.83203125" style="190" customWidth="1"/>
    <col min="4" max="5" width="25.83203125" style="190" customWidth="1"/>
    <col min="6" max="6" width="2.83203125" style="190" customWidth="1"/>
    <col min="7" max="7" width="25.83203125" style="190" customWidth="1"/>
    <col min="8" max="8" width="10.6640625" style="190" customWidth="1"/>
    <col min="9" max="9" width="10.6640625" style="190" hidden="1" customWidth="1"/>
    <col min="10" max="12" width="10.6640625" style="190"/>
    <col min="13" max="13" width="36.1640625" style="190" customWidth="1"/>
    <col min="14" max="16384" width="10.6640625" style="190"/>
  </cols>
  <sheetData>
    <row r="1" spans="1:9" s="207" customFormat="1">
      <c r="A1" s="14"/>
      <c r="B1" s="1" t="s">
        <v>112</v>
      </c>
      <c r="C1" s="1"/>
      <c r="D1" s="1"/>
      <c r="E1" s="1"/>
      <c r="F1" s="1"/>
      <c r="G1" s="17"/>
      <c r="H1" s="205"/>
      <c r="I1" s="206"/>
    </row>
    <row r="3" spans="1:9">
      <c r="B3" s="191" t="s">
        <v>115</v>
      </c>
      <c r="C3" s="191"/>
      <c r="D3" s="191"/>
      <c r="E3" s="191"/>
      <c r="F3" s="191"/>
      <c r="G3" s="191"/>
    </row>
    <row r="4" spans="1:9">
      <c r="B4" s="191" t="s">
        <v>116</v>
      </c>
      <c r="C4" s="191"/>
      <c r="D4" s="191"/>
      <c r="E4" s="191"/>
      <c r="F4" s="191"/>
      <c r="G4" s="191"/>
    </row>
    <row r="5" spans="1:9">
      <c r="B5" s="191" t="s">
        <v>105</v>
      </c>
      <c r="C5" s="191"/>
      <c r="D5" s="191"/>
      <c r="E5" s="191"/>
      <c r="F5" s="191"/>
      <c r="G5" s="191"/>
    </row>
    <row r="7" spans="1:9">
      <c r="B7" s="192"/>
      <c r="D7" s="193" t="s">
        <v>106</v>
      </c>
      <c r="E7" s="194"/>
      <c r="G7" s="195" t="s">
        <v>107</v>
      </c>
    </row>
    <row r="8" spans="1:9">
      <c r="B8" s="196" t="s">
        <v>0</v>
      </c>
      <c r="D8" s="197" t="s">
        <v>108</v>
      </c>
      <c r="E8" s="197" t="s">
        <v>109</v>
      </c>
      <c r="G8" s="198" t="s">
        <v>119</v>
      </c>
    </row>
    <row r="9" spans="1:9" ht="4.5" customHeight="1"/>
    <row r="10" spans="1:9">
      <c r="B10" s="199">
        <v>2013</v>
      </c>
      <c r="D10" s="200">
        <v>29.09</v>
      </c>
      <c r="E10" s="200">
        <v>20.66</v>
      </c>
      <c r="G10" s="200">
        <v>25.56</v>
      </c>
    </row>
    <row r="11" spans="1:9">
      <c r="B11" s="199">
        <v>2014</v>
      </c>
      <c r="D11" s="200">
        <v>29.66</v>
      </c>
      <c r="E11" s="200">
        <v>20.66</v>
      </c>
      <c r="G11" s="200">
        <v>25.9</v>
      </c>
    </row>
    <row r="12" spans="1:9">
      <c r="B12" s="199">
        <v>2015</v>
      </c>
      <c r="D12" s="200">
        <v>30.57</v>
      </c>
      <c r="E12" s="200">
        <v>20.329999999999998</v>
      </c>
      <c r="G12" s="200">
        <v>26.29</v>
      </c>
    </row>
    <row r="13" spans="1:9">
      <c r="B13" s="199">
        <v>2016</v>
      </c>
      <c r="D13" s="200">
        <v>38.299999999999997</v>
      </c>
      <c r="E13" s="200">
        <v>26.38</v>
      </c>
      <c r="G13" s="200">
        <v>33.340000000000003</v>
      </c>
    </row>
    <row r="14" spans="1:9">
      <c r="B14" s="199">
        <v>2017</v>
      </c>
      <c r="D14" s="200">
        <v>46.8</v>
      </c>
      <c r="E14" s="200">
        <v>32.020000000000003</v>
      </c>
      <c r="G14" s="200">
        <v>40.590000000000003</v>
      </c>
    </row>
    <row r="15" spans="1:9">
      <c r="B15" s="199">
        <v>2018</v>
      </c>
      <c r="D15" s="200">
        <v>50.23</v>
      </c>
      <c r="E15" s="200">
        <v>35.83</v>
      </c>
      <c r="G15" s="200">
        <v>44.22</v>
      </c>
    </row>
    <row r="16" spans="1:9">
      <c r="B16" s="199">
        <v>2019</v>
      </c>
      <c r="D16" s="200">
        <v>52.83</v>
      </c>
      <c r="E16" s="200">
        <v>41.02</v>
      </c>
      <c r="G16" s="200">
        <v>47.88</v>
      </c>
      <c r="I16" s="201"/>
    </row>
    <row r="17" spans="2:9">
      <c r="B17" s="199">
        <v>2020</v>
      </c>
      <c r="D17" s="200">
        <v>54.64</v>
      </c>
      <c r="E17" s="200">
        <v>44.88</v>
      </c>
      <c r="G17" s="200">
        <v>50.56</v>
      </c>
      <c r="H17" s="202"/>
    </row>
    <row r="18" spans="2:9">
      <c r="B18" s="199">
        <v>2021</v>
      </c>
      <c r="D18" s="200">
        <v>53.61</v>
      </c>
      <c r="E18" s="200">
        <v>43.78</v>
      </c>
      <c r="G18" s="200">
        <v>49.51</v>
      </c>
      <c r="H18" s="202"/>
    </row>
    <row r="19" spans="2:9">
      <c r="B19" s="199">
        <v>2022</v>
      </c>
      <c r="D19" s="200">
        <v>57.94</v>
      </c>
      <c r="E19" s="200">
        <v>49.8</v>
      </c>
      <c r="G19" s="200">
        <v>54.55</v>
      </c>
      <c r="H19" s="202"/>
    </row>
    <row r="20" spans="2:9">
      <c r="B20" s="199">
        <v>2023</v>
      </c>
      <c r="D20" s="200">
        <v>59.25</v>
      </c>
      <c r="E20" s="200">
        <v>51.3</v>
      </c>
      <c r="G20" s="200">
        <v>55.92</v>
      </c>
    </row>
    <row r="21" spans="2:9">
      <c r="B21" s="199">
        <v>2024</v>
      </c>
      <c r="D21" s="200">
        <v>59.74</v>
      </c>
      <c r="E21" s="200">
        <v>52.04</v>
      </c>
      <c r="G21" s="200">
        <v>56.52</v>
      </c>
    </row>
    <row r="22" spans="2:9">
      <c r="B22" s="199">
        <v>2025</v>
      </c>
      <c r="D22" s="200">
        <v>61.79</v>
      </c>
      <c r="E22" s="200">
        <v>54.01</v>
      </c>
      <c r="G22" s="200">
        <v>58.54</v>
      </c>
    </row>
    <row r="23" spans="2:9">
      <c r="B23" s="199">
        <v>2026</v>
      </c>
      <c r="D23" s="200">
        <v>63.03</v>
      </c>
      <c r="E23" s="200">
        <v>54.75</v>
      </c>
      <c r="G23" s="200">
        <v>59.58</v>
      </c>
    </row>
    <row r="24" spans="2:9">
      <c r="B24" s="199">
        <v>2027</v>
      </c>
      <c r="D24" s="200">
        <v>64.13</v>
      </c>
      <c r="E24" s="200">
        <v>55.97</v>
      </c>
      <c r="G24" s="200">
        <v>60.71</v>
      </c>
    </row>
    <row r="25" spans="2:9">
      <c r="B25" s="199">
        <v>2028</v>
      </c>
      <c r="D25" s="200">
        <v>66.38</v>
      </c>
      <c r="E25" s="200">
        <v>58.18</v>
      </c>
      <c r="G25" s="200">
        <v>62.95</v>
      </c>
    </row>
    <row r="26" spans="2:9">
      <c r="B26" s="199">
        <v>2029</v>
      </c>
      <c r="D26" s="200">
        <v>67.45</v>
      </c>
      <c r="E26" s="200">
        <v>59.34</v>
      </c>
      <c r="G26" s="200">
        <v>64.069999999999993</v>
      </c>
    </row>
    <row r="27" spans="2:9">
      <c r="B27" s="199">
        <v>2030</v>
      </c>
      <c r="D27" s="200">
        <v>69.55</v>
      </c>
      <c r="E27" s="200">
        <v>61.62</v>
      </c>
      <c r="G27" s="200">
        <v>66.25</v>
      </c>
    </row>
    <row r="28" spans="2:9">
      <c r="B28" s="199">
        <v>2031</v>
      </c>
      <c r="D28" s="200">
        <v>70.819999999999993</v>
      </c>
      <c r="E28" s="200">
        <v>63.14</v>
      </c>
      <c r="G28" s="200">
        <v>67.599999999999994</v>
      </c>
    </row>
    <row r="29" spans="2:9">
      <c r="B29" s="199">
        <v>2032</v>
      </c>
      <c r="D29" s="200">
        <v>71.92</v>
      </c>
      <c r="E29" s="200">
        <v>64.11</v>
      </c>
      <c r="G29" s="200">
        <v>68.650000000000006</v>
      </c>
    </row>
    <row r="30" spans="2:9" hidden="1">
      <c r="B30" s="199"/>
      <c r="D30" s="200"/>
      <c r="E30" s="200"/>
      <c r="G30" s="200"/>
    </row>
    <row r="32" spans="2:9">
      <c r="B32" s="203" t="s">
        <v>114</v>
      </c>
      <c r="I32" s="190" t="s">
        <v>110</v>
      </c>
    </row>
    <row r="33" spans="2:9">
      <c r="B33" s="199" t="s">
        <v>63</v>
      </c>
      <c r="D33" s="200">
        <v>49.74</v>
      </c>
      <c r="E33" s="200">
        <v>39.9</v>
      </c>
      <c r="G33" s="204">
        <v>45.62</v>
      </c>
      <c r="I33" s="190" t="s">
        <v>111</v>
      </c>
    </row>
    <row r="34" spans="2:9">
      <c r="D34" s="200"/>
      <c r="E34" s="200"/>
      <c r="I34" s="204">
        <v>-3.1414001225797961E-3</v>
      </c>
    </row>
    <row r="35" spans="2:9">
      <c r="D35" s="200"/>
      <c r="E35" s="200"/>
    </row>
  </sheetData>
  <printOptions horizontalCentered="1"/>
  <pageMargins left="0.3" right="0.3" top="0.8" bottom="0.4" header="0.5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6"/>
  <sheetViews>
    <sheetView zoomScaleNormal="100" zoomScaleSheetLayoutView="70" workbookViewId="0">
      <pane xSplit="2" ySplit="12" topLeftCell="C13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customWidth="1"/>
  </cols>
  <sheetData>
    <row r="1" spans="2:9" ht="15.75">
      <c r="B1" s="1" t="s">
        <v>112</v>
      </c>
      <c r="C1" s="5"/>
      <c r="D1" s="5"/>
      <c r="E1" s="5"/>
      <c r="F1" s="5"/>
      <c r="G1" s="44"/>
      <c r="H1" s="125"/>
      <c r="I1" s="8"/>
    </row>
    <row r="2" spans="2:9" ht="15.75">
      <c r="B2" s="1"/>
      <c r="C2" s="5"/>
      <c r="D2" s="5"/>
      <c r="E2" s="5"/>
      <c r="G2" s="44"/>
      <c r="H2" s="125"/>
      <c r="I2" s="8"/>
    </row>
    <row r="3" spans="2:9" ht="15.75">
      <c r="B3" s="1" t="s">
        <v>39</v>
      </c>
      <c r="C3" s="5"/>
      <c r="D3" s="5"/>
      <c r="E3" s="5"/>
      <c r="F3" s="5"/>
      <c r="G3" s="44"/>
      <c r="H3" s="125"/>
      <c r="I3" s="8"/>
    </row>
    <row r="4" spans="2:9" ht="15.75">
      <c r="B4" s="7" t="s">
        <v>36</v>
      </c>
      <c r="C4" s="7"/>
      <c r="D4" s="7"/>
      <c r="E4" s="7"/>
      <c r="F4" s="7"/>
      <c r="G4" s="1"/>
      <c r="H4" s="125"/>
      <c r="I4" s="8"/>
    </row>
    <row r="5" spans="2:9" ht="15.75">
      <c r="B5" s="7" t="s">
        <v>104</v>
      </c>
      <c r="C5" s="7"/>
      <c r="D5" s="7"/>
      <c r="E5" s="7"/>
      <c r="F5" s="7"/>
      <c r="G5" s="1"/>
      <c r="H5" s="125"/>
      <c r="I5" s="8"/>
    </row>
    <row r="6" spans="2:9" ht="14.25">
      <c r="B6" s="7" t="s">
        <v>95</v>
      </c>
      <c r="C6" s="7"/>
      <c r="D6" s="7"/>
      <c r="E6" s="7"/>
      <c r="F6" s="7"/>
      <c r="G6" s="44"/>
      <c r="H6" s="125"/>
      <c r="I6" s="8"/>
    </row>
    <row r="7" spans="2:9">
      <c r="C7" s="10"/>
      <c r="D7" s="10"/>
      <c r="H7" s="125"/>
      <c r="I7" t="s">
        <v>88</v>
      </c>
    </row>
    <row r="8" spans="2:9">
      <c r="E8" s="45"/>
      <c r="F8" s="128"/>
      <c r="G8" s="9" t="s">
        <v>32</v>
      </c>
      <c r="H8" s="125"/>
      <c r="I8" s="145">
        <v>0.36488438060035849</v>
      </c>
    </row>
    <row r="9" spans="2:9">
      <c r="C9" s="9" t="s">
        <v>7</v>
      </c>
      <c r="D9" s="9"/>
      <c r="E9" s="45" t="s">
        <v>37</v>
      </c>
      <c r="F9" s="128"/>
      <c r="G9" s="150">
        <v>0.35009813483915125</v>
      </c>
      <c r="H9" s="125"/>
      <c r="I9"/>
    </row>
    <row r="10" spans="2:9">
      <c r="B10" s="9" t="s">
        <v>0</v>
      </c>
      <c r="C10" s="9" t="str">
        <f>"Price"&amp;IF(I8&lt;&gt;1," (6)","")</f>
        <v>Price (6)</v>
      </c>
      <c r="D10" s="9"/>
      <c r="E10" s="45" t="s">
        <v>38</v>
      </c>
      <c r="F10" s="128"/>
      <c r="G10" s="45" t="s">
        <v>33</v>
      </c>
      <c r="H10" s="125"/>
      <c r="I10" s="187"/>
    </row>
    <row r="11" spans="2:9" ht="13.5">
      <c r="B11" s="9"/>
      <c r="C11" s="9" t="s">
        <v>35</v>
      </c>
      <c r="D11" s="9"/>
      <c r="E11" s="152" t="s">
        <v>92</v>
      </c>
      <c r="F11" s="128"/>
      <c r="G11" s="45" t="s">
        <v>63</v>
      </c>
      <c r="H11" s="125"/>
      <c r="I11" s="187"/>
    </row>
    <row r="12" spans="2:9">
      <c r="B12" s="9"/>
      <c r="C12" s="16"/>
      <c r="D12" s="45"/>
      <c r="E12" s="45"/>
      <c r="F12" s="45"/>
      <c r="H12" s="125"/>
      <c r="I12" s="187"/>
    </row>
    <row r="13" spans="2:9">
      <c r="B13" s="72">
        <f>'Table 2'!B12</f>
        <v>2013</v>
      </c>
      <c r="C13" s="11">
        <f>IF(VLOOKUP(B13,'Table 4'!$B$11:$K$41,9,FALSE)&lt;&gt;0,VLOOKUP(B13,'Table 4'!$B$11:$K$41,7,FALSE),0)*$I$8*IF(B13=2015,7/12,1)</f>
        <v>0</v>
      </c>
      <c r="D13" s="11"/>
      <c r="E13" s="11">
        <f>'Table 2'!C12</f>
        <v>25.555838780303478</v>
      </c>
      <c r="F13" s="138"/>
      <c r="G13" s="46">
        <f>ROUND((C13*1000/(IF(MOD(B13,4)=0,8784,8760)*$G$9)+E13),2)</f>
        <v>25.56</v>
      </c>
      <c r="H13" s="125"/>
      <c r="I13"/>
    </row>
    <row r="14" spans="2:9">
      <c r="B14" s="73">
        <f t="shared" ref="B14:B32" si="0">B13+1</f>
        <v>2014</v>
      </c>
      <c r="C14" s="12">
        <f>IF(VLOOKUP(B14,'Table 4'!$B$11:$K$41,9,FALSE)&lt;&gt;0,VLOOKUP(B14,'Table 4'!$B$11:$K$41,7,FALSE),0)*$I$8*IF(B14=2016,7/12,1)</f>
        <v>0</v>
      </c>
      <c r="D14" s="140" t="str">
        <f t="shared" ref="D14:D19" si="1">IF(B14=2016,"(4)","")</f>
        <v/>
      </c>
      <c r="E14" s="12">
        <f>'Table 2'!C13</f>
        <v>25.896355028429493</v>
      </c>
      <c r="F14" s="126"/>
      <c r="G14" s="47">
        <f>ROUND((C14*1000/(IF(MOD(B14,4)=0,8784,8760)*$G$9)+E14),2)</f>
        <v>25.9</v>
      </c>
      <c r="H14" s="125"/>
      <c r="I14"/>
    </row>
    <row r="15" spans="2:9">
      <c r="B15" s="73">
        <f t="shared" si="0"/>
        <v>2015</v>
      </c>
      <c r="C15" s="12">
        <f>IF(VLOOKUP(B15,'Table 4'!$B$11:$K$41,9,FALSE)&lt;&gt;0,VLOOKUP(B15,'Table 4'!$B$11:$K$41,7,FALSE),0)*$I$8*IF(B15=2016,7/12,1)</f>
        <v>0</v>
      </c>
      <c r="D15" s="140" t="str">
        <f t="shared" si="1"/>
        <v/>
      </c>
      <c r="E15" s="12">
        <f>'Table 2'!C14</f>
        <v>26.286878582109896</v>
      </c>
      <c r="F15" s="126"/>
      <c r="G15" s="47">
        <f t="shared" ref="G15:G32" si="2">ROUND((C15*1000/(IF(MOD(B15,4)=0,8784,8760)*$G$9)+E15),2)</f>
        <v>26.29</v>
      </c>
      <c r="H15" s="125"/>
      <c r="I15"/>
    </row>
    <row r="16" spans="2:9">
      <c r="B16" s="73">
        <f t="shared" si="0"/>
        <v>2016</v>
      </c>
      <c r="C16" s="12">
        <f>IF(VLOOKUP(B16,'Table 4'!$B$11:$K$41,9,FALSE)&lt;&gt;0,VLOOKUP(B16,'Table 4'!$B$11:$K$41,7,FALSE),0)*$I$8*IF(B16=2016,7/12,1)</f>
        <v>30.015997288819829</v>
      </c>
      <c r="D16" s="140" t="str">
        <f t="shared" si="1"/>
        <v>(4)</v>
      </c>
      <c r="E16" s="12">
        <f>'Table 2'!C15</f>
        <v>23.589283530047265</v>
      </c>
      <c r="F16" s="126"/>
      <c r="G16" s="47">
        <f t="shared" si="2"/>
        <v>33.35</v>
      </c>
      <c r="H16" s="125"/>
      <c r="I16"/>
    </row>
    <row r="17" spans="2:9">
      <c r="B17" s="73">
        <f t="shared" si="0"/>
        <v>2017</v>
      </c>
      <c r="C17" s="12">
        <f>IF(VLOOKUP(B17,'Table 4'!$B$11:$K$41,9,FALSE)&lt;&gt;0,VLOOKUP(B17,'Table 4'!$B$11:$K$41,7,FALSE),0)*$I$8*IF(B17=2016,7/12,1)</f>
        <v>52.43023664846551</v>
      </c>
      <c r="D17" s="140" t="str">
        <f t="shared" si="1"/>
        <v/>
      </c>
      <c r="E17" s="12">
        <f>'Table 2'!C16</f>
        <v>23.491760344947043</v>
      </c>
      <c r="F17" s="126"/>
      <c r="G17" s="47">
        <f t="shared" si="2"/>
        <v>40.590000000000003</v>
      </c>
      <c r="H17" s="125"/>
      <c r="I17"/>
    </row>
    <row r="18" spans="2:9">
      <c r="B18" s="73">
        <f t="shared" si="0"/>
        <v>2018</v>
      </c>
      <c r="C18" s="12">
        <f>IF(VLOOKUP(B18,'Table 4'!$B$11:$K$41,9,FALSE)&lt;&gt;0,VLOOKUP(B18,'Table 4'!$B$11:$K$41,7,FALSE),0)*$I$8*IF(B18=2016,7/12,1)</f>
        <v>53.419073319892483</v>
      </c>
      <c r="D18" s="140" t="str">
        <f t="shared" si="1"/>
        <v/>
      </c>
      <c r="E18" s="12">
        <f>'Table 2'!C17</f>
        <v>26.796196934509812</v>
      </c>
      <c r="F18" s="126"/>
      <c r="G18" s="47">
        <f t="shared" si="2"/>
        <v>44.21</v>
      </c>
      <c r="H18" s="125"/>
      <c r="I18"/>
    </row>
    <row r="19" spans="2:9">
      <c r="B19" s="73">
        <f t="shared" si="0"/>
        <v>2019</v>
      </c>
      <c r="C19" s="12">
        <f>IF(VLOOKUP(B19,'Table 4'!$B$11:$K$41,9,FALSE)&lt;&gt;0,VLOOKUP(B19,'Table 4'!$B$11:$K$41,7,FALSE),0)*$I$8*IF(B19=2016,7/12,1)</f>
        <v>54.386016928483436</v>
      </c>
      <c r="D19" s="140" t="str">
        <f t="shared" si="1"/>
        <v/>
      </c>
      <c r="E19" s="12">
        <f>'Table 2'!C18</f>
        <v>30.143778915240379</v>
      </c>
      <c r="F19" s="126"/>
      <c r="G19" s="47">
        <f t="shared" si="2"/>
        <v>47.88</v>
      </c>
      <c r="H19" s="125"/>
      <c r="I19"/>
    </row>
    <row r="20" spans="2:9">
      <c r="B20" s="73">
        <f t="shared" si="0"/>
        <v>2020</v>
      </c>
      <c r="C20" s="12">
        <f>IF(VLOOKUP(B20,'Table 4'!$B$11:$K$41,9,FALSE)&lt;&gt;0,VLOOKUP(B20,'Table 4'!$B$11:$K$41,7,FALSE),0)*$I$8*IF(B20=2016,7/12,1)</f>
        <v>55.316472099014348</v>
      </c>
      <c r="D20" s="140" t="str">
        <f>IF(B20=2016,"(4)","")</f>
        <v/>
      </c>
      <c r="E20" s="12">
        <f>'Table 2'!C19</f>
        <v>32.593759860114773</v>
      </c>
      <c r="F20" s="126"/>
      <c r="G20" s="47">
        <f t="shared" si="2"/>
        <v>50.58</v>
      </c>
      <c r="H20" s="125"/>
      <c r="I20"/>
    </row>
    <row r="21" spans="2:9">
      <c r="B21" s="73">
        <f t="shared" si="0"/>
        <v>2021</v>
      </c>
      <c r="C21" s="12">
        <f>IF(VLOOKUP(B21,'Table 4'!$B$11:$K$41,9,FALSE)&lt;&gt;0,VLOOKUP(B21,'Table 4'!$B$11:$K$41,7,FALSE),0)*$I$8*IF(B21=2016,7/12,1)</f>
        <v>56.305308770441322</v>
      </c>
      <c r="D21" s="140" t="str">
        <f t="shared" ref="D21:D25" si="3">IF(B21=2016,"(4)","")</f>
        <v/>
      </c>
      <c r="E21" s="12">
        <f>'Table 2'!C20</f>
        <v>31.140380671572061</v>
      </c>
      <c r="F21" s="126"/>
      <c r="G21" s="47">
        <f t="shared" si="2"/>
        <v>49.5</v>
      </c>
      <c r="H21" s="125"/>
      <c r="I21"/>
    </row>
    <row r="22" spans="2:9">
      <c r="B22" s="73">
        <f t="shared" si="0"/>
        <v>2022</v>
      </c>
      <c r="C22" s="12">
        <f>IF(VLOOKUP(B22,'Table 4'!$B$11:$K$41,9,FALSE)&lt;&gt;0,VLOOKUP(B22,'Table 4'!$B$11:$K$41,7,FALSE),0)*$I$8*IF(B22=2016,7/12,1)</f>
        <v>57.308740817092307</v>
      </c>
      <c r="D22" s="140" t="str">
        <f t="shared" si="3"/>
        <v/>
      </c>
      <c r="E22" s="12">
        <f>'Table 2'!C21</f>
        <v>35.854056749604389</v>
      </c>
      <c r="F22" s="126"/>
      <c r="G22" s="47">
        <f t="shared" si="2"/>
        <v>54.54</v>
      </c>
      <c r="H22" s="125"/>
      <c r="I22"/>
    </row>
    <row r="23" spans="2:9">
      <c r="B23" s="73">
        <f t="shared" si="0"/>
        <v>2023</v>
      </c>
      <c r="C23" s="12">
        <f>IF(VLOOKUP(B23,'Table 4'!$B$11:$K$41,9,FALSE)&lt;&gt;0,VLOOKUP(B23,'Table 4'!$B$11:$K$41,7,FALSE),0)*$I$8*IF(B23=2016,7/12,1)</f>
        <v>58.348661301803325</v>
      </c>
      <c r="D23" s="140" t="str">
        <f t="shared" si="3"/>
        <v/>
      </c>
      <c r="E23" s="12">
        <f>'Table 2'!C22</f>
        <v>36.888106270710672</v>
      </c>
      <c r="F23" s="126"/>
      <c r="G23" s="47">
        <f t="shared" si="2"/>
        <v>55.91</v>
      </c>
      <c r="H23" s="125"/>
      <c r="I23"/>
    </row>
    <row r="24" spans="2:9">
      <c r="B24" s="73">
        <f t="shared" si="0"/>
        <v>2024</v>
      </c>
      <c r="C24" s="12">
        <f>IF(VLOOKUP(B24,'Table 4'!$B$11:$K$41,9,FALSE)&lt;&gt;0,VLOOKUP(B24,'Table 4'!$B$11:$K$41,7,FALSE),0)*$I$8*IF(B24=2016,7/12,1)</f>
        <v>59.40317716173837</v>
      </c>
      <c r="D24" s="140" t="str">
        <f t="shared" si="3"/>
        <v/>
      </c>
      <c r="E24" s="12">
        <f>'Table 2'!C23</f>
        <v>37.232618076429262</v>
      </c>
      <c r="F24" s="126"/>
      <c r="G24" s="47">
        <f t="shared" si="2"/>
        <v>56.55</v>
      </c>
      <c r="H24" s="125"/>
      <c r="I24"/>
    </row>
    <row r="25" spans="2:9">
      <c r="B25" s="73">
        <f t="shared" si="0"/>
        <v>2025</v>
      </c>
      <c r="C25" s="12">
        <f>IF(VLOOKUP(B25,'Table 4'!$B$11:$K$41,9,FALSE)&lt;&gt;0,VLOOKUP(B25,'Table 4'!$B$11:$K$41,7,FALSE),0)*$I$8*IF(B25=2016,7/12,1)</f>
        <v>60.468639553091407</v>
      </c>
      <c r="D25" s="140" t="str">
        <f t="shared" si="3"/>
        <v/>
      </c>
      <c r="E25" s="12">
        <f>'Table 2'!C24</f>
        <v>38.816877733652902</v>
      </c>
      <c r="F25" s="126"/>
      <c r="G25" s="47">
        <f t="shared" si="2"/>
        <v>58.53</v>
      </c>
      <c r="H25" s="125"/>
      <c r="I25"/>
    </row>
    <row r="26" spans="2:9">
      <c r="B26" s="73">
        <f t="shared" si="0"/>
        <v>2026</v>
      </c>
      <c r="C26" s="12">
        <f>IF(VLOOKUP(B26,'Table 4'!$B$11:$K$41,9,FALSE)&lt;&gt;0,VLOOKUP(B26,'Table 4'!$B$11:$K$41,7,FALSE),0)*$I$8*IF(B26=2016,7/12,1)</f>
        <v>61.559643851086484</v>
      </c>
      <c r="D26" s="12"/>
      <c r="E26" s="12">
        <f>'Table 2'!C25</f>
        <v>39.496181925682748</v>
      </c>
      <c r="F26" s="126"/>
      <c r="G26" s="47">
        <f t="shared" si="2"/>
        <v>59.57</v>
      </c>
      <c r="H26" s="125"/>
      <c r="I26"/>
    </row>
    <row r="27" spans="2:9">
      <c r="B27" s="73">
        <f t="shared" si="0"/>
        <v>2027</v>
      </c>
      <c r="C27" s="12">
        <f>IF(VLOOKUP(B27,'Table 4'!$B$11:$K$41,9,FALSE)&lt;&gt;0,VLOOKUP(B27,'Table 4'!$B$11:$K$41,7,FALSE),0)*$I$8*IF(B27=2016,7/12,1)</f>
        <v>62.734571556619642</v>
      </c>
      <c r="D27" s="12"/>
      <c r="E27" s="12">
        <f>'Table 2'!C26</f>
        <v>40.245530919056698</v>
      </c>
      <c r="F27" s="126"/>
      <c r="G27" s="47">
        <f t="shared" si="2"/>
        <v>60.7</v>
      </c>
      <c r="H27" s="125"/>
      <c r="I27"/>
    </row>
    <row r="28" spans="2:9">
      <c r="B28" s="73">
        <f t="shared" si="0"/>
        <v>2028</v>
      </c>
      <c r="C28" s="12">
        <f>IF(VLOOKUP(B28,'Table 4'!$B$11:$K$41,9,FALSE)&lt;&gt;0,VLOOKUP(B28,'Table 4'!$B$11:$K$41,7,FALSE),0)*$I$8*IF(B28=2016,7/12,1)</f>
        <v>63.927743481182802</v>
      </c>
      <c r="D28" s="12"/>
      <c r="E28" s="12">
        <f>'Table 2'!C27</f>
        <v>42.192569201982529</v>
      </c>
      <c r="F28" s="126"/>
      <c r="G28" s="47">
        <f t="shared" si="2"/>
        <v>62.98</v>
      </c>
      <c r="H28" s="125"/>
      <c r="I28"/>
    </row>
    <row r="29" spans="2:9">
      <c r="B29" s="73">
        <f t="shared" si="0"/>
        <v>2029</v>
      </c>
      <c r="C29" s="12">
        <f>IF(VLOOKUP(B29,'Table 4'!$B$11:$K$41,9,FALSE)&lt;&gt;0,VLOOKUP(B29,'Table 4'!$B$11:$K$41,7,FALSE),0)*$I$8*IF(B29=2016,7/12,1)</f>
        <v>65.139159624775999</v>
      </c>
      <c r="D29" s="12"/>
      <c r="E29" s="12">
        <f>'Table 2'!C28</f>
        <v>42.816275479137097</v>
      </c>
      <c r="F29" s="126"/>
      <c r="G29" s="47">
        <f t="shared" si="2"/>
        <v>64.06</v>
      </c>
      <c r="H29" s="125"/>
      <c r="I29"/>
    </row>
    <row r="30" spans="2:9">
      <c r="B30" s="73">
        <f t="shared" si="0"/>
        <v>2030</v>
      </c>
      <c r="C30" s="12">
        <f>IF(VLOOKUP(B30,'Table 4'!$B$11:$K$41,9,FALSE)&lt;&gt;0,VLOOKUP(B30,'Table 4'!$B$11:$K$41,7,FALSE),0)*$I$8*IF(B30=2016,7/12,1)</f>
        <v>66.372468831205211</v>
      </c>
      <c r="D30" s="12"/>
      <c r="E30" s="12">
        <f>'Table 2'!C29</f>
        <v>44.595331734086933</v>
      </c>
      <c r="F30" s="126"/>
      <c r="G30" s="47">
        <f t="shared" si="2"/>
        <v>66.239999999999995</v>
      </c>
      <c r="H30" s="125"/>
      <c r="I30"/>
    </row>
    <row r="31" spans="2:9">
      <c r="B31" s="73">
        <f t="shared" si="0"/>
        <v>2031</v>
      </c>
      <c r="C31" s="12">
        <f>IF(VLOOKUP(B31,'Table 4'!$B$11:$K$41,9,FALSE)&lt;&gt;0,VLOOKUP(B31,'Table 4'!$B$11:$K$41,7,FALSE),0)*$I$8*IF(B31=2016,7/12,1)</f>
        <v>67.704296820396522</v>
      </c>
      <c r="D31" s="12"/>
      <c r="E31" s="12">
        <f>'Table 2'!C30</f>
        <v>45.516952211423046</v>
      </c>
      <c r="F31" s="126"/>
      <c r="G31" s="47">
        <f t="shared" si="2"/>
        <v>67.59</v>
      </c>
      <c r="H31" s="125"/>
      <c r="I31"/>
    </row>
    <row r="32" spans="2:9">
      <c r="B32" s="74">
        <f t="shared" si="0"/>
        <v>2032</v>
      </c>
      <c r="C32" s="21">
        <f>IF(VLOOKUP(B32,'Table 4'!$B$11:$K$41,9,FALSE)&lt;&gt;0,VLOOKUP(B32,'Table 4'!$B$11:$K$41,7,FALSE),0)*$I$8*IF(B32=2016,7/12,1)</f>
        <v>68.99233868391579</v>
      </c>
      <c r="D32" s="21"/>
      <c r="E32" s="21">
        <f>'Table 2'!C31</f>
        <v>46.248022899961256</v>
      </c>
      <c r="F32" s="139"/>
      <c r="G32" s="48">
        <f t="shared" si="2"/>
        <v>68.680000000000007</v>
      </c>
      <c r="H32" s="125"/>
      <c r="I32"/>
    </row>
    <row r="33" spans="2:9">
      <c r="D33" s="12"/>
      <c r="F33" s="126"/>
      <c r="H33" s="125"/>
      <c r="I33" s="146" t="s">
        <v>103</v>
      </c>
    </row>
    <row r="34" spans="2:9">
      <c r="B34" s="151" t="str">
        <f>"20-Year Levelized Prices (Nominal) @ "&amp;TEXT(I34,"0.000%")&amp;" Discount Rate (1) (3) "</f>
        <v xml:space="preserve">20-Year Levelized Prices (Nominal) @ 7.154% Discount Rate (1) (3) </v>
      </c>
      <c r="E34" s="8"/>
      <c r="I34" s="189">
        <v>7.1540000000000006E-2</v>
      </c>
    </row>
    <row r="35" spans="2:9">
      <c r="B35" s="143" t="s">
        <v>9</v>
      </c>
      <c r="C35" s="12">
        <f>-PMT($I$34,COUNT(C13:C32),NPV($I$34,C13:C32))</f>
        <v>41.928664120800462</v>
      </c>
      <c r="D35" s="12"/>
      <c r="H35" s="125"/>
    </row>
    <row r="36" spans="2:9">
      <c r="B36" s="144" t="s">
        <v>63</v>
      </c>
      <c r="E36" s="12">
        <f>PMT($I$34,COUNT(E13:E32),-NPV($I$34,E13:E32))</f>
        <v>31.955514215450727</v>
      </c>
      <c r="G36" s="188">
        <f>PMT($I$34,COUNT(G13:G32),-NPV($I$34,G13:G32))</f>
        <v>45.617613428599931</v>
      </c>
      <c r="H36" s="125"/>
    </row>
    <row r="37" spans="2:9">
      <c r="F37" s="127"/>
      <c r="H37" s="125"/>
    </row>
    <row r="38" spans="2:9">
      <c r="B38" s="6" t="s">
        <v>34</v>
      </c>
      <c r="E38" s="127"/>
      <c r="G38" s="127"/>
      <c r="H38" s="125"/>
    </row>
    <row r="39" spans="2:9">
      <c r="B39" s="147" t="s">
        <v>86</v>
      </c>
      <c r="E39" s="125"/>
      <c r="F39" s="127"/>
      <c r="G39" s="125"/>
      <c r="H39" s="125"/>
    </row>
    <row r="40" spans="2:9">
      <c r="B40" s="6" t="s">
        <v>41</v>
      </c>
      <c r="F40" s="127"/>
      <c r="H40" s="125"/>
    </row>
    <row r="41" spans="2:9">
      <c r="B41" s="6" t="str">
        <f>"(3)   20 Year NPC is "&amp;TEXT(B13,"???0")&amp;" - "&amp;TEXT(B32,"???0")</f>
        <v>(3)   20 Year NPC is 2013 - 2032</v>
      </c>
    </row>
    <row r="42" spans="2:9">
      <c r="B42" s="19" t="s">
        <v>94</v>
      </c>
      <c r="F42" s="125"/>
    </row>
    <row r="43" spans="2:9">
      <c r="B43" s="19" t="s">
        <v>118</v>
      </c>
      <c r="C43" s="10"/>
      <c r="D43" s="10"/>
      <c r="E43" s="10"/>
      <c r="G43" s="10"/>
    </row>
    <row r="44" spans="2:9">
      <c r="B44" s="19" t="s">
        <v>117</v>
      </c>
    </row>
    <row r="45" spans="2:9">
      <c r="B45" s="149" t="str">
        <f>IF(I8&lt;&gt;1,"(6) Capacity Payment is adjusted by "&amp;TEXT(I8,"0.0%")&amp;" Capacity Contribution.","")</f>
        <v>(6) Capacity Payment is adjusted by 36.5% Capacity Contribution.</v>
      </c>
    </row>
    <row r="46" spans="2:9">
      <c r="F46" s="10"/>
    </row>
  </sheetData>
  <phoneticPr fontId="6" type="noConversion"/>
  <printOptions horizontalCentered="1"/>
  <pageMargins left="0.3" right="0.3" top="0.8" bottom="0.4" header="0.5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Q52"/>
  <sheetViews>
    <sheetView zoomScaleNormal="100" zoomScaleSheetLayoutView="70" workbookViewId="0">
      <pane xSplit="2" ySplit="6" topLeftCell="C7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112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1'!B3,1)+1</f>
        <v>Table 2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64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Utah Compliance 2012.Q2 - Wind 80 MW and 35% Capacity Factor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8" customFormat="1" ht="15">
      <c r="B6" s="7" t="str">
        <f>'Table 1'!$B$6</f>
        <v xml:space="preserve">Partial Displacement of East Side 597 MW CCCT (Dry "F" 2x1)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 s="3" customFormat="1">
      <c r="D7" s="32"/>
      <c r="E7" s="32"/>
      <c r="F7" s="32"/>
      <c r="G7" s="13"/>
      <c r="H7" s="13"/>
      <c r="I7" s="13"/>
      <c r="J7" s="13"/>
      <c r="K7" s="13"/>
      <c r="L7" s="13"/>
      <c r="M7" s="25"/>
    </row>
    <row r="8" spans="2:17" s="3" customFormat="1">
      <c r="B8" s="37" t="s">
        <v>0</v>
      </c>
      <c r="C8" s="37"/>
      <c r="D8" s="34" t="s">
        <v>29</v>
      </c>
      <c r="E8" s="39"/>
      <c r="F8" s="39"/>
      <c r="G8" s="34"/>
      <c r="H8" s="34"/>
      <c r="I8" s="29" t="s">
        <v>30</v>
      </c>
      <c r="J8" s="33"/>
      <c r="K8" s="33"/>
      <c r="L8" s="28"/>
      <c r="M8" s="35" t="s">
        <v>29</v>
      </c>
      <c r="N8" s="43"/>
      <c r="O8" s="36"/>
      <c r="Q8" s="30" t="s">
        <v>47</v>
      </c>
    </row>
    <row r="9" spans="2:17" s="3" customFormat="1">
      <c r="B9" s="38"/>
      <c r="C9" s="38" t="s">
        <v>40</v>
      </c>
      <c r="D9" s="40" t="s">
        <v>17</v>
      </c>
      <c r="E9" s="41" t="s">
        <v>18</v>
      </c>
      <c r="F9" s="41" t="s">
        <v>19</v>
      </c>
      <c r="G9" s="41" t="s">
        <v>20</v>
      </c>
      <c r="H9" s="42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0" t="s">
        <v>26</v>
      </c>
      <c r="N9" s="41" t="s">
        <v>27</v>
      </c>
      <c r="O9" s="42" t="s">
        <v>28</v>
      </c>
      <c r="Q9" s="31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46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2">
        <v>2013</v>
      </c>
      <c r="C12" s="71">
        <v>25.555838780303478</v>
      </c>
      <c r="D12" s="11">
        <v>23.757674470503353</v>
      </c>
      <c r="E12" s="11">
        <v>24.295814204756809</v>
      </c>
      <c r="F12" s="11">
        <v>22.231836277230752</v>
      </c>
      <c r="G12" s="11">
        <v>19.214786709352246</v>
      </c>
      <c r="H12" s="46">
        <v>19.02819214483932</v>
      </c>
      <c r="I12" s="57">
        <v>19.847805644801312</v>
      </c>
      <c r="J12" s="11">
        <v>49.970593332471246</v>
      </c>
      <c r="K12" s="11">
        <v>38.292498216157256</v>
      </c>
      <c r="L12" s="46">
        <v>31.427629499774731</v>
      </c>
      <c r="M12" s="57">
        <v>26.460413055407262</v>
      </c>
      <c r="N12" s="11">
        <v>26.288926088575206</v>
      </c>
      <c r="O12" s="46">
        <v>24.450841411750783</v>
      </c>
      <c r="Q12" s="58">
        <f>VLOOKUP(B12,'Table 4'!$B$11:$K$41,9,FALSE)</f>
        <v>0</v>
      </c>
    </row>
    <row r="13" spans="2:17" ht="12.75" customHeight="1">
      <c r="B13" s="73">
        <f>B12+1</f>
        <v>2014</v>
      </c>
      <c r="C13" s="75">
        <v>25.896355028429493</v>
      </c>
      <c r="D13" s="12">
        <v>25.28604236440513</v>
      </c>
      <c r="E13" s="12">
        <v>27.609027466864735</v>
      </c>
      <c r="F13" s="12">
        <v>27.699242369338798</v>
      </c>
      <c r="G13" s="12">
        <v>22.754309279881188</v>
      </c>
      <c r="H13" s="47">
        <v>23.037399204634706</v>
      </c>
      <c r="I13" s="56">
        <v>21.286838881081945</v>
      </c>
      <c r="J13" s="12">
        <v>59.55435707912828</v>
      </c>
      <c r="K13" s="12">
        <v>42.31791016951113</v>
      </c>
      <c r="L13" s="47">
        <v>35.781350422457344</v>
      </c>
      <c r="M13" s="56">
        <v>25.532291977051248</v>
      </c>
      <c r="N13" s="12">
        <v>19.385954414764441</v>
      </c>
      <c r="O13" s="47">
        <v>15.394151629953898</v>
      </c>
      <c r="Q13" s="55">
        <f>VLOOKUP(B13,'Table 4'!$B$11:$K$41,9,FALSE)</f>
        <v>0</v>
      </c>
    </row>
    <row r="14" spans="2:17" ht="12.75" customHeight="1">
      <c r="B14" s="73">
        <f t="shared" ref="B14:B31" si="0">B13+1</f>
        <v>2015</v>
      </c>
      <c r="C14" s="75">
        <v>26.286878582109896</v>
      </c>
      <c r="D14" s="12">
        <v>20.430409417296634</v>
      </c>
      <c r="E14" s="12">
        <v>24.238228655701885</v>
      </c>
      <c r="F14" s="12">
        <v>25.911334921881867</v>
      </c>
      <c r="G14" s="12">
        <v>25.10683761979983</v>
      </c>
      <c r="H14" s="47">
        <v>23.91353101783287</v>
      </c>
      <c r="I14" s="56">
        <v>25.463467419822251</v>
      </c>
      <c r="J14" s="12">
        <v>61.334501702260731</v>
      </c>
      <c r="K14" s="12">
        <v>47.360769905992228</v>
      </c>
      <c r="L14" s="47">
        <v>36.719346747598138</v>
      </c>
      <c r="M14" s="56">
        <v>25.957685521061627</v>
      </c>
      <c r="N14" s="12">
        <v>20.12985084884162</v>
      </c>
      <c r="O14" s="47">
        <v>20.155221614782345</v>
      </c>
      <c r="Q14" s="55">
        <f>VLOOKUP(B14,'Table 4'!$B$11:$K$41,9,FALSE)</f>
        <v>0</v>
      </c>
    </row>
    <row r="15" spans="2:17" ht="12.75" customHeight="1">
      <c r="B15" s="73">
        <f t="shared" si="0"/>
        <v>2016</v>
      </c>
      <c r="C15" s="75">
        <v>23.589283530047265</v>
      </c>
      <c r="D15" s="12">
        <v>21.012839024150242</v>
      </c>
      <c r="E15" s="12">
        <v>21.570451252444229</v>
      </c>
      <c r="F15" s="12">
        <v>26.590056420707302</v>
      </c>
      <c r="G15" s="12">
        <v>26.717872128078003</v>
      </c>
      <c r="H15" s="47">
        <v>25.947649967265228</v>
      </c>
      <c r="I15" s="56">
        <v>21.958879115854195</v>
      </c>
      <c r="J15" s="12">
        <v>6.3123918413150646</v>
      </c>
      <c r="K15" s="12">
        <v>20.878033948513586</v>
      </c>
      <c r="L15" s="47">
        <v>22.077053373200823</v>
      </c>
      <c r="M15" s="56">
        <v>28.243694582611962</v>
      </c>
      <c r="N15" s="12">
        <v>22.539781911399945</v>
      </c>
      <c r="O15" s="47">
        <v>26.19028045097145</v>
      </c>
      <c r="Q15" s="55">
        <f>VLOOKUP(B15,'Table 4'!$B$11:$K$41,9,FALSE)</f>
        <v>29.82</v>
      </c>
    </row>
    <row r="16" spans="2:17" ht="12.75" customHeight="1">
      <c r="B16" s="73">
        <f t="shared" si="0"/>
        <v>2017</v>
      </c>
      <c r="C16" s="75">
        <v>23.491760344947043</v>
      </c>
      <c r="D16" s="12">
        <v>24.306326563889634</v>
      </c>
      <c r="E16" s="12">
        <v>23.586187819573048</v>
      </c>
      <c r="F16" s="12">
        <v>24.827977434451377</v>
      </c>
      <c r="G16" s="12">
        <v>25.728956748231997</v>
      </c>
      <c r="H16" s="47">
        <v>21.767044866885772</v>
      </c>
      <c r="I16" s="56">
        <v>22.57168429831458</v>
      </c>
      <c r="J16" s="12">
        <v>7.4959366222731489</v>
      </c>
      <c r="K16" s="12">
        <v>22.062294309338657</v>
      </c>
      <c r="L16" s="47">
        <v>26.187521331404231</v>
      </c>
      <c r="M16" s="56">
        <v>25.657528379117593</v>
      </c>
      <c r="N16" s="12">
        <v>22.487278729423746</v>
      </c>
      <c r="O16" s="47">
        <v>23.16375943856632</v>
      </c>
      <c r="Q16" s="55">
        <f>VLOOKUP(B16,'Table 4'!$B$11:$K$41,9,FALSE)</f>
        <v>31.02</v>
      </c>
    </row>
    <row r="17" spans="2:17" ht="12.75" customHeight="1">
      <c r="B17" s="73">
        <f t="shared" si="0"/>
        <v>2018</v>
      </c>
      <c r="C17" s="75">
        <v>26.796196934509812</v>
      </c>
      <c r="D17" s="12">
        <v>26.512107020097783</v>
      </c>
      <c r="E17" s="12">
        <v>25.696544021346853</v>
      </c>
      <c r="F17" s="12">
        <v>26.221207762672933</v>
      </c>
      <c r="G17" s="12">
        <v>26.982650099704927</v>
      </c>
      <c r="H17" s="47">
        <v>22.823844939116732</v>
      </c>
      <c r="I17" s="56">
        <v>28.116790729594666</v>
      </c>
      <c r="J17" s="12">
        <v>8.9973990493994496</v>
      </c>
      <c r="K17" s="12">
        <v>26.511768964603377</v>
      </c>
      <c r="L17" s="47">
        <v>31.475234930178019</v>
      </c>
      <c r="M17" s="56">
        <v>32.080128254632733</v>
      </c>
      <c r="N17" s="12">
        <v>26.435425125485576</v>
      </c>
      <c r="O17" s="47">
        <v>27.070595125680875</v>
      </c>
      <c r="Q17" s="55">
        <f>VLOOKUP(B17,'Table 4'!$B$11:$K$41,9,FALSE)</f>
        <v>34.47</v>
      </c>
    </row>
    <row r="18" spans="2:17" ht="12.75" customHeight="1">
      <c r="B18" s="73">
        <f t="shared" si="0"/>
        <v>2019</v>
      </c>
      <c r="C18" s="75">
        <v>30.143778915240379</v>
      </c>
      <c r="D18" s="12">
        <v>25.339336409938831</v>
      </c>
      <c r="E18" s="12">
        <v>26.762538892178945</v>
      </c>
      <c r="F18" s="12">
        <v>31.086138311165666</v>
      </c>
      <c r="G18" s="12">
        <v>31.14011322450234</v>
      </c>
      <c r="H18" s="47">
        <v>27.710618207457696</v>
      </c>
      <c r="I18" s="56">
        <v>33.699049227957708</v>
      </c>
      <c r="J18" s="12">
        <v>18.749371937113899</v>
      </c>
      <c r="K18" s="12">
        <v>30.328785813418115</v>
      </c>
      <c r="L18" s="47">
        <v>34.022270820536122</v>
      </c>
      <c r="M18" s="56">
        <v>33.192759265650736</v>
      </c>
      <c r="N18" s="12">
        <v>30.576694408836783</v>
      </c>
      <c r="O18" s="47">
        <v>32.8619584824405</v>
      </c>
      <c r="Q18" s="55">
        <f>VLOOKUP(B18,'Table 4'!$B$11:$K$41,9,FALSE)</f>
        <v>39.270000000000003</v>
      </c>
    </row>
    <row r="19" spans="2:17" ht="12.75" customHeight="1">
      <c r="B19" s="73">
        <f t="shared" si="0"/>
        <v>2020</v>
      </c>
      <c r="C19" s="75">
        <v>32.593759860114773</v>
      </c>
      <c r="D19" s="12">
        <v>37.002140236354371</v>
      </c>
      <c r="E19" s="12">
        <v>40.735836649725854</v>
      </c>
      <c r="F19" s="12">
        <v>32.068495011571677</v>
      </c>
      <c r="G19" s="12">
        <v>29.797217966765214</v>
      </c>
      <c r="H19" s="47">
        <v>32.682732704101994</v>
      </c>
      <c r="I19" s="56">
        <v>33.742670603901793</v>
      </c>
      <c r="J19" s="12">
        <v>21.170772964684009</v>
      </c>
      <c r="K19" s="12">
        <v>32.655739795307888</v>
      </c>
      <c r="L19" s="47">
        <v>35.051696771560266</v>
      </c>
      <c r="M19" s="56">
        <v>34.409188305456254</v>
      </c>
      <c r="N19" s="12">
        <v>22.335463917370642</v>
      </c>
      <c r="O19" s="47">
        <v>31.947793747947483</v>
      </c>
      <c r="Q19" s="55">
        <f>VLOOKUP(B19,'Table 4'!$B$11:$K$41,9,FALSE)</f>
        <v>40.47</v>
      </c>
    </row>
    <row r="20" spans="2:17" ht="12.75" customHeight="1">
      <c r="B20" s="73">
        <f t="shared" si="0"/>
        <v>2021</v>
      </c>
      <c r="C20" s="75">
        <v>31.140380671572061</v>
      </c>
      <c r="D20" s="12">
        <v>28.672894638381404</v>
      </c>
      <c r="E20" s="12">
        <v>28.990158550237886</v>
      </c>
      <c r="F20" s="12">
        <v>31.339889934397885</v>
      </c>
      <c r="G20" s="12">
        <v>30.137237180838877</v>
      </c>
      <c r="H20" s="47">
        <v>32.58594195650651</v>
      </c>
      <c r="I20" s="56">
        <v>32.011417110753563</v>
      </c>
      <c r="J20" s="12">
        <v>12.113865457581188</v>
      </c>
      <c r="K20" s="12">
        <v>31.061072707559074</v>
      </c>
      <c r="L20" s="47">
        <v>35.326163677755432</v>
      </c>
      <c r="M20" s="56">
        <v>35.576708778668099</v>
      </c>
      <c r="N20" s="12">
        <v>33.596011231337314</v>
      </c>
      <c r="O20" s="47">
        <v>30.252741764837154</v>
      </c>
      <c r="Q20" s="55">
        <f>VLOOKUP(B20,'Table 4'!$B$11:$K$41,9,FALSE)</f>
        <v>42.79</v>
      </c>
    </row>
    <row r="21" spans="2:17" ht="12.75" customHeight="1">
      <c r="B21" s="73">
        <f t="shared" si="0"/>
        <v>2022</v>
      </c>
      <c r="C21" s="76">
        <v>35.854056749604389</v>
      </c>
      <c r="D21" s="12">
        <v>36.284381809833945</v>
      </c>
      <c r="E21" s="12">
        <v>35.055365459141619</v>
      </c>
      <c r="F21" s="12">
        <v>37.190059450857568</v>
      </c>
      <c r="G21" s="12">
        <v>40.667163893775623</v>
      </c>
      <c r="H21" s="47">
        <v>36.105053709737973</v>
      </c>
      <c r="I21" s="56">
        <v>36.596796199276874</v>
      </c>
      <c r="J21" s="12">
        <v>4.5367827088166788</v>
      </c>
      <c r="K21" s="12">
        <v>31.65423387367742</v>
      </c>
      <c r="L21" s="47">
        <v>39.427421738772217</v>
      </c>
      <c r="M21" s="56">
        <v>40.650106445791664</v>
      </c>
      <c r="N21" s="12">
        <v>35.266868595945581</v>
      </c>
      <c r="O21" s="47">
        <v>35.261733787896446</v>
      </c>
      <c r="Q21" s="55">
        <f>VLOOKUP(B21,'Table 4'!$B$11:$K$41,9,FALSE)</f>
        <v>47.02</v>
      </c>
    </row>
    <row r="22" spans="2:17" ht="12.75" customHeight="1">
      <c r="B22" s="112">
        <f t="shared" si="0"/>
        <v>2023</v>
      </c>
      <c r="C22" s="75">
        <v>36.888106270710672</v>
      </c>
      <c r="D22" s="11">
        <v>38.588157804267475</v>
      </c>
      <c r="E22" s="11">
        <v>38.839083310607805</v>
      </c>
      <c r="F22" s="11">
        <v>40.800010349930957</v>
      </c>
      <c r="G22" s="11">
        <v>43.067597474095173</v>
      </c>
      <c r="H22" s="46">
        <v>36.334002092080091</v>
      </c>
      <c r="I22" s="57">
        <v>33.60412575602755</v>
      </c>
      <c r="J22" s="11">
        <v>2.1325545676985884</v>
      </c>
      <c r="K22" s="11">
        <v>32.427748465616148</v>
      </c>
      <c r="L22" s="46">
        <v>39.247128976864396</v>
      </c>
      <c r="M22" s="57">
        <v>40.518574081043425</v>
      </c>
      <c r="N22" s="11">
        <v>34.758416429470891</v>
      </c>
      <c r="O22" s="46">
        <v>35.464729158537004</v>
      </c>
      <c r="Q22" s="58">
        <f>VLOOKUP(B22,'Table 4'!$B$11:$K$41,9,FALSE)</f>
        <v>48.5</v>
      </c>
    </row>
    <row r="23" spans="2:17" ht="12.75" customHeight="1">
      <c r="B23" s="73">
        <f t="shared" si="0"/>
        <v>2024</v>
      </c>
      <c r="C23" s="75">
        <v>37.232618076429262</v>
      </c>
      <c r="D23" s="12">
        <v>39.506076842585202</v>
      </c>
      <c r="E23" s="12">
        <v>37.695509369343185</v>
      </c>
      <c r="F23" s="12">
        <v>39.339142468221198</v>
      </c>
      <c r="G23" s="12">
        <v>43.14880359596016</v>
      </c>
      <c r="H23" s="47">
        <v>31.477013059576748</v>
      </c>
      <c r="I23" s="56">
        <v>36.204646913052777</v>
      </c>
      <c r="J23" s="12">
        <v>0.83188575197213843</v>
      </c>
      <c r="K23" s="12">
        <v>29.626718708250682</v>
      </c>
      <c r="L23" s="47">
        <v>40.450053250871704</v>
      </c>
      <c r="M23" s="56">
        <v>42.252293949051129</v>
      </c>
      <c r="N23" s="12">
        <v>38.246192843117818</v>
      </c>
      <c r="O23" s="47">
        <v>36.686063903088431</v>
      </c>
      <c r="Q23" s="55">
        <f>VLOOKUP(B23,'Table 4'!$B$11:$K$41,9,FALSE)</f>
        <v>47.66</v>
      </c>
    </row>
    <row r="24" spans="2:17" ht="12.75" customHeight="1">
      <c r="B24" s="73">
        <f t="shared" si="0"/>
        <v>2025</v>
      </c>
      <c r="C24" s="75">
        <v>38.816877733652902</v>
      </c>
      <c r="D24" s="12">
        <v>40.033565345919243</v>
      </c>
      <c r="E24" s="12">
        <v>39.094349336431726</v>
      </c>
      <c r="F24" s="12">
        <v>43.154091390610333</v>
      </c>
      <c r="G24" s="12">
        <v>44.83348900749381</v>
      </c>
      <c r="H24" s="47">
        <v>35.520730256047422</v>
      </c>
      <c r="I24" s="56">
        <v>35.54795629750101</v>
      </c>
      <c r="J24" s="12">
        <v>1.6941435593542291</v>
      </c>
      <c r="K24" s="12">
        <v>30.288050938218827</v>
      </c>
      <c r="L24" s="47">
        <v>42.664919615819628</v>
      </c>
      <c r="M24" s="56">
        <v>43.155509126531761</v>
      </c>
      <c r="N24" s="12">
        <v>38.946897565579249</v>
      </c>
      <c r="O24" s="47">
        <v>38.652913649757082</v>
      </c>
      <c r="Q24" s="55">
        <f>VLOOKUP(B24,'Table 4'!$B$11:$K$41,9,FALSE)</f>
        <v>49</v>
      </c>
    </row>
    <row r="25" spans="2:17" ht="12.75" customHeight="1">
      <c r="B25" s="73">
        <f t="shared" si="0"/>
        <v>2026</v>
      </c>
      <c r="C25" s="75">
        <v>39.496181925682748</v>
      </c>
      <c r="D25" s="12">
        <v>40.310042653281599</v>
      </c>
      <c r="E25" s="12">
        <v>37.731966378323818</v>
      </c>
      <c r="F25" s="12">
        <v>40.767327897791468</v>
      </c>
      <c r="G25" s="12">
        <v>40.568957008793831</v>
      </c>
      <c r="H25" s="47">
        <v>39.229515542912225</v>
      </c>
      <c r="I25" s="56">
        <v>42.280570894414012</v>
      </c>
      <c r="J25" s="12">
        <v>7.3410315608230734</v>
      </c>
      <c r="K25" s="12">
        <v>36.026164002737723</v>
      </c>
      <c r="L25" s="47">
        <v>45.932827899047673</v>
      </c>
      <c r="M25" s="56">
        <v>45.052904585788511</v>
      </c>
      <c r="N25" s="12">
        <v>38.462229729108451</v>
      </c>
      <c r="O25" s="47">
        <v>38.962765580708684</v>
      </c>
      <c r="Q25" s="55">
        <f>VLOOKUP(B25,'Table 4'!$B$11:$K$41,9,FALSE)</f>
        <v>51.82</v>
      </c>
    </row>
    <row r="26" spans="2:17" ht="12.75" customHeight="1">
      <c r="B26" s="73">
        <f t="shared" si="0"/>
        <v>2027</v>
      </c>
      <c r="C26" s="75">
        <v>40.245530919056698</v>
      </c>
      <c r="D26" s="12">
        <v>38.760808047847192</v>
      </c>
      <c r="E26" s="12">
        <v>38.650229296058406</v>
      </c>
      <c r="F26" s="12">
        <v>43.988770676770777</v>
      </c>
      <c r="G26" s="12">
        <v>41.463390777454038</v>
      </c>
      <c r="H26" s="47">
        <v>38.64522113283877</v>
      </c>
      <c r="I26" s="56">
        <v>42.181274168224043</v>
      </c>
      <c r="J26" s="12">
        <v>3.8008480862765905</v>
      </c>
      <c r="K26" s="12">
        <v>35.478538527707485</v>
      </c>
      <c r="L26" s="47">
        <v>45.990765288219293</v>
      </c>
      <c r="M26" s="56">
        <v>45.723448089450066</v>
      </c>
      <c r="N26" s="12">
        <v>38.610062920859988</v>
      </c>
      <c r="O26" s="47">
        <v>42.452550764883647</v>
      </c>
      <c r="Q26" s="55">
        <f>VLOOKUP(B26,'Table 4'!$B$11:$K$41,9,FALSE)</f>
        <v>53.65</v>
      </c>
    </row>
    <row r="27" spans="2:17" ht="12.75" customHeight="1">
      <c r="B27" s="73">
        <f t="shared" si="0"/>
        <v>2028</v>
      </c>
      <c r="C27" s="75">
        <v>42.192569201982529</v>
      </c>
      <c r="D27" s="12">
        <v>51.111621261630255</v>
      </c>
      <c r="E27" s="12">
        <v>40.099280088162693</v>
      </c>
      <c r="F27" s="12">
        <v>42.314787565992582</v>
      </c>
      <c r="G27" s="12">
        <v>49.278009427170602</v>
      </c>
      <c r="H27" s="47">
        <v>39.124517938027594</v>
      </c>
      <c r="I27" s="56">
        <v>43.213039428140803</v>
      </c>
      <c r="J27" s="12">
        <v>1.6072604891129401</v>
      </c>
      <c r="K27" s="12">
        <v>37.139758120781359</v>
      </c>
      <c r="L27" s="47">
        <v>48.903027175785738</v>
      </c>
      <c r="M27" s="56">
        <v>47.431926874394662</v>
      </c>
      <c r="N27" s="12">
        <v>39.226562860959127</v>
      </c>
      <c r="O27" s="47">
        <v>39.88095280195742</v>
      </c>
      <c r="Q27" s="55">
        <f>VLOOKUP(B27,'Table 4'!$B$11:$K$41,9,FALSE)</f>
        <v>54.78</v>
      </c>
    </row>
    <row r="28" spans="2:17" ht="12.75" customHeight="1">
      <c r="B28" s="73">
        <f t="shared" si="0"/>
        <v>2029</v>
      </c>
      <c r="C28" s="75">
        <v>42.816275479137097</v>
      </c>
      <c r="D28" s="12">
        <v>42.039000788576644</v>
      </c>
      <c r="E28" s="12">
        <v>40.510734230244886</v>
      </c>
      <c r="F28" s="12">
        <v>46.20692081225706</v>
      </c>
      <c r="G28" s="12">
        <v>50.543138912348297</v>
      </c>
      <c r="H28" s="47">
        <v>39.966260224876436</v>
      </c>
      <c r="I28" s="56">
        <v>45.677868206608572</v>
      </c>
      <c r="J28" s="12">
        <v>2.5667325715225298</v>
      </c>
      <c r="K28" s="12">
        <v>37.623135792458335</v>
      </c>
      <c r="L28" s="47">
        <v>50.669204297648598</v>
      </c>
      <c r="M28" s="56">
        <v>49.040249189506703</v>
      </c>
      <c r="N28" s="12">
        <v>41.355786482547686</v>
      </c>
      <c r="O28" s="47">
        <v>41.386846178218491</v>
      </c>
      <c r="Q28" s="55">
        <f>VLOOKUP(B28,'Table 4'!$B$11:$K$41,9,FALSE)</f>
        <v>55.62</v>
      </c>
    </row>
    <row r="29" spans="2:17" ht="12.75" customHeight="1">
      <c r="B29" s="73">
        <f t="shared" si="0"/>
        <v>2030</v>
      </c>
      <c r="C29" s="75">
        <v>44.595331734086933</v>
      </c>
      <c r="D29" s="12">
        <v>46.54232009391233</v>
      </c>
      <c r="E29" s="12">
        <v>42.031893728438561</v>
      </c>
      <c r="F29" s="12">
        <v>45.957075445009288</v>
      </c>
      <c r="G29" s="12">
        <v>51.534329660475237</v>
      </c>
      <c r="H29" s="47">
        <v>41.813341470732674</v>
      </c>
      <c r="I29" s="56">
        <v>45.227375506719667</v>
      </c>
      <c r="J29" s="12">
        <v>5.7345213931093433</v>
      </c>
      <c r="K29" s="12">
        <v>39.916429134205949</v>
      </c>
      <c r="L29" s="47">
        <v>51.898163636367705</v>
      </c>
      <c r="M29" s="56">
        <v>50.813221434682134</v>
      </c>
      <c r="N29" s="12">
        <v>43.749003131117455</v>
      </c>
      <c r="O29" s="47">
        <v>43.503339582554666</v>
      </c>
      <c r="Q29" s="55">
        <f>VLOOKUP(B29,'Table 4'!$B$11:$K$41,9,FALSE)</f>
        <v>55.91</v>
      </c>
    </row>
    <row r="30" spans="2:17" ht="12.75" customHeight="1">
      <c r="B30" s="73">
        <f t="shared" si="0"/>
        <v>2031</v>
      </c>
      <c r="C30" s="75">
        <v>45.516952211423046</v>
      </c>
      <c r="D30" s="12">
        <v>47.922987045366526</v>
      </c>
      <c r="E30" s="12">
        <v>43.842424715680764</v>
      </c>
      <c r="F30" s="12">
        <v>48.653483219372674</v>
      </c>
      <c r="G30" s="12">
        <v>51.786200144676251</v>
      </c>
      <c r="H30" s="47">
        <v>39.40491623935155</v>
      </c>
      <c r="I30" s="56">
        <v>43.284556891000605</v>
      </c>
      <c r="J30" s="12">
        <v>0.38223687253506672</v>
      </c>
      <c r="K30" s="12">
        <v>34.377513164055827</v>
      </c>
      <c r="L30" s="47">
        <v>53.054032453762879</v>
      </c>
      <c r="M30" s="56">
        <v>54.524743613585557</v>
      </c>
      <c r="N30" s="12">
        <v>45.479558039199702</v>
      </c>
      <c r="O30" s="47">
        <v>45.195152717405769</v>
      </c>
      <c r="Q30" s="55">
        <f>VLOOKUP(B30,'Table 4'!$B$11:$K$41,9,FALSE)</f>
        <v>57.18</v>
      </c>
    </row>
    <row r="31" spans="2:17" ht="12.75" customHeight="1">
      <c r="B31" s="74">
        <f t="shared" si="0"/>
        <v>2032</v>
      </c>
      <c r="C31" s="76">
        <v>46.248022899961256</v>
      </c>
      <c r="D31" s="21">
        <v>50.444720179432586</v>
      </c>
      <c r="E31" s="21">
        <v>45.661280434928933</v>
      </c>
      <c r="F31" s="21">
        <v>47.764925213518914</v>
      </c>
      <c r="G31" s="21">
        <v>51.546807440863873</v>
      </c>
      <c r="H31" s="48">
        <v>40.024812266775832</v>
      </c>
      <c r="I31" s="113">
        <v>43.374617974777102</v>
      </c>
      <c r="J31" s="21">
        <v>-6.2832095551635847</v>
      </c>
      <c r="K31" s="21">
        <v>34.67223671695708</v>
      </c>
      <c r="L31" s="48">
        <v>53.664128083133605</v>
      </c>
      <c r="M31" s="113">
        <v>55.521951107060175</v>
      </c>
      <c r="N31" s="21">
        <v>47.033989745313256</v>
      </c>
      <c r="O31" s="48">
        <v>46.379354408229041</v>
      </c>
      <c r="Q31" s="114">
        <f>VLOOKUP(B31,'Table 4'!$B$11:$K$41,9,FALSE)</f>
        <v>58.3</v>
      </c>
    </row>
    <row r="32" spans="2:17" ht="12.75" customHeight="1">
      <c r="D32" s="19"/>
      <c r="E32" s="19"/>
      <c r="F32" s="19"/>
      <c r="M32" s="27"/>
    </row>
    <row r="33" spans="2:6">
      <c r="B33" s="15"/>
      <c r="C33" s="6" t="s">
        <v>53</v>
      </c>
    </row>
    <row r="34" spans="2:6">
      <c r="C34" s="15"/>
    </row>
    <row r="36" spans="2:6" hidden="1">
      <c r="D36" s="9" t="s">
        <v>49</v>
      </c>
    </row>
    <row r="37" spans="2:6" hidden="1">
      <c r="C37" s="49"/>
      <c r="D37" s="59" t="s">
        <v>48</v>
      </c>
    </row>
    <row r="38" spans="2:6" hidden="1"/>
    <row r="39" spans="2:6" hidden="1"/>
    <row r="40" spans="2:6" hidden="1"/>
    <row r="41" spans="2:6" hidden="1"/>
    <row r="42" spans="2:6" hidden="1"/>
    <row r="43" spans="2:6" hidden="1">
      <c r="F43" s="79" t="s">
        <v>51</v>
      </c>
    </row>
    <row r="44" spans="2:6" hidden="1">
      <c r="F44" s="78">
        <v>1.9E-2</v>
      </c>
    </row>
    <row r="46" spans="2:6">
      <c r="C46" s="148"/>
    </row>
    <row r="47" spans="2:6">
      <c r="C47" s="148"/>
    </row>
    <row r="48" spans="2:6">
      <c r="C48" s="148"/>
    </row>
    <row r="49" spans="3:3">
      <c r="C49" s="148"/>
    </row>
    <row r="50" spans="3:3">
      <c r="C50" s="148"/>
    </row>
    <row r="51" spans="3:3">
      <c r="C51" s="148"/>
    </row>
    <row r="52" spans="3:3">
      <c r="C52" s="148"/>
    </row>
  </sheetData>
  <phoneticPr fontId="6" type="noConversion"/>
  <conditionalFormatting sqref="C17:O31">
    <cfRule type="cellIs" dxfId="1" priority="1" stopIfTrue="1" operator="equal">
      <formula>$Q17</formula>
    </cfRule>
  </conditionalFormatting>
  <printOptions horizontalCentered="1"/>
  <pageMargins left="0.3" right="0.3" top="0.8" bottom="0.4" header="0.5" footer="0.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B1:Q34"/>
  <sheetViews>
    <sheetView zoomScaleNormal="100" zoomScaleSheetLayoutView="70" workbookViewId="0">
      <pane xSplit="2" ySplit="6" topLeftCell="C7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RowHeight="12.75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4.83203125" style="6" customWidth="1"/>
    <col min="18" max="16384" width="9.33203125" style="6"/>
  </cols>
  <sheetData>
    <row r="1" spans="2:17" s="14" customFormat="1" ht="15.75">
      <c r="B1" s="1" t="s">
        <v>112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2'!B3,1)+1</f>
        <v>Table 3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85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Utah Compliance 2012.Q2 - Wind 80 MW and 35% Capacity Factor</v>
      </c>
      <c r="C5" s="7"/>
      <c r="D5" s="7"/>
      <c r="E5" s="7"/>
      <c r="F5" s="7"/>
      <c r="G5" s="7"/>
      <c r="H5" s="7"/>
      <c r="I5" s="7"/>
      <c r="J5" s="7"/>
      <c r="K5" s="7"/>
      <c r="L5" s="7"/>
      <c r="M5" s="24"/>
      <c r="N5" s="24"/>
      <c r="O5" s="24"/>
      <c r="P5" s="24"/>
      <c r="Q5" s="24"/>
    </row>
    <row r="6" spans="2:17" s="18" customFormat="1" ht="15">
      <c r="B6" s="7" t="str">
        <f>'Table 1'!$B$6</f>
        <v xml:space="preserve">Partial Displacement of East Side 597 MW CCCT (Dry "F" 2x1)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2:17">
      <c r="D7" s="16"/>
      <c r="E7" s="16"/>
      <c r="F7" s="16"/>
      <c r="G7" s="13"/>
      <c r="H7" s="13"/>
      <c r="I7" s="13"/>
      <c r="J7" s="13"/>
      <c r="K7" s="13"/>
      <c r="L7" s="13"/>
      <c r="M7" s="25"/>
    </row>
    <row r="8" spans="2:17">
      <c r="B8" s="60" t="s">
        <v>0</v>
      </c>
      <c r="C8" s="60"/>
      <c r="D8" s="61" t="s">
        <v>29</v>
      </c>
      <c r="E8" s="62"/>
      <c r="F8" s="62"/>
      <c r="G8" s="61"/>
      <c r="H8" s="61"/>
      <c r="I8" s="51" t="s">
        <v>30</v>
      </c>
      <c r="J8" s="50"/>
      <c r="K8" s="50"/>
      <c r="L8" s="63"/>
      <c r="M8" s="52" t="s">
        <v>29</v>
      </c>
      <c r="N8" s="53"/>
      <c r="O8" s="54"/>
      <c r="Q8" s="64" t="s">
        <v>47</v>
      </c>
    </row>
    <row r="9" spans="2:17">
      <c r="B9" s="65"/>
      <c r="C9" s="65" t="s">
        <v>40</v>
      </c>
      <c r="D9" s="66" t="s">
        <v>17</v>
      </c>
      <c r="E9" s="67" t="s">
        <v>18</v>
      </c>
      <c r="F9" s="67" t="s">
        <v>19</v>
      </c>
      <c r="G9" s="67" t="s">
        <v>20</v>
      </c>
      <c r="H9" s="68" t="s">
        <v>21</v>
      </c>
      <c r="I9" s="69" t="s">
        <v>22</v>
      </c>
      <c r="J9" s="69" t="s">
        <v>23</v>
      </c>
      <c r="K9" s="69" t="s">
        <v>24</v>
      </c>
      <c r="L9" s="69" t="s">
        <v>25</v>
      </c>
      <c r="M9" s="66" t="s">
        <v>26</v>
      </c>
      <c r="N9" s="67" t="s">
        <v>27</v>
      </c>
      <c r="O9" s="68" t="s">
        <v>28</v>
      </c>
      <c r="Q9" s="70" t="s">
        <v>1</v>
      </c>
    </row>
    <row r="10" spans="2:17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46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2">
        <f>'Table 2'!B12</f>
        <v>2013</v>
      </c>
      <c r="C12" s="71">
        <v>25.555838780303478</v>
      </c>
      <c r="D12" s="11">
        <f>IF($Q12&lt;&gt;0,MIN('Table 2'!D12,'Table 3'!$Q12),'Table 2'!D12)</f>
        <v>23.757674470503353</v>
      </c>
      <c r="E12" s="11">
        <f>IF($Q12&lt;&gt;0,MIN('Table 2'!E12,'Table 3'!$Q12),'Table 2'!E12)</f>
        <v>24.295814204756809</v>
      </c>
      <c r="F12" s="11">
        <f>IF($Q12&lt;&gt;0,MIN('Table 2'!F12,'Table 3'!$Q12),'Table 2'!F12)</f>
        <v>22.231836277230752</v>
      </c>
      <c r="G12" s="11">
        <f>IF($Q12&lt;&gt;0,MIN('Table 2'!G12,'Table 3'!$Q12),'Table 2'!G12)</f>
        <v>19.214786709352246</v>
      </c>
      <c r="H12" s="46">
        <f>IF($Q12&lt;&gt;0,MIN('Table 2'!H12,'Table 3'!$Q12),'Table 2'!H12)</f>
        <v>19.02819214483932</v>
      </c>
      <c r="I12" s="11">
        <f>IF($Q12&lt;&gt;0,MIN('Table 2'!I12,'Table 3'!$Q12),'Table 2'!I12)</f>
        <v>19.847805644801312</v>
      </c>
      <c r="J12" s="11">
        <f>IF($Q12&lt;&gt;0,MIN('Table 2'!J12,'Table 3'!$Q12),'Table 2'!J12)</f>
        <v>49.970593332471246</v>
      </c>
      <c r="K12" s="11">
        <f>IF($Q12&lt;&gt;0,MIN('Table 2'!K12,'Table 3'!$Q12),'Table 2'!K12)</f>
        <v>38.292498216157256</v>
      </c>
      <c r="L12" s="46">
        <f>IF($Q12&lt;&gt;0,MIN('Table 2'!L12,'Table 3'!$Q12),'Table 2'!L12)</f>
        <v>31.427629499774731</v>
      </c>
      <c r="M12" s="57">
        <f>IF($Q12&lt;&gt;0,MIN('Table 2'!M12,'Table 3'!$Q12),'Table 2'!M12)</f>
        <v>26.460413055407262</v>
      </c>
      <c r="N12" s="11">
        <f>IF($Q12&lt;&gt;0,MIN('Table 2'!N12,'Table 3'!$Q12),'Table 2'!N12)</f>
        <v>26.288926088575206</v>
      </c>
      <c r="O12" s="46">
        <f>IF($Q12&lt;&gt;0,MIN('Table 2'!O12,'Table 3'!$Q12),'Table 2'!O12)</f>
        <v>24.450841411750783</v>
      </c>
      <c r="Q12" s="58">
        <f>VLOOKUP(B12,'Table 4'!$B$11:$K$41,9,FALSE)</f>
        <v>0</v>
      </c>
    </row>
    <row r="13" spans="2:17" ht="12.75" customHeight="1">
      <c r="B13" s="73">
        <f t="shared" ref="B13:B31" si="0">B12+1</f>
        <v>2014</v>
      </c>
      <c r="C13" s="75">
        <v>25.896355028429493</v>
      </c>
      <c r="D13" s="12">
        <f>IF($Q13&lt;&gt;0,MIN('Table 2'!D13,'Table 3'!$Q13),'Table 2'!D13)</f>
        <v>25.28604236440513</v>
      </c>
      <c r="E13" s="12">
        <f>IF($Q13&lt;&gt;0,MIN('Table 2'!E13,'Table 3'!$Q13),'Table 2'!E13)</f>
        <v>27.609027466864735</v>
      </c>
      <c r="F13" s="12">
        <f>IF($Q13&lt;&gt;0,MIN('Table 2'!F13,'Table 3'!$Q13),'Table 2'!F13)</f>
        <v>27.699242369338798</v>
      </c>
      <c r="G13" s="12">
        <f>IF($Q13&lt;&gt;0,MIN('Table 2'!G13,'Table 3'!$Q13),'Table 2'!G13)</f>
        <v>22.754309279881188</v>
      </c>
      <c r="H13" s="47">
        <f>IF($Q13&lt;&gt;0,MIN('Table 2'!H13,'Table 3'!$Q13),'Table 2'!H13)</f>
        <v>23.037399204634706</v>
      </c>
      <c r="I13" s="12">
        <f>IF($Q13&lt;&gt;0,MIN('Table 2'!I13,'Table 3'!$Q13),'Table 2'!I13)</f>
        <v>21.286838881081945</v>
      </c>
      <c r="J13" s="12">
        <f>IF($Q13&lt;&gt;0,MIN('Table 2'!J13,'Table 3'!$Q13),'Table 2'!J13)</f>
        <v>59.55435707912828</v>
      </c>
      <c r="K13" s="12">
        <f>IF($Q13&lt;&gt;0,MIN('Table 2'!K13,'Table 3'!$Q13),'Table 2'!K13)</f>
        <v>42.31791016951113</v>
      </c>
      <c r="L13" s="47">
        <f>IF($Q13&lt;&gt;0,MIN('Table 2'!L13,'Table 3'!$Q13),'Table 2'!L13)</f>
        <v>35.781350422457344</v>
      </c>
      <c r="M13" s="56">
        <f>IF($Q13&lt;&gt;0,MIN('Table 2'!M13,'Table 3'!$Q13),'Table 2'!M13)</f>
        <v>25.532291977051248</v>
      </c>
      <c r="N13" s="12">
        <f>IF($Q13&lt;&gt;0,MIN('Table 2'!N13,'Table 3'!$Q13),'Table 2'!N13)</f>
        <v>19.385954414764441</v>
      </c>
      <c r="O13" s="47">
        <f>IF($Q13&lt;&gt;0,MIN('Table 2'!O13,'Table 3'!$Q13),'Table 2'!O13)</f>
        <v>15.394151629953898</v>
      </c>
      <c r="Q13" s="55">
        <f>VLOOKUP(B13,'Table 4'!$B$11:$K$41,9,FALSE)</f>
        <v>0</v>
      </c>
    </row>
    <row r="14" spans="2:17" ht="12.75" customHeight="1">
      <c r="B14" s="73">
        <f t="shared" si="0"/>
        <v>2015</v>
      </c>
      <c r="C14" s="75">
        <v>26.286878582109896</v>
      </c>
      <c r="D14" s="12">
        <f>IF($Q14&lt;&gt;0,MIN('Table 2'!D14,'Table 3'!$Q14),'Table 2'!D14)</f>
        <v>20.430409417296634</v>
      </c>
      <c r="E14" s="12">
        <f>IF($Q14&lt;&gt;0,MIN('Table 2'!E14,'Table 3'!$Q14),'Table 2'!E14)</f>
        <v>24.238228655701885</v>
      </c>
      <c r="F14" s="12">
        <f>IF($Q14&lt;&gt;0,MIN('Table 2'!F14,'Table 3'!$Q14),'Table 2'!F14)</f>
        <v>25.911334921881867</v>
      </c>
      <c r="G14" s="12">
        <f>IF($Q14&lt;&gt;0,MIN('Table 2'!G14,'Table 3'!$Q14),'Table 2'!G14)</f>
        <v>25.10683761979983</v>
      </c>
      <c r="H14" s="47">
        <f>IF($Q14&lt;&gt;0,MIN('Table 2'!H14,'Table 3'!$Q14),'Table 2'!H14)</f>
        <v>23.91353101783287</v>
      </c>
      <c r="I14" s="12">
        <f>IF($Q14&lt;&gt;0,MIN('Table 2'!I14,'Table 3'!$Q14),'Table 2'!I14)</f>
        <v>25.463467419822251</v>
      </c>
      <c r="J14" s="12">
        <f>IF($Q14&lt;&gt;0,MIN('Table 2'!J14,'Table 3'!$Q14),'Table 2'!J14)</f>
        <v>61.334501702260731</v>
      </c>
      <c r="K14" s="12">
        <f>IF($Q14&lt;&gt;0,MIN('Table 2'!K14,'Table 3'!$Q14),'Table 2'!K14)</f>
        <v>47.360769905992228</v>
      </c>
      <c r="L14" s="47">
        <f>IF($Q14&lt;&gt;0,MIN('Table 2'!L14,'Table 3'!$Q14),'Table 2'!L14)</f>
        <v>36.719346747598138</v>
      </c>
      <c r="M14" s="56">
        <f>IF($Q14&lt;&gt;0,MIN('Table 2'!M14,'Table 3'!$Q14),'Table 2'!M14)</f>
        <v>25.957685521061627</v>
      </c>
      <c r="N14" s="12">
        <f>IF($Q14&lt;&gt;0,MIN('Table 2'!N14,'Table 3'!$Q14),'Table 2'!N14)</f>
        <v>20.12985084884162</v>
      </c>
      <c r="O14" s="47">
        <f>IF($Q14&lt;&gt;0,MIN('Table 2'!O14,'Table 3'!$Q14),'Table 2'!O14)</f>
        <v>20.155221614782345</v>
      </c>
      <c r="Q14" s="55">
        <f>VLOOKUP(B14,'Table 4'!$B$11:$K$41,9,FALSE)</f>
        <v>0</v>
      </c>
    </row>
    <row r="15" spans="2:17" ht="12.75" customHeight="1">
      <c r="B15" s="73">
        <f t="shared" si="0"/>
        <v>2016</v>
      </c>
      <c r="C15" s="75">
        <v>23.589283530047265</v>
      </c>
      <c r="D15" s="12">
        <f>IF($Q15&lt;&gt;0,MIN('Table 2'!D15,'Table 3'!$Q15),'Table 2'!D15)</f>
        <v>21.012839024150242</v>
      </c>
      <c r="E15" s="12">
        <f>IF($Q15&lt;&gt;0,MIN('Table 2'!E15,'Table 3'!$Q15),'Table 2'!E15)</f>
        <v>21.570451252444229</v>
      </c>
      <c r="F15" s="12">
        <f>IF($Q15&lt;&gt;0,MIN('Table 2'!F15,'Table 3'!$Q15),'Table 2'!F15)</f>
        <v>26.590056420707302</v>
      </c>
      <c r="G15" s="12">
        <f>IF($Q15&lt;&gt;0,MIN('Table 2'!G15,'Table 3'!$Q15),'Table 2'!G15)</f>
        <v>26.717872128078003</v>
      </c>
      <c r="H15" s="47">
        <f>IF($Q15&lt;&gt;0,MIN('Table 2'!H15,'Table 3'!$Q15),'Table 2'!H15)</f>
        <v>25.947649967265228</v>
      </c>
      <c r="I15" s="12">
        <f>IF($Q15&lt;&gt;0,MIN('Table 2'!I15,'Table 3'!$Q15),'Table 2'!I15)</f>
        <v>21.958879115854195</v>
      </c>
      <c r="J15" s="12">
        <f>IF($Q15&lt;&gt;0,MIN('Table 2'!J15,'Table 3'!$Q15),'Table 2'!J15)</f>
        <v>6.3123918413150646</v>
      </c>
      <c r="K15" s="12">
        <f>IF($Q15&lt;&gt;0,MIN('Table 2'!K15,'Table 3'!$Q15),'Table 2'!K15)</f>
        <v>20.878033948513586</v>
      </c>
      <c r="L15" s="47">
        <f>IF($Q15&lt;&gt;0,MIN('Table 2'!L15,'Table 3'!$Q15),'Table 2'!L15)</f>
        <v>22.077053373200823</v>
      </c>
      <c r="M15" s="56">
        <f>IF($Q15&lt;&gt;0,MIN('Table 2'!M15,'Table 3'!$Q15),'Table 2'!M15)</f>
        <v>28.243694582611962</v>
      </c>
      <c r="N15" s="12">
        <f>IF($Q15&lt;&gt;0,MIN('Table 2'!N15,'Table 3'!$Q15),'Table 2'!N15)</f>
        <v>22.539781911399945</v>
      </c>
      <c r="O15" s="47">
        <f>IF($Q15&lt;&gt;0,MIN('Table 2'!O15,'Table 3'!$Q15),'Table 2'!O15)</f>
        <v>26.19028045097145</v>
      </c>
      <c r="Q15" s="55">
        <f>VLOOKUP(B15,'Table 4'!$B$11:$K$41,9,FALSE)</f>
        <v>29.82</v>
      </c>
    </row>
    <row r="16" spans="2:17" ht="12.75" customHeight="1">
      <c r="B16" s="73">
        <f t="shared" si="0"/>
        <v>2017</v>
      </c>
      <c r="C16" s="75">
        <v>23.491760344947043</v>
      </c>
      <c r="D16" s="12">
        <f>IF($Q16&lt;&gt;0,MIN('Table 2'!D16,'Table 3'!$Q16),'Table 2'!D16)</f>
        <v>24.306326563889634</v>
      </c>
      <c r="E16" s="12">
        <f>IF($Q16&lt;&gt;0,MIN('Table 2'!E16,'Table 3'!$Q16),'Table 2'!E16)</f>
        <v>23.586187819573048</v>
      </c>
      <c r="F16" s="12">
        <f>IF($Q16&lt;&gt;0,MIN('Table 2'!F16,'Table 3'!$Q16),'Table 2'!F16)</f>
        <v>24.827977434451377</v>
      </c>
      <c r="G16" s="12">
        <f>IF($Q16&lt;&gt;0,MIN('Table 2'!G16,'Table 3'!$Q16),'Table 2'!G16)</f>
        <v>25.728956748231997</v>
      </c>
      <c r="H16" s="47">
        <f>IF($Q16&lt;&gt;0,MIN('Table 2'!H16,'Table 3'!$Q16),'Table 2'!H16)</f>
        <v>21.767044866885772</v>
      </c>
      <c r="I16" s="12">
        <f>IF($Q16&lt;&gt;0,MIN('Table 2'!I16,'Table 3'!$Q16),'Table 2'!I16)</f>
        <v>22.57168429831458</v>
      </c>
      <c r="J16" s="12">
        <f>IF($Q16&lt;&gt;0,MIN('Table 2'!J16,'Table 3'!$Q16),'Table 2'!J16)</f>
        <v>7.4959366222731489</v>
      </c>
      <c r="K16" s="12">
        <f>IF($Q16&lt;&gt;0,MIN('Table 2'!K16,'Table 3'!$Q16),'Table 2'!K16)</f>
        <v>22.062294309338657</v>
      </c>
      <c r="L16" s="47">
        <f>IF($Q16&lt;&gt;0,MIN('Table 2'!L16,'Table 3'!$Q16),'Table 2'!L16)</f>
        <v>26.187521331404231</v>
      </c>
      <c r="M16" s="56">
        <f>IF($Q16&lt;&gt;0,MIN('Table 2'!M16,'Table 3'!$Q16),'Table 2'!M16)</f>
        <v>25.657528379117593</v>
      </c>
      <c r="N16" s="12">
        <f>IF($Q16&lt;&gt;0,MIN('Table 2'!N16,'Table 3'!$Q16),'Table 2'!N16)</f>
        <v>22.487278729423746</v>
      </c>
      <c r="O16" s="47">
        <f>IF($Q16&lt;&gt;0,MIN('Table 2'!O16,'Table 3'!$Q16),'Table 2'!O16)</f>
        <v>23.16375943856632</v>
      </c>
      <c r="Q16" s="55">
        <f>VLOOKUP(B16,'Table 4'!$B$11:$K$41,9,FALSE)</f>
        <v>31.02</v>
      </c>
    </row>
    <row r="17" spans="2:17" ht="12.75" customHeight="1">
      <c r="B17" s="73">
        <f t="shared" si="0"/>
        <v>2018</v>
      </c>
      <c r="C17" s="75">
        <v>26.796196934509812</v>
      </c>
      <c r="D17" s="12">
        <f>'Table 2'!D17</f>
        <v>26.512107020097783</v>
      </c>
      <c r="E17" s="12">
        <f>'Table 2'!E17</f>
        <v>25.696544021346853</v>
      </c>
      <c r="F17" s="12">
        <f>'Table 2'!F17</f>
        <v>26.221207762672933</v>
      </c>
      <c r="G17" s="12">
        <f>'Table 2'!G17</f>
        <v>26.982650099704927</v>
      </c>
      <c r="H17" s="47">
        <f>'Table 2'!H17</f>
        <v>22.823844939116732</v>
      </c>
      <c r="I17" s="12">
        <f>IF($Q17&lt;&gt;0,MIN('Table 2'!I17,'Table 3'!$Q17),'Table 2'!I17)</f>
        <v>28.116790729594666</v>
      </c>
      <c r="J17" s="12">
        <f>IF($Q17&lt;&gt;0,MIN('Table 2'!J17,'Table 3'!$Q17),'Table 2'!J17)</f>
        <v>8.9973990493994496</v>
      </c>
      <c r="K17" s="12">
        <f>IF($Q17&lt;&gt;0,MIN('Table 2'!K17,'Table 3'!$Q17),'Table 2'!K17)</f>
        <v>26.511768964603377</v>
      </c>
      <c r="L17" s="47">
        <f>IF($Q17&lt;&gt;0,MIN('Table 2'!L17,'Table 3'!$Q17),'Table 2'!L17)</f>
        <v>31.475234930178019</v>
      </c>
      <c r="M17" s="56">
        <f>IF($Q17&lt;&gt;0,MIN('Table 2'!M17,'Table 3'!$Q17),'Table 2'!M17)</f>
        <v>32.080128254632733</v>
      </c>
      <c r="N17" s="12">
        <f>IF($Q17&lt;&gt;0,MIN('Table 2'!N17,'Table 3'!$Q17),'Table 2'!N17)</f>
        <v>26.435425125485576</v>
      </c>
      <c r="O17" s="47">
        <f>IF($Q17&lt;&gt;0,MIN('Table 2'!O17,'Table 3'!$Q17),'Table 2'!O17)</f>
        <v>27.070595125680875</v>
      </c>
      <c r="Q17" s="55">
        <f>VLOOKUP(B17,'Table 4'!$B$11:$K$41,9,FALSE)</f>
        <v>34.47</v>
      </c>
    </row>
    <row r="18" spans="2:17" ht="12.75" customHeight="1">
      <c r="B18" s="73">
        <f t="shared" si="0"/>
        <v>2019</v>
      </c>
      <c r="C18" s="75">
        <v>30.143778915240379</v>
      </c>
      <c r="D18" s="12">
        <f>IF($Q18&lt;&gt;0,MIN('Table 2'!D18,'Table 3'!$Q18),'Table 2'!D18)</f>
        <v>25.339336409938831</v>
      </c>
      <c r="E18" s="12">
        <f>IF($Q18&lt;&gt;0,MIN('Table 2'!E18,'Table 3'!$Q18),'Table 2'!E18)</f>
        <v>26.762538892178945</v>
      </c>
      <c r="F18" s="12">
        <f>IF($Q18&lt;&gt;0,MIN('Table 2'!F18,'Table 3'!$Q18),'Table 2'!F18)</f>
        <v>31.086138311165666</v>
      </c>
      <c r="G18" s="12">
        <f>IF($Q18&lt;&gt;0,MIN('Table 2'!G18,'Table 3'!$Q18),'Table 2'!G18)</f>
        <v>31.14011322450234</v>
      </c>
      <c r="H18" s="47">
        <f>IF($Q18&lt;&gt;0,MIN('Table 2'!H18,'Table 3'!$Q18),'Table 2'!H18)</f>
        <v>27.710618207457696</v>
      </c>
      <c r="I18" s="12">
        <f>IF($Q18&lt;&gt;0,MIN('Table 2'!I18,'Table 3'!$Q18),'Table 2'!I18)</f>
        <v>33.699049227957708</v>
      </c>
      <c r="J18" s="12">
        <f>IF($Q18&lt;&gt;0,MIN('Table 2'!J18,'Table 3'!$Q18),'Table 2'!J18)</f>
        <v>18.749371937113899</v>
      </c>
      <c r="K18" s="12">
        <f>IF($Q18&lt;&gt;0,MIN('Table 2'!K18,'Table 3'!$Q18),'Table 2'!K18)</f>
        <v>30.328785813418115</v>
      </c>
      <c r="L18" s="47">
        <f>IF($Q18&lt;&gt;0,MIN('Table 2'!L18,'Table 3'!$Q18),'Table 2'!L18)</f>
        <v>34.022270820536122</v>
      </c>
      <c r="M18" s="56">
        <f>IF($Q18&lt;&gt;0,MIN('Table 2'!M18,'Table 3'!$Q18),'Table 2'!M18)</f>
        <v>33.192759265650736</v>
      </c>
      <c r="N18" s="12">
        <f>IF($Q18&lt;&gt;0,MIN('Table 2'!N18,'Table 3'!$Q18),'Table 2'!N18)</f>
        <v>30.576694408836783</v>
      </c>
      <c r="O18" s="47">
        <f>IF($Q18&lt;&gt;0,MIN('Table 2'!O18,'Table 3'!$Q18),'Table 2'!O18)</f>
        <v>32.8619584824405</v>
      </c>
      <c r="Q18" s="55">
        <f>VLOOKUP(B18,'Table 4'!$B$11:$K$41,9,FALSE)</f>
        <v>39.270000000000003</v>
      </c>
    </row>
    <row r="19" spans="2:17" ht="12.75" customHeight="1">
      <c r="B19" s="73">
        <f t="shared" si="0"/>
        <v>2020</v>
      </c>
      <c r="C19" s="75">
        <v>31.944492668751796</v>
      </c>
      <c r="D19" s="12">
        <f>IF($Q19&lt;&gt;0,MIN('Table 2'!D19,'Table 3'!$Q19),'Table 2'!D19)</f>
        <v>37.002140236354371</v>
      </c>
      <c r="E19" s="12">
        <f>IF($Q19&lt;&gt;0,MIN('Table 2'!E19,'Table 3'!$Q19),'Table 2'!E19)</f>
        <v>40.47</v>
      </c>
      <c r="F19" s="12">
        <f>IF($Q19&lt;&gt;0,MIN('Table 2'!F19,'Table 3'!$Q19),'Table 2'!F19)</f>
        <v>32.068495011571677</v>
      </c>
      <c r="G19" s="12">
        <f>IF($Q19&lt;&gt;0,MIN('Table 2'!G19,'Table 3'!$Q19),'Table 2'!G19)</f>
        <v>29.797217966765214</v>
      </c>
      <c r="H19" s="47">
        <f>IF($Q19&lt;&gt;0,MIN('Table 2'!H19,'Table 3'!$Q19),'Table 2'!H19)</f>
        <v>32.682732704101994</v>
      </c>
      <c r="I19" s="12">
        <f>IF($Q19&lt;&gt;0,MIN('Table 2'!I19,'Table 3'!$Q19),'Table 2'!I19)</f>
        <v>33.742670603901793</v>
      </c>
      <c r="J19" s="12">
        <f>IF($Q19&lt;&gt;0,MIN('Table 2'!J19,'Table 3'!$Q19),'Table 2'!J19)</f>
        <v>21.170772964684009</v>
      </c>
      <c r="K19" s="12">
        <f>IF($Q19&lt;&gt;0,MIN('Table 2'!K19,'Table 3'!$Q19),'Table 2'!K19)</f>
        <v>32.655739795307888</v>
      </c>
      <c r="L19" s="47">
        <f>IF($Q19&lt;&gt;0,MIN('Table 2'!L19,'Table 3'!$Q19),'Table 2'!L19)</f>
        <v>35.051696771560266</v>
      </c>
      <c r="M19" s="56">
        <f>IF($Q19&lt;&gt;0,MIN('Table 2'!M19,'Table 3'!$Q19),'Table 2'!M19)</f>
        <v>34.409188305456254</v>
      </c>
      <c r="N19" s="12">
        <f>IF($Q19&lt;&gt;0,MIN('Table 2'!N19,'Table 3'!$Q19),'Table 2'!N19)</f>
        <v>22.335463917370642</v>
      </c>
      <c r="O19" s="47">
        <f>IF($Q19&lt;&gt;0,MIN('Table 2'!O19,'Table 3'!$Q19),'Table 2'!O19)</f>
        <v>31.947793747947483</v>
      </c>
      <c r="Q19" s="55">
        <f>VLOOKUP(B19,'Table 4'!$B$11:$K$41,9,FALSE)</f>
        <v>40.47</v>
      </c>
    </row>
    <row r="20" spans="2:17" ht="12.75" customHeight="1">
      <c r="B20" s="73">
        <f t="shared" si="0"/>
        <v>2021</v>
      </c>
      <c r="C20" s="75">
        <v>31.140380671572061</v>
      </c>
      <c r="D20" s="12">
        <f>IF($Q20&lt;&gt;0,MIN('Table 2'!D20,'Table 3'!$Q20),'Table 2'!D20)</f>
        <v>28.672894638381404</v>
      </c>
      <c r="E20" s="12">
        <f>IF($Q20&lt;&gt;0,MIN('Table 2'!E20,'Table 3'!$Q20),'Table 2'!E20)</f>
        <v>28.990158550237886</v>
      </c>
      <c r="F20" s="12">
        <f>IF($Q20&lt;&gt;0,MIN('Table 2'!F20,'Table 3'!$Q20),'Table 2'!F20)</f>
        <v>31.339889934397885</v>
      </c>
      <c r="G20" s="12">
        <f>IF($Q20&lt;&gt;0,MIN('Table 2'!G20,'Table 3'!$Q20),'Table 2'!G20)</f>
        <v>30.137237180838877</v>
      </c>
      <c r="H20" s="47">
        <f>IF($Q20&lt;&gt;0,MIN('Table 2'!H20,'Table 3'!$Q20),'Table 2'!H20)</f>
        <v>32.58594195650651</v>
      </c>
      <c r="I20" s="12">
        <f>IF($Q20&lt;&gt;0,MIN('Table 2'!I20,'Table 3'!$Q20),'Table 2'!I20)</f>
        <v>32.011417110753563</v>
      </c>
      <c r="J20" s="12">
        <f>IF($Q20&lt;&gt;0,MIN('Table 2'!J20,'Table 3'!$Q20),'Table 2'!J20)</f>
        <v>12.113865457581188</v>
      </c>
      <c r="K20" s="12">
        <f>IF($Q20&lt;&gt;0,MIN('Table 2'!K20,'Table 3'!$Q20),'Table 2'!K20)</f>
        <v>31.061072707559074</v>
      </c>
      <c r="L20" s="47">
        <f>IF($Q20&lt;&gt;0,MIN('Table 2'!L20,'Table 3'!$Q20),'Table 2'!L20)</f>
        <v>35.326163677755432</v>
      </c>
      <c r="M20" s="56">
        <f>IF($Q20&lt;&gt;0,MIN('Table 2'!M20,'Table 3'!$Q20),'Table 2'!M20)</f>
        <v>35.576708778668099</v>
      </c>
      <c r="N20" s="12">
        <f>IF($Q20&lt;&gt;0,MIN('Table 2'!N20,'Table 3'!$Q20),'Table 2'!N20)</f>
        <v>33.596011231337314</v>
      </c>
      <c r="O20" s="47">
        <f>IF($Q20&lt;&gt;0,MIN('Table 2'!O20,'Table 3'!$Q20),'Table 2'!O20)</f>
        <v>30.252741764837154</v>
      </c>
      <c r="Q20" s="55">
        <f>VLOOKUP(B20,'Table 4'!$B$11:$K$41,9,FALSE)</f>
        <v>42.79</v>
      </c>
    </row>
    <row r="21" spans="2:17" ht="12.75" customHeight="1">
      <c r="B21" s="74">
        <f t="shared" si="0"/>
        <v>2022</v>
      </c>
      <c r="C21" s="76">
        <v>35.854056749604389</v>
      </c>
      <c r="D21" s="21">
        <f>IF($Q21&lt;&gt;0,MIN('Table 2'!D21,'Table 3'!$Q21),'Table 2'!D21)</f>
        <v>36.284381809833945</v>
      </c>
      <c r="E21" s="21">
        <f>IF($Q21&lt;&gt;0,MIN('Table 2'!E21,'Table 3'!$Q21),'Table 2'!E21)</f>
        <v>35.055365459141619</v>
      </c>
      <c r="F21" s="21">
        <f>IF($Q21&lt;&gt;0,MIN('Table 2'!F21,'Table 3'!$Q21),'Table 2'!F21)</f>
        <v>37.190059450857568</v>
      </c>
      <c r="G21" s="21">
        <f>IF($Q21&lt;&gt;0,MIN('Table 2'!G21,'Table 3'!$Q21),'Table 2'!G21)</f>
        <v>40.667163893775623</v>
      </c>
      <c r="H21" s="48">
        <f>IF($Q21&lt;&gt;0,MIN('Table 2'!H21,'Table 3'!$Q21),'Table 2'!H21)</f>
        <v>36.105053709737973</v>
      </c>
      <c r="I21" s="12">
        <f>IF($Q21&lt;&gt;0,MIN('Table 2'!I21,'Table 3'!$Q21),'Table 2'!I21)</f>
        <v>36.596796199276874</v>
      </c>
      <c r="J21" s="12">
        <f>IF($Q21&lt;&gt;0,MIN('Table 2'!J21,'Table 3'!$Q21),'Table 2'!J21)</f>
        <v>4.5367827088166788</v>
      </c>
      <c r="K21" s="12">
        <f>IF($Q21&lt;&gt;0,MIN('Table 2'!K21,'Table 3'!$Q21),'Table 2'!K21)</f>
        <v>31.65423387367742</v>
      </c>
      <c r="L21" s="47">
        <f>IF($Q21&lt;&gt;0,MIN('Table 2'!L21,'Table 3'!$Q21),'Table 2'!L21)</f>
        <v>39.427421738772217</v>
      </c>
      <c r="M21" s="56">
        <f>IF($Q21&lt;&gt;0,MIN('Table 2'!M21,'Table 3'!$Q21),'Table 2'!M21)</f>
        <v>40.650106445791664</v>
      </c>
      <c r="N21" s="12">
        <f>IF($Q21&lt;&gt;0,MIN('Table 2'!N21,'Table 3'!$Q21),'Table 2'!N21)</f>
        <v>35.266868595945581</v>
      </c>
      <c r="O21" s="47">
        <f>IF($Q21&lt;&gt;0,MIN('Table 2'!O21,'Table 3'!$Q21),'Table 2'!O21)</f>
        <v>35.261733787896446</v>
      </c>
      <c r="Q21" s="55">
        <f>VLOOKUP(B21,'Table 4'!$B$11:$K$41,9,FALSE)</f>
        <v>47.02</v>
      </c>
    </row>
    <row r="22" spans="2:17" ht="12.75" customHeight="1">
      <c r="B22" s="112">
        <f t="shared" si="0"/>
        <v>2023</v>
      </c>
      <c r="C22" s="75">
        <v>36.888106270710672</v>
      </c>
      <c r="D22" s="11">
        <f>IF($Q22&lt;&gt;0,MIN('Table 2'!D22,'Table 3'!$Q22),'Table 2'!D22)</f>
        <v>38.588157804267475</v>
      </c>
      <c r="E22" s="11">
        <f>IF($Q22&lt;&gt;0,MIN('Table 2'!E22,'Table 3'!$Q22),'Table 2'!E22)</f>
        <v>38.839083310607805</v>
      </c>
      <c r="F22" s="11">
        <f>IF($Q22&lt;&gt;0,MIN('Table 2'!F22,'Table 3'!$Q22),'Table 2'!F22)</f>
        <v>40.800010349930957</v>
      </c>
      <c r="G22" s="11">
        <f>IF($Q22&lt;&gt;0,MIN('Table 2'!G22,'Table 3'!$Q22),'Table 2'!G22)</f>
        <v>43.067597474095173</v>
      </c>
      <c r="H22" s="46">
        <f>IF($Q22&lt;&gt;0,MIN('Table 2'!H22,'Table 3'!$Q22),'Table 2'!H22)</f>
        <v>36.334002092080091</v>
      </c>
      <c r="I22" s="57">
        <f>IF($Q22&lt;&gt;0,MIN('Table 2'!I22,'Table 3'!$Q22),'Table 2'!I22)</f>
        <v>33.60412575602755</v>
      </c>
      <c r="J22" s="11">
        <f>IF($Q22&lt;&gt;0,MIN('Table 2'!J22,'Table 3'!$Q22),'Table 2'!J22)</f>
        <v>2.1325545676985884</v>
      </c>
      <c r="K22" s="11">
        <f>IF($Q22&lt;&gt;0,MIN('Table 2'!K22,'Table 3'!$Q22),'Table 2'!K22)</f>
        <v>32.427748465616148</v>
      </c>
      <c r="L22" s="46">
        <f>IF($Q22&lt;&gt;0,MIN('Table 2'!L22,'Table 3'!$Q22),'Table 2'!L22)</f>
        <v>39.247128976864396</v>
      </c>
      <c r="M22" s="57">
        <f>IF($Q22&lt;&gt;0,MIN('Table 2'!M22,'Table 3'!$Q22),'Table 2'!M22)</f>
        <v>40.518574081043425</v>
      </c>
      <c r="N22" s="11">
        <f>IF($Q22&lt;&gt;0,MIN('Table 2'!N22,'Table 3'!$Q22),'Table 2'!N22)</f>
        <v>34.758416429470891</v>
      </c>
      <c r="O22" s="46">
        <f>IF($Q22&lt;&gt;0,MIN('Table 2'!O22,'Table 3'!$Q22),'Table 2'!O22)</f>
        <v>35.464729158537004</v>
      </c>
      <c r="Q22" s="58">
        <f>VLOOKUP(B22,'Table 4'!$B$11:$K$41,9,FALSE)</f>
        <v>48.5</v>
      </c>
    </row>
    <row r="23" spans="2:17" ht="12.75" customHeight="1">
      <c r="B23" s="73">
        <f t="shared" si="0"/>
        <v>2024</v>
      </c>
      <c r="C23" s="75">
        <v>37.232618076429262</v>
      </c>
      <c r="D23" s="12">
        <f>IF($Q23&lt;&gt;0,MIN('Table 2'!D23,'Table 3'!$Q23),'Table 2'!D23)</f>
        <v>39.506076842585202</v>
      </c>
      <c r="E23" s="12">
        <f>IF($Q23&lt;&gt;0,MIN('Table 2'!E23,'Table 3'!$Q23),'Table 2'!E23)</f>
        <v>37.695509369343185</v>
      </c>
      <c r="F23" s="12">
        <f>IF($Q23&lt;&gt;0,MIN('Table 2'!F23,'Table 3'!$Q23),'Table 2'!F23)</f>
        <v>39.339142468221198</v>
      </c>
      <c r="G23" s="12">
        <f>IF($Q23&lt;&gt;0,MIN('Table 2'!G23,'Table 3'!$Q23),'Table 2'!G23)</f>
        <v>43.14880359596016</v>
      </c>
      <c r="H23" s="47">
        <f>IF($Q23&lt;&gt;0,MIN('Table 2'!H23,'Table 3'!$Q23),'Table 2'!H23)</f>
        <v>31.477013059576748</v>
      </c>
      <c r="I23" s="56">
        <f>IF($Q23&lt;&gt;0,MIN('Table 2'!I23,'Table 3'!$Q23),'Table 2'!I23)</f>
        <v>36.204646913052777</v>
      </c>
      <c r="J23" s="12">
        <f>IF($Q23&lt;&gt;0,MIN('Table 2'!J23,'Table 3'!$Q23),'Table 2'!J23)</f>
        <v>0.83188575197213843</v>
      </c>
      <c r="K23" s="12">
        <f>IF($Q23&lt;&gt;0,MIN('Table 2'!K23,'Table 3'!$Q23),'Table 2'!K23)</f>
        <v>29.626718708250682</v>
      </c>
      <c r="L23" s="47">
        <f>IF($Q23&lt;&gt;0,MIN('Table 2'!L23,'Table 3'!$Q23),'Table 2'!L23)</f>
        <v>40.450053250871704</v>
      </c>
      <c r="M23" s="56">
        <f>IF($Q23&lt;&gt;0,MIN('Table 2'!M23,'Table 3'!$Q23),'Table 2'!M23)</f>
        <v>42.252293949051129</v>
      </c>
      <c r="N23" s="12">
        <f>IF($Q23&lt;&gt;0,MIN('Table 2'!N23,'Table 3'!$Q23),'Table 2'!N23)</f>
        <v>38.246192843117818</v>
      </c>
      <c r="O23" s="47">
        <f>IF($Q23&lt;&gt;0,MIN('Table 2'!O23,'Table 3'!$Q23),'Table 2'!O23)</f>
        <v>36.686063903088431</v>
      </c>
      <c r="Q23" s="55">
        <f>VLOOKUP(B23,'Table 4'!$B$11:$K$41,9,FALSE)</f>
        <v>47.66</v>
      </c>
    </row>
    <row r="24" spans="2:17" ht="12.75" customHeight="1">
      <c r="B24" s="73">
        <f t="shared" si="0"/>
        <v>2025</v>
      </c>
      <c r="C24" s="75">
        <v>38.816877733652902</v>
      </c>
      <c r="D24" s="12">
        <f>IF($Q24&lt;&gt;0,MIN('Table 2'!D24,'Table 3'!$Q24),'Table 2'!D24)</f>
        <v>40.033565345919243</v>
      </c>
      <c r="E24" s="12">
        <f>IF($Q24&lt;&gt;0,MIN('Table 2'!E24,'Table 3'!$Q24),'Table 2'!E24)</f>
        <v>39.094349336431726</v>
      </c>
      <c r="F24" s="12">
        <f>IF($Q24&lt;&gt;0,MIN('Table 2'!F24,'Table 3'!$Q24),'Table 2'!F24)</f>
        <v>43.154091390610333</v>
      </c>
      <c r="G24" s="12">
        <f>IF($Q24&lt;&gt;0,MIN('Table 2'!G24,'Table 3'!$Q24),'Table 2'!G24)</f>
        <v>44.83348900749381</v>
      </c>
      <c r="H24" s="47">
        <f>IF($Q24&lt;&gt;0,MIN('Table 2'!H24,'Table 3'!$Q24),'Table 2'!H24)</f>
        <v>35.520730256047422</v>
      </c>
      <c r="I24" s="56">
        <f>IF($Q24&lt;&gt;0,MIN('Table 2'!I24,'Table 3'!$Q24),'Table 2'!I24)</f>
        <v>35.54795629750101</v>
      </c>
      <c r="J24" s="12">
        <f>IF($Q24&lt;&gt;0,MIN('Table 2'!J24,'Table 3'!$Q24),'Table 2'!J24)</f>
        <v>1.6941435593542291</v>
      </c>
      <c r="K24" s="12">
        <f>IF($Q24&lt;&gt;0,MIN('Table 2'!K24,'Table 3'!$Q24),'Table 2'!K24)</f>
        <v>30.288050938218827</v>
      </c>
      <c r="L24" s="47">
        <f>IF($Q24&lt;&gt;0,MIN('Table 2'!L24,'Table 3'!$Q24),'Table 2'!L24)</f>
        <v>42.664919615819628</v>
      </c>
      <c r="M24" s="56">
        <f>IF($Q24&lt;&gt;0,MIN('Table 2'!M24,'Table 3'!$Q24),'Table 2'!M24)</f>
        <v>43.155509126531761</v>
      </c>
      <c r="N24" s="12">
        <f>IF($Q24&lt;&gt;0,MIN('Table 2'!N24,'Table 3'!$Q24),'Table 2'!N24)</f>
        <v>38.946897565579249</v>
      </c>
      <c r="O24" s="47">
        <f>IF($Q24&lt;&gt;0,MIN('Table 2'!O24,'Table 3'!$Q24),'Table 2'!O24)</f>
        <v>38.652913649757082</v>
      </c>
      <c r="Q24" s="55">
        <f>VLOOKUP(B24,'Table 4'!$B$11:$K$41,9,FALSE)</f>
        <v>49</v>
      </c>
    </row>
    <row r="25" spans="2:17" ht="12.75" customHeight="1">
      <c r="B25" s="73">
        <f t="shared" si="0"/>
        <v>2026</v>
      </c>
      <c r="C25" s="75">
        <v>39.496181925682748</v>
      </c>
      <c r="D25" s="12">
        <f>IF($Q25&lt;&gt;0,MIN('Table 2'!D25,'Table 3'!$Q25),'Table 2'!D25)</f>
        <v>40.310042653281599</v>
      </c>
      <c r="E25" s="12">
        <f>IF($Q25&lt;&gt;0,MIN('Table 2'!E25,'Table 3'!$Q25),'Table 2'!E25)</f>
        <v>37.731966378323818</v>
      </c>
      <c r="F25" s="12">
        <f>IF($Q25&lt;&gt;0,MIN('Table 2'!F25,'Table 3'!$Q25),'Table 2'!F25)</f>
        <v>40.767327897791468</v>
      </c>
      <c r="G25" s="12">
        <f>IF($Q25&lt;&gt;0,MIN('Table 2'!G25,'Table 3'!$Q25),'Table 2'!G25)</f>
        <v>40.568957008793831</v>
      </c>
      <c r="H25" s="47">
        <f>IF($Q25&lt;&gt;0,MIN('Table 2'!H25,'Table 3'!$Q25),'Table 2'!H25)</f>
        <v>39.229515542912225</v>
      </c>
      <c r="I25" s="56">
        <f>IF($Q25&lt;&gt;0,MIN('Table 2'!I25,'Table 3'!$Q25),'Table 2'!I25)</f>
        <v>42.280570894414012</v>
      </c>
      <c r="J25" s="12">
        <f>IF($Q25&lt;&gt;0,MIN('Table 2'!J25,'Table 3'!$Q25),'Table 2'!J25)</f>
        <v>7.3410315608230734</v>
      </c>
      <c r="K25" s="12">
        <f>IF($Q25&lt;&gt;0,MIN('Table 2'!K25,'Table 3'!$Q25),'Table 2'!K25)</f>
        <v>36.026164002737723</v>
      </c>
      <c r="L25" s="47">
        <f>IF($Q25&lt;&gt;0,MIN('Table 2'!L25,'Table 3'!$Q25),'Table 2'!L25)</f>
        <v>45.932827899047673</v>
      </c>
      <c r="M25" s="56">
        <f>IF($Q25&lt;&gt;0,MIN('Table 2'!M25,'Table 3'!$Q25),'Table 2'!M25)</f>
        <v>45.052904585788511</v>
      </c>
      <c r="N25" s="12">
        <f>IF($Q25&lt;&gt;0,MIN('Table 2'!N25,'Table 3'!$Q25),'Table 2'!N25)</f>
        <v>38.462229729108451</v>
      </c>
      <c r="O25" s="47">
        <f>IF($Q25&lt;&gt;0,MIN('Table 2'!O25,'Table 3'!$Q25),'Table 2'!O25)</f>
        <v>38.962765580708684</v>
      </c>
      <c r="Q25" s="55">
        <f>VLOOKUP(B25,'Table 4'!$B$11:$K$41,9,FALSE)</f>
        <v>51.82</v>
      </c>
    </row>
    <row r="26" spans="2:17" ht="12.75" customHeight="1">
      <c r="B26" s="73">
        <f t="shared" si="0"/>
        <v>2027</v>
      </c>
      <c r="C26" s="75">
        <v>40.245530919056698</v>
      </c>
      <c r="D26" s="12">
        <f>IF($Q26&lt;&gt;0,MIN('Table 2'!D26,'Table 3'!$Q26),'Table 2'!D26)</f>
        <v>38.760808047847192</v>
      </c>
      <c r="E26" s="12">
        <f>IF($Q26&lt;&gt;0,MIN('Table 2'!E26,'Table 3'!$Q26),'Table 2'!E26)</f>
        <v>38.650229296058406</v>
      </c>
      <c r="F26" s="12">
        <f>IF($Q26&lt;&gt;0,MIN('Table 2'!F26,'Table 3'!$Q26),'Table 2'!F26)</f>
        <v>43.988770676770777</v>
      </c>
      <c r="G26" s="12">
        <f>IF($Q26&lt;&gt;0,MIN('Table 2'!G26,'Table 3'!$Q26),'Table 2'!G26)</f>
        <v>41.463390777454038</v>
      </c>
      <c r="H26" s="47">
        <f>IF($Q26&lt;&gt;0,MIN('Table 2'!H26,'Table 3'!$Q26),'Table 2'!H26)</f>
        <v>38.64522113283877</v>
      </c>
      <c r="I26" s="56">
        <f>IF($Q26&lt;&gt;0,MIN('Table 2'!I26,'Table 3'!$Q26),'Table 2'!I26)</f>
        <v>42.181274168224043</v>
      </c>
      <c r="J26" s="12">
        <f>IF($Q26&lt;&gt;0,MIN('Table 2'!J26,'Table 3'!$Q26),'Table 2'!J26)</f>
        <v>3.8008480862765905</v>
      </c>
      <c r="K26" s="12">
        <f>IF($Q26&lt;&gt;0,MIN('Table 2'!K26,'Table 3'!$Q26),'Table 2'!K26)</f>
        <v>35.478538527707485</v>
      </c>
      <c r="L26" s="47">
        <f>IF($Q26&lt;&gt;0,MIN('Table 2'!L26,'Table 3'!$Q26),'Table 2'!L26)</f>
        <v>45.990765288219293</v>
      </c>
      <c r="M26" s="56">
        <f>IF($Q26&lt;&gt;0,MIN('Table 2'!M26,'Table 3'!$Q26),'Table 2'!M26)</f>
        <v>45.723448089450066</v>
      </c>
      <c r="N26" s="12">
        <f>IF($Q26&lt;&gt;0,MIN('Table 2'!N26,'Table 3'!$Q26),'Table 2'!N26)</f>
        <v>38.610062920859988</v>
      </c>
      <c r="O26" s="47">
        <f>IF($Q26&lt;&gt;0,MIN('Table 2'!O26,'Table 3'!$Q26),'Table 2'!O26)</f>
        <v>42.452550764883647</v>
      </c>
      <c r="Q26" s="55">
        <f>VLOOKUP(B26,'Table 4'!$B$11:$K$41,9,FALSE)</f>
        <v>53.65</v>
      </c>
    </row>
    <row r="27" spans="2:17" ht="12.75" customHeight="1">
      <c r="B27" s="73">
        <f t="shared" si="0"/>
        <v>2028</v>
      </c>
      <c r="C27" s="75">
        <v>42.192569201982529</v>
      </c>
      <c r="D27" s="12">
        <f>IF($Q27&lt;&gt;0,MIN('Table 2'!D27,'Table 3'!$Q27),'Table 2'!D27)</f>
        <v>51.111621261630255</v>
      </c>
      <c r="E27" s="12">
        <f>IF($Q27&lt;&gt;0,MIN('Table 2'!E27,'Table 3'!$Q27),'Table 2'!E27)</f>
        <v>40.099280088162693</v>
      </c>
      <c r="F27" s="12">
        <f>IF($Q27&lt;&gt;0,MIN('Table 2'!F27,'Table 3'!$Q27),'Table 2'!F27)</f>
        <v>42.314787565992582</v>
      </c>
      <c r="G27" s="12">
        <f>IF($Q27&lt;&gt;0,MIN('Table 2'!G27,'Table 3'!$Q27),'Table 2'!G27)</f>
        <v>49.278009427170602</v>
      </c>
      <c r="H27" s="47">
        <f>IF($Q27&lt;&gt;0,MIN('Table 2'!H27,'Table 3'!$Q27),'Table 2'!H27)</f>
        <v>39.124517938027594</v>
      </c>
      <c r="I27" s="56">
        <f>IF($Q27&lt;&gt;0,MIN('Table 2'!I27,'Table 3'!$Q27),'Table 2'!I27)</f>
        <v>43.213039428140803</v>
      </c>
      <c r="J27" s="12">
        <f>IF($Q27&lt;&gt;0,MIN('Table 2'!J27,'Table 3'!$Q27),'Table 2'!J27)</f>
        <v>1.6072604891129401</v>
      </c>
      <c r="K27" s="12">
        <f>IF($Q27&lt;&gt;0,MIN('Table 2'!K27,'Table 3'!$Q27),'Table 2'!K27)</f>
        <v>37.139758120781359</v>
      </c>
      <c r="L27" s="47">
        <f>IF($Q27&lt;&gt;0,MIN('Table 2'!L27,'Table 3'!$Q27),'Table 2'!L27)</f>
        <v>48.903027175785738</v>
      </c>
      <c r="M27" s="56">
        <f>IF($Q27&lt;&gt;0,MIN('Table 2'!M27,'Table 3'!$Q27),'Table 2'!M27)</f>
        <v>47.431926874394662</v>
      </c>
      <c r="N27" s="12">
        <f>IF($Q27&lt;&gt;0,MIN('Table 2'!N27,'Table 3'!$Q27),'Table 2'!N27)</f>
        <v>39.226562860959127</v>
      </c>
      <c r="O27" s="47">
        <f>IF($Q27&lt;&gt;0,MIN('Table 2'!O27,'Table 3'!$Q27),'Table 2'!O27)</f>
        <v>39.88095280195742</v>
      </c>
      <c r="Q27" s="55">
        <f>VLOOKUP(B27,'Table 4'!$B$11:$K$41,9,FALSE)</f>
        <v>54.78</v>
      </c>
    </row>
    <row r="28" spans="2:17" ht="12.75" customHeight="1">
      <c r="B28" s="73">
        <f t="shared" si="0"/>
        <v>2029</v>
      </c>
      <c r="C28" s="75">
        <v>42.816275479137097</v>
      </c>
      <c r="D28" s="12">
        <f>IF($Q28&lt;&gt;0,MIN('Table 2'!D28,'Table 3'!$Q28),'Table 2'!D28)</f>
        <v>42.039000788576644</v>
      </c>
      <c r="E28" s="12">
        <f>IF($Q28&lt;&gt;0,MIN('Table 2'!E28,'Table 3'!$Q28),'Table 2'!E28)</f>
        <v>40.510734230244886</v>
      </c>
      <c r="F28" s="12">
        <f>IF($Q28&lt;&gt;0,MIN('Table 2'!F28,'Table 3'!$Q28),'Table 2'!F28)</f>
        <v>46.20692081225706</v>
      </c>
      <c r="G28" s="12">
        <f>IF($Q28&lt;&gt;0,MIN('Table 2'!G28,'Table 3'!$Q28),'Table 2'!G28)</f>
        <v>50.543138912348297</v>
      </c>
      <c r="H28" s="47">
        <f>IF($Q28&lt;&gt;0,MIN('Table 2'!H28,'Table 3'!$Q28),'Table 2'!H28)</f>
        <v>39.966260224876436</v>
      </c>
      <c r="I28" s="56">
        <f>IF($Q28&lt;&gt;0,MIN('Table 2'!I28,'Table 3'!$Q28),'Table 2'!I28)</f>
        <v>45.677868206608572</v>
      </c>
      <c r="J28" s="12">
        <f>IF($Q28&lt;&gt;0,MIN('Table 2'!J28,'Table 3'!$Q28),'Table 2'!J28)</f>
        <v>2.5667325715225298</v>
      </c>
      <c r="K28" s="12">
        <f>IF($Q28&lt;&gt;0,MIN('Table 2'!K28,'Table 3'!$Q28),'Table 2'!K28)</f>
        <v>37.623135792458335</v>
      </c>
      <c r="L28" s="47">
        <f>IF($Q28&lt;&gt;0,MIN('Table 2'!L28,'Table 3'!$Q28),'Table 2'!L28)</f>
        <v>50.669204297648598</v>
      </c>
      <c r="M28" s="56">
        <f>IF($Q28&lt;&gt;0,MIN('Table 2'!M28,'Table 3'!$Q28),'Table 2'!M28)</f>
        <v>49.040249189506703</v>
      </c>
      <c r="N28" s="12">
        <f>IF($Q28&lt;&gt;0,MIN('Table 2'!N28,'Table 3'!$Q28),'Table 2'!N28)</f>
        <v>41.355786482547686</v>
      </c>
      <c r="O28" s="47">
        <f>IF($Q28&lt;&gt;0,MIN('Table 2'!O28,'Table 3'!$Q28),'Table 2'!O28)</f>
        <v>41.386846178218491</v>
      </c>
      <c r="Q28" s="55">
        <f>VLOOKUP(B28,'Table 4'!$B$11:$K$41,9,FALSE)</f>
        <v>55.62</v>
      </c>
    </row>
    <row r="29" spans="2:17" ht="12.75" customHeight="1">
      <c r="B29" s="73">
        <f t="shared" si="0"/>
        <v>2030</v>
      </c>
      <c r="C29" s="75">
        <v>44.595331734086933</v>
      </c>
      <c r="D29" s="12">
        <f>IF($Q29&lt;&gt;0,MIN('Table 2'!D29,'Table 3'!$Q29),'Table 2'!D29)</f>
        <v>46.54232009391233</v>
      </c>
      <c r="E29" s="12">
        <f>IF($Q29&lt;&gt;0,MIN('Table 2'!E29,'Table 3'!$Q29),'Table 2'!E29)</f>
        <v>42.031893728438561</v>
      </c>
      <c r="F29" s="12">
        <f>IF($Q29&lt;&gt;0,MIN('Table 2'!F29,'Table 3'!$Q29),'Table 2'!F29)</f>
        <v>45.957075445009288</v>
      </c>
      <c r="G29" s="12">
        <f>IF($Q29&lt;&gt;0,MIN('Table 2'!G29,'Table 3'!$Q29),'Table 2'!G29)</f>
        <v>51.534329660475237</v>
      </c>
      <c r="H29" s="47">
        <f>IF($Q29&lt;&gt;0,MIN('Table 2'!H29,'Table 3'!$Q29),'Table 2'!H29)</f>
        <v>41.813341470732674</v>
      </c>
      <c r="I29" s="56">
        <f>IF($Q29&lt;&gt;0,MIN('Table 2'!I29,'Table 3'!$Q29),'Table 2'!I29)</f>
        <v>45.227375506719667</v>
      </c>
      <c r="J29" s="12">
        <f>IF($Q29&lt;&gt;0,MIN('Table 2'!J29,'Table 3'!$Q29),'Table 2'!J29)</f>
        <v>5.7345213931093433</v>
      </c>
      <c r="K29" s="12">
        <f>IF($Q29&lt;&gt;0,MIN('Table 2'!K29,'Table 3'!$Q29),'Table 2'!K29)</f>
        <v>39.916429134205949</v>
      </c>
      <c r="L29" s="47">
        <f>IF($Q29&lt;&gt;0,MIN('Table 2'!L29,'Table 3'!$Q29),'Table 2'!L29)</f>
        <v>51.898163636367705</v>
      </c>
      <c r="M29" s="56">
        <f>IF($Q29&lt;&gt;0,MIN('Table 2'!M29,'Table 3'!$Q29),'Table 2'!M29)</f>
        <v>50.813221434682134</v>
      </c>
      <c r="N29" s="12">
        <f>IF($Q29&lt;&gt;0,MIN('Table 2'!N29,'Table 3'!$Q29),'Table 2'!N29)</f>
        <v>43.749003131117455</v>
      </c>
      <c r="O29" s="47">
        <f>IF($Q29&lt;&gt;0,MIN('Table 2'!O29,'Table 3'!$Q29),'Table 2'!O29)</f>
        <v>43.503339582554666</v>
      </c>
      <c r="Q29" s="55">
        <f>VLOOKUP(B29,'Table 4'!$B$11:$K$41,9,FALSE)</f>
        <v>55.91</v>
      </c>
    </row>
    <row r="30" spans="2:17" ht="12.75" customHeight="1">
      <c r="B30" s="73">
        <f t="shared" si="0"/>
        <v>2031</v>
      </c>
      <c r="C30" s="75">
        <v>45.516952211423046</v>
      </c>
      <c r="D30" s="12">
        <f>IF($Q30&lt;&gt;0,MIN('Table 2'!D30,'Table 3'!$Q30),'Table 2'!D30)</f>
        <v>47.922987045366526</v>
      </c>
      <c r="E30" s="12">
        <f>IF($Q30&lt;&gt;0,MIN('Table 2'!E30,'Table 3'!$Q30),'Table 2'!E30)</f>
        <v>43.842424715680764</v>
      </c>
      <c r="F30" s="12">
        <f>IF($Q30&lt;&gt;0,MIN('Table 2'!F30,'Table 3'!$Q30),'Table 2'!F30)</f>
        <v>48.653483219372674</v>
      </c>
      <c r="G30" s="12">
        <f>IF($Q30&lt;&gt;0,MIN('Table 2'!G30,'Table 3'!$Q30),'Table 2'!G30)</f>
        <v>51.786200144676251</v>
      </c>
      <c r="H30" s="47">
        <f>IF($Q30&lt;&gt;0,MIN('Table 2'!H30,'Table 3'!$Q30),'Table 2'!H30)</f>
        <v>39.40491623935155</v>
      </c>
      <c r="I30" s="56">
        <f>IF($Q30&lt;&gt;0,MIN('Table 2'!I30,'Table 3'!$Q30),'Table 2'!I30)</f>
        <v>43.284556891000605</v>
      </c>
      <c r="J30" s="12">
        <f>IF($Q30&lt;&gt;0,MIN('Table 2'!J30,'Table 3'!$Q30),'Table 2'!J30)</f>
        <v>0.38223687253506672</v>
      </c>
      <c r="K30" s="12">
        <f>IF($Q30&lt;&gt;0,MIN('Table 2'!K30,'Table 3'!$Q30),'Table 2'!K30)</f>
        <v>34.377513164055827</v>
      </c>
      <c r="L30" s="47">
        <f>IF($Q30&lt;&gt;0,MIN('Table 2'!L30,'Table 3'!$Q30),'Table 2'!L30)</f>
        <v>53.054032453762879</v>
      </c>
      <c r="M30" s="56">
        <f>IF($Q30&lt;&gt;0,MIN('Table 2'!M30,'Table 3'!$Q30),'Table 2'!M30)</f>
        <v>54.524743613585557</v>
      </c>
      <c r="N30" s="12">
        <f>IF($Q30&lt;&gt;0,MIN('Table 2'!N30,'Table 3'!$Q30),'Table 2'!N30)</f>
        <v>45.479558039199702</v>
      </c>
      <c r="O30" s="47">
        <f>IF($Q30&lt;&gt;0,MIN('Table 2'!O30,'Table 3'!$Q30),'Table 2'!O30)</f>
        <v>45.195152717405769</v>
      </c>
      <c r="Q30" s="55">
        <f>VLOOKUP(B30,'Table 4'!$B$11:$K$41,9,FALSE)</f>
        <v>57.18</v>
      </c>
    </row>
    <row r="31" spans="2:17" ht="12.75" customHeight="1">
      <c r="B31" s="74">
        <f t="shared" si="0"/>
        <v>2032</v>
      </c>
      <c r="C31" s="76">
        <v>46.248022899961256</v>
      </c>
      <c r="D31" s="21">
        <f>IF($Q31&lt;&gt;0,MIN('Table 2'!D31,'Table 3'!$Q31),'Table 2'!D31)</f>
        <v>50.444720179432586</v>
      </c>
      <c r="E31" s="21">
        <f>IF($Q31&lt;&gt;0,MIN('Table 2'!E31,'Table 3'!$Q31),'Table 2'!E31)</f>
        <v>45.661280434928933</v>
      </c>
      <c r="F31" s="21">
        <f>IF($Q31&lt;&gt;0,MIN('Table 2'!F31,'Table 3'!$Q31),'Table 2'!F31)</f>
        <v>47.764925213518914</v>
      </c>
      <c r="G31" s="21">
        <f>IF($Q31&lt;&gt;0,MIN('Table 2'!G31,'Table 3'!$Q31),'Table 2'!G31)</f>
        <v>51.546807440863873</v>
      </c>
      <c r="H31" s="48">
        <f>IF($Q31&lt;&gt;0,MIN('Table 2'!H31,'Table 3'!$Q31),'Table 2'!H31)</f>
        <v>40.024812266775832</v>
      </c>
      <c r="I31" s="113">
        <f>IF($Q31&lt;&gt;0,MIN('Table 2'!I31,'Table 3'!$Q31),'Table 2'!I31)</f>
        <v>43.374617974777102</v>
      </c>
      <c r="J31" s="21">
        <f>IF($Q31&lt;&gt;0,MIN('Table 2'!J31,'Table 3'!$Q31),'Table 2'!J31)</f>
        <v>-6.2832095551635847</v>
      </c>
      <c r="K31" s="21">
        <f>IF($Q31&lt;&gt;0,MIN('Table 2'!K31,'Table 3'!$Q31),'Table 2'!K31)</f>
        <v>34.67223671695708</v>
      </c>
      <c r="L31" s="48">
        <f>IF($Q31&lt;&gt;0,MIN('Table 2'!L31,'Table 3'!$Q31),'Table 2'!L31)</f>
        <v>53.664128083133605</v>
      </c>
      <c r="M31" s="113">
        <f>IF($Q31&lt;&gt;0,MIN('Table 2'!M31,'Table 3'!$Q31),'Table 2'!M31)</f>
        <v>55.521951107060175</v>
      </c>
      <c r="N31" s="21">
        <f>IF($Q31&lt;&gt;0,MIN('Table 2'!N31,'Table 3'!$Q31),'Table 2'!N31)</f>
        <v>47.033989745313256</v>
      </c>
      <c r="O31" s="48">
        <f>IF($Q31&lt;&gt;0,MIN('Table 2'!O31,'Table 3'!$Q31),'Table 2'!O31)</f>
        <v>46.379354408229041</v>
      </c>
      <c r="Q31" s="114">
        <f>VLOOKUP(B31,'Table 4'!$B$11:$K$41,9,FALSE)</f>
        <v>58.3</v>
      </c>
    </row>
    <row r="32" spans="2:17" ht="12.75" customHeight="1">
      <c r="D32" s="19"/>
      <c r="E32" s="19"/>
      <c r="F32" s="19"/>
      <c r="M32" s="27"/>
    </row>
    <row r="33" spans="3:14">
      <c r="C33" s="6" t="s">
        <v>52</v>
      </c>
    </row>
    <row r="34" spans="3:14">
      <c r="C34" s="77" t="s">
        <v>50</v>
      </c>
      <c r="D34" s="77"/>
      <c r="E34" s="77"/>
      <c r="F34" s="77"/>
      <c r="G34" s="77"/>
      <c r="M34" s="6"/>
      <c r="N34" s="8"/>
    </row>
  </sheetData>
  <phoneticPr fontId="6" type="noConversion"/>
  <conditionalFormatting sqref="D13:O31">
    <cfRule type="cellIs" dxfId="0" priority="1" stopIfTrue="1" operator="equal">
      <formula>$Q13</formula>
    </cfRule>
  </conditionalFormatting>
  <printOptions horizontalCentered="1"/>
  <pageMargins left="0.3" right="0.3" top="0.8" bottom="0.4" header="0.5" footer="0.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O91"/>
  <sheetViews>
    <sheetView zoomScaleNormal="100" zoomScaleSheetLayoutView="70" workbookViewId="0">
      <pane xSplit="2" ySplit="10" topLeftCell="C48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33203125" defaultRowHeight="12.75"/>
  <cols>
    <col min="1" max="1" width="2.83203125" style="154" customWidth="1"/>
    <col min="2" max="2" width="10.83203125" style="154" customWidth="1"/>
    <col min="3" max="3" width="14.1640625" style="154" customWidth="1"/>
    <col min="4" max="4" width="12.33203125" style="154" customWidth="1"/>
    <col min="5" max="5" width="9.1640625" style="154" customWidth="1"/>
    <col min="6" max="6" width="10.5" style="154" customWidth="1"/>
    <col min="7" max="7" width="10.5" style="154" bestFit="1" customWidth="1"/>
    <col min="8" max="8" width="11.6640625" style="154" bestFit="1" customWidth="1"/>
    <col min="9" max="9" width="11.1640625" style="154" customWidth="1"/>
    <col min="10" max="10" width="12" style="154" bestFit="1" customWidth="1"/>
    <col min="11" max="11" width="12" style="154" customWidth="1"/>
    <col min="12" max="13" width="9.33203125" style="154"/>
    <col min="14" max="15" width="9.33203125" style="154" customWidth="1"/>
    <col min="16" max="16384" width="9.33203125" style="154"/>
  </cols>
  <sheetData>
    <row r="1" spans="2:14" ht="15.75">
      <c r="B1" s="1" t="s">
        <v>112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14" ht="15.75">
      <c r="B2" s="1"/>
      <c r="C2" s="153"/>
      <c r="D2" s="153"/>
      <c r="E2" s="153"/>
      <c r="F2" s="153"/>
      <c r="G2" s="153"/>
      <c r="H2" s="153"/>
      <c r="I2" s="153"/>
      <c r="J2" s="153"/>
      <c r="K2" s="153"/>
    </row>
    <row r="3" spans="2:14" ht="15.75">
      <c r="B3" s="1" t="str">
        <f>"Table "&amp;RIGHT('Table 3'!B3,1)+1</f>
        <v>Table 4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4" ht="15.75">
      <c r="B4" s="1" t="s">
        <v>98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4" ht="15.75">
      <c r="B5" s="1" t="str">
        <f>C52</f>
        <v>CCCT (Dry "F" 2x1)  - East Side Resource (4500')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2:14" ht="15.75">
      <c r="B6" s="1"/>
      <c r="C6" s="153"/>
      <c r="D6" s="153"/>
      <c r="E6" s="153"/>
      <c r="F6" s="153"/>
      <c r="G6" s="153"/>
      <c r="H6" s="153"/>
      <c r="I6" s="153"/>
      <c r="K6" s="80"/>
    </row>
    <row r="7" spans="2:14">
      <c r="B7" s="155"/>
      <c r="C7" s="155"/>
      <c r="D7" s="155"/>
      <c r="E7" s="155"/>
      <c r="F7" s="155"/>
      <c r="G7" s="155"/>
      <c r="H7" s="155"/>
      <c r="I7" s="153"/>
      <c r="J7" s="156"/>
      <c r="K7" s="156"/>
      <c r="L7" s="156"/>
      <c r="M7" s="156"/>
      <c r="N7" s="156"/>
    </row>
    <row r="8" spans="2:14" ht="51.75" customHeight="1">
      <c r="B8" s="81" t="s">
        <v>0</v>
      </c>
      <c r="C8" s="82" t="s">
        <v>11</v>
      </c>
      <c r="D8" s="82" t="s">
        <v>12</v>
      </c>
      <c r="E8" s="82" t="s">
        <v>13</v>
      </c>
      <c r="F8" s="82" t="s">
        <v>14</v>
      </c>
      <c r="G8" s="82" t="s">
        <v>15</v>
      </c>
      <c r="H8" s="82" t="s">
        <v>16</v>
      </c>
      <c r="I8" s="83" t="s">
        <v>42</v>
      </c>
      <c r="J8" s="83" t="s">
        <v>89</v>
      </c>
      <c r="K8" s="82" t="s">
        <v>90</v>
      </c>
      <c r="L8" s="156"/>
    </row>
    <row r="9" spans="2:14" ht="18.75" customHeight="1">
      <c r="B9" s="84"/>
      <c r="C9" s="85" t="s">
        <v>9</v>
      </c>
      <c r="D9" s="86" t="s">
        <v>10</v>
      </c>
      <c r="E9" s="86" t="s">
        <v>10</v>
      </c>
      <c r="F9" s="85" t="s">
        <v>63</v>
      </c>
      <c r="G9" s="86" t="s">
        <v>10</v>
      </c>
      <c r="H9" s="86" t="s">
        <v>10</v>
      </c>
      <c r="I9" s="86" t="s">
        <v>43</v>
      </c>
      <c r="J9" s="85" t="s">
        <v>63</v>
      </c>
      <c r="K9" s="85" t="s">
        <v>63</v>
      </c>
      <c r="L9" s="156"/>
    </row>
    <row r="10" spans="2:14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8</v>
      </c>
      <c r="I10" s="2" t="s">
        <v>44</v>
      </c>
      <c r="J10" s="2" t="s">
        <v>45</v>
      </c>
      <c r="K10" s="2" t="s">
        <v>54</v>
      </c>
    </row>
    <row r="11" spans="2:14" ht="6" customHeight="1"/>
    <row r="12" spans="2:14" ht="15.75">
      <c r="B12" s="137" t="str">
        <f>C52</f>
        <v>CCCT (Dry "F" 2x1)  - East Side Resource (4500')</v>
      </c>
      <c r="C12" s="156"/>
      <c r="E12" s="156"/>
      <c r="F12" s="156"/>
      <c r="G12" s="156"/>
      <c r="H12" s="156"/>
      <c r="I12" s="155"/>
      <c r="J12" s="155"/>
      <c r="K12" s="155"/>
      <c r="L12" s="156"/>
    </row>
    <row r="13" spans="2:14" ht="4.5" customHeight="1">
      <c r="B13" s="157"/>
      <c r="C13" s="158"/>
      <c r="D13" s="159"/>
      <c r="E13" s="160"/>
      <c r="F13" s="160"/>
      <c r="G13" s="161"/>
      <c r="H13" s="161"/>
      <c r="I13" s="161"/>
      <c r="J13" s="161"/>
      <c r="K13" s="161"/>
    </row>
    <row r="14" spans="2:14">
      <c r="B14" s="157">
        <v>2010</v>
      </c>
      <c r="C14" s="158">
        <f>$H$58</f>
        <v>1024</v>
      </c>
      <c r="D14" s="159">
        <f>ROUND(C14*$C$74,2)</f>
        <v>83.97</v>
      </c>
      <c r="E14" s="160">
        <f>$I$58</f>
        <v>25.14</v>
      </c>
      <c r="F14" s="160">
        <f>$J$63</f>
        <v>3.82</v>
      </c>
      <c r="G14" s="161">
        <f>ROUND(F14*(8.76*$G$63)+E14,2)</f>
        <v>41.97</v>
      </c>
      <c r="H14" s="161">
        <f>ROUND(D14+G14,2)</f>
        <v>125.94</v>
      </c>
      <c r="I14" s="161"/>
      <c r="J14" s="161"/>
      <c r="K14" s="161"/>
    </row>
    <row r="15" spans="2:14">
      <c r="B15" s="157">
        <f t="shared" ref="B15:B40" si="0">B14+1</f>
        <v>2011</v>
      </c>
      <c r="C15" s="162"/>
      <c r="D15" s="159">
        <f>ROUND(D14*(1+$D82),2)</f>
        <v>85.9</v>
      </c>
      <c r="E15" s="159">
        <f t="shared" ref="E15:F22" si="1">ROUND(E14*(1+$D82),2)</f>
        <v>25.72</v>
      </c>
      <c r="F15" s="159">
        <f t="shared" si="1"/>
        <v>3.91</v>
      </c>
      <c r="G15" s="163">
        <f t="shared" ref="G15:G40" si="2">ROUND(F15*(8.76*$G$63)+E15,2)</f>
        <v>42.95</v>
      </c>
      <c r="H15" s="163">
        <f t="shared" ref="H15:H40" si="3">ROUND(D15+G15,2)</f>
        <v>128.85</v>
      </c>
      <c r="I15" s="161"/>
      <c r="J15" s="161"/>
      <c r="K15" s="161"/>
    </row>
    <row r="16" spans="2:14">
      <c r="B16" s="157">
        <f t="shared" si="0"/>
        <v>2012</v>
      </c>
      <c r="C16" s="162"/>
      <c r="D16" s="159">
        <f t="shared" ref="D16:D22" si="4">ROUND(D15*(1+$D83),2)</f>
        <v>87.19</v>
      </c>
      <c r="E16" s="159">
        <f t="shared" si="1"/>
        <v>26.11</v>
      </c>
      <c r="F16" s="159">
        <f t="shared" si="1"/>
        <v>3.97</v>
      </c>
      <c r="G16" s="161">
        <f t="shared" si="2"/>
        <v>43.6</v>
      </c>
      <c r="H16" s="161">
        <f t="shared" si="3"/>
        <v>130.79</v>
      </c>
      <c r="I16" s="161"/>
      <c r="J16" s="161"/>
      <c r="K16" s="161"/>
    </row>
    <row r="17" spans="2:11">
      <c r="B17" s="157">
        <f t="shared" si="0"/>
        <v>2013</v>
      </c>
      <c r="C17" s="162"/>
      <c r="D17" s="163">
        <f t="shared" si="4"/>
        <v>88.76</v>
      </c>
      <c r="E17" s="163">
        <f t="shared" si="1"/>
        <v>26.58</v>
      </c>
      <c r="F17" s="163">
        <f t="shared" si="1"/>
        <v>4.04</v>
      </c>
      <c r="G17" s="161">
        <f t="shared" si="2"/>
        <v>44.38</v>
      </c>
      <c r="H17" s="161">
        <f t="shared" si="3"/>
        <v>133.13999999999999</v>
      </c>
      <c r="I17" s="161"/>
      <c r="J17" s="161"/>
      <c r="K17" s="161"/>
    </row>
    <row r="18" spans="2:11">
      <c r="B18" s="157">
        <f>B17+1</f>
        <v>2014</v>
      </c>
      <c r="C18" s="162"/>
      <c r="D18" s="163">
        <f t="shared" si="4"/>
        <v>90.45</v>
      </c>
      <c r="E18" s="163">
        <f t="shared" si="1"/>
        <v>27.09</v>
      </c>
      <c r="F18" s="163">
        <f t="shared" si="1"/>
        <v>4.12</v>
      </c>
      <c r="G18" s="161">
        <f t="shared" si="2"/>
        <v>45.24</v>
      </c>
      <c r="H18" s="161">
        <f t="shared" si="3"/>
        <v>135.69</v>
      </c>
      <c r="I18" s="161"/>
      <c r="J18" s="161"/>
      <c r="K18" s="161"/>
    </row>
    <row r="19" spans="2:11" ht="13.5" thickBot="1">
      <c r="B19" s="164">
        <f t="shared" si="0"/>
        <v>2015</v>
      </c>
      <c r="C19" s="165"/>
      <c r="D19" s="166">
        <f t="shared" si="4"/>
        <v>92.26</v>
      </c>
      <c r="E19" s="167">
        <f t="shared" si="1"/>
        <v>27.63</v>
      </c>
      <c r="F19" s="167">
        <f t="shared" si="1"/>
        <v>4.2</v>
      </c>
      <c r="G19" s="166">
        <f t="shared" si="2"/>
        <v>46.14</v>
      </c>
      <c r="H19" s="166">
        <f t="shared" si="3"/>
        <v>138.4</v>
      </c>
      <c r="I19" s="166"/>
      <c r="J19" s="166"/>
      <c r="K19" s="166"/>
    </row>
    <row r="20" spans="2:11">
      <c r="B20" s="157">
        <f t="shared" si="0"/>
        <v>2016</v>
      </c>
      <c r="C20" s="162"/>
      <c r="D20" s="161">
        <f t="shared" si="4"/>
        <v>94.01</v>
      </c>
      <c r="E20" s="159">
        <f t="shared" si="1"/>
        <v>28.15</v>
      </c>
      <c r="F20" s="159">
        <f t="shared" si="1"/>
        <v>4.28</v>
      </c>
      <c r="G20" s="161">
        <f t="shared" si="2"/>
        <v>47.01</v>
      </c>
      <c r="H20" s="161">
        <f t="shared" si="3"/>
        <v>141.02000000000001</v>
      </c>
      <c r="I20" s="161">
        <f>VLOOKUP(B20,'Table 5'!$B$12:$C$39,2,FALSE)</f>
        <v>4.2300000000000004</v>
      </c>
      <c r="J20" s="161">
        <f t="shared" ref="J20:J40" si="5">ROUND($K$63*I20/1000,2)</f>
        <v>29.82</v>
      </c>
      <c r="K20" s="161">
        <f t="shared" ref="K20:K40" si="6">ROUND(H20*1000/8760/$G$63+J20,2)</f>
        <v>61.82</v>
      </c>
    </row>
    <row r="21" spans="2:11">
      <c r="B21" s="157">
        <f t="shared" si="0"/>
        <v>2017</v>
      </c>
      <c r="C21" s="162"/>
      <c r="D21" s="161">
        <f t="shared" si="4"/>
        <v>95.8</v>
      </c>
      <c r="E21" s="159">
        <f t="shared" si="1"/>
        <v>28.68</v>
      </c>
      <c r="F21" s="159">
        <f t="shared" si="1"/>
        <v>4.3600000000000003</v>
      </c>
      <c r="G21" s="161">
        <f t="shared" si="2"/>
        <v>47.89</v>
      </c>
      <c r="H21" s="161">
        <f t="shared" si="3"/>
        <v>143.69</v>
      </c>
      <c r="I21" s="161">
        <f>VLOOKUP(B21,'Table 5'!$B$12:$C$39,2,FALSE)</f>
        <v>4.4000000000000004</v>
      </c>
      <c r="J21" s="161">
        <f t="shared" si="5"/>
        <v>31.02</v>
      </c>
      <c r="K21" s="161">
        <f t="shared" si="6"/>
        <v>63.63</v>
      </c>
    </row>
    <row r="22" spans="2:11">
      <c r="B22" s="157">
        <f t="shared" si="0"/>
        <v>2018</v>
      </c>
      <c r="C22" s="162"/>
      <c r="D22" s="161">
        <f t="shared" si="4"/>
        <v>97.62</v>
      </c>
      <c r="E22" s="159">
        <f t="shared" si="1"/>
        <v>29.22</v>
      </c>
      <c r="F22" s="159">
        <f t="shared" si="1"/>
        <v>4.4400000000000004</v>
      </c>
      <c r="G22" s="161">
        <f t="shared" si="2"/>
        <v>48.78</v>
      </c>
      <c r="H22" s="161">
        <f t="shared" si="3"/>
        <v>146.4</v>
      </c>
      <c r="I22" s="161">
        <f>VLOOKUP(B22,'Table 5'!$B$12:$C$39,2,FALSE)</f>
        <v>4.8899999999999997</v>
      </c>
      <c r="J22" s="161">
        <f t="shared" si="5"/>
        <v>34.47</v>
      </c>
      <c r="K22" s="161">
        <f t="shared" si="6"/>
        <v>67.7</v>
      </c>
    </row>
    <row r="23" spans="2:11">
      <c r="B23" s="157">
        <f t="shared" si="0"/>
        <v>2019</v>
      </c>
      <c r="C23" s="162"/>
      <c r="D23" s="161">
        <f t="shared" ref="D23:F31" si="7">ROUND(D22*(1+$G81),2)</f>
        <v>99.38</v>
      </c>
      <c r="E23" s="159">
        <f t="shared" si="7"/>
        <v>29.75</v>
      </c>
      <c r="F23" s="159">
        <f t="shared" si="7"/>
        <v>4.5199999999999996</v>
      </c>
      <c r="G23" s="161">
        <f t="shared" si="2"/>
        <v>49.67</v>
      </c>
      <c r="H23" s="161">
        <f t="shared" si="3"/>
        <v>149.05000000000001</v>
      </c>
      <c r="I23" s="161">
        <f>VLOOKUP(B23,'Table 5'!$B$12:$C$39,2,FALSE)</f>
        <v>5.57</v>
      </c>
      <c r="J23" s="161">
        <f t="shared" si="5"/>
        <v>39.270000000000003</v>
      </c>
      <c r="K23" s="161">
        <f t="shared" si="6"/>
        <v>73.099999999999994</v>
      </c>
    </row>
    <row r="24" spans="2:11">
      <c r="B24" s="157">
        <f t="shared" si="0"/>
        <v>2020</v>
      </c>
      <c r="C24" s="162"/>
      <c r="D24" s="161">
        <f t="shared" si="7"/>
        <v>101.07</v>
      </c>
      <c r="E24" s="159">
        <f t="shared" si="7"/>
        <v>30.26</v>
      </c>
      <c r="F24" s="159">
        <f t="shared" si="7"/>
        <v>4.5999999999999996</v>
      </c>
      <c r="G24" s="161">
        <f t="shared" si="2"/>
        <v>50.53</v>
      </c>
      <c r="H24" s="161">
        <f t="shared" si="3"/>
        <v>151.6</v>
      </c>
      <c r="I24" s="161">
        <f>VLOOKUP(B24,'Table 5'!$B$12:$C$39,2,FALSE)</f>
        <v>5.74</v>
      </c>
      <c r="J24" s="161">
        <f t="shared" si="5"/>
        <v>40.47</v>
      </c>
      <c r="K24" s="161">
        <f t="shared" si="6"/>
        <v>74.88</v>
      </c>
    </row>
    <row r="25" spans="2:11">
      <c r="B25" s="157">
        <f t="shared" si="0"/>
        <v>2021</v>
      </c>
      <c r="C25" s="162"/>
      <c r="D25" s="161">
        <f t="shared" si="7"/>
        <v>102.89</v>
      </c>
      <c r="E25" s="159">
        <f t="shared" si="7"/>
        <v>30.8</v>
      </c>
      <c r="F25" s="159">
        <f t="shared" si="7"/>
        <v>4.68</v>
      </c>
      <c r="G25" s="161">
        <f t="shared" si="2"/>
        <v>51.42</v>
      </c>
      <c r="H25" s="161">
        <f t="shared" si="3"/>
        <v>154.31</v>
      </c>
      <c r="I25" s="161">
        <f>VLOOKUP(B25,'Table 5'!$B$12:$C$39,2,FALSE)</f>
        <v>6.07</v>
      </c>
      <c r="J25" s="161">
        <f t="shared" si="5"/>
        <v>42.79</v>
      </c>
      <c r="K25" s="161">
        <f t="shared" si="6"/>
        <v>77.81</v>
      </c>
    </row>
    <row r="26" spans="2:11">
      <c r="B26" s="157">
        <f t="shared" si="0"/>
        <v>2022</v>
      </c>
      <c r="C26" s="162"/>
      <c r="D26" s="161">
        <f t="shared" si="7"/>
        <v>104.74</v>
      </c>
      <c r="E26" s="159">
        <f t="shared" si="7"/>
        <v>31.35</v>
      </c>
      <c r="F26" s="159">
        <f t="shared" si="7"/>
        <v>4.76</v>
      </c>
      <c r="G26" s="161">
        <f t="shared" si="2"/>
        <v>52.32</v>
      </c>
      <c r="H26" s="161">
        <f t="shared" si="3"/>
        <v>157.06</v>
      </c>
      <c r="I26" s="161">
        <f>VLOOKUP(B26,'Table 5'!$B$12:$C$39,2,FALSE)</f>
        <v>6.67</v>
      </c>
      <c r="J26" s="161">
        <f t="shared" si="5"/>
        <v>47.02</v>
      </c>
      <c r="K26" s="161">
        <f t="shared" si="6"/>
        <v>82.66</v>
      </c>
    </row>
    <row r="27" spans="2:11">
      <c r="B27" s="157">
        <f t="shared" si="0"/>
        <v>2023</v>
      </c>
      <c r="C27" s="162"/>
      <c r="D27" s="161">
        <f t="shared" si="7"/>
        <v>106.63</v>
      </c>
      <c r="E27" s="159">
        <f t="shared" si="7"/>
        <v>31.91</v>
      </c>
      <c r="F27" s="159">
        <f t="shared" si="7"/>
        <v>4.8499999999999996</v>
      </c>
      <c r="G27" s="161">
        <f t="shared" si="2"/>
        <v>53.28</v>
      </c>
      <c r="H27" s="161">
        <f t="shared" si="3"/>
        <v>159.91</v>
      </c>
      <c r="I27" s="161">
        <f>VLOOKUP(B27,'Table 5'!$B$12:$C$39,2,FALSE)</f>
        <v>6.88</v>
      </c>
      <c r="J27" s="161">
        <f t="shared" si="5"/>
        <v>48.5</v>
      </c>
      <c r="K27" s="161">
        <f t="shared" si="6"/>
        <v>84.79</v>
      </c>
    </row>
    <row r="28" spans="2:11">
      <c r="B28" s="157">
        <f t="shared" si="0"/>
        <v>2024</v>
      </c>
      <c r="C28" s="162"/>
      <c r="D28" s="161">
        <f t="shared" si="7"/>
        <v>108.55</v>
      </c>
      <c r="E28" s="159">
        <f t="shared" si="7"/>
        <v>32.479999999999997</v>
      </c>
      <c r="F28" s="159">
        <f t="shared" si="7"/>
        <v>4.9400000000000004</v>
      </c>
      <c r="G28" s="161">
        <f t="shared" si="2"/>
        <v>54.25</v>
      </c>
      <c r="H28" s="161">
        <f t="shared" si="3"/>
        <v>162.80000000000001</v>
      </c>
      <c r="I28" s="161">
        <f>VLOOKUP(B28,'Table 5'!$B$12:$C$39,2,FALSE)</f>
        <v>6.76</v>
      </c>
      <c r="J28" s="161">
        <f t="shared" si="5"/>
        <v>47.66</v>
      </c>
      <c r="K28" s="161">
        <f t="shared" si="6"/>
        <v>84.61</v>
      </c>
    </row>
    <row r="29" spans="2:11">
      <c r="B29" s="157">
        <f t="shared" si="0"/>
        <v>2025</v>
      </c>
      <c r="C29" s="162"/>
      <c r="D29" s="161">
        <f t="shared" si="7"/>
        <v>110.5</v>
      </c>
      <c r="E29" s="159">
        <f t="shared" si="7"/>
        <v>33.06</v>
      </c>
      <c r="F29" s="159">
        <f t="shared" si="7"/>
        <v>5.03</v>
      </c>
      <c r="G29" s="161">
        <f t="shared" si="2"/>
        <v>55.22</v>
      </c>
      <c r="H29" s="161">
        <f t="shared" si="3"/>
        <v>165.72</v>
      </c>
      <c r="I29" s="161">
        <f>VLOOKUP(B29,'Table 5'!$B$12:$C$39,2,FALSE)</f>
        <v>6.95</v>
      </c>
      <c r="J29" s="161">
        <f t="shared" si="5"/>
        <v>49</v>
      </c>
      <c r="K29" s="161">
        <f t="shared" si="6"/>
        <v>86.61</v>
      </c>
    </row>
    <row r="30" spans="2:11">
      <c r="B30" s="157">
        <f t="shared" si="0"/>
        <v>2026</v>
      </c>
      <c r="C30" s="162"/>
      <c r="D30" s="161">
        <f t="shared" si="7"/>
        <v>112.49</v>
      </c>
      <c r="E30" s="159">
        <f t="shared" si="7"/>
        <v>33.659999999999997</v>
      </c>
      <c r="F30" s="159">
        <f t="shared" si="7"/>
        <v>5.12</v>
      </c>
      <c r="G30" s="161">
        <f t="shared" si="2"/>
        <v>56.22</v>
      </c>
      <c r="H30" s="161">
        <f t="shared" si="3"/>
        <v>168.71</v>
      </c>
      <c r="I30" s="161">
        <f>VLOOKUP(B30,'Table 5'!$B$12:$C$39,2,FALSE)</f>
        <v>7.35</v>
      </c>
      <c r="J30" s="161">
        <f t="shared" si="5"/>
        <v>51.82</v>
      </c>
      <c r="K30" s="161">
        <f t="shared" si="6"/>
        <v>90.11</v>
      </c>
    </row>
    <row r="31" spans="2:11">
      <c r="B31" s="157">
        <f t="shared" si="0"/>
        <v>2027</v>
      </c>
      <c r="C31" s="162"/>
      <c r="D31" s="161">
        <f t="shared" si="7"/>
        <v>114.63</v>
      </c>
      <c r="E31" s="159">
        <f t="shared" si="7"/>
        <v>34.299999999999997</v>
      </c>
      <c r="F31" s="159">
        <f t="shared" si="7"/>
        <v>5.22</v>
      </c>
      <c r="G31" s="161">
        <f t="shared" si="2"/>
        <v>57.3</v>
      </c>
      <c r="H31" s="161">
        <f t="shared" si="3"/>
        <v>171.93</v>
      </c>
      <c r="I31" s="161">
        <f>VLOOKUP(B31,'Table 5'!$B$12:$C$39,2,FALSE)</f>
        <v>7.61</v>
      </c>
      <c r="J31" s="161">
        <f t="shared" si="5"/>
        <v>53.65</v>
      </c>
      <c r="K31" s="161">
        <f t="shared" si="6"/>
        <v>92.67</v>
      </c>
    </row>
    <row r="32" spans="2:11">
      <c r="B32" s="157">
        <f t="shared" si="0"/>
        <v>2028</v>
      </c>
      <c r="C32" s="162"/>
      <c r="D32" s="161">
        <f t="shared" ref="D32:F40" si="8">ROUND(D31*(1+$J81),2)</f>
        <v>116.81</v>
      </c>
      <c r="E32" s="159">
        <f t="shared" si="8"/>
        <v>34.950000000000003</v>
      </c>
      <c r="F32" s="159">
        <f t="shared" si="8"/>
        <v>5.32</v>
      </c>
      <c r="G32" s="161">
        <f t="shared" si="2"/>
        <v>58.39</v>
      </c>
      <c r="H32" s="161">
        <f t="shared" si="3"/>
        <v>175.2</v>
      </c>
      <c r="I32" s="161">
        <f>VLOOKUP(B32,'Table 5'!$B$12:$C$39,2,FALSE)</f>
        <v>7.77</v>
      </c>
      <c r="J32" s="161">
        <f t="shared" si="5"/>
        <v>54.78</v>
      </c>
      <c r="K32" s="161">
        <f t="shared" si="6"/>
        <v>94.54</v>
      </c>
    </row>
    <row r="33" spans="2:15">
      <c r="B33" s="157">
        <f t="shared" si="0"/>
        <v>2029</v>
      </c>
      <c r="C33" s="162"/>
      <c r="D33" s="161">
        <f t="shared" si="8"/>
        <v>119.03</v>
      </c>
      <c r="E33" s="159">
        <f t="shared" si="8"/>
        <v>35.61</v>
      </c>
      <c r="F33" s="159">
        <f t="shared" si="8"/>
        <v>5.42</v>
      </c>
      <c r="G33" s="161">
        <f t="shared" si="2"/>
        <v>59.49</v>
      </c>
      <c r="H33" s="161">
        <f t="shared" si="3"/>
        <v>178.52</v>
      </c>
      <c r="I33" s="161">
        <f>VLOOKUP(B33,'Table 5'!$B$12:$C$39,2,FALSE)</f>
        <v>7.89</v>
      </c>
      <c r="J33" s="161">
        <f t="shared" si="5"/>
        <v>55.62</v>
      </c>
      <c r="K33" s="161">
        <f t="shared" si="6"/>
        <v>96.13</v>
      </c>
    </row>
    <row r="34" spans="2:15">
      <c r="B34" s="157">
        <f t="shared" si="0"/>
        <v>2030</v>
      </c>
      <c r="C34" s="162"/>
      <c r="D34" s="161">
        <f t="shared" si="8"/>
        <v>121.29</v>
      </c>
      <c r="E34" s="159">
        <f t="shared" si="8"/>
        <v>36.29</v>
      </c>
      <c r="F34" s="159">
        <f t="shared" si="8"/>
        <v>5.52</v>
      </c>
      <c r="G34" s="161">
        <f t="shared" si="2"/>
        <v>60.61</v>
      </c>
      <c r="H34" s="161">
        <f t="shared" si="3"/>
        <v>181.9</v>
      </c>
      <c r="I34" s="161">
        <f>VLOOKUP(B34,'Table 5'!$B$12:$C$39,2,FALSE)</f>
        <v>7.93</v>
      </c>
      <c r="J34" s="161">
        <f t="shared" si="5"/>
        <v>55.91</v>
      </c>
      <c r="K34" s="161">
        <f t="shared" si="6"/>
        <v>97.19</v>
      </c>
    </row>
    <row r="35" spans="2:15">
      <c r="B35" s="157">
        <f t="shared" si="0"/>
        <v>2031</v>
      </c>
      <c r="C35" s="162"/>
      <c r="D35" s="161">
        <f t="shared" si="8"/>
        <v>123.72</v>
      </c>
      <c r="E35" s="159">
        <f t="shared" si="8"/>
        <v>37.020000000000003</v>
      </c>
      <c r="F35" s="159">
        <f t="shared" si="8"/>
        <v>5.63</v>
      </c>
      <c r="G35" s="161">
        <f t="shared" si="2"/>
        <v>61.83</v>
      </c>
      <c r="H35" s="161">
        <f t="shared" si="3"/>
        <v>185.55</v>
      </c>
      <c r="I35" s="161">
        <f>VLOOKUP(B35,'Table 5'!$B$12:$C$39,2,FALSE)</f>
        <v>8.11</v>
      </c>
      <c r="J35" s="161">
        <f t="shared" si="5"/>
        <v>57.18</v>
      </c>
      <c r="K35" s="161">
        <f t="shared" si="6"/>
        <v>99.29</v>
      </c>
    </row>
    <row r="36" spans="2:15">
      <c r="B36" s="157">
        <f t="shared" si="0"/>
        <v>2032</v>
      </c>
      <c r="C36" s="162"/>
      <c r="D36" s="161">
        <f t="shared" si="8"/>
        <v>126.07</v>
      </c>
      <c r="E36" s="159">
        <f t="shared" si="8"/>
        <v>37.72</v>
      </c>
      <c r="F36" s="159">
        <f t="shared" si="8"/>
        <v>5.74</v>
      </c>
      <c r="G36" s="161">
        <f t="shared" si="2"/>
        <v>63.01</v>
      </c>
      <c r="H36" s="161">
        <f t="shared" si="3"/>
        <v>189.08</v>
      </c>
      <c r="I36" s="161">
        <f>VLOOKUP(B36,'Table 5'!$B$12:$C$39,2,FALSE)</f>
        <v>8.27</v>
      </c>
      <c r="J36" s="161">
        <f t="shared" si="5"/>
        <v>58.3</v>
      </c>
      <c r="K36" s="161">
        <f t="shared" si="6"/>
        <v>101.21</v>
      </c>
    </row>
    <row r="37" spans="2:15">
      <c r="B37" s="157">
        <f t="shared" si="0"/>
        <v>2033</v>
      </c>
      <c r="C37" s="162"/>
      <c r="D37" s="161">
        <f t="shared" si="8"/>
        <v>128.47</v>
      </c>
      <c r="E37" s="159">
        <f t="shared" si="8"/>
        <v>38.44</v>
      </c>
      <c r="F37" s="159">
        <f t="shared" si="8"/>
        <v>5.85</v>
      </c>
      <c r="G37" s="161">
        <f t="shared" si="2"/>
        <v>64.22</v>
      </c>
      <c r="H37" s="161">
        <f t="shared" si="3"/>
        <v>192.69</v>
      </c>
      <c r="I37" s="161">
        <f>VLOOKUP(B37,'Table 5'!$B$12:$C$39,2,FALSE)</f>
        <v>8.43</v>
      </c>
      <c r="J37" s="161">
        <f t="shared" si="5"/>
        <v>59.43</v>
      </c>
      <c r="K37" s="161">
        <f t="shared" si="6"/>
        <v>103.16</v>
      </c>
    </row>
    <row r="38" spans="2:15">
      <c r="B38" s="157">
        <f t="shared" si="0"/>
        <v>2034</v>
      </c>
      <c r="C38" s="162"/>
      <c r="D38" s="161">
        <f t="shared" si="8"/>
        <v>131.04</v>
      </c>
      <c r="E38" s="159">
        <f t="shared" si="8"/>
        <v>39.21</v>
      </c>
      <c r="F38" s="159">
        <f t="shared" si="8"/>
        <v>5.97</v>
      </c>
      <c r="G38" s="161">
        <f t="shared" si="2"/>
        <v>65.52</v>
      </c>
      <c r="H38" s="161">
        <f t="shared" si="3"/>
        <v>196.56</v>
      </c>
      <c r="I38" s="161">
        <f>VLOOKUP(B38,'Table 5'!$B$12:$C$39,2,FALSE)</f>
        <v>8.59</v>
      </c>
      <c r="J38" s="161">
        <f t="shared" si="5"/>
        <v>60.56</v>
      </c>
      <c r="K38" s="161">
        <f t="shared" si="6"/>
        <v>105.17</v>
      </c>
    </row>
    <row r="39" spans="2:15">
      <c r="B39" s="157">
        <f t="shared" si="0"/>
        <v>2035</v>
      </c>
      <c r="C39" s="162"/>
      <c r="D39" s="161">
        <f t="shared" si="8"/>
        <v>133.53</v>
      </c>
      <c r="E39" s="159">
        <f t="shared" si="8"/>
        <v>39.950000000000003</v>
      </c>
      <c r="F39" s="159">
        <f t="shared" si="8"/>
        <v>6.08</v>
      </c>
      <c r="G39" s="161">
        <f t="shared" si="2"/>
        <v>66.739999999999995</v>
      </c>
      <c r="H39" s="161">
        <f t="shared" si="3"/>
        <v>200.27</v>
      </c>
      <c r="I39" s="161">
        <f>VLOOKUP(B39,'Table 5'!$B$12:$C$39,2,FALSE)</f>
        <v>8.76</v>
      </c>
      <c r="J39" s="161">
        <f t="shared" si="5"/>
        <v>61.76</v>
      </c>
      <c r="K39" s="161">
        <f t="shared" si="6"/>
        <v>107.21</v>
      </c>
    </row>
    <row r="40" spans="2:15">
      <c r="B40" s="157">
        <f t="shared" si="0"/>
        <v>2036</v>
      </c>
      <c r="C40" s="162"/>
      <c r="D40" s="161">
        <f t="shared" si="8"/>
        <v>136.07</v>
      </c>
      <c r="E40" s="159">
        <f t="shared" si="8"/>
        <v>40.71</v>
      </c>
      <c r="F40" s="159">
        <f t="shared" si="8"/>
        <v>6.2</v>
      </c>
      <c r="G40" s="161">
        <f t="shared" si="2"/>
        <v>68.03</v>
      </c>
      <c r="H40" s="161">
        <f t="shared" si="3"/>
        <v>204.1</v>
      </c>
      <c r="I40" s="161">
        <f>VLOOKUP(B40,'Table 5'!$B$12:$C$39,2,FALSE)</f>
        <v>8.92</v>
      </c>
      <c r="J40" s="161">
        <f t="shared" si="5"/>
        <v>62.89</v>
      </c>
      <c r="K40" s="161">
        <f t="shared" si="6"/>
        <v>109.21</v>
      </c>
    </row>
    <row r="41" spans="2:15">
      <c r="M41" s="157"/>
      <c r="O41" s="168"/>
    </row>
    <row r="42" spans="2:15" ht="14.25">
      <c r="B42" s="7" t="s">
        <v>55</v>
      </c>
      <c r="C42" s="87"/>
      <c r="D42" s="87"/>
      <c r="E42" s="87"/>
      <c r="F42" s="87"/>
      <c r="G42" s="87"/>
      <c r="H42" s="87"/>
      <c r="I42" s="87"/>
      <c r="J42" s="87"/>
      <c r="K42" s="87"/>
      <c r="M42" s="157"/>
      <c r="N42" s="168"/>
      <c r="O42" s="168"/>
    </row>
    <row r="44" spans="2:15">
      <c r="B44" s="154" t="s">
        <v>31</v>
      </c>
      <c r="D44" s="169" t="s">
        <v>99</v>
      </c>
    </row>
    <row r="45" spans="2:15">
      <c r="C45" s="170" t="str">
        <f>D10</f>
        <v>(b)</v>
      </c>
      <c r="D45" s="161" t="str">
        <f>"= "&amp;C10&amp;" x "&amp;C74</f>
        <v>= (a) x 0.082</v>
      </c>
    </row>
    <row r="46" spans="2:15">
      <c r="C46" s="170" t="str">
        <f>G10</f>
        <v>(e)</v>
      </c>
      <c r="D46" s="161" t="str">
        <f>"= "&amp;$F$10&amp;" x  (8.76 x "&amp;TEXT(G63,"0.0%")&amp;") + "&amp;$E$10</f>
        <v>= (d) x  (8.76 x 50.3%) + (c)</v>
      </c>
    </row>
    <row r="47" spans="2:15">
      <c r="C47" s="170" t="str">
        <f>H10</f>
        <v>(f)</v>
      </c>
      <c r="D47" s="161" t="str">
        <f>"= "&amp;D10&amp;" + "&amp;G10</f>
        <v>= (b) + (e)</v>
      </c>
    </row>
    <row r="48" spans="2:15">
      <c r="C48" s="170" t="str">
        <f>I10</f>
        <v>(g)</v>
      </c>
      <c r="D48" s="171" t="str">
        <f>'Table 5'!B3&amp;" - "&amp;'Table 5'!B4</f>
        <v>Table 5 - Burnertip Natural Gas Price Forecast</v>
      </c>
    </row>
    <row r="49" spans="3:11">
      <c r="C49" s="170" t="str">
        <f>J10</f>
        <v>(h)</v>
      </c>
      <c r="D49" s="161" t="str">
        <f>"= "&amp;K63&amp;" x "&amp;I10&amp;" / 1000"</f>
        <v>= 7050 x (g) / 1000</v>
      </c>
    </row>
    <row r="50" spans="3:11">
      <c r="C50" s="170" t="str">
        <f>K10</f>
        <v>(i)</v>
      </c>
      <c r="D50" s="172" t="str">
        <f>"= "&amp;H10&amp;" / (8.76 x 'Capacity Factor' ) + "&amp;J10</f>
        <v>= (f) / (8.76 x 'Capacity Factor' ) + (h)</v>
      </c>
    </row>
    <row r="51" spans="3:11" ht="13.5" thickBot="1"/>
    <row r="52" spans="3:11" ht="13.5" thickBot="1">
      <c r="C52" s="135" t="s">
        <v>91</v>
      </c>
      <c r="D52" s="132"/>
      <c r="E52" s="132"/>
      <c r="F52" s="132"/>
      <c r="G52" s="132"/>
      <c r="H52" s="132"/>
      <c r="I52" s="132"/>
      <c r="J52" s="133"/>
      <c r="K52" s="173"/>
    </row>
    <row r="53" spans="3:11" ht="5.25" customHeight="1"/>
    <row r="54" spans="3:11" ht="5.25" customHeight="1"/>
    <row r="55" spans="3:11">
      <c r="C55" s="116" t="s">
        <v>65</v>
      </c>
      <c r="D55" s="95"/>
      <c r="E55" s="116"/>
      <c r="F55" s="115" t="s">
        <v>66</v>
      </c>
      <c r="G55" s="115" t="s">
        <v>67</v>
      </c>
      <c r="H55" s="115" t="s">
        <v>68</v>
      </c>
      <c r="I55" s="115" t="s">
        <v>69</v>
      </c>
    </row>
    <row r="56" spans="3:11">
      <c r="C56" s="154" t="s">
        <v>96</v>
      </c>
      <c r="F56" s="174">
        <f>C67</f>
        <v>512</v>
      </c>
      <c r="G56" s="134">
        <f>F56/F58</f>
        <v>0.85762144053601341</v>
      </c>
      <c r="H56" s="175">
        <f>C68</f>
        <v>1104.467075257872</v>
      </c>
      <c r="I56" s="176">
        <f>C71</f>
        <v>25.890063458818243</v>
      </c>
    </row>
    <row r="57" spans="3:11">
      <c r="C57" s="154" t="s">
        <v>97</v>
      </c>
      <c r="F57" s="122">
        <f>D67</f>
        <v>85</v>
      </c>
      <c r="G57" s="118">
        <f>1-G56</f>
        <v>0.14237855946398659</v>
      </c>
      <c r="H57" s="123">
        <f>D68</f>
        <v>538.38742035331188</v>
      </c>
      <c r="I57" s="124">
        <f>D71</f>
        <v>20.63911714304</v>
      </c>
    </row>
    <row r="58" spans="3:11">
      <c r="C58" s="154" t="s">
        <v>70</v>
      </c>
      <c r="F58" s="174">
        <f>F56+F57</f>
        <v>597</v>
      </c>
      <c r="G58" s="134">
        <f>G56+G57</f>
        <v>1</v>
      </c>
      <c r="H58" s="175">
        <f>ROUND(((F56*H56)+(F57*H57))/F58,0)</f>
        <v>1024</v>
      </c>
      <c r="I58" s="176">
        <f>ROUND(((F56*I56)+(F57*I57))/F58,2)</f>
        <v>25.14</v>
      </c>
    </row>
    <row r="59" spans="3:11">
      <c r="F59" s="174"/>
      <c r="G59" s="134"/>
      <c r="H59" s="175"/>
      <c r="I59" s="176"/>
    </row>
    <row r="60" spans="3:11">
      <c r="C60" s="116" t="s">
        <v>65</v>
      </c>
      <c r="D60" s="95"/>
      <c r="E60" s="116"/>
      <c r="F60" s="115" t="s">
        <v>66</v>
      </c>
      <c r="G60" s="115" t="s">
        <v>71</v>
      </c>
      <c r="H60" s="115" t="s">
        <v>72</v>
      </c>
      <c r="I60" s="115" t="s">
        <v>67</v>
      </c>
      <c r="J60" s="115" t="s">
        <v>73</v>
      </c>
      <c r="K60" s="115" t="s">
        <v>74</v>
      </c>
    </row>
    <row r="61" spans="3:11">
      <c r="C61" s="177" t="s">
        <v>96</v>
      </c>
      <c r="D61" s="177"/>
      <c r="E61" s="177"/>
      <c r="F61" s="154">
        <f>C67</f>
        <v>512</v>
      </c>
      <c r="G61" s="134">
        <f>C75</f>
        <v>0.56000000000000005</v>
      </c>
      <c r="H61" s="154">
        <f>G61*F61</f>
        <v>286.72000000000003</v>
      </c>
      <c r="I61" s="134">
        <f>H61/H63</f>
        <v>0.95471497069792211</v>
      </c>
      <c r="J61" s="176">
        <f>C72</f>
        <v>3.9723234711277247</v>
      </c>
      <c r="K61" s="178">
        <f>C73</f>
        <v>6963.2015297579301</v>
      </c>
    </row>
    <row r="62" spans="3:11">
      <c r="C62" s="177" t="s">
        <v>97</v>
      </c>
      <c r="D62" s="177"/>
      <c r="E62" s="177"/>
      <c r="F62" s="117">
        <f>D67</f>
        <v>85</v>
      </c>
      <c r="G62" s="118">
        <f>D75</f>
        <v>0.16</v>
      </c>
      <c r="H62" s="117">
        <f>G62*F62</f>
        <v>13.6</v>
      </c>
      <c r="I62" s="118">
        <f>1-I61</f>
        <v>4.5285029302077895E-2</v>
      </c>
      <c r="J62" s="119">
        <f>D72</f>
        <v>0.55000000000000004</v>
      </c>
      <c r="K62" s="120">
        <f>D73</f>
        <v>8934.0698045493282</v>
      </c>
    </row>
    <row r="63" spans="3:11">
      <c r="C63" s="154" t="s">
        <v>75</v>
      </c>
      <c r="F63" s="154">
        <f>F61+F62</f>
        <v>597</v>
      </c>
      <c r="G63" s="179">
        <f>ROUND(H63/F63,3)</f>
        <v>0.503</v>
      </c>
      <c r="H63" s="154">
        <f>SUM(H61:H62)</f>
        <v>300.32000000000005</v>
      </c>
      <c r="I63" s="134">
        <f>I61+I62</f>
        <v>1</v>
      </c>
      <c r="J63" s="176">
        <f>ROUND(($I61*J61)+($I62*J62),2)</f>
        <v>3.82</v>
      </c>
      <c r="K63" s="180">
        <f>ROUND(($I61*K61)+($I62*K62),-1)</f>
        <v>7050</v>
      </c>
    </row>
    <row r="64" spans="3:11">
      <c r="G64" s="179"/>
      <c r="I64" s="134"/>
      <c r="J64" s="176"/>
      <c r="K64" s="121" t="s">
        <v>76</v>
      </c>
    </row>
    <row r="66" spans="3:11">
      <c r="C66" s="115" t="s">
        <v>58</v>
      </c>
      <c r="D66" s="115" t="s">
        <v>59</v>
      </c>
      <c r="E66" s="136" t="str">
        <f>D44</f>
        <v>Plant Costs  - 2011 IRP Update - [as modeled by PAR]</v>
      </c>
      <c r="F66" s="181"/>
      <c r="G66" s="181"/>
      <c r="H66" s="181"/>
      <c r="I66" s="181"/>
      <c r="J66" s="181"/>
      <c r="K66" s="182"/>
    </row>
    <row r="67" spans="3:11">
      <c r="C67" s="154">
        <v>512</v>
      </c>
      <c r="D67" s="154">
        <v>85</v>
      </c>
      <c r="E67" s="154" t="s">
        <v>79</v>
      </c>
      <c r="H67" s="183"/>
    </row>
    <row r="68" spans="3:11">
      <c r="C68" s="175">
        <v>1104.467075257872</v>
      </c>
      <c r="D68" s="175">
        <v>538.38742035331188</v>
      </c>
      <c r="E68" s="154" t="s">
        <v>83</v>
      </c>
    </row>
    <row r="69" spans="3:11">
      <c r="C69" s="176">
        <v>10.193995329538243</v>
      </c>
      <c r="D69" s="176">
        <v>0.5</v>
      </c>
      <c r="E69" s="154" t="s">
        <v>100</v>
      </c>
    </row>
    <row r="70" spans="3:11">
      <c r="C70" s="124">
        <v>15.69606812928</v>
      </c>
      <c r="D70" s="124">
        <v>20.13911714304</v>
      </c>
      <c r="E70" s="154" t="s">
        <v>101</v>
      </c>
    </row>
    <row r="71" spans="3:11">
      <c r="C71" s="176">
        <v>25.890063458818243</v>
      </c>
      <c r="D71" s="176">
        <v>20.63911714304</v>
      </c>
      <c r="E71" s="154" t="s">
        <v>102</v>
      </c>
    </row>
    <row r="72" spans="3:11">
      <c r="C72" s="176">
        <v>3.9723234711277247</v>
      </c>
      <c r="D72" s="176">
        <v>0.55000000000000004</v>
      </c>
      <c r="E72" s="154" t="s">
        <v>93</v>
      </c>
    </row>
    <row r="73" spans="3:11">
      <c r="C73" s="180">
        <v>6963.2015297579301</v>
      </c>
      <c r="D73" s="180">
        <v>8934.0698045493282</v>
      </c>
      <c r="E73" s="154" t="s">
        <v>80</v>
      </c>
    </row>
    <row r="74" spans="3:11">
      <c r="C74" s="184">
        <v>8.2000000000000003E-2</v>
      </c>
      <c r="D74" s="184">
        <f>C74</f>
        <v>8.2000000000000003E-2</v>
      </c>
      <c r="E74" s="154" t="s">
        <v>81</v>
      </c>
    </row>
    <row r="75" spans="3:11">
      <c r="C75" s="185">
        <v>0.56000000000000005</v>
      </c>
      <c r="D75" s="185">
        <v>0.16</v>
      </c>
      <c r="E75" s="154" t="s">
        <v>82</v>
      </c>
    </row>
    <row r="76" spans="3:11">
      <c r="D76" s="134">
        <f>ROUND(H63/F63,3)</f>
        <v>0.503</v>
      </c>
      <c r="E76" s="154" t="s">
        <v>84</v>
      </c>
    </row>
    <row r="77" spans="3:11">
      <c r="D77" s="179">
        <f>MIN(1,ROUND(D76/0.57,3))</f>
        <v>0.88200000000000001</v>
      </c>
      <c r="E77" s="147" t="str">
        <f>"  Capacity Factor - On-peak     "&amp;TEXT(D76,"0.0%")&amp;" / 57% (percent of hours on-peak) "</f>
        <v xml:space="preserve">  Capacity Factor - On-peak     50.3% / 57% (percent of hours on-peak) </v>
      </c>
    </row>
    <row r="78" spans="3:11">
      <c r="C78" s="185"/>
      <c r="D78" s="185"/>
    </row>
    <row r="79" spans="3:11" ht="13.5" thickBot="1"/>
    <row r="80" spans="3:11" ht="13.5" thickBot="1">
      <c r="C80" s="131" t="s">
        <v>113</v>
      </c>
      <c r="D80" s="132"/>
      <c r="E80" s="132"/>
      <c r="F80" s="132"/>
      <c r="G80" s="132"/>
      <c r="H80" s="132"/>
      <c r="I80" s="132"/>
      <c r="J80" s="133"/>
      <c r="K80" s="173"/>
    </row>
    <row r="81" spans="3:15">
      <c r="C81" s="186">
        <v>2010</v>
      </c>
      <c r="D81" s="134">
        <v>1.2999999999999999E-2</v>
      </c>
      <c r="F81" s="186">
        <f>C89+1</f>
        <v>2019</v>
      </c>
      <c r="G81" s="134">
        <v>1.7999999999999999E-2</v>
      </c>
      <c r="I81" s="186">
        <f>F89+1</f>
        <v>2028</v>
      </c>
      <c r="J81" s="134">
        <v>1.9E-2</v>
      </c>
    </row>
    <row r="82" spans="3:15">
      <c r="C82" s="186">
        <f>C81+1</f>
        <v>2011</v>
      </c>
      <c r="D82" s="134">
        <v>2.3E-2</v>
      </c>
      <c r="F82" s="186">
        <f t="shared" ref="F82:F89" si="9">F81+1</f>
        <v>2020</v>
      </c>
      <c r="G82" s="134">
        <v>1.7000000000000001E-2</v>
      </c>
      <c r="I82" s="186">
        <f t="shared" ref="I82:I89" si="10">I81+1</f>
        <v>2029</v>
      </c>
      <c r="J82" s="134">
        <v>1.9E-2</v>
      </c>
    </row>
    <row r="83" spans="3:15">
      <c r="C83" s="186">
        <f t="shared" ref="C83:C89" si="11">C82+1</f>
        <v>2012</v>
      </c>
      <c r="D83" s="134">
        <v>1.4999999999999999E-2</v>
      </c>
      <c r="F83" s="186">
        <f t="shared" si="9"/>
        <v>2021</v>
      </c>
      <c r="G83" s="134">
        <v>1.7999999999999999E-2</v>
      </c>
      <c r="I83" s="186">
        <f t="shared" si="10"/>
        <v>2030</v>
      </c>
      <c r="J83" s="134">
        <v>1.9E-2</v>
      </c>
    </row>
    <row r="84" spans="3:15">
      <c r="C84" s="186">
        <f t="shared" si="11"/>
        <v>2013</v>
      </c>
      <c r="D84" s="134">
        <v>1.7999999999999999E-2</v>
      </c>
      <c r="F84" s="186">
        <f t="shared" si="9"/>
        <v>2022</v>
      </c>
      <c r="G84" s="134">
        <v>1.7999999999999999E-2</v>
      </c>
      <c r="I84" s="186">
        <f t="shared" si="10"/>
        <v>2031</v>
      </c>
      <c r="J84" s="134">
        <v>0.02</v>
      </c>
    </row>
    <row r="85" spans="3:15">
      <c r="C85" s="186">
        <f t="shared" si="11"/>
        <v>2014</v>
      </c>
      <c r="D85" s="134">
        <v>1.9E-2</v>
      </c>
      <c r="F85" s="186">
        <f t="shared" si="9"/>
        <v>2023</v>
      </c>
      <c r="G85" s="134">
        <v>1.7999999999999999E-2</v>
      </c>
      <c r="I85" s="186">
        <f t="shared" si="10"/>
        <v>2032</v>
      </c>
      <c r="J85" s="134">
        <v>1.9E-2</v>
      </c>
    </row>
    <row r="86" spans="3:15">
      <c r="C86" s="186">
        <f t="shared" si="11"/>
        <v>2015</v>
      </c>
      <c r="D86" s="134">
        <v>0.02</v>
      </c>
      <c r="F86" s="186">
        <f t="shared" si="9"/>
        <v>2024</v>
      </c>
      <c r="G86" s="134">
        <v>1.7999999999999999E-2</v>
      </c>
      <c r="I86" s="186">
        <f t="shared" si="10"/>
        <v>2033</v>
      </c>
      <c r="J86" s="134">
        <v>1.9E-2</v>
      </c>
    </row>
    <row r="87" spans="3:15" s="156" customFormat="1">
      <c r="C87" s="186">
        <f t="shared" si="11"/>
        <v>2016</v>
      </c>
      <c r="D87" s="134">
        <v>1.9E-2</v>
      </c>
      <c r="F87" s="186">
        <f t="shared" si="9"/>
        <v>2025</v>
      </c>
      <c r="G87" s="134">
        <v>1.7999999999999999E-2</v>
      </c>
      <c r="I87" s="186">
        <f t="shared" si="10"/>
        <v>2034</v>
      </c>
      <c r="J87" s="134">
        <v>0.02</v>
      </c>
      <c r="N87" s="154"/>
      <c r="O87" s="154"/>
    </row>
    <row r="88" spans="3:15" s="156" customFormat="1">
      <c r="C88" s="186">
        <f t="shared" si="11"/>
        <v>2017</v>
      </c>
      <c r="D88" s="134">
        <v>1.9E-2</v>
      </c>
      <c r="F88" s="186">
        <f t="shared" si="9"/>
        <v>2026</v>
      </c>
      <c r="G88" s="134">
        <v>1.7999999999999999E-2</v>
      </c>
      <c r="I88" s="186">
        <f t="shared" si="10"/>
        <v>2035</v>
      </c>
      <c r="J88" s="134">
        <v>1.9E-2</v>
      </c>
      <c r="N88" s="154"/>
      <c r="O88" s="154"/>
    </row>
    <row r="89" spans="3:15" s="156" customFormat="1">
      <c r="C89" s="186">
        <f t="shared" si="11"/>
        <v>2018</v>
      </c>
      <c r="D89" s="134">
        <v>1.9E-2</v>
      </c>
      <c r="F89" s="186">
        <f t="shared" si="9"/>
        <v>2027</v>
      </c>
      <c r="G89" s="134">
        <v>1.9E-2</v>
      </c>
      <c r="I89" s="186">
        <f t="shared" si="10"/>
        <v>2036</v>
      </c>
      <c r="J89" s="134">
        <v>1.9E-2</v>
      </c>
      <c r="N89" s="154"/>
      <c r="O89" s="154"/>
    </row>
    <row r="90" spans="3:15" s="156" customFormat="1">
      <c r="N90" s="154"/>
      <c r="O90" s="154"/>
    </row>
    <row r="91" spans="3:15" s="156" customFormat="1">
      <c r="N91" s="154"/>
      <c r="O91" s="154"/>
    </row>
  </sheetData>
  <phoneticPr fontId="6" type="noConversion"/>
  <printOptions horizontalCentered="1"/>
  <pageMargins left="0.3" right="0.3" top="0.8" bottom="0.4" header="0.5" footer="0.2"/>
  <pageSetup scale="90" orientation="portrait" r:id="rId1"/>
  <headerFooter alignWithMargins="0"/>
  <rowBreaks count="1" manualBreakCount="1"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322"/>
  <sheetViews>
    <sheetView zoomScaleNormal="100" zoomScaleSheetLayoutView="70" workbookViewId="0">
      <pane ySplit="10" topLeftCell="A11" activePane="bottomLeft" state="frozen"/>
      <selection activeCell="E17" sqref="E17"/>
      <selection pane="bottomLeft" activeCell="E17" sqref="E17"/>
    </sheetView>
  </sheetViews>
  <sheetFormatPr defaultRowHeight="12.75"/>
  <cols>
    <col min="1" max="1" width="9.33203125" style="6"/>
    <col min="2" max="3" width="39" style="6" customWidth="1"/>
    <col min="4" max="6" width="9.33203125" style="6"/>
    <col min="7" max="7" width="15" style="142" hidden="1" customWidth="1"/>
    <col min="8" max="8" width="9.33203125" style="103" hidden="1" customWidth="1"/>
    <col min="9" max="10" width="9.33203125" style="6" hidden="1" customWidth="1"/>
    <col min="11" max="11" width="11.5" style="6" hidden="1" customWidth="1"/>
    <col min="12" max="12" width="9.33203125" style="6" customWidth="1"/>
    <col min="13" max="16384" width="9.33203125" style="6"/>
  </cols>
  <sheetData>
    <row r="1" spans="2:11" ht="15.75">
      <c r="B1" s="1" t="s">
        <v>112</v>
      </c>
      <c r="C1" s="1"/>
      <c r="G1" s="97"/>
    </row>
    <row r="2" spans="2:11" ht="15.75">
      <c r="B2" s="1"/>
      <c r="C2" s="1"/>
      <c r="G2" s="97"/>
    </row>
    <row r="3" spans="2:11" ht="15.75">
      <c r="B3" s="1" t="str">
        <f>"Table "&amp;RIGHT('Table 4'!B3,1)+1</f>
        <v>Table 5</v>
      </c>
      <c r="C3" s="1"/>
      <c r="G3" s="97"/>
    </row>
    <row r="4" spans="2:11" ht="15.75">
      <c r="B4" s="1" t="s">
        <v>62</v>
      </c>
      <c r="C4" s="1"/>
      <c r="G4" s="108" t="s">
        <v>61</v>
      </c>
    </row>
    <row r="5" spans="2:11" ht="15.75">
      <c r="B5" s="1" t="str">
        <f>'Table 1'!$B$5</f>
        <v>Utah Compliance 2012.Q2 - Wind 80 MW and 35% Capacity Factor</v>
      </c>
      <c r="C5" s="1"/>
      <c r="G5" s="109">
        <v>41039</v>
      </c>
    </row>
    <row r="6" spans="2:11">
      <c r="B6" s="44"/>
      <c r="C6" s="44"/>
      <c r="G6" s="97"/>
    </row>
    <row r="7" spans="2:11" ht="14.25">
      <c r="B7" s="88"/>
      <c r="C7" s="96" t="s">
        <v>56</v>
      </c>
      <c r="G7" s="97"/>
    </row>
    <row r="8" spans="2:11">
      <c r="B8" s="89"/>
      <c r="C8" s="81" t="s">
        <v>57</v>
      </c>
      <c r="G8" s="97"/>
    </row>
    <row r="9" spans="2:11">
      <c r="B9" s="89" t="s">
        <v>0</v>
      </c>
      <c r="C9" s="89" t="s">
        <v>78</v>
      </c>
      <c r="G9" s="97"/>
    </row>
    <row r="10" spans="2:11">
      <c r="B10" s="90"/>
      <c r="C10" s="91" t="s">
        <v>42</v>
      </c>
      <c r="G10" s="98"/>
      <c r="H10" s="104"/>
    </row>
    <row r="11" spans="2:11">
      <c r="C11" s="45"/>
      <c r="G11" s="98"/>
      <c r="H11" s="104"/>
    </row>
    <row r="12" spans="2:11">
      <c r="C12" s="92"/>
      <c r="G12" s="98"/>
      <c r="H12" s="104"/>
    </row>
    <row r="13" spans="2:11" ht="6" customHeight="1">
      <c r="G13" s="99"/>
      <c r="H13" s="105"/>
    </row>
    <row r="14" spans="2:11">
      <c r="B14" s="93">
        <v>2016</v>
      </c>
      <c r="C14" s="94">
        <f t="shared" ref="C14:C34" si="0">ROUND(SUMIF($I$17:$I$322,B14,$H$17:$H$322)/COUNTIF($I$17:$I$322,B14),2)</f>
        <v>4.2300000000000004</v>
      </c>
      <c r="G14" s="100"/>
      <c r="H14" s="106"/>
    </row>
    <row r="15" spans="2:11" ht="13.5" thickBot="1">
      <c r="B15" s="93">
        <f t="shared" ref="B15:B24" si="1">B14+1</f>
        <v>2017</v>
      </c>
      <c r="C15" s="94">
        <f t="shared" si="0"/>
        <v>4.4000000000000004</v>
      </c>
      <c r="G15" s="101"/>
      <c r="H15" s="107" t="s">
        <v>87</v>
      </c>
    </row>
    <row r="16" spans="2:11" ht="13.5" thickBot="1">
      <c r="B16" s="93">
        <f t="shared" si="1"/>
        <v>2018</v>
      </c>
      <c r="C16" s="94">
        <f t="shared" si="0"/>
        <v>4.8899999999999997</v>
      </c>
      <c r="G16" s="101" t="s">
        <v>60</v>
      </c>
      <c r="H16" s="107" t="s">
        <v>57</v>
      </c>
      <c r="I16" s="9" t="s">
        <v>0</v>
      </c>
      <c r="K16" s="130" t="s">
        <v>77</v>
      </c>
    </row>
    <row r="17" spans="2:11" ht="13.5" thickBot="1">
      <c r="B17" s="93">
        <f t="shared" si="1"/>
        <v>2019</v>
      </c>
      <c r="C17" s="94">
        <f t="shared" si="0"/>
        <v>5.57</v>
      </c>
      <c r="G17" s="102">
        <v>42370</v>
      </c>
      <c r="H17" s="110">
        <v>4.4402609661737893</v>
      </c>
      <c r="I17" s="111">
        <f t="shared" ref="I17:I57" si="2">YEAR(G17)</f>
        <v>2016</v>
      </c>
      <c r="K17" s="129">
        <v>41</v>
      </c>
    </row>
    <row r="18" spans="2:11">
      <c r="B18" s="93">
        <f t="shared" si="1"/>
        <v>2020</v>
      </c>
      <c r="C18" s="94">
        <f t="shared" si="0"/>
        <v>5.74</v>
      </c>
      <c r="G18" s="102">
        <v>42401</v>
      </c>
      <c r="H18" s="110">
        <v>4.3995479825805139</v>
      </c>
      <c r="I18" s="111">
        <f t="shared" si="2"/>
        <v>2016</v>
      </c>
    </row>
    <row r="19" spans="2:11">
      <c r="B19" s="93">
        <f t="shared" si="1"/>
        <v>2021</v>
      </c>
      <c r="C19" s="94">
        <f t="shared" si="0"/>
        <v>6.07</v>
      </c>
      <c r="G19" s="102">
        <v>42430</v>
      </c>
      <c r="H19" s="110">
        <v>4.3072854749848082</v>
      </c>
      <c r="I19" s="111">
        <f t="shared" si="2"/>
        <v>2016</v>
      </c>
    </row>
    <row r="20" spans="2:11">
      <c r="B20" s="93">
        <f t="shared" si="1"/>
        <v>2022</v>
      </c>
      <c r="C20" s="94">
        <f t="shared" si="0"/>
        <v>6.67</v>
      </c>
      <c r="G20" s="102">
        <v>42461</v>
      </c>
      <c r="H20" s="110">
        <v>4.0590578063601379</v>
      </c>
      <c r="I20" s="111">
        <f t="shared" si="2"/>
        <v>2016</v>
      </c>
    </row>
    <row r="21" spans="2:11">
      <c r="B21" s="93">
        <f t="shared" si="1"/>
        <v>2023</v>
      </c>
      <c r="C21" s="94">
        <f t="shared" si="0"/>
        <v>6.88</v>
      </c>
      <c r="G21" s="102">
        <v>42491</v>
      </c>
      <c r="H21" s="110">
        <v>4.0732364573627713</v>
      </c>
      <c r="I21" s="111">
        <f t="shared" si="2"/>
        <v>2016</v>
      </c>
    </row>
    <row r="22" spans="2:11">
      <c r="B22" s="93">
        <f t="shared" si="1"/>
        <v>2024</v>
      </c>
      <c r="C22" s="94">
        <f t="shared" si="0"/>
        <v>6.76</v>
      </c>
      <c r="G22" s="102">
        <v>42522</v>
      </c>
      <c r="H22" s="110">
        <v>4.0985554770103301</v>
      </c>
      <c r="I22" s="111">
        <f t="shared" si="2"/>
        <v>2016</v>
      </c>
    </row>
    <row r="23" spans="2:11">
      <c r="B23" s="93">
        <f t="shared" si="1"/>
        <v>2025</v>
      </c>
      <c r="C23" s="94">
        <f t="shared" si="0"/>
        <v>6.95</v>
      </c>
      <c r="G23" s="102">
        <v>42552</v>
      </c>
      <c r="H23" s="110">
        <v>4.1340021045169131</v>
      </c>
      <c r="I23" s="111">
        <f t="shared" si="2"/>
        <v>2016</v>
      </c>
    </row>
    <row r="24" spans="2:11">
      <c r="B24" s="93">
        <f t="shared" si="1"/>
        <v>2026</v>
      </c>
      <c r="C24" s="94">
        <f t="shared" si="0"/>
        <v>7.35</v>
      </c>
      <c r="G24" s="102">
        <v>42583</v>
      </c>
      <c r="H24" s="110">
        <v>4.1532445594490577</v>
      </c>
      <c r="I24" s="111">
        <f t="shared" si="2"/>
        <v>2016</v>
      </c>
    </row>
    <row r="25" spans="2:11">
      <c r="B25" s="93">
        <f>B24+1</f>
        <v>2027</v>
      </c>
      <c r="C25" s="94">
        <f t="shared" si="0"/>
        <v>7.61</v>
      </c>
      <c r="G25" s="102">
        <v>42614</v>
      </c>
      <c r="H25" s="110">
        <v>4.1572956025926677</v>
      </c>
      <c r="I25" s="111">
        <f t="shared" si="2"/>
        <v>2016</v>
      </c>
    </row>
    <row r="26" spans="2:11">
      <c r="B26" s="93">
        <f>B25+1</f>
        <v>2028</v>
      </c>
      <c r="C26" s="94">
        <f t="shared" si="0"/>
        <v>7.77</v>
      </c>
      <c r="G26" s="102">
        <v>42644</v>
      </c>
      <c r="H26" s="110">
        <v>4.1937549908851528</v>
      </c>
      <c r="I26" s="111">
        <f t="shared" si="2"/>
        <v>2016</v>
      </c>
    </row>
    <row r="27" spans="2:11">
      <c r="B27" s="93">
        <f>B26+1</f>
        <v>2029</v>
      </c>
      <c r="C27" s="94">
        <f t="shared" si="0"/>
        <v>7.89</v>
      </c>
      <c r="G27" s="102">
        <v>42675</v>
      </c>
      <c r="H27" s="110">
        <v>4.293410652217946</v>
      </c>
      <c r="I27" s="111">
        <f t="shared" si="2"/>
        <v>2016</v>
      </c>
    </row>
    <row r="28" spans="2:11">
      <c r="B28" s="93">
        <f>B27+1</f>
        <v>2030</v>
      </c>
      <c r="C28" s="94">
        <f t="shared" si="0"/>
        <v>7.93</v>
      </c>
      <c r="G28" s="102">
        <v>42705</v>
      </c>
      <c r="H28" s="110">
        <v>4.498089607048815</v>
      </c>
      <c r="I28" s="111">
        <f t="shared" si="2"/>
        <v>2016</v>
      </c>
    </row>
    <row r="29" spans="2:11">
      <c r="B29" s="93">
        <f>B28+1</f>
        <v>2031</v>
      </c>
      <c r="C29" s="94">
        <f t="shared" si="0"/>
        <v>8.11</v>
      </c>
      <c r="G29" s="102">
        <v>42736</v>
      </c>
      <c r="H29" s="110">
        <v>4.5935929491594081</v>
      </c>
      <c r="I29" s="111">
        <f t="shared" si="2"/>
        <v>2017</v>
      </c>
    </row>
    <row r="30" spans="2:11">
      <c r="B30" s="93">
        <f t="shared" ref="B30:B34" si="3">B29+1</f>
        <v>2032</v>
      </c>
      <c r="C30" s="94">
        <f t="shared" si="0"/>
        <v>8.27</v>
      </c>
      <c r="G30" s="102">
        <v>42767</v>
      </c>
      <c r="H30" s="110">
        <v>4.56007056714604</v>
      </c>
      <c r="I30" s="111">
        <f t="shared" si="2"/>
        <v>2017</v>
      </c>
    </row>
    <row r="31" spans="2:11">
      <c r="B31" s="93">
        <f t="shared" si="3"/>
        <v>2033</v>
      </c>
      <c r="C31" s="94">
        <f t="shared" si="0"/>
        <v>8.43</v>
      </c>
      <c r="G31" s="102">
        <v>42795</v>
      </c>
      <c r="H31" s="110">
        <v>4.4726693113226652</v>
      </c>
      <c r="I31" s="111">
        <f t="shared" si="2"/>
        <v>2017</v>
      </c>
    </row>
    <row r="32" spans="2:11">
      <c r="B32" s="93">
        <f t="shared" si="3"/>
        <v>2034</v>
      </c>
      <c r="C32" s="94">
        <f t="shared" si="0"/>
        <v>8.59</v>
      </c>
      <c r="G32" s="102">
        <v>42826</v>
      </c>
      <c r="H32" s="110">
        <v>4.2221122928904196</v>
      </c>
      <c r="I32" s="111">
        <f t="shared" si="2"/>
        <v>2017</v>
      </c>
    </row>
    <row r="33" spans="2:9">
      <c r="B33" s="93">
        <f t="shared" si="3"/>
        <v>2035</v>
      </c>
      <c r="C33" s="94">
        <f t="shared" si="0"/>
        <v>8.76</v>
      </c>
      <c r="G33" s="102">
        <v>42856</v>
      </c>
      <c r="H33" s="110">
        <v>4.2342654223212479</v>
      </c>
      <c r="I33" s="111">
        <f t="shared" si="2"/>
        <v>2017</v>
      </c>
    </row>
    <row r="34" spans="2:9">
      <c r="B34" s="93">
        <f t="shared" si="3"/>
        <v>2036</v>
      </c>
      <c r="C34" s="94">
        <f t="shared" si="0"/>
        <v>8.92</v>
      </c>
      <c r="G34" s="102">
        <v>42887</v>
      </c>
      <c r="H34" s="110">
        <v>4.2595844419688067</v>
      </c>
      <c r="I34" s="111">
        <f t="shared" si="2"/>
        <v>2017</v>
      </c>
    </row>
    <row r="35" spans="2:9">
      <c r="G35" s="102">
        <v>42917</v>
      </c>
      <c r="H35" s="110">
        <v>4.2950310694753906</v>
      </c>
      <c r="I35" s="111">
        <f t="shared" si="2"/>
        <v>2017</v>
      </c>
    </row>
    <row r="36" spans="2:9">
      <c r="B36" s="93" t="str">
        <f>"OFPC Forecast dated   "&amp;TEXT(G5,"MMM dd, YYYY")</f>
        <v>OFPC Forecast dated   May 10, 2012</v>
      </c>
      <c r="G36" s="102">
        <v>42948</v>
      </c>
      <c r="H36" s="110">
        <v>4.3173118067652414</v>
      </c>
      <c r="I36" s="111">
        <f t="shared" si="2"/>
        <v>2017</v>
      </c>
    </row>
    <row r="37" spans="2:9">
      <c r="G37" s="102">
        <v>42979</v>
      </c>
      <c r="H37" s="110">
        <v>4.3213628499088514</v>
      </c>
      <c r="I37" s="111">
        <f t="shared" si="2"/>
        <v>2017</v>
      </c>
    </row>
    <row r="38" spans="2:9">
      <c r="G38" s="102">
        <v>43009</v>
      </c>
      <c r="H38" s="110">
        <v>4.3578222382013365</v>
      </c>
      <c r="I38" s="111">
        <f t="shared" si="2"/>
        <v>2017</v>
      </c>
    </row>
    <row r="39" spans="2:9">
      <c r="G39" s="102">
        <v>43040</v>
      </c>
      <c r="H39" s="110">
        <v>4.4574778995341298</v>
      </c>
      <c r="I39" s="111">
        <f t="shared" si="2"/>
        <v>2017</v>
      </c>
    </row>
    <row r="40" spans="2:9">
      <c r="G40" s="102">
        <v>43070</v>
      </c>
      <c r="H40" s="110">
        <v>4.6641823759368037</v>
      </c>
      <c r="I40" s="111">
        <f t="shared" si="2"/>
        <v>2017</v>
      </c>
    </row>
    <row r="41" spans="2:9">
      <c r="G41" s="102">
        <v>43101</v>
      </c>
      <c r="H41" s="110">
        <v>4.7495581101883735</v>
      </c>
      <c r="I41" s="111">
        <f t="shared" si="2"/>
        <v>2018</v>
      </c>
    </row>
    <row r="42" spans="2:9">
      <c r="G42" s="102">
        <v>43132</v>
      </c>
      <c r="H42" s="110">
        <v>4.7170484889609074</v>
      </c>
      <c r="I42" s="111">
        <f t="shared" si="2"/>
        <v>2018</v>
      </c>
    </row>
    <row r="43" spans="2:9">
      <c r="G43" s="102">
        <v>43160</v>
      </c>
      <c r="H43" s="110">
        <v>4.6306599939234347</v>
      </c>
      <c r="I43" s="111">
        <f t="shared" si="2"/>
        <v>2018</v>
      </c>
    </row>
    <row r="44" spans="2:9">
      <c r="G44" s="102">
        <v>43191</v>
      </c>
      <c r="H44" s="110">
        <v>4.3902305833502124</v>
      </c>
      <c r="I44" s="111">
        <f t="shared" si="2"/>
        <v>2018</v>
      </c>
    </row>
    <row r="45" spans="2:9">
      <c r="G45" s="102">
        <v>43221</v>
      </c>
      <c r="H45" s="110">
        <v>4.4003581912092358</v>
      </c>
      <c r="I45" s="111">
        <f t="shared" si="2"/>
        <v>2018</v>
      </c>
    </row>
    <row r="46" spans="2:9">
      <c r="G46" s="102">
        <v>43252</v>
      </c>
      <c r="H46" s="110">
        <v>5.0791104699210043</v>
      </c>
      <c r="I46" s="111">
        <f t="shared" si="2"/>
        <v>2018</v>
      </c>
    </row>
    <row r="47" spans="2:9">
      <c r="G47" s="102">
        <v>43282</v>
      </c>
      <c r="H47" s="110">
        <v>5.122051527243265</v>
      </c>
      <c r="I47" s="111">
        <f t="shared" si="2"/>
        <v>2018</v>
      </c>
    </row>
    <row r="48" spans="2:9">
      <c r="G48" s="102">
        <v>43313</v>
      </c>
      <c r="H48" s="110">
        <v>5.1462565100263316</v>
      </c>
      <c r="I48" s="111">
        <f t="shared" si="2"/>
        <v>2018</v>
      </c>
    </row>
    <row r="49" spans="7:9">
      <c r="G49" s="102">
        <v>43344</v>
      </c>
      <c r="H49" s="110">
        <v>5.0435625663358312</v>
      </c>
      <c r="I49" s="111">
        <f t="shared" si="2"/>
        <v>2018</v>
      </c>
    </row>
    <row r="50" spans="7:9">
      <c r="G50" s="102">
        <v>43374</v>
      </c>
      <c r="H50" s="110">
        <v>5.0658433036256838</v>
      </c>
      <c r="I50" s="111">
        <f t="shared" si="2"/>
        <v>2018</v>
      </c>
    </row>
    <row r="51" spans="7:9">
      <c r="G51" s="102">
        <v>43405</v>
      </c>
      <c r="H51" s="110">
        <v>5.1217476990074946</v>
      </c>
      <c r="I51" s="111">
        <f t="shared" si="2"/>
        <v>2018</v>
      </c>
    </row>
    <row r="52" spans="7:9">
      <c r="G52" s="102">
        <v>43435</v>
      </c>
      <c r="H52" s="110">
        <v>5.2675852521774349</v>
      </c>
      <c r="I52" s="111">
        <f t="shared" si="2"/>
        <v>2018</v>
      </c>
    </row>
    <row r="53" spans="7:9">
      <c r="G53" s="102">
        <v>43466</v>
      </c>
      <c r="H53" s="110">
        <v>5.3459729370062794</v>
      </c>
      <c r="I53" s="111">
        <f t="shared" si="2"/>
        <v>2019</v>
      </c>
    </row>
    <row r="54" spans="7:9">
      <c r="G54" s="102">
        <v>43497</v>
      </c>
      <c r="H54" s="110">
        <v>5.3428333785699813</v>
      </c>
      <c r="I54" s="111">
        <f t="shared" si="2"/>
        <v>2019</v>
      </c>
    </row>
    <row r="55" spans="7:9">
      <c r="G55" s="102">
        <v>43525</v>
      </c>
      <c r="H55" s="110">
        <v>5.1908179846060358</v>
      </c>
      <c r="I55" s="111">
        <f t="shared" si="2"/>
        <v>2019</v>
      </c>
    </row>
    <row r="56" spans="7:9">
      <c r="G56" s="102">
        <v>43556</v>
      </c>
      <c r="H56" s="110">
        <v>4.9838096799675915</v>
      </c>
      <c r="I56" s="111">
        <f t="shared" si="2"/>
        <v>2019</v>
      </c>
    </row>
    <row r="57" spans="7:9">
      <c r="G57" s="102">
        <v>43586</v>
      </c>
      <c r="H57" s="110">
        <v>4.9965704658699615</v>
      </c>
      <c r="I57" s="111">
        <f t="shared" si="2"/>
        <v>2019</v>
      </c>
    </row>
    <row r="58" spans="7:9">
      <c r="G58" s="102">
        <v>43617</v>
      </c>
      <c r="H58" s="110">
        <v>5.8987377739517921</v>
      </c>
      <c r="I58" s="111">
        <f t="shared" ref="I58:I104" si="4">YEAR(G58)</f>
        <v>2019</v>
      </c>
    </row>
    <row r="59" spans="7:9">
      <c r="G59" s="102">
        <v>43647</v>
      </c>
      <c r="H59" s="110">
        <v>5.9490719850111402</v>
      </c>
      <c r="I59" s="111">
        <f t="shared" si="4"/>
        <v>2019</v>
      </c>
    </row>
    <row r="60" spans="7:9">
      <c r="G60" s="102">
        <v>43678</v>
      </c>
      <c r="H60" s="110">
        <v>5.9752012132874217</v>
      </c>
      <c r="I60" s="111">
        <f t="shared" si="4"/>
        <v>2019</v>
      </c>
    </row>
    <row r="61" spans="7:9">
      <c r="G61" s="102">
        <v>43709</v>
      </c>
      <c r="H61" s="110">
        <v>5.7656610066842209</v>
      </c>
      <c r="I61" s="111">
        <f t="shared" si="4"/>
        <v>2019</v>
      </c>
    </row>
    <row r="62" spans="7:9">
      <c r="G62" s="102">
        <v>43739</v>
      </c>
      <c r="H62" s="110">
        <v>5.7738643690500302</v>
      </c>
      <c r="I62" s="111">
        <f t="shared" si="4"/>
        <v>2019</v>
      </c>
    </row>
    <row r="63" spans="7:9">
      <c r="G63" s="102">
        <v>43770</v>
      </c>
      <c r="H63" s="110">
        <v>5.7859162224022676</v>
      </c>
      <c r="I63" s="111">
        <f t="shared" si="4"/>
        <v>2019</v>
      </c>
    </row>
    <row r="64" spans="7:9">
      <c r="G64" s="102">
        <v>43800</v>
      </c>
      <c r="H64" s="110">
        <v>5.8709881284180678</v>
      </c>
      <c r="I64" s="111">
        <f t="shared" si="4"/>
        <v>2019</v>
      </c>
    </row>
    <row r="65" spans="7:9">
      <c r="G65" s="102">
        <v>43831</v>
      </c>
      <c r="H65" s="110">
        <v>5.9424890399027746</v>
      </c>
      <c r="I65" s="111">
        <f t="shared" si="4"/>
        <v>2020</v>
      </c>
    </row>
    <row r="66" spans="7:9">
      <c r="G66" s="102">
        <v>43862</v>
      </c>
      <c r="H66" s="110">
        <v>5.968516992100465</v>
      </c>
      <c r="I66" s="111">
        <f t="shared" si="4"/>
        <v>2020</v>
      </c>
    </row>
    <row r="67" spans="7:9">
      <c r="G67" s="102">
        <v>43891</v>
      </c>
      <c r="H67" s="110">
        <v>5.751077251367227</v>
      </c>
      <c r="I67" s="111">
        <f t="shared" si="4"/>
        <v>2020</v>
      </c>
    </row>
    <row r="68" spans="7:9">
      <c r="G68" s="102">
        <v>43922</v>
      </c>
      <c r="H68" s="110">
        <v>5.5773887765849706</v>
      </c>
      <c r="I68" s="111">
        <f t="shared" si="4"/>
        <v>2020</v>
      </c>
    </row>
    <row r="69" spans="7:9">
      <c r="G69" s="102">
        <v>43952</v>
      </c>
      <c r="H69" s="110">
        <v>5.5927827405306862</v>
      </c>
      <c r="I69" s="111">
        <f t="shared" si="4"/>
        <v>2020</v>
      </c>
    </row>
    <row r="70" spans="7:9">
      <c r="G70" s="102">
        <v>43983</v>
      </c>
      <c r="H70" s="110">
        <v>5.6253936378367424</v>
      </c>
      <c r="I70" s="111">
        <f t="shared" si="4"/>
        <v>2020</v>
      </c>
    </row>
    <row r="71" spans="7:9">
      <c r="G71" s="102">
        <v>44013</v>
      </c>
      <c r="H71" s="110">
        <v>5.6580045351427994</v>
      </c>
      <c r="I71" s="111">
        <f t="shared" si="4"/>
        <v>2020</v>
      </c>
    </row>
    <row r="72" spans="7:9">
      <c r="G72" s="102">
        <v>44044</v>
      </c>
      <c r="H72" s="110">
        <v>5.6840324873404899</v>
      </c>
      <c r="I72" s="111">
        <f t="shared" si="4"/>
        <v>2020</v>
      </c>
    </row>
    <row r="73" spans="7:9">
      <c r="G73" s="102">
        <v>44075</v>
      </c>
      <c r="H73" s="110">
        <v>5.6459526817905612</v>
      </c>
      <c r="I73" s="111">
        <f t="shared" si="4"/>
        <v>2020</v>
      </c>
    </row>
    <row r="74" spans="7:9">
      <c r="G74" s="102">
        <v>44105</v>
      </c>
      <c r="H74" s="110">
        <v>5.7020596293295522</v>
      </c>
      <c r="I74" s="111">
        <f t="shared" si="4"/>
        <v>2020</v>
      </c>
    </row>
    <row r="75" spans="7:9">
      <c r="G75" s="102">
        <v>44136</v>
      </c>
      <c r="H75" s="110">
        <v>5.8473908021065428</v>
      </c>
      <c r="I75" s="111">
        <f t="shared" si="4"/>
        <v>2020</v>
      </c>
    </row>
    <row r="76" spans="7:9">
      <c r="G76" s="102">
        <v>44166</v>
      </c>
      <c r="H76" s="110">
        <v>5.9396533097022486</v>
      </c>
      <c r="I76" s="111">
        <f t="shared" si="4"/>
        <v>2020</v>
      </c>
    </row>
    <row r="77" spans="7:9">
      <c r="G77" s="102">
        <v>44197</v>
      </c>
      <c r="H77" s="110">
        <v>6.068982862061981</v>
      </c>
      <c r="I77" s="111">
        <f t="shared" si="4"/>
        <v>2021</v>
      </c>
    </row>
    <row r="78" spans="7:9">
      <c r="G78" s="102">
        <v>44228</v>
      </c>
      <c r="H78" s="110">
        <v>6.1048345938829245</v>
      </c>
      <c r="I78" s="111">
        <f t="shared" si="4"/>
        <v>2021</v>
      </c>
    </row>
    <row r="79" spans="7:9">
      <c r="G79" s="102">
        <v>44256</v>
      </c>
      <c r="H79" s="110">
        <v>6.0195601357099449</v>
      </c>
      <c r="I79" s="111">
        <f t="shared" si="4"/>
        <v>2021</v>
      </c>
    </row>
    <row r="80" spans="7:9">
      <c r="G80" s="102">
        <v>44287</v>
      </c>
      <c r="H80" s="110">
        <v>5.8852680554992913</v>
      </c>
      <c r="I80" s="111">
        <f t="shared" si="4"/>
        <v>2021</v>
      </c>
    </row>
    <row r="81" spans="7:9">
      <c r="G81" s="102">
        <v>44317</v>
      </c>
      <c r="H81" s="110">
        <v>5.8959020437512653</v>
      </c>
      <c r="I81" s="111">
        <f t="shared" si="4"/>
        <v>2021</v>
      </c>
    </row>
    <row r="82" spans="7:9">
      <c r="G82" s="102">
        <v>44348</v>
      </c>
      <c r="H82" s="110">
        <v>5.9323614320437512</v>
      </c>
      <c r="I82" s="111">
        <f t="shared" si="4"/>
        <v>2021</v>
      </c>
    </row>
    <row r="83" spans="7:9">
      <c r="G83" s="102">
        <v>44378</v>
      </c>
      <c r="H83" s="110">
        <v>5.9888734838971027</v>
      </c>
      <c r="I83" s="111">
        <f t="shared" si="4"/>
        <v>2021</v>
      </c>
    </row>
    <row r="84" spans="7:9">
      <c r="G84" s="102">
        <v>44409</v>
      </c>
      <c r="H84" s="110">
        <v>6.0083184909864293</v>
      </c>
      <c r="I84" s="111">
        <f t="shared" si="4"/>
        <v>2021</v>
      </c>
    </row>
    <row r="85" spans="7:9">
      <c r="G85" s="102">
        <v>44440</v>
      </c>
      <c r="H85" s="110">
        <v>6.0190537553169934</v>
      </c>
      <c r="I85" s="111">
        <f t="shared" si="4"/>
        <v>2021</v>
      </c>
    </row>
    <row r="86" spans="7:9">
      <c r="G86" s="102">
        <v>44470</v>
      </c>
      <c r="H86" s="110">
        <v>6.0621973647964342</v>
      </c>
      <c r="I86" s="111">
        <f t="shared" si="4"/>
        <v>2021</v>
      </c>
    </row>
    <row r="87" spans="7:9">
      <c r="G87" s="102">
        <v>44501</v>
      </c>
      <c r="H87" s="110">
        <v>6.370076643710755</v>
      </c>
      <c r="I87" s="111">
        <f t="shared" si="4"/>
        <v>2021</v>
      </c>
    </row>
    <row r="88" spans="7:9">
      <c r="G88" s="102">
        <v>44531</v>
      </c>
      <c r="H88" s="110">
        <v>6.4899875207615958</v>
      </c>
      <c r="I88" s="111">
        <f t="shared" si="4"/>
        <v>2021</v>
      </c>
    </row>
    <row r="89" spans="7:9">
      <c r="G89" s="102">
        <v>44562</v>
      </c>
      <c r="H89" s="110">
        <v>6.6453450253190187</v>
      </c>
      <c r="I89" s="111">
        <f t="shared" si="4"/>
        <v>2022</v>
      </c>
    </row>
    <row r="90" spans="7:9">
      <c r="G90" s="102">
        <v>44593</v>
      </c>
      <c r="H90" s="110">
        <v>6.6846401438120315</v>
      </c>
      <c r="I90" s="111">
        <f t="shared" si="4"/>
        <v>2022</v>
      </c>
    </row>
    <row r="91" spans="7:9">
      <c r="G91" s="102">
        <v>44621</v>
      </c>
      <c r="H91" s="110">
        <v>6.6344072088312736</v>
      </c>
      <c r="I91" s="111">
        <f t="shared" si="4"/>
        <v>2022</v>
      </c>
    </row>
    <row r="92" spans="7:9">
      <c r="G92" s="102">
        <v>44652</v>
      </c>
      <c r="H92" s="110">
        <v>6.4818854344743775</v>
      </c>
      <c r="I92" s="111">
        <f t="shared" si="4"/>
        <v>2022</v>
      </c>
    </row>
    <row r="93" spans="7:9">
      <c r="G93" s="102">
        <v>44682</v>
      </c>
      <c r="H93" s="110">
        <v>6.5362706886773339</v>
      </c>
      <c r="I93" s="111">
        <f t="shared" si="4"/>
        <v>2022</v>
      </c>
    </row>
    <row r="94" spans="7:9">
      <c r="G94" s="102">
        <v>44713</v>
      </c>
      <c r="H94" s="110">
        <v>6.5739453899129021</v>
      </c>
      <c r="I94" s="111">
        <f t="shared" si="4"/>
        <v>2022</v>
      </c>
    </row>
    <row r="95" spans="7:9">
      <c r="G95" s="102">
        <v>44743</v>
      </c>
      <c r="H95" s="110">
        <v>6.6144558213489972</v>
      </c>
      <c r="I95" s="111">
        <f t="shared" si="4"/>
        <v>2022</v>
      </c>
    </row>
    <row r="96" spans="7:9">
      <c r="G96" s="102">
        <v>44774</v>
      </c>
      <c r="H96" s="110">
        <v>6.6479782033623653</v>
      </c>
      <c r="I96" s="111">
        <f t="shared" si="4"/>
        <v>2022</v>
      </c>
    </row>
    <row r="97" spans="7:9">
      <c r="G97" s="102">
        <v>44805</v>
      </c>
      <c r="H97" s="110">
        <v>6.6764367814462222</v>
      </c>
      <c r="I97" s="111">
        <f t="shared" si="4"/>
        <v>2022</v>
      </c>
    </row>
    <row r="98" spans="7:9">
      <c r="G98" s="102">
        <v>44835</v>
      </c>
      <c r="H98" s="110">
        <v>6.7113770285598537</v>
      </c>
      <c r="I98" s="111">
        <f t="shared" si="4"/>
        <v>2022</v>
      </c>
    </row>
    <row r="99" spans="7:9">
      <c r="G99" s="102">
        <v>44866</v>
      </c>
      <c r="H99" s="110">
        <v>6.8555941644723513</v>
      </c>
      <c r="I99" s="111">
        <f t="shared" si="4"/>
        <v>2022</v>
      </c>
    </row>
    <row r="100" spans="7:9">
      <c r="G100" s="102">
        <v>44896</v>
      </c>
      <c r="H100" s="110">
        <v>6.9426915920599548</v>
      </c>
      <c r="I100" s="111">
        <f t="shared" si="4"/>
        <v>2022</v>
      </c>
    </row>
    <row r="101" spans="7:9">
      <c r="G101" s="102">
        <v>44927</v>
      </c>
      <c r="H101" s="110">
        <v>7.1024039679967581</v>
      </c>
      <c r="I101" s="111">
        <f t="shared" si="4"/>
        <v>2023</v>
      </c>
    </row>
    <row r="102" spans="7:9">
      <c r="G102" s="102">
        <v>44958</v>
      </c>
      <c r="H102" s="110">
        <v>7.1194183491999183</v>
      </c>
      <c r="I102" s="111">
        <f t="shared" si="4"/>
        <v>2023</v>
      </c>
    </row>
    <row r="103" spans="7:9">
      <c r="G103" s="102">
        <v>44986</v>
      </c>
      <c r="H103" s="110">
        <v>6.9520089912902572</v>
      </c>
      <c r="I103" s="111">
        <f t="shared" si="4"/>
        <v>2023</v>
      </c>
    </row>
    <row r="104" spans="7:9">
      <c r="G104" s="102">
        <v>45017</v>
      </c>
      <c r="H104" s="110">
        <v>6.7908787502531895</v>
      </c>
      <c r="I104" s="111">
        <f t="shared" si="4"/>
        <v>2023</v>
      </c>
    </row>
    <row r="105" spans="7:9">
      <c r="G105" s="102">
        <v>45047</v>
      </c>
      <c r="H105" s="110">
        <v>6.819843708729997</v>
      </c>
      <c r="I105" s="111">
        <f t="shared" ref="I105:I168" si="5">YEAR(G105)</f>
        <v>2023</v>
      </c>
    </row>
    <row r="106" spans="7:9">
      <c r="G106" s="102">
        <v>45078</v>
      </c>
      <c r="H106" s="110">
        <v>6.8598477597731415</v>
      </c>
      <c r="I106" s="111">
        <f t="shared" si="5"/>
        <v>2023</v>
      </c>
    </row>
    <row r="107" spans="7:9">
      <c r="G107" s="102">
        <v>45108</v>
      </c>
      <c r="H107" s="110">
        <v>6.8980288414016604</v>
      </c>
      <c r="I107" s="111">
        <f t="shared" si="5"/>
        <v>2023</v>
      </c>
    </row>
    <row r="108" spans="7:9">
      <c r="G108" s="102">
        <v>45139</v>
      </c>
      <c r="H108" s="110">
        <v>6.929221873607454</v>
      </c>
      <c r="I108" s="111">
        <f t="shared" si="5"/>
        <v>2023</v>
      </c>
    </row>
    <row r="109" spans="7:9">
      <c r="G109" s="102">
        <v>45170</v>
      </c>
      <c r="H109" s="110">
        <v>6.6610428175005065</v>
      </c>
      <c r="I109" s="111">
        <f t="shared" si="5"/>
        <v>2023</v>
      </c>
    </row>
    <row r="110" spans="7:9">
      <c r="G110" s="102">
        <v>45200</v>
      </c>
      <c r="H110" s="110">
        <v>6.6946664755924647</v>
      </c>
      <c r="I110" s="111">
        <f t="shared" si="5"/>
        <v>2023</v>
      </c>
    </row>
    <row r="111" spans="7:9">
      <c r="G111" s="102">
        <v>45231</v>
      </c>
      <c r="H111" s="110">
        <v>6.8395925440550931</v>
      </c>
      <c r="I111" s="111">
        <f t="shared" si="5"/>
        <v>2023</v>
      </c>
    </row>
    <row r="112" spans="7:9">
      <c r="G112" s="102">
        <v>45261</v>
      </c>
      <c r="H112" s="110">
        <v>6.929120597528863</v>
      </c>
      <c r="I112" s="111">
        <f t="shared" si="5"/>
        <v>2023</v>
      </c>
    </row>
    <row r="113" spans="7:9">
      <c r="G113" s="102">
        <v>45292</v>
      </c>
      <c r="H113" s="110">
        <v>7.0481199898723919</v>
      </c>
      <c r="I113" s="111">
        <f t="shared" si="5"/>
        <v>2024</v>
      </c>
    </row>
    <row r="114" spans="7:9">
      <c r="G114" s="102">
        <v>45323</v>
      </c>
      <c r="H114" s="110">
        <v>7.0854908628721889</v>
      </c>
      <c r="I114" s="111">
        <f t="shared" si="5"/>
        <v>2024</v>
      </c>
    </row>
    <row r="115" spans="7:9">
      <c r="G115" s="102">
        <v>45352</v>
      </c>
      <c r="H115" s="110">
        <v>6.7226186732833701</v>
      </c>
      <c r="I115" s="111">
        <f t="shared" si="5"/>
        <v>2024</v>
      </c>
    </row>
    <row r="116" spans="7:9">
      <c r="G116" s="102">
        <v>45383</v>
      </c>
      <c r="H116" s="110">
        <v>6.5804270589426777</v>
      </c>
      <c r="I116" s="111">
        <f t="shared" si="5"/>
        <v>2024</v>
      </c>
    </row>
    <row r="117" spans="7:9">
      <c r="G117" s="102">
        <v>45413</v>
      </c>
      <c r="H117" s="110">
        <v>6.5382962102491389</v>
      </c>
      <c r="I117" s="111">
        <f t="shared" si="5"/>
        <v>2024</v>
      </c>
    </row>
    <row r="118" spans="7:9">
      <c r="G118" s="102">
        <v>45444</v>
      </c>
      <c r="H118" s="110">
        <v>6.5820474762001213</v>
      </c>
      <c r="I118" s="111">
        <f t="shared" si="5"/>
        <v>2024</v>
      </c>
    </row>
    <row r="119" spans="7:9">
      <c r="G119" s="102">
        <v>45474</v>
      </c>
      <c r="H119" s="110">
        <v>6.6277229876443178</v>
      </c>
      <c r="I119" s="111">
        <f t="shared" si="5"/>
        <v>2024</v>
      </c>
    </row>
    <row r="120" spans="7:9">
      <c r="G120" s="102">
        <v>45505</v>
      </c>
      <c r="H120" s="110">
        <v>6.6582070872999788</v>
      </c>
      <c r="I120" s="111">
        <f t="shared" si="5"/>
        <v>2024</v>
      </c>
    </row>
    <row r="121" spans="7:9">
      <c r="G121" s="102">
        <v>45536</v>
      </c>
      <c r="H121" s="110">
        <v>6.6863618371480644</v>
      </c>
      <c r="I121" s="111">
        <f t="shared" si="5"/>
        <v>2024</v>
      </c>
    </row>
    <row r="122" spans="7:9">
      <c r="G122" s="102">
        <v>45566</v>
      </c>
      <c r="H122" s="110">
        <v>6.733252661535345</v>
      </c>
      <c r="I122" s="111">
        <f t="shared" si="5"/>
        <v>2024</v>
      </c>
    </row>
    <row r="123" spans="7:9">
      <c r="G123" s="102">
        <v>45597</v>
      </c>
      <c r="H123" s="110">
        <v>6.8795965950982376</v>
      </c>
      <c r="I123" s="111">
        <f t="shared" si="5"/>
        <v>2024</v>
      </c>
    </row>
    <row r="124" spans="7:9">
      <c r="G124" s="102">
        <v>45627</v>
      </c>
      <c r="H124" s="110">
        <v>6.9923168705691712</v>
      </c>
      <c r="I124" s="111">
        <f t="shared" si="5"/>
        <v>2024</v>
      </c>
    </row>
    <row r="125" spans="7:9">
      <c r="G125" s="102">
        <v>45658</v>
      </c>
      <c r="H125" s="110">
        <v>7.1067588393761394</v>
      </c>
      <c r="I125" s="111">
        <f t="shared" si="5"/>
        <v>2025</v>
      </c>
    </row>
    <row r="126" spans="7:9">
      <c r="G126" s="102">
        <v>45689</v>
      </c>
      <c r="H126" s="110">
        <v>7.148687135912497</v>
      </c>
      <c r="I126" s="111">
        <f t="shared" si="5"/>
        <v>2025</v>
      </c>
    </row>
    <row r="127" spans="7:9">
      <c r="G127" s="102">
        <v>45717</v>
      </c>
      <c r="H127" s="110">
        <v>6.920309578691513</v>
      </c>
      <c r="I127" s="111">
        <f t="shared" si="5"/>
        <v>2025</v>
      </c>
    </row>
    <row r="128" spans="7:9">
      <c r="G128" s="102">
        <v>45748</v>
      </c>
      <c r="H128" s="110">
        <v>6.7252518513267159</v>
      </c>
      <c r="I128" s="111">
        <f t="shared" si="5"/>
        <v>2025</v>
      </c>
    </row>
    <row r="129" spans="7:9">
      <c r="G129" s="102">
        <v>45778</v>
      </c>
      <c r="H129" s="110">
        <v>6.745101962730403</v>
      </c>
      <c r="I129" s="111">
        <f t="shared" si="5"/>
        <v>2025</v>
      </c>
    </row>
    <row r="130" spans="7:9">
      <c r="G130" s="102">
        <v>45809</v>
      </c>
      <c r="H130" s="110">
        <v>6.7840932529876445</v>
      </c>
      <c r="I130" s="111">
        <f t="shared" si="5"/>
        <v>2025</v>
      </c>
    </row>
    <row r="131" spans="7:9">
      <c r="G131" s="102">
        <v>45839</v>
      </c>
      <c r="H131" s="110">
        <v>6.8252113408952804</v>
      </c>
      <c r="I131" s="111">
        <f t="shared" si="5"/>
        <v>2025</v>
      </c>
    </row>
    <row r="132" spans="7:9">
      <c r="G132" s="102">
        <v>45870</v>
      </c>
      <c r="H132" s="110">
        <v>6.8580247903585168</v>
      </c>
      <c r="I132" s="111">
        <f t="shared" si="5"/>
        <v>2025</v>
      </c>
    </row>
    <row r="133" spans="7:9">
      <c r="G133" s="102">
        <v>45901</v>
      </c>
      <c r="H133" s="110">
        <v>6.8754442758760375</v>
      </c>
      <c r="I133" s="111">
        <f t="shared" si="5"/>
        <v>2025</v>
      </c>
    </row>
    <row r="134" spans="7:9">
      <c r="G134" s="102">
        <v>45931</v>
      </c>
      <c r="H134" s="110">
        <v>6.9181827810411178</v>
      </c>
      <c r="I134" s="111">
        <f t="shared" si="5"/>
        <v>2025</v>
      </c>
    </row>
    <row r="135" spans="7:9">
      <c r="G135" s="102">
        <v>45962</v>
      </c>
      <c r="H135" s="110">
        <v>7.178158474782256</v>
      </c>
      <c r="I135" s="111">
        <f t="shared" si="5"/>
        <v>2025</v>
      </c>
    </row>
    <row r="136" spans="7:9">
      <c r="G136" s="102">
        <v>45992</v>
      </c>
      <c r="H136" s="110">
        <v>7.3040446404699209</v>
      </c>
      <c r="I136" s="111">
        <f t="shared" si="5"/>
        <v>2025</v>
      </c>
    </row>
    <row r="137" spans="7:9">
      <c r="G137" s="102">
        <v>46023</v>
      </c>
      <c r="H137" s="110">
        <v>7.4705425136722701</v>
      </c>
      <c r="I137" s="111">
        <f t="shared" si="5"/>
        <v>2026</v>
      </c>
    </row>
    <row r="138" spans="7:9">
      <c r="G138" s="102">
        <v>46054</v>
      </c>
      <c r="H138" s="110">
        <v>7.5134835709945298</v>
      </c>
      <c r="I138" s="111">
        <f t="shared" si="5"/>
        <v>2026</v>
      </c>
    </row>
    <row r="139" spans="7:9">
      <c r="G139" s="102">
        <v>46082</v>
      </c>
      <c r="H139" s="110">
        <v>7.3124505549929104</v>
      </c>
      <c r="I139" s="111">
        <f t="shared" si="5"/>
        <v>2026</v>
      </c>
    </row>
    <row r="140" spans="7:9">
      <c r="G140" s="102">
        <v>46113</v>
      </c>
      <c r="H140" s="110">
        <v>7.1464590621835118</v>
      </c>
      <c r="I140" s="111">
        <f t="shared" si="5"/>
        <v>2026</v>
      </c>
    </row>
    <row r="141" spans="7:9">
      <c r="G141" s="102">
        <v>46143</v>
      </c>
      <c r="H141" s="110">
        <v>7.1741074316386459</v>
      </c>
      <c r="I141" s="111">
        <f t="shared" si="5"/>
        <v>2026</v>
      </c>
    </row>
    <row r="142" spans="7:9">
      <c r="G142" s="102">
        <v>46174</v>
      </c>
      <c r="H142" s="110">
        <v>7.2153267956248728</v>
      </c>
      <c r="I142" s="111">
        <f t="shared" si="5"/>
        <v>2026</v>
      </c>
    </row>
    <row r="143" spans="7:9">
      <c r="G143" s="102">
        <v>46204</v>
      </c>
      <c r="H143" s="110">
        <v>7.2744720255215709</v>
      </c>
      <c r="I143" s="111">
        <f t="shared" si="5"/>
        <v>2026</v>
      </c>
    </row>
    <row r="144" spans="7:9">
      <c r="G144" s="102">
        <v>46235</v>
      </c>
      <c r="H144" s="110">
        <v>7.3064752663560864</v>
      </c>
      <c r="I144" s="111">
        <f t="shared" si="5"/>
        <v>2026</v>
      </c>
    </row>
    <row r="145" spans="7:9">
      <c r="G145" s="102">
        <v>46266</v>
      </c>
      <c r="H145" s="110">
        <v>7.3195398804942267</v>
      </c>
      <c r="I145" s="111">
        <f t="shared" si="5"/>
        <v>2026</v>
      </c>
    </row>
    <row r="146" spans="7:9">
      <c r="G146" s="102">
        <v>46296</v>
      </c>
      <c r="H146" s="110">
        <v>7.3551890601579899</v>
      </c>
      <c r="I146" s="111">
        <f t="shared" si="5"/>
        <v>2026</v>
      </c>
    </row>
    <row r="147" spans="7:9">
      <c r="G147" s="102">
        <v>46327</v>
      </c>
      <c r="H147" s="110">
        <v>7.4938360117480238</v>
      </c>
      <c r="I147" s="111">
        <f t="shared" si="5"/>
        <v>2026</v>
      </c>
    </row>
    <row r="148" spans="7:9">
      <c r="G148" s="102">
        <v>46357</v>
      </c>
      <c r="H148" s="110">
        <v>7.5999733421105926</v>
      </c>
      <c r="I148" s="111">
        <f t="shared" si="5"/>
        <v>2026</v>
      </c>
    </row>
    <row r="149" spans="7:9">
      <c r="G149" s="102">
        <v>46388</v>
      </c>
      <c r="H149" s="110">
        <v>7.7715350192424539</v>
      </c>
      <c r="I149" s="111">
        <f t="shared" si="5"/>
        <v>2027</v>
      </c>
    </row>
    <row r="150" spans="7:9">
      <c r="G150" s="102">
        <v>46419</v>
      </c>
      <c r="H150" s="110">
        <v>7.8164003220579295</v>
      </c>
      <c r="I150" s="111">
        <f t="shared" si="5"/>
        <v>2027</v>
      </c>
    </row>
    <row r="151" spans="7:9">
      <c r="G151" s="102">
        <v>46447</v>
      </c>
      <c r="H151" s="110">
        <v>7.6057460785902364</v>
      </c>
      <c r="I151" s="111">
        <f t="shared" si="5"/>
        <v>2027</v>
      </c>
    </row>
    <row r="152" spans="7:9">
      <c r="G152" s="102">
        <v>46478</v>
      </c>
      <c r="H152" s="110">
        <v>7.4325639842009315</v>
      </c>
      <c r="I152" s="111">
        <f t="shared" si="5"/>
        <v>2027</v>
      </c>
    </row>
    <row r="153" spans="7:9">
      <c r="G153" s="102">
        <v>46508</v>
      </c>
      <c r="H153" s="110">
        <v>7.4284116649787313</v>
      </c>
      <c r="I153" s="111">
        <f t="shared" si="5"/>
        <v>2027</v>
      </c>
    </row>
    <row r="154" spans="7:9">
      <c r="G154" s="102">
        <v>46539</v>
      </c>
      <c r="H154" s="110">
        <v>7.4643646728782658</v>
      </c>
      <c r="I154" s="111">
        <f t="shared" si="5"/>
        <v>2027</v>
      </c>
    </row>
    <row r="155" spans="7:9">
      <c r="G155" s="102">
        <v>46569</v>
      </c>
      <c r="H155" s="110">
        <v>7.5773887765849697</v>
      </c>
      <c r="I155" s="111">
        <f t="shared" si="5"/>
        <v>2027</v>
      </c>
    </row>
    <row r="156" spans="7:9">
      <c r="G156" s="102">
        <v>46600</v>
      </c>
      <c r="H156" s="110">
        <v>7.6051384221186948</v>
      </c>
      <c r="I156" s="111">
        <f t="shared" si="5"/>
        <v>2027</v>
      </c>
    </row>
    <row r="157" spans="7:9">
      <c r="G157" s="102">
        <v>46631</v>
      </c>
      <c r="H157" s="110">
        <v>7.5335362345553971</v>
      </c>
      <c r="I157" s="111">
        <f t="shared" si="5"/>
        <v>2027</v>
      </c>
    </row>
    <row r="158" spans="7:9">
      <c r="G158" s="102">
        <v>46661</v>
      </c>
      <c r="H158" s="110">
        <v>7.5681726534332583</v>
      </c>
      <c r="I158" s="111">
        <f t="shared" si="5"/>
        <v>2027</v>
      </c>
    </row>
    <row r="159" spans="7:9">
      <c r="G159" s="102">
        <v>46692</v>
      </c>
      <c r="H159" s="110">
        <v>7.7298092748632765</v>
      </c>
      <c r="I159" s="111">
        <f t="shared" si="5"/>
        <v>2027</v>
      </c>
    </row>
    <row r="160" spans="7:9">
      <c r="G160" s="102">
        <v>46722</v>
      </c>
      <c r="H160" s="110">
        <v>7.813969696171764</v>
      </c>
      <c r="I160" s="111">
        <f t="shared" si="5"/>
        <v>2027</v>
      </c>
    </row>
    <row r="161" spans="7:9">
      <c r="G161" s="102">
        <v>46753</v>
      </c>
      <c r="H161" s="110">
        <v>7.9838096799675915</v>
      </c>
      <c r="I161" s="111">
        <f t="shared" si="5"/>
        <v>2028</v>
      </c>
    </row>
    <row r="162" spans="7:9">
      <c r="G162" s="102">
        <v>46784</v>
      </c>
      <c r="H162" s="110">
        <v>8.0312068847478209</v>
      </c>
      <c r="I162" s="111">
        <f t="shared" si="5"/>
        <v>2028</v>
      </c>
    </row>
    <row r="163" spans="7:9">
      <c r="G163" s="102">
        <v>46813</v>
      </c>
      <c r="H163" s="110">
        <v>7.7656610066842209</v>
      </c>
      <c r="I163" s="111">
        <f t="shared" si="5"/>
        <v>2028</v>
      </c>
    </row>
    <row r="164" spans="7:9">
      <c r="G164" s="102">
        <v>46844</v>
      </c>
      <c r="H164" s="110">
        <v>7.576679844034838</v>
      </c>
      <c r="I164" s="111">
        <f t="shared" si="5"/>
        <v>2028</v>
      </c>
    </row>
    <row r="165" spans="7:9">
      <c r="G165" s="102">
        <v>46874</v>
      </c>
      <c r="H165" s="110">
        <v>7.5897444581729792</v>
      </c>
      <c r="I165" s="111">
        <f t="shared" si="5"/>
        <v>2028</v>
      </c>
    </row>
    <row r="166" spans="7:9">
      <c r="G166" s="102">
        <v>46905</v>
      </c>
      <c r="H166" s="110">
        <v>7.6488896880696773</v>
      </c>
      <c r="I166" s="111">
        <f t="shared" si="5"/>
        <v>2028</v>
      </c>
    </row>
    <row r="167" spans="7:9">
      <c r="G167" s="102">
        <v>46935</v>
      </c>
      <c r="H167" s="110">
        <v>7.7150229673891024</v>
      </c>
      <c r="I167" s="111">
        <f t="shared" si="5"/>
        <v>2028</v>
      </c>
    </row>
    <row r="168" spans="7:9">
      <c r="G168" s="102">
        <v>46966</v>
      </c>
      <c r="H168" s="110">
        <v>7.7519887360745381</v>
      </c>
      <c r="I168" s="111">
        <f t="shared" si="5"/>
        <v>2028</v>
      </c>
    </row>
    <row r="169" spans="7:9">
      <c r="G169" s="102">
        <v>46997</v>
      </c>
      <c r="H169" s="110">
        <v>7.641800362568361</v>
      </c>
      <c r="I169" s="111">
        <f t="shared" ref="I169:I232" si="6">YEAR(G169)</f>
        <v>2028</v>
      </c>
    </row>
    <row r="170" spans="7:9">
      <c r="G170" s="102">
        <v>47027</v>
      </c>
      <c r="H170" s="110">
        <v>7.6854503524407534</v>
      </c>
      <c r="I170" s="111">
        <f t="shared" si="6"/>
        <v>2028</v>
      </c>
    </row>
    <row r="171" spans="7:9">
      <c r="G171" s="102">
        <v>47058</v>
      </c>
      <c r="H171" s="110">
        <v>7.8402002005266347</v>
      </c>
      <c r="I171" s="111">
        <f t="shared" si="6"/>
        <v>2028</v>
      </c>
    </row>
    <row r="172" spans="7:9">
      <c r="G172" s="102">
        <v>47088</v>
      </c>
      <c r="H172" s="110">
        <v>7.9607187340490171</v>
      </c>
      <c r="I172" s="111">
        <f t="shared" si="6"/>
        <v>2028</v>
      </c>
    </row>
    <row r="173" spans="7:9">
      <c r="G173" s="102">
        <v>47119</v>
      </c>
      <c r="H173" s="110">
        <v>8.1144558213489955</v>
      </c>
      <c r="I173" s="111">
        <f t="shared" si="6"/>
        <v>2029</v>
      </c>
    </row>
    <row r="174" spans="7:9">
      <c r="G174" s="102">
        <v>47150</v>
      </c>
      <c r="H174" s="110">
        <v>8.1623594065221781</v>
      </c>
      <c r="I174" s="111">
        <f t="shared" si="6"/>
        <v>2029</v>
      </c>
    </row>
    <row r="175" spans="7:9">
      <c r="G175" s="102">
        <v>47178</v>
      </c>
      <c r="H175" s="110">
        <v>7.8755455519546276</v>
      </c>
      <c r="I175" s="111">
        <f t="shared" si="6"/>
        <v>2029</v>
      </c>
    </row>
    <row r="176" spans="7:9">
      <c r="G176" s="102">
        <v>47209</v>
      </c>
      <c r="H176" s="110">
        <v>7.6865643893052455</v>
      </c>
      <c r="I176" s="111">
        <f t="shared" si="6"/>
        <v>2029</v>
      </c>
    </row>
    <row r="177" spans="7:9">
      <c r="G177" s="102">
        <v>47239</v>
      </c>
      <c r="H177" s="110">
        <v>7.7005404881506978</v>
      </c>
      <c r="I177" s="111">
        <f t="shared" si="6"/>
        <v>2029</v>
      </c>
    </row>
    <row r="178" spans="7:9">
      <c r="G178" s="102">
        <v>47270</v>
      </c>
      <c r="H178" s="110">
        <v>7.7512798035244073</v>
      </c>
      <c r="I178" s="111">
        <f t="shared" si="6"/>
        <v>2029</v>
      </c>
    </row>
    <row r="179" spans="7:9">
      <c r="G179" s="102">
        <v>47300</v>
      </c>
      <c r="H179" s="110">
        <v>7.8283508993315776</v>
      </c>
      <c r="I179" s="111">
        <f t="shared" si="6"/>
        <v>2029</v>
      </c>
    </row>
    <row r="180" spans="7:9">
      <c r="G180" s="102">
        <v>47331</v>
      </c>
      <c r="H180" s="110">
        <v>7.86805112213895</v>
      </c>
      <c r="I180" s="111">
        <f t="shared" si="6"/>
        <v>2029</v>
      </c>
    </row>
    <row r="181" spans="7:9">
      <c r="G181" s="102">
        <v>47362</v>
      </c>
      <c r="H181" s="110">
        <v>7.817919463236783</v>
      </c>
      <c r="I181" s="111">
        <f t="shared" si="6"/>
        <v>2029</v>
      </c>
    </row>
    <row r="182" spans="7:9">
      <c r="G182" s="102">
        <v>47392</v>
      </c>
      <c r="H182" s="110">
        <v>7.8482010107352638</v>
      </c>
      <c r="I182" s="111">
        <f t="shared" si="6"/>
        <v>2029</v>
      </c>
    </row>
    <row r="183" spans="7:9">
      <c r="G183" s="102">
        <v>47423</v>
      </c>
      <c r="H183" s="110">
        <v>7.9397545857808378</v>
      </c>
      <c r="I183" s="111">
        <f t="shared" si="6"/>
        <v>2029</v>
      </c>
    </row>
    <row r="184" spans="7:9">
      <c r="G184" s="102">
        <v>47453</v>
      </c>
      <c r="H184" s="110">
        <v>8.0932891209236359</v>
      </c>
      <c r="I184" s="111">
        <f t="shared" si="6"/>
        <v>2029</v>
      </c>
    </row>
    <row r="185" spans="7:9">
      <c r="G185" s="102">
        <v>47484</v>
      </c>
      <c r="H185" s="110">
        <v>8.2768013753291463</v>
      </c>
      <c r="I185" s="111">
        <f t="shared" si="6"/>
        <v>2030</v>
      </c>
    </row>
    <row r="186" spans="7:9">
      <c r="G186" s="102">
        <v>47515</v>
      </c>
      <c r="H186" s="110">
        <v>8.31761563500101</v>
      </c>
      <c r="I186" s="111">
        <f t="shared" si="6"/>
        <v>2030</v>
      </c>
    </row>
    <row r="187" spans="7:9">
      <c r="G187" s="102">
        <v>47543</v>
      </c>
      <c r="H187" s="110">
        <v>7.8369593660117474</v>
      </c>
      <c r="I187" s="111">
        <f t="shared" si="6"/>
        <v>2030</v>
      </c>
    </row>
    <row r="188" spans="7:9">
      <c r="G188" s="102">
        <v>47574</v>
      </c>
      <c r="H188" s="110">
        <v>7.6725882904597933</v>
      </c>
      <c r="I188" s="111">
        <f t="shared" si="6"/>
        <v>2030</v>
      </c>
    </row>
    <row r="189" spans="7:9">
      <c r="G189" s="102">
        <v>47604</v>
      </c>
      <c r="H189" s="110">
        <v>7.7053004638444387</v>
      </c>
      <c r="I189" s="111">
        <f t="shared" si="6"/>
        <v>2030</v>
      </c>
    </row>
    <row r="190" spans="7:9">
      <c r="G190" s="102">
        <v>47635</v>
      </c>
      <c r="H190" s="110">
        <v>7.7485453494024705</v>
      </c>
      <c r="I190" s="111">
        <f t="shared" si="6"/>
        <v>2030</v>
      </c>
    </row>
    <row r="191" spans="7:9">
      <c r="G191" s="102">
        <v>47665</v>
      </c>
      <c r="H191" s="110">
        <v>7.8668358091958677</v>
      </c>
      <c r="I191" s="111">
        <f t="shared" si="6"/>
        <v>2030</v>
      </c>
    </row>
    <row r="192" spans="7:9">
      <c r="G192" s="102">
        <v>47696</v>
      </c>
      <c r="H192" s="110">
        <v>7.900560743366416</v>
      </c>
      <c r="I192" s="111">
        <f t="shared" si="6"/>
        <v>2030</v>
      </c>
    </row>
    <row r="193" spans="7:9">
      <c r="G193" s="102">
        <v>47727</v>
      </c>
      <c r="H193" s="110">
        <v>7.8335159793396798</v>
      </c>
      <c r="I193" s="111">
        <f t="shared" si="6"/>
        <v>2030</v>
      </c>
    </row>
    <row r="194" spans="7:9">
      <c r="G194" s="102">
        <v>47757</v>
      </c>
      <c r="H194" s="110">
        <v>7.867038361353047</v>
      </c>
      <c r="I194" s="111">
        <f t="shared" si="6"/>
        <v>2030</v>
      </c>
    </row>
    <row r="195" spans="7:9">
      <c r="G195" s="102">
        <v>47788</v>
      </c>
      <c r="H195" s="110">
        <v>7.9683144399432848</v>
      </c>
      <c r="I195" s="111">
        <f t="shared" si="6"/>
        <v>2030</v>
      </c>
    </row>
    <row r="196" spans="7:9">
      <c r="G196" s="102">
        <v>47818</v>
      </c>
      <c r="H196" s="110">
        <v>8.1559790135709935</v>
      </c>
      <c r="I196" s="111">
        <f t="shared" si="6"/>
        <v>2030</v>
      </c>
    </row>
    <row r="197" spans="7:9">
      <c r="G197" s="102">
        <v>47849</v>
      </c>
      <c r="H197" s="110">
        <v>8.3273381385456737</v>
      </c>
      <c r="I197" s="111">
        <f t="shared" si="6"/>
        <v>2031</v>
      </c>
    </row>
    <row r="198" spans="7:9">
      <c r="G198" s="102">
        <v>47880</v>
      </c>
      <c r="H198" s="110">
        <v>8.356100544865301</v>
      </c>
      <c r="I198" s="111">
        <f t="shared" si="6"/>
        <v>2031</v>
      </c>
    </row>
    <row r="199" spans="7:9">
      <c r="G199" s="102">
        <v>47908</v>
      </c>
      <c r="H199" s="110">
        <v>7.8468844217135905</v>
      </c>
      <c r="I199" s="111">
        <f t="shared" si="6"/>
        <v>2031</v>
      </c>
    </row>
    <row r="200" spans="7:9">
      <c r="G200" s="102">
        <v>47939</v>
      </c>
      <c r="H200" s="110">
        <v>7.6115188150698794</v>
      </c>
      <c r="I200" s="111">
        <f t="shared" si="6"/>
        <v>2031</v>
      </c>
    </row>
    <row r="201" spans="7:9">
      <c r="G201" s="102">
        <v>47969</v>
      </c>
      <c r="H201" s="110">
        <v>7.6096958456552564</v>
      </c>
      <c r="I201" s="111">
        <f t="shared" si="6"/>
        <v>2031</v>
      </c>
    </row>
    <row r="202" spans="7:9">
      <c r="G202" s="102">
        <v>48000</v>
      </c>
      <c r="H202" s="110">
        <v>7.6551688049422717</v>
      </c>
      <c r="I202" s="111">
        <f t="shared" si="6"/>
        <v>2031</v>
      </c>
    </row>
    <row r="203" spans="7:9">
      <c r="G203" s="102">
        <v>48030</v>
      </c>
      <c r="H203" s="110">
        <v>7.7084400222807368</v>
      </c>
      <c r="I203" s="111">
        <f t="shared" si="6"/>
        <v>2031</v>
      </c>
    </row>
    <row r="204" spans="7:9">
      <c r="G204" s="102">
        <v>48061</v>
      </c>
      <c r="H204" s="110">
        <v>7.7365947721288224</v>
      </c>
      <c r="I204" s="111">
        <f t="shared" si="6"/>
        <v>2031</v>
      </c>
    </row>
    <row r="205" spans="7:9">
      <c r="G205" s="102">
        <v>48092</v>
      </c>
      <c r="H205" s="110">
        <v>8.3283508993315749</v>
      </c>
      <c r="I205" s="111">
        <f t="shared" si="6"/>
        <v>2031</v>
      </c>
    </row>
    <row r="206" spans="7:9">
      <c r="G206" s="102">
        <v>48122</v>
      </c>
      <c r="H206" s="110">
        <v>8.6941600951995124</v>
      </c>
      <c r="I206" s="111">
        <f t="shared" si="6"/>
        <v>2031</v>
      </c>
    </row>
    <row r="207" spans="7:9">
      <c r="G207" s="102">
        <v>48153</v>
      </c>
      <c r="H207" s="110">
        <v>8.7212008081831058</v>
      </c>
      <c r="I207" s="111">
        <f t="shared" si="6"/>
        <v>2031</v>
      </c>
    </row>
    <row r="208" spans="7:9">
      <c r="G208" s="102">
        <v>48183</v>
      </c>
      <c r="H208" s="110">
        <v>8.7767000992505544</v>
      </c>
      <c r="I208" s="111">
        <f t="shared" si="6"/>
        <v>2031</v>
      </c>
    </row>
    <row r="209" spans="7:9">
      <c r="G209" s="102">
        <v>48214</v>
      </c>
      <c r="H209" s="110">
        <v>8.4854300972250343</v>
      </c>
      <c r="I209" s="111">
        <f t="shared" si="6"/>
        <v>2032</v>
      </c>
    </row>
    <row r="210" spans="7:9">
      <c r="G210" s="102">
        <v>48245</v>
      </c>
      <c r="H210" s="110">
        <v>8.5148001600162022</v>
      </c>
      <c r="I210" s="111">
        <f t="shared" si="6"/>
        <v>2032</v>
      </c>
    </row>
    <row r="211" spans="7:9">
      <c r="G211" s="102">
        <v>48274</v>
      </c>
      <c r="H211" s="110">
        <v>7.9958615333198289</v>
      </c>
      <c r="I211" s="111">
        <f t="shared" si="6"/>
        <v>2032</v>
      </c>
    </row>
    <row r="212" spans="7:9">
      <c r="G212" s="102">
        <v>48305</v>
      </c>
      <c r="H212" s="110">
        <v>7.7560397792181481</v>
      </c>
      <c r="I212" s="111">
        <f t="shared" si="6"/>
        <v>2032</v>
      </c>
    </row>
    <row r="213" spans="7:9">
      <c r="G213" s="102">
        <v>48335</v>
      </c>
      <c r="H213" s="110">
        <v>7.7542168098035233</v>
      </c>
      <c r="I213" s="111">
        <f t="shared" si="6"/>
        <v>2032</v>
      </c>
    </row>
    <row r="214" spans="7:9">
      <c r="G214" s="102">
        <v>48366</v>
      </c>
      <c r="H214" s="110">
        <v>7.8004999777192623</v>
      </c>
      <c r="I214" s="111">
        <f t="shared" si="6"/>
        <v>2032</v>
      </c>
    </row>
    <row r="215" spans="7:9">
      <c r="G215" s="102">
        <v>48396</v>
      </c>
      <c r="H215" s="110">
        <v>7.8548852319222195</v>
      </c>
      <c r="I215" s="111">
        <f t="shared" si="6"/>
        <v>2032</v>
      </c>
    </row>
    <row r="216" spans="7:9">
      <c r="G216" s="102">
        <v>48427</v>
      </c>
      <c r="H216" s="110">
        <v>7.8835463621632567</v>
      </c>
      <c r="I216" s="111">
        <f t="shared" si="6"/>
        <v>2032</v>
      </c>
    </row>
    <row r="217" spans="7:9">
      <c r="G217" s="102">
        <v>48458</v>
      </c>
      <c r="H217" s="110">
        <v>8.4865441340895256</v>
      </c>
      <c r="I217" s="111">
        <f t="shared" si="6"/>
        <v>2032</v>
      </c>
    </row>
    <row r="218" spans="7:9">
      <c r="G218" s="102">
        <v>48488</v>
      </c>
      <c r="H218" s="110">
        <v>8.8592401033015982</v>
      </c>
      <c r="I218" s="111">
        <f t="shared" si="6"/>
        <v>2032</v>
      </c>
    </row>
    <row r="219" spans="7:9">
      <c r="G219" s="102">
        <v>48519</v>
      </c>
      <c r="H219" s="110">
        <v>8.886787196678144</v>
      </c>
      <c r="I219" s="111">
        <f t="shared" si="6"/>
        <v>2032</v>
      </c>
    </row>
    <row r="220" spans="7:9">
      <c r="G220" s="102">
        <v>48549</v>
      </c>
      <c r="H220" s="110">
        <v>8.9432992485314955</v>
      </c>
      <c r="I220" s="111">
        <f t="shared" si="6"/>
        <v>2032</v>
      </c>
    </row>
    <row r="221" spans="7:9">
      <c r="G221" s="102">
        <v>48580</v>
      </c>
      <c r="H221" s="110">
        <v>8.6465603382621019</v>
      </c>
      <c r="I221" s="111">
        <f t="shared" si="6"/>
        <v>2033</v>
      </c>
    </row>
    <row r="222" spans="7:9">
      <c r="G222" s="102">
        <v>48611</v>
      </c>
      <c r="H222" s="110">
        <v>8.6764367814462204</v>
      </c>
      <c r="I222" s="111">
        <f t="shared" si="6"/>
        <v>2033</v>
      </c>
    </row>
    <row r="223" spans="7:9">
      <c r="G223" s="102">
        <v>48639</v>
      </c>
      <c r="H223" s="110">
        <v>8.1476743751265932</v>
      </c>
      <c r="I223" s="111">
        <f t="shared" si="6"/>
        <v>2033</v>
      </c>
    </row>
    <row r="224" spans="7:9">
      <c r="G224" s="102">
        <v>48670</v>
      </c>
      <c r="H224" s="110">
        <v>7.9032951974883527</v>
      </c>
      <c r="I224" s="111">
        <f t="shared" si="6"/>
        <v>2033</v>
      </c>
    </row>
    <row r="225" spans="7:9">
      <c r="G225" s="102">
        <v>48700</v>
      </c>
      <c r="H225" s="110">
        <v>7.9014722280737288</v>
      </c>
      <c r="I225" s="111">
        <f t="shared" si="6"/>
        <v>2033</v>
      </c>
    </row>
    <row r="226" spans="7:9">
      <c r="G226" s="102">
        <v>48731</v>
      </c>
      <c r="H226" s="110">
        <v>7.9485656046181887</v>
      </c>
      <c r="I226" s="111">
        <f t="shared" si="6"/>
        <v>2033</v>
      </c>
    </row>
    <row r="227" spans="7:9">
      <c r="G227" s="102">
        <v>48761</v>
      </c>
      <c r="H227" s="110">
        <v>8.0039636196070472</v>
      </c>
      <c r="I227" s="111">
        <f t="shared" si="6"/>
        <v>2033</v>
      </c>
    </row>
    <row r="228" spans="7:9">
      <c r="G228" s="102">
        <v>48792</v>
      </c>
      <c r="H228" s="110">
        <v>8.033232406319625</v>
      </c>
      <c r="I228" s="111">
        <f t="shared" si="6"/>
        <v>2033</v>
      </c>
    </row>
    <row r="229" spans="7:9">
      <c r="G229" s="102">
        <v>48823</v>
      </c>
      <c r="H229" s="110">
        <v>8.6476743751265932</v>
      </c>
      <c r="I229" s="111">
        <f t="shared" si="6"/>
        <v>2033</v>
      </c>
    </row>
    <row r="230" spans="7:9">
      <c r="G230" s="102">
        <v>48853</v>
      </c>
      <c r="H230" s="110">
        <v>9.0274596698399829</v>
      </c>
      <c r="I230" s="111">
        <f t="shared" si="6"/>
        <v>2033</v>
      </c>
    </row>
    <row r="231" spans="7:9">
      <c r="G231" s="102">
        <v>48884</v>
      </c>
      <c r="H231" s="110">
        <v>9.0555131436094776</v>
      </c>
      <c r="I231" s="111">
        <f t="shared" si="6"/>
        <v>2033</v>
      </c>
    </row>
    <row r="232" spans="7:9">
      <c r="G232" s="102">
        <v>48914</v>
      </c>
      <c r="H232" s="110">
        <v>9.1131392323273221</v>
      </c>
      <c r="I232" s="111">
        <f t="shared" si="6"/>
        <v>2033</v>
      </c>
    </row>
    <row r="233" spans="7:9">
      <c r="G233" s="102">
        <v>48945</v>
      </c>
      <c r="H233" s="110">
        <v>8.8194386044156357</v>
      </c>
      <c r="I233" s="111">
        <f t="shared" ref="I233:I268" si="7">YEAR(G233)</f>
        <v>2034</v>
      </c>
    </row>
    <row r="234" spans="7:9">
      <c r="G234" s="102">
        <v>48976</v>
      </c>
      <c r="H234" s="110">
        <v>8.8499227040712967</v>
      </c>
      <c r="I234" s="111">
        <f t="shared" si="7"/>
        <v>2034</v>
      </c>
    </row>
    <row r="235" spans="7:9">
      <c r="G235" s="102">
        <v>49004</v>
      </c>
      <c r="H235" s="110">
        <v>8.3105263094996946</v>
      </c>
      <c r="I235" s="111">
        <f t="shared" si="7"/>
        <v>2034</v>
      </c>
    </row>
    <row r="236" spans="7:9">
      <c r="G236" s="102">
        <v>49035</v>
      </c>
      <c r="H236" s="110">
        <v>8.0612858800891214</v>
      </c>
      <c r="I236" s="111">
        <f t="shared" si="7"/>
        <v>2034</v>
      </c>
    </row>
    <row r="237" spans="7:9">
      <c r="G237" s="102">
        <v>49065</v>
      </c>
      <c r="H237" s="110">
        <v>8.0593616345959074</v>
      </c>
      <c r="I237" s="111">
        <f t="shared" si="7"/>
        <v>2034</v>
      </c>
    </row>
    <row r="238" spans="7:9">
      <c r="G238" s="102">
        <v>49096</v>
      </c>
      <c r="H238" s="110">
        <v>8.1074677719262684</v>
      </c>
      <c r="I238" s="111">
        <f t="shared" si="7"/>
        <v>2034</v>
      </c>
    </row>
    <row r="239" spans="7:9">
      <c r="G239" s="102">
        <v>49126</v>
      </c>
      <c r="H239" s="110">
        <v>8.1639798237796217</v>
      </c>
      <c r="I239" s="111">
        <f t="shared" si="7"/>
        <v>2034</v>
      </c>
    </row>
    <row r="240" spans="7:9">
      <c r="G240" s="102">
        <v>49157</v>
      </c>
      <c r="H240" s="110">
        <v>8.1937549908851519</v>
      </c>
      <c r="I240" s="111">
        <f t="shared" si="7"/>
        <v>2034</v>
      </c>
    </row>
    <row r="241" spans="7:9">
      <c r="G241" s="102">
        <v>49188</v>
      </c>
      <c r="H241" s="110">
        <v>8.8205526412801287</v>
      </c>
      <c r="I241" s="111">
        <f t="shared" si="7"/>
        <v>2034</v>
      </c>
    </row>
    <row r="242" spans="7:9">
      <c r="G242" s="102">
        <v>49218</v>
      </c>
      <c r="H242" s="110">
        <v>9.2079336418877844</v>
      </c>
      <c r="I242" s="111">
        <f t="shared" si="7"/>
        <v>2034</v>
      </c>
    </row>
    <row r="243" spans="7:9">
      <c r="G243" s="102">
        <v>49249</v>
      </c>
      <c r="H243" s="110">
        <v>9.2365947721288215</v>
      </c>
      <c r="I243" s="111">
        <f t="shared" si="7"/>
        <v>2034</v>
      </c>
    </row>
    <row r="244" spans="7:9">
      <c r="G244" s="102">
        <v>49279</v>
      </c>
      <c r="H244" s="110">
        <v>9.2953348977111592</v>
      </c>
      <c r="I244" s="111">
        <f t="shared" si="7"/>
        <v>2034</v>
      </c>
    </row>
    <row r="245" spans="7:9">
      <c r="G245" s="102">
        <v>49310</v>
      </c>
      <c r="H245" s="110">
        <v>8.9869492384038878</v>
      </c>
      <c r="I245" s="111">
        <f t="shared" si="7"/>
        <v>2035</v>
      </c>
    </row>
    <row r="246" spans="7:9">
      <c r="G246" s="102">
        <v>49341</v>
      </c>
      <c r="H246" s="110">
        <v>9.0179397184525012</v>
      </c>
      <c r="I246" s="111">
        <f t="shared" si="7"/>
        <v>2035</v>
      </c>
    </row>
    <row r="247" spans="7:9">
      <c r="G247" s="102">
        <v>49369</v>
      </c>
      <c r="H247" s="110">
        <v>8.4684157160218749</v>
      </c>
      <c r="I247" s="111">
        <f t="shared" si="7"/>
        <v>2035</v>
      </c>
    </row>
    <row r="248" spans="7:9">
      <c r="G248" s="102">
        <v>49400</v>
      </c>
      <c r="H248" s="110">
        <v>8.2143140348389707</v>
      </c>
      <c r="I248" s="111">
        <f t="shared" si="7"/>
        <v>2035</v>
      </c>
    </row>
    <row r="249" spans="7:9">
      <c r="G249" s="102">
        <v>49430</v>
      </c>
      <c r="H249" s="110">
        <v>8.2123897893457549</v>
      </c>
      <c r="I249" s="111">
        <f t="shared" si="7"/>
        <v>2035</v>
      </c>
    </row>
    <row r="250" spans="7:9">
      <c r="G250" s="102">
        <v>49461</v>
      </c>
      <c r="H250" s="110">
        <v>8.2614074113834306</v>
      </c>
      <c r="I250" s="111">
        <f t="shared" si="7"/>
        <v>2035</v>
      </c>
    </row>
    <row r="251" spans="7:9">
      <c r="G251" s="102">
        <v>49491</v>
      </c>
      <c r="H251" s="110">
        <v>8.3190335001012734</v>
      </c>
      <c r="I251" s="111">
        <f t="shared" si="7"/>
        <v>2035</v>
      </c>
    </row>
    <row r="252" spans="7:9">
      <c r="G252" s="102">
        <v>49522</v>
      </c>
      <c r="H252" s="110">
        <v>8.3494163236783461</v>
      </c>
      <c r="I252" s="111">
        <f t="shared" si="7"/>
        <v>2035</v>
      </c>
    </row>
    <row r="253" spans="7:9">
      <c r="G253" s="102">
        <v>49553</v>
      </c>
      <c r="H253" s="110">
        <v>8.9880632752683809</v>
      </c>
      <c r="I253" s="111">
        <f t="shared" si="7"/>
        <v>2035</v>
      </c>
    </row>
    <row r="254" spans="7:9">
      <c r="G254" s="102">
        <v>49583</v>
      </c>
      <c r="H254" s="110">
        <v>9.3828374296131223</v>
      </c>
      <c r="I254" s="111">
        <f t="shared" si="7"/>
        <v>2035</v>
      </c>
    </row>
    <row r="255" spans="7:9">
      <c r="G255" s="102">
        <v>49614</v>
      </c>
      <c r="H255" s="110">
        <v>9.4120049402471118</v>
      </c>
      <c r="I255" s="111">
        <f t="shared" si="7"/>
        <v>2035</v>
      </c>
    </row>
    <row r="256" spans="7:9">
      <c r="G256" s="102">
        <v>49644</v>
      </c>
      <c r="H256" s="110">
        <v>9.4718591026939425</v>
      </c>
      <c r="I256" s="111">
        <f t="shared" si="7"/>
        <v>2035</v>
      </c>
    </row>
    <row r="257" spans="7:9">
      <c r="G257" s="102">
        <v>49675</v>
      </c>
      <c r="H257" s="110">
        <v>9.1575994308284372</v>
      </c>
      <c r="I257" s="111">
        <f t="shared" si="7"/>
        <v>2036</v>
      </c>
    </row>
    <row r="258" spans="7:9">
      <c r="G258" s="102">
        <v>49706</v>
      </c>
      <c r="H258" s="110">
        <v>9.1891975673485913</v>
      </c>
      <c r="I258" s="111">
        <f t="shared" si="7"/>
        <v>2036</v>
      </c>
    </row>
    <row r="259" spans="7:9">
      <c r="G259" s="102">
        <v>49735</v>
      </c>
      <c r="H259" s="110">
        <v>8.6291408527445803</v>
      </c>
      <c r="I259" s="111">
        <f t="shared" si="7"/>
        <v>2036</v>
      </c>
    </row>
    <row r="260" spans="7:9">
      <c r="G260" s="102">
        <v>49766</v>
      </c>
      <c r="H260" s="110">
        <v>8.3703804719465253</v>
      </c>
      <c r="I260" s="111">
        <f t="shared" si="7"/>
        <v>2036</v>
      </c>
    </row>
    <row r="261" spans="7:9">
      <c r="G261" s="102">
        <v>49796</v>
      </c>
      <c r="H261" s="110">
        <v>8.3683549503747194</v>
      </c>
      <c r="I261" s="111">
        <f t="shared" si="7"/>
        <v>2036</v>
      </c>
    </row>
    <row r="262" spans="7:9">
      <c r="G262" s="102">
        <v>49827</v>
      </c>
      <c r="H262" s="110">
        <v>8.418284057119708</v>
      </c>
      <c r="I262" s="111">
        <f t="shared" si="7"/>
        <v>2036</v>
      </c>
    </row>
    <row r="263" spans="7:9">
      <c r="G263" s="102">
        <v>49857</v>
      </c>
      <c r="H263" s="110">
        <v>8.4770241827020438</v>
      </c>
      <c r="I263" s="111">
        <f t="shared" si="7"/>
        <v>2036</v>
      </c>
    </row>
    <row r="264" spans="7:9">
      <c r="G264" s="102">
        <v>49888</v>
      </c>
      <c r="H264" s="110">
        <v>8.5079133866720671</v>
      </c>
      <c r="I264" s="111">
        <f t="shared" si="7"/>
        <v>2036</v>
      </c>
    </row>
    <row r="265" spans="7:9">
      <c r="G265" s="102">
        <v>49919</v>
      </c>
      <c r="H265" s="110">
        <v>9.1587134676929285</v>
      </c>
      <c r="I265" s="111">
        <f t="shared" si="7"/>
        <v>2036</v>
      </c>
    </row>
    <row r="266" spans="7:9">
      <c r="G266" s="102">
        <v>49949</v>
      </c>
      <c r="H266" s="110">
        <v>9.560982051853351</v>
      </c>
      <c r="I266" s="111">
        <f t="shared" si="7"/>
        <v>2036</v>
      </c>
    </row>
    <row r="267" spans="7:9">
      <c r="G267" s="102">
        <v>49980</v>
      </c>
      <c r="H267" s="110">
        <v>9.5907572189588812</v>
      </c>
      <c r="I267" s="111">
        <f t="shared" si="7"/>
        <v>2036</v>
      </c>
    </row>
    <row r="268" spans="7:9">
      <c r="G268" s="102">
        <v>50010</v>
      </c>
      <c r="H268" s="110">
        <v>9.6517254182702032</v>
      </c>
      <c r="I268" s="111">
        <f t="shared" si="7"/>
        <v>2036</v>
      </c>
    </row>
    <row r="269" spans="7:9">
      <c r="G269" s="141"/>
      <c r="H269" s="110"/>
      <c r="I269" s="111"/>
    </row>
    <row r="270" spans="7:9">
      <c r="G270" s="141"/>
      <c r="H270" s="110"/>
      <c r="I270" s="111"/>
    </row>
    <row r="271" spans="7:9">
      <c r="G271" s="141"/>
      <c r="H271" s="110"/>
      <c r="I271" s="111"/>
    </row>
    <row r="272" spans="7:9">
      <c r="G272" s="141"/>
      <c r="H272" s="110"/>
      <c r="I272" s="111"/>
    </row>
    <row r="273" spans="7:9">
      <c r="G273" s="141"/>
      <c r="H273" s="110"/>
      <c r="I273" s="111"/>
    </row>
    <row r="274" spans="7:9">
      <c r="G274" s="141"/>
      <c r="H274" s="110"/>
      <c r="I274" s="111"/>
    </row>
    <row r="275" spans="7:9">
      <c r="G275" s="141"/>
      <c r="H275" s="110"/>
      <c r="I275" s="111"/>
    </row>
    <row r="276" spans="7:9">
      <c r="G276" s="141"/>
      <c r="H276" s="110"/>
      <c r="I276" s="111"/>
    </row>
    <row r="277" spans="7:9">
      <c r="G277" s="141"/>
      <c r="H277" s="110"/>
      <c r="I277" s="111"/>
    </row>
    <row r="278" spans="7:9">
      <c r="G278" s="141"/>
      <c r="H278" s="110"/>
      <c r="I278" s="111"/>
    </row>
    <row r="279" spans="7:9">
      <c r="G279" s="141"/>
      <c r="H279" s="110"/>
      <c r="I279" s="111"/>
    </row>
    <row r="280" spans="7:9">
      <c r="G280" s="141"/>
      <c r="H280" s="110"/>
      <c r="I280" s="111"/>
    </row>
    <row r="281" spans="7:9">
      <c r="G281" s="141"/>
      <c r="H281" s="110"/>
      <c r="I281" s="111"/>
    </row>
    <row r="282" spans="7:9">
      <c r="G282" s="141"/>
      <c r="H282" s="110"/>
      <c r="I282" s="111"/>
    </row>
    <row r="283" spans="7:9">
      <c r="G283" s="141"/>
      <c r="H283" s="110"/>
      <c r="I283" s="111"/>
    </row>
    <row r="284" spans="7:9">
      <c r="G284" s="141"/>
      <c r="H284" s="110"/>
      <c r="I284" s="111"/>
    </row>
    <row r="285" spans="7:9">
      <c r="G285" s="141"/>
      <c r="H285" s="110"/>
      <c r="I285" s="111"/>
    </row>
    <row r="286" spans="7:9">
      <c r="G286" s="141"/>
      <c r="H286" s="110"/>
      <c r="I286" s="111"/>
    </row>
    <row r="287" spans="7:9">
      <c r="G287" s="141"/>
      <c r="H287" s="110"/>
      <c r="I287" s="111"/>
    </row>
    <row r="288" spans="7:9">
      <c r="G288" s="141"/>
      <c r="H288" s="110"/>
      <c r="I288" s="111"/>
    </row>
    <row r="289" spans="7:9">
      <c r="G289" s="141"/>
      <c r="H289" s="110"/>
      <c r="I289" s="111"/>
    </row>
    <row r="290" spans="7:9">
      <c r="G290" s="141"/>
      <c r="H290" s="110"/>
      <c r="I290" s="111"/>
    </row>
    <row r="291" spans="7:9">
      <c r="G291" s="141"/>
      <c r="H291" s="110"/>
      <c r="I291" s="111"/>
    </row>
    <row r="292" spans="7:9">
      <c r="G292" s="141"/>
      <c r="H292" s="110"/>
      <c r="I292" s="111"/>
    </row>
    <row r="293" spans="7:9">
      <c r="G293" s="141"/>
      <c r="H293" s="110"/>
      <c r="I293" s="111"/>
    </row>
    <row r="294" spans="7:9">
      <c r="G294" s="141"/>
      <c r="H294" s="110"/>
      <c r="I294" s="111"/>
    </row>
    <row r="295" spans="7:9">
      <c r="G295" s="141"/>
      <c r="H295" s="110"/>
      <c r="I295" s="111"/>
    </row>
    <row r="296" spans="7:9">
      <c r="G296" s="141"/>
      <c r="H296" s="110"/>
      <c r="I296" s="111"/>
    </row>
    <row r="297" spans="7:9">
      <c r="G297" s="141"/>
      <c r="H297" s="110"/>
      <c r="I297" s="111"/>
    </row>
    <row r="298" spans="7:9">
      <c r="G298" s="141"/>
      <c r="H298" s="110"/>
      <c r="I298" s="111"/>
    </row>
    <row r="299" spans="7:9">
      <c r="G299" s="141"/>
      <c r="H299" s="110"/>
      <c r="I299" s="111"/>
    </row>
    <row r="300" spans="7:9">
      <c r="G300" s="141"/>
      <c r="H300" s="110"/>
      <c r="I300" s="111"/>
    </row>
    <row r="301" spans="7:9">
      <c r="G301" s="141"/>
      <c r="H301" s="110"/>
      <c r="I301" s="111"/>
    </row>
    <row r="302" spans="7:9">
      <c r="G302" s="141"/>
      <c r="H302" s="110"/>
      <c r="I302" s="111"/>
    </row>
    <row r="303" spans="7:9">
      <c r="G303" s="141"/>
      <c r="H303" s="110"/>
      <c r="I303" s="111"/>
    </row>
    <row r="304" spans="7:9">
      <c r="G304" s="141"/>
      <c r="H304" s="110"/>
      <c r="I304" s="111"/>
    </row>
    <row r="305" spans="7:9">
      <c r="G305" s="141"/>
      <c r="H305" s="110"/>
      <c r="I305" s="111"/>
    </row>
    <row r="306" spans="7:9">
      <c r="G306" s="141"/>
      <c r="H306" s="110"/>
      <c r="I306" s="111"/>
    </row>
    <row r="307" spans="7:9">
      <c r="G307" s="141"/>
      <c r="H307" s="110"/>
      <c r="I307" s="111"/>
    </row>
    <row r="308" spans="7:9">
      <c r="G308" s="141"/>
      <c r="H308" s="110"/>
      <c r="I308" s="111"/>
    </row>
    <row r="309" spans="7:9">
      <c r="G309" s="141"/>
      <c r="H309" s="110"/>
      <c r="I309" s="111"/>
    </row>
    <row r="310" spans="7:9">
      <c r="G310" s="141"/>
      <c r="H310" s="110"/>
      <c r="I310" s="111"/>
    </row>
    <row r="311" spans="7:9">
      <c r="G311" s="141"/>
      <c r="H311" s="110"/>
      <c r="I311" s="111"/>
    </row>
    <row r="312" spans="7:9">
      <c r="G312" s="141"/>
      <c r="H312" s="110"/>
      <c r="I312" s="111"/>
    </row>
    <row r="313" spans="7:9">
      <c r="G313" s="141"/>
      <c r="H313" s="110"/>
      <c r="I313" s="111"/>
    </row>
    <row r="314" spans="7:9">
      <c r="G314" s="141"/>
      <c r="H314" s="110"/>
      <c r="I314" s="111"/>
    </row>
    <row r="315" spans="7:9">
      <c r="G315" s="141"/>
      <c r="H315" s="110"/>
      <c r="I315" s="111"/>
    </row>
    <row r="316" spans="7:9">
      <c r="G316" s="141"/>
      <c r="H316" s="110"/>
      <c r="I316" s="111"/>
    </row>
    <row r="317" spans="7:9">
      <c r="G317" s="141"/>
      <c r="H317" s="110"/>
      <c r="I317" s="111"/>
    </row>
    <row r="318" spans="7:9">
      <c r="G318" s="141"/>
      <c r="H318" s="110"/>
      <c r="I318" s="111"/>
    </row>
    <row r="319" spans="7:9">
      <c r="G319" s="141"/>
      <c r="H319" s="110"/>
      <c r="I319" s="111"/>
    </row>
    <row r="320" spans="7:9">
      <c r="G320" s="141"/>
      <c r="H320" s="110"/>
      <c r="I320" s="111"/>
    </row>
    <row r="321" spans="7:9">
      <c r="G321" s="141"/>
      <c r="H321" s="110"/>
      <c r="I321" s="111"/>
    </row>
    <row r="322" spans="7:9">
      <c r="G322" s="141"/>
      <c r="H322" s="110"/>
      <c r="I322" s="111"/>
    </row>
  </sheetData>
  <phoneticPr fontId="6" type="noConversion"/>
  <printOptions horizontalCentered="1"/>
  <pageMargins left="0.3" right="0.3" top="0.8" bottom="0.4" header="0.5" footer="0.2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Appendix D</vt:lpstr>
      <vt:lpstr>Table 1</vt:lpstr>
      <vt:lpstr>Table 2</vt:lpstr>
      <vt:lpstr>Table 3</vt:lpstr>
      <vt:lpstr>Table 4</vt:lpstr>
      <vt:lpstr>Table 5</vt:lpstr>
      <vt:lpstr>'Appendix D'!Print_Area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2'!Print_Titles</vt:lpstr>
      <vt:lpstr>'Table 3'!Print_Titles</vt:lpstr>
      <vt:lpstr>'Table 4'!Print_Titles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Melissa Robyn Paschal</cp:lastModifiedBy>
  <cp:lastPrinted>2012-06-26T15:57:15Z</cp:lastPrinted>
  <dcterms:created xsi:type="dcterms:W3CDTF">2001-03-19T15:45:46Z</dcterms:created>
  <dcterms:modified xsi:type="dcterms:W3CDTF">2012-07-10T18:10:54Z</dcterms:modified>
</cp:coreProperties>
</file>