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850" windowHeight="6750"/>
  </bookViews>
  <sheets>
    <sheet name="Historical" sheetId="5" r:id="rId1"/>
    <sheet name="Historical CF" sheetId="6" r:id="rId2"/>
    <sheet name="Forecast" sheetId="7" r:id="rId3"/>
    <sheet name="Assumptions" sheetId="8" r:id="rId4"/>
  </sheets>
  <definedNames>
    <definedName name="_xlnm.Print_Area" localSheetId="3">Assumptions!$A$1:$O$62</definedName>
    <definedName name="_xlnm.Print_Area" localSheetId="2">Forecast!$A$1:$X$150</definedName>
    <definedName name="_xlnm.Print_Area" localSheetId="0">Historical!$A$1:$AE$154</definedName>
    <definedName name="_xlnm.Print_Area" localSheetId="1">'Historical CF'!$A$1:$O$119</definedName>
  </definedNames>
  <calcPr calcId="125725" calcMode="manual" iterate="1" iterateCount="1"/>
</workbook>
</file>

<file path=xl/calcChain.xml><?xml version="1.0" encoding="utf-8"?>
<calcChain xmlns="http://schemas.openxmlformats.org/spreadsheetml/2006/main">
  <c r="I124" i="5"/>
  <c r="J124"/>
  <c r="K124"/>
  <c r="L124"/>
  <c r="M124"/>
  <c r="N124"/>
  <c r="O124" l="1"/>
  <c r="O84"/>
  <c r="C101" i="7"/>
  <c r="C64" i="8"/>
  <c r="C69" s="1"/>
  <c r="C84" i="7"/>
  <c r="C85"/>
  <c r="C79"/>
  <c r="C80" i="8"/>
  <c r="C71"/>
  <c r="C68"/>
  <c r="O99" i="5"/>
  <c r="O97"/>
  <c r="O96"/>
  <c r="O93"/>
  <c r="O91"/>
  <c r="O89"/>
  <c r="O90"/>
  <c r="O88"/>
  <c r="O87"/>
  <c r="O85"/>
  <c r="O76"/>
  <c r="O80"/>
  <c r="O81"/>
  <c r="O82"/>
  <c r="O79"/>
  <c r="O75"/>
  <c r="D43" i="7"/>
  <c r="E43"/>
  <c r="F43"/>
  <c r="G43"/>
  <c r="H43"/>
  <c r="I43"/>
  <c r="J43"/>
  <c r="C43"/>
  <c r="C21"/>
  <c r="D21"/>
  <c r="E21"/>
  <c r="F21"/>
  <c r="G21"/>
  <c r="H21"/>
  <c r="I21"/>
  <c r="J21"/>
  <c r="O30" i="5"/>
  <c r="E50" i="8"/>
  <c r="C50" s="1"/>
  <c r="I43"/>
  <c r="J43"/>
  <c r="K43"/>
  <c r="L43"/>
  <c r="H43"/>
  <c r="I27"/>
  <c r="J27"/>
  <c r="K27"/>
  <c r="L27"/>
  <c r="H27"/>
  <c r="I16"/>
  <c r="J16"/>
  <c r="K16"/>
  <c r="L16"/>
  <c r="H16"/>
  <c r="M16" s="1"/>
  <c r="C16" s="1"/>
  <c r="I86"/>
  <c r="J86"/>
  <c r="K86"/>
  <c r="L86"/>
  <c r="I70"/>
  <c r="J70"/>
  <c r="K70"/>
  <c r="L70"/>
  <c r="H70"/>
  <c r="I51"/>
  <c r="J51"/>
  <c r="K51"/>
  <c r="L51"/>
  <c r="H51"/>
  <c r="I49"/>
  <c r="J49"/>
  <c r="K49"/>
  <c r="L49"/>
  <c r="H49"/>
  <c r="I45"/>
  <c r="J45"/>
  <c r="K45"/>
  <c r="L45"/>
  <c r="H45"/>
  <c r="J44"/>
  <c r="K44"/>
  <c r="L44"/>
  <c r="H44"/>
  <c r="I41"/>
  <c r="J41"/>
  <c r="K41"/>
  <c r="L41"/>
  <c r="H41"/>
  <c r="I14"/>
  <c r="M14" s="1"/>
  <c r="C14" s="1"/>
  <c r="J14"/>
  <c r="K14"/>
  <c r="L14"/>
  <c r="H14"/>
  <c r="I7"/>
  <c r="J7"/>
  <c r="K7"/>
  <c r="L7"/>
  <c r="H7"/>
  <c r="I6"/>
  <c r="J6"/>
  <c r="K6"/>
  <c r="L6"/>
  <c r="H6"/>
  <c r="AE100" i="5"/>
  <c r="AE99"/>
  <c r="AE97"/>
  <c r="AE96"/>
  <c r="AE95"/>
  <c r="AE93"/>
  <c r="AE91"/>
  <c r="AE89"/>
  <c r="AE90"/>
  <c r="AE88"/>
  <c r="AE87"/>
  <c r="AE85"/>
  <c r="AE84"/>
  <c r="AE80"/>
  <c r="AE81"/>
  <c r="AE82"/>
  <c r="AE79"/>
  <c r="AE76"/>
  <c r="AE75"/>
  <c r="B105" i="7"/>
  <c r="B104"/>
  <c r="B101"/>
  <c r="B100"/>
  <c r="B95"/>
  <c r="B92"/>
  <c r="B91"/>
  <c r="B84"/>
  <c r="B85"/>
  <c r="B86"/>
  <c r="B83"/>
  <c r="B79"/>
  <c r="B63"/>
  <c r="B62"/>
  <c r="C62" s="1"/>
  <c r="D62" s="1"/>
  <c r="E62" s="1"/>
  <c r="F62" s="1"/>
  <c r="G62" s="1"/>
  <c r="H62" s="1"/>
  <c r="I62" s="1"/>
  <c r="J62" s="1"/>
  <c r="K62" s="1"/>
  <c r="B59"/>
  <c r="C59" s="1"/>
  <c r="B51"/>
  <c r="B52"/>
  <c r="B53"/>
  <c r="B50"/>
  <c r="B43"/>
  <c r="B44"/>
  <c r="B45"/>
  <c r="B46"/>
  <c r="B47"/>
  <c r="B42"/>
  <c r="B32"/>
  <c r="B33"/>
  <c r="B34"/>
  <c r="B35"/>
  <c r="B31"/>
  <c r="B26"/>
  <c r="B21"/>
  <c r="B20"/>
  <c r="C20" s="1"/>
  <c r="B15"/>
  <c r="B16"/>
  <c r="B14"/>
  <c r="B12"/>
  <c r="O141" i="5"/>
  <c r="O138"/>
  <c r="O137"/>
  <c r="O136"/>
  <c r="O132"/>
  <c r="O128"/>
  <c r="O129"/>
  <c r="O115"/>
  <c r="O116"/>
  <c r="O117"/>
  <c r="O120"/>
  <c r="O121"/>
  <c r="O122"/>
  <c r="O123"/>
  <c r="N133"/>
  <c r="N132"/>
  <c r="N129"/>
  <c r="N128"/>
  <c r="N127"/>
  <c r="N117"/>
  <c r="N116"/>
  <c r="N90"/>
  <c r="N87"/>
  <c r="N61"/>
  <c r="N46"/>
  <c r="N52"/>
  <c r="N44"/>
  <c r="A108" i="6"/>
  <c r="N15" i="5"/>
  <c r="N14"/>
  <c r="M136"/>
  <c r="M137"/>
  <c r="M138"/>
  <c r="M132"/>
  <c r="M133"/>
  <c r="M127"/>
  <c r="M128"/>
  <c r="M129"/>
  <c r="M120"/>
  <c r="M121"/>
  <c r="M122"/>
  <c r="M123"/>
  <c r="M114"/>
  <c r="M115"/>
  <c r="M116"/>
  <c r="M117"/>
  <c r="J111"/>
  <c r="K111"/>
  <c r="L111"/>
  <c r="M111"/>
  <c r="O63"/>
  <c r="O62"/>
  <c r="O61"/>
  <c r="O60"/>
  <c r="O57"/>
  <c r="O55"/>
  <c r="O53"/>
  <c r="O52"/>
  <c r="O51"/>
  <c r="O50"/>
  <c r="O49"/>
  <c r="O47"/>
  <c r="O46"/>
  <c r="O45"/>
  <c r="O44"/>
  <c r="O43"/>
  <c r="O41"/>
  <c r="O37"/>
  <c r="O36"/>
  <c r="O35"/>
  <c r="O31"/>
  <c r="O32"/>
  <c r="O33"/>
  <c r="O34"/>
  <c r="O27"/>
  <c r="O25"/>
  <c r="O23"/>
  <c r="O20"/>
  <c r="O19"/>
  <c r="M90"/>
  <c r="M87"/>
  <c r="M73"/>
  <c r="M52"/>
  <c r="M44"/>
  <c r="L52"/>
  <c r="L15"/>
  <c r="O16"/>
  <c r="O13"/>
  <c r="O14"/>
  <c r="O15"/>
  <c r="O12"/>
  <c r="M15"/>
  <c r="M14"/>
  <c r="AC73"/>
  <c r="AC9"/>
  <c r="M57" i="6"/>
  <c r="M56"/>
  <c r="M54"/>
  <c r="M41"/>
  <c r="M8"/>
  <c r="M66" s="1"/>
  <c r="M91" i="5"/>
  <c r="M84"/>
  <c r="M76"/>
  <c r="AC99" s="1"/>
  <c r="M62"/>
  <c r="M53"/>
  <c r="M47"/>
  <c r="M35"/>
  <c r="M23"/>
  <c r="M27" s="1"/>
  <c r="M16"/>
  <c r="M9"/>
  <c r="D79" i="7"/>
  <c r="E79" s="1"/>
  <c r="A124"/>
  <c r="H86" i="8"/>
  <c r="M41"/>
  <c r="N7" i="6"/>
  <c r="N65" s="1"/>
  <c r="N8"/>
  <c r="N66" s="1"/>
  <c r="N41"/>
  <c r="N54"/>
  <c r="N57"/>
  <c r="AD72" i="5"/>
  <c r="N72"/>
  <c r="N110" s="1"/>
  <c r="N91"/>
  <c r="N84"/>
  <c r="N76"/>
  <c r="AD100" s="1"/>
  <c r="N73"/>
  <c r="N111" s="1"/>
  <c r="N62"/>
  <c r="N53"/>
  <c r="N47"/>
  <c r="N115" s="1"/>
  <c r="N35"/>
  <c r="N23"/>
  <c r="N27" s="1"/>
  <c r="N16"/>
  <c r="C22" i="8"/>
  <c r="B22" i="7"/>
  <c r="B23"/>
  <c r="A84" i="6"/>
  <c r="A85"/>
  <c r="A86"/>
  <c r="A87"/>
  <c r="A88"/>
  <c r="A83"/>
  <c r="L57"/>
  <c r="L56"/>
  <c r="L52"/>
  <c r="L90" i="5"/>
  <c r="L87"/>
  <c r="J87"/>
  <c r="I87"/>
  <c r="K87"/>
  <c r="L60"/>
  <c r="L44"/>
  <c r="B48" i="7"/>
  <c r="L14" i="5"/>
  <c r="F14"/>
  <c r="F15"/>
  <c r="F16"/>
  <c r="F19"/>
  <c r="F23"/>
  <c r="F27"/>
  <c r="F30"/>
  <c r="F32"/>
  <c r="F44"/>
  <c r="F47"/>
  <c r="F115"/>
  <c r="F52"/>
  <c r="F53"/>
  <c r="F55"/>
  <c r="F57"/>
  <c r="F60"/>
  <c r="F62"/>
  <c r="F76"/>
  <c r="F79"/>
  <c r="F84"/>
  <c r="F87"/>
  <c r="F91"/>
  <c r="V91"/>
  <c r="K54" i="6"/>
  <c r="K41"/>
  <c r="M51" i="8"/>
  <c r="C51" s="1"/>
  <c r="C77"/>
  <c r="A79"/>
  <c r="H40"/>
  <c r="H48" s="1"/>
  <c r="H68" s="1"/>
  <c r="I40"/>
  <c r="I48" s="1"/>
  <c r="I68" s="1"/>
  <c r="B87" i="7"/>
  <c r="B93"/>
  <c r="A92"/>
  <c r="A77" i="8" s="1"/>
  <c r="A93" i="7"/>
  <c r="N93" s="1"/>
  <c r="N94"/>
  <c r="C22"/>
  <c r="C23"/>
  <c r="D23" s="1"/>
  <c r="A79"/>
  <c r="N79" s="1"/>
  <c r="A80"/>
  <c r="N80" s="1"/>
  <c r="A82"/>
  <c r="N82" s="1"/>
  <c r="A83"/>
  <c r="N83" s="1"/>
  <c r="A84"/>
  <c r="N84" s="1"/>
  <c r="A85"/>
  <c r="N85" s="1"/>
  <c r="A86"/>
  <c r="N86" s="1"/>
  <c r="A87"/>
  <c r="N87" s="1"/>
  <c r="A88"/>
  <c r="N88" s="1"/>
  <c r="A89"/>
  <c r="N89" s="1"/>
  <c r="A91"/>
  <c r="N91" s="1"/>
  <c r="A95"/>
  <c r="N95" s="1"/>
  <c r="A96"/>
  <c r="A81" i="8" s="1"/>
  <c r="A98" i="7"/>
  <c r="N98" s="1"/>
  <c r="A100"/>
  <c r="A85" i="8" s="1"/>
  <c r="A101" i="7"/>
  <c r="N101" s="1"/>
  <c r="A102"/>
  <c r="A87" i="8" s="1"/>
  <c r="A104" i="7"/>
  <c r="N104" s="1"/>
  <c r="A105"/>
  <c r="A90" i="8" s="1"/>
  <c r="A78" i="7"/>
  <c r="N78" s="1"/>
  <c r="A4"/>
  <c r="A72" s="1"/>
  <c r="N72" s="1"/>
  <c r="C87"/>
  <c r="D87" s="1"/>
  <c r="M40" i="8"/>
  <c r="M48"/>
  <c r="M68"/>
  <c r="F41"/>
  <c r="D31" i="7"/>
  <c r="E31" s="1"/>
  <c r="F31" s="1"/>
  <c r="G31" s="1"/>
  <c r="H31" s="1"/>
  <c r="I31" s="1"/>
  <c r="J31" s="1"/>
  <c r="K31" s="1"/>
  <c r="A16" i="8"/>
  <c r="A17"/>
  <c r="A18"/>
  <c r="A19"/>
  <c r="A21"/>
  <c r="A22"/>
  <c r="A23"/>
  <c r="A24"/>
  <c r="A25"/>
  <c r="A26"/>
  <c r="A27"/>
  <c r="A28"/>
  <c r="A30"/>
  <c r="A31"/>
  <c r="A32"/>
  <c r="A33"/>
  <c r="A34"/>
  <c r="A35"/>
  <c r="A36"/>
  <c r="A37"/>
  <c r="A38"/>
  <c r="A40"/>
  <c r="A41"/>
  <c r="A42"/>
  <c r="A43"/>
  <c r="A44"/>
  <c r="A45"/>
  <c r="A46"/>
  <c r="A47"/>
  <c r="A49"/>
  <c r="A50"/>
  <c r="A51"/>
  <c r="A52"/>
  <c r="A53"/>
  <c r="A54"/>
  <c r="A56"/>
  <c r="A58"/>
  <c r="A59"/>
  <c r="A60"/>
  <c r="A61"/>
  <c r="A62"/>
  <c r="A64"/>
  <c r="A65"/>
  <c r="A67"/>
  <c r="A68"/>
  <c r="A69"/>
  <c r="A70"/>
  <c r="A71"/>
  <c r="A72"/>
  <c r="A73"/>
  <c r="A74"/>
  <c r="A13"/>
  <c r="A14"/>
  <c r="A119" i="7"/>
  <c r="A32"/>
  <c r="A33"/>
  <c r="A34"/>
  <c r="N34" s="1"/>
  <c r="A35"/>
  <c r="A6"/>
  <c r="A112" s="1"/>
  <c r="A122"/>
  <c r="A123"/>
  <c r="A125"/>
  <c r="A127"/>
  <c r="A128"/>
  <c r="A129"/>
  <c r="A130"/>
  <c r="A131"/>
  <c r="A133"/>
  <c r="A134"/>
  <c r="A135"/>
  <c r="A136"/>
  <c r="A138"/>
  <c r="A139"/>
  <c r="A140"/>
  <c r="A142"/>
  <c r="A143"/>
  <c r="A144"/>
  <c r="A145"/>
  <c r="A121"/>
  <c r="A57"/>
  <c r="N57" s="1"/>
  <c r="A59"/>
  <c r="N59" s="1"/>
  <c r="A61"/>
  <c r="N61" s="1"/>
  <c r="A62"/>
  <c r="N62" s="1"/>
  <c r="A63"/>
  <c r="N63" s="1"/>
  <c r="A64"/>
  <c r="N64" s="1"/>
  <c r="A65"/>
  <c r="A55"/>
  <c r="N55" s="1"/>
  <c r="A51"/>
  <c r="N51" s="1"/>
  <c r="A52"/>
  <c r="A53"/>
  <c r="A41"/>
  <c r="N41" s="1"/>
  <c r="A42"/>
  <c r="A43"/>
  <c r="A44"/>
  <c r="N44" s="1"/>
  <c r="A45"/>
  <c r="A46"/>
  <c r="N46" s="1"/>
  <c r="A47"/>
  <c r="A48"/>
  <c r="N48" s="1"/>
  <c r="A50"/>
  <c r="A31"/>
  <c r="N31" s="1"/>
  <c r="N32"/>
  <c r="N33"/>
  <c r="N35"/>
  <c r="A36"/>
  <c r="N36" s="1"/>
  <c r="A37"/>
  <c r="N37" s="1"/>
  <c r="A38"/>
  <c r="N38" s="1"/>
  <c r="A30"/>
  <c r="N30" s="1"/>
  <c r="A26"/>
  <c r="A28"/>
  <c r="A24"/>
  <c r="N4"/>
  <c r="L54" i="6"/>
  <c r="L41"/>
  <c r="O83" i="5"/>
  <c r="L47"/>
  <c r="L16"/>
  <c r="O21"/>
  <c r="O22"/>
  <c r="L62"/>
  <c r="L76"/>
  <c r="L84"/>
  <c r="AB84"/>
  <c r="L91"/>
  <c r="AB91"/>
  <c r="L23"/>
  <c r="L27"/>
  <c r="L35"/>
  <c r="H79"/>
  <c r="G79"/>
  <c r="F51" i="8"/>
  <c r="E79" i="5"/>
  <c r="D79"/>
  <c r="C79"/>
  <c r="B79"/>
  <c r="J91"/>
  <c r="K91"/>
  <c r="J84"/>
  <c r="K84"/>
  <c r="J76"/>
  <c r="J116"/>
  <c r="K76"/>
  <c r="AA75"/>
  <c r="K60"/>
  <c r="J60"/>
  <c r="J62"/>
  <c r="K52"/>
  <c r="J52"/>
  <c r="K44"/>
  <c r="J44"/>
  <c r="J47"/>
  <c r="I52"/>
  <c r="I53"/>
  <c r="Q51"/>
  <c r="Q44"/>
  <c r="I44"/>
  <c r="H44"/>
  <c r="G44"/>
  <c r="E44"/>
  <c r="D44"/>
  <c r="D47"/>
  <c r="C44"/>
  <c r="B44"/>
  <c r="Q45"/>
  <c r="J53"/>
  <c r="K53"/>
  <c r="I8" i="6"/>
  <c r="I66" s="1"/>
  <c r="J35" i="5"/>
  <c r="K35"/>
  <c r="K23"/>
  <c r="K27"/>
  <c r="J23"/>
  <c r="J27"/>
  <c r="K15"/>
  <c r="J15"/>
  <c r="K14"/>
  <c r="J14"/>
  <c r="Z79"/>
  <c r="Z81"/>
  <c r="Z83"/>
  <c r="Z87"/>
  <c r="Z89"/>
  <c r="Z91"/>
  <c r="Z96"/>
  <c r="Z100"/>
  <c r="J9"/>
  <c r="J40" i="8"/>
  <c r="J48" s="1"/>
  <c r="J68" s="1"/>
  <c r="Q3" i="5"/>
  <c r="Q55"/>
  <c r="Q12"/>
  <c r="Q13"/>
  <c r="Q14"/>
  <c r="Q15"/>
  <c r="Q16"/>
  <c r="Q18"/>
  <c r="Q19"/>
  <c r="Q20"/>
  <c r="Q21"/>
  <c r="Q22"/>
  <c r="Q23"/>
  <c r="Q25"/>
  <c r="Q27"/>
  <c r="Q29"/>
  <c r="Q30"/>
  <c r="Q31"/>
  <c r="Q32"/>
  <c r="Q33"/>
  <c r="Q34"/>
  <c r="Q35"/>
  <c r="Q36"/>
  <c r="Q37"/>
  <c r="Q40"/>
  <c r="Q41"/>
  <c r="Q42"/>
  <c r="Q43"/>
  <c r="Q46"/>
  <c r="Q47"/>
  <c r="Q49"/>
  <c r="Q50"/>
  <c r="Q52"/>
  <c r="Q53"/>
  <c r="Q57"/>
  <c r="Q59"/>
  <c r="Q60"/>
  <c r="Q61"/>
  <c r="Q62"/>
  <c r="Q63"/>
  <c r="Q69"/>
  <c r="Q73"/>
  <c r="Q74"/>
  <c r="Q75"/>
  <c r="Q76"/>
  <c r="Q78"/>
  <c r="Q79"/>
  <c r="Q80"/>
  <c r="Q81"/>
  <c r="Q82"/>
  <c r="Q83"/>
  <c r="Q84"/>
  <c r="Q85"/>
  <c r="Q87"/>
  <c r="Q88"/>
  <c r="Q89"/>
  <c r="Q90"/>
  <c r="Q91"/>
  <c r="Q93"/>
  <c r="Q95"/>
  <c r="Q96"/>
  <c r="Q97"/>
  <c r="Q99"/>
  <c r="Q100"/>
  <c r="Q101"/>
  <c r="Q11"/>
  <c r="O110"/>
  <c r="A108"/>
  <c r="A106"/>
  <c r="G100"/>
  <c r="E100"/>
  <c r="D100"/>
  <c r="C100"/>
  <c r="B100"/>
  <c r="D95"/>
  <c r="B95"/>
  <c r="D90"/>
  <c r="B90"/>
  <c r="H87"/>
  <c r="G87"/>
  <c r="E87"/>
  <c r="E91"/>
  <c r="D87"/>
  <c r="C87"/>
  <c r="C91"/>
  <c r="B87"/>
  <c r="B91"/>
  <c r="I84"/>
  <c r="H84"/>
  <c r="E84"/>
  <c r="D84"/>
  <c r="C80"/>
  <c r="C84"/>
  <c r="B80"/>
  <c r="B84"/>
  <c r="I76"/>
  <c r="Y75"/>
  <c r="H76"/>
  <c r="H116"/>
  <c r="G76"/>
  <c r="W76"/>
  <c r="F68" i="6"/>
  <c r="E76" i="5"/>
  <c r="U75"/>
  <c r="D76"/>
  <c r="D68" i="6"/>
  <c r="C76" i="5"/>
  <c r="S76"/>
  <c r="B76"/>
  <c r="B68" i="6"/>
  <c r="S75" i="5"/>
  <c r="B73"/>
  <c r="AE72"/>
  <c r="O71"/>
  <c r="A70"/>
  <c r="Q70" s="1"/>
  <c r="A68"/>
  <c r="Q68"/>
  <c r="B61"/>
  <c r="B62"/>
  <c r="I60"/>
  <c r="I62"/>
  <c r="H60"/>
  <c r="G60"/>
  <c r="G62"/>
  <c r="E60"/>
  <c r="D60"/>
  <c r="D62"/>
  <c r="C60"/>
  <c r="C62"/>
  <c r="C141"/>
  <c r="H57"/>
  <c r="G57"/>
  <c r="E57"/>
  <c r="D57"/>
  <c r="C57"/>
  <c r="B57"/>
  <c r="L53"/>
  <c r="H52"/>
  <c r="C52" i="8"/>
  <c r="G52" i="5"/>
  <c r="G53"/>
  <c r="E52"/>
  <c r="E53"/>
  <c r="D52"/>
  <c r="D53"/>
  <c r="C52"/>
  <c r="C53"/>
  <c r="B52"/>
  <c r="B49"/>
  <c r="I47"/>
  <c r="G47"/>
  <c r="E47"/>
  <c r="E115"/>
  <c r="B47"/>
  <c r="I35"/>
  <c r="H32"/>
  <c r="G32"/>
  <c r="E32"/>
  <c r="E35"/>
  <c r="D32"/>
  <c r="D35"/>
  <c r="C32"/>
  <c r="C35"/>
  <c r="B32"/>
  <c r="B35"/>
  <c r="G30"/>
  <c r="H23"/>
  <c r="H27"/>
  <c r="I19"/>
  <c r="I23"/>
  <c r="G19"/>
  <c r="G23"/>
  <c r="G27"/>
  <c r="E19"/>
  <c r="E23"/>
  <c r="E27"/>
  <c r="D19"/>
  <c r="C19"/>
  <c r="C23"/>
  <c r="C27"/>
  <c r="B19"/>
  <c r="B23"/>
  <c r="B27"/>
  <c r="B16"/>
  <c r="I15"/>
  <c r="H15"/>
  <c r="G15"/>
  <c r="E15"/>
  <c r="D15"/>
  <c r="C15"/>
  <c r="C16"/>
  <c r="I14"/>
  <c r="H14"/>
  <c r="G14"/>
  <c r="E14"/>
  <c r="D14"/>
  <c r="D16"/>
  <c r="I13"/>
  <c r="I117"/>
  <c r="Y9"/>
  <c r="I73"/>
  <c r="R9"/>
  <c r="B111"/>
  <c r="AE8"/>
  <c r="C9"/>
  <c r="D9"/>
  <c r="Q6"/>
  <c r="C32" i="7"/>
  <c r="D32" s="1"/>
  <c r="E32" s="1"/>
  <c r="F32" s="1"/>
  <c r="G32" s="1"/>
  <c r="H32" s="1"/>
  <c r="I32" s="1"/>
  <c r="J32" s="1"/>
  <c r="J52" i="6"/>
  <c r="J45"/>
  <c r="J54"/>
  <c r="J41"/>
  <c r="H26"/>
  <c r="B21"/>
  <c r="C21"/>
  <c r="D39"/>
  <c r="H41"/>
  <c r="I41"/>
  <c r="H54"/>
  <c r="I54"/>
  <c r="H56"/>
  <c r="B57"/>
  <c r="H57"/>
  <c r="B8"/>
  <c r="B66" s="1"/>
  <c r="N65" i="7"/>
  <c r="C93"/>
  <c r="A14"/>
  <c r="N14" s="1"/>
  <c r="A15"/>
  <c r="N15" s="1"/>
  <c r="A16"/>
  <c r="N16" s="1"/>
  <c r="A19"/>
  <c r="N19" s="1"/>
  <c r="A20"/>
  <c r="N20" s="1"/>
  <c r="A21"/>
  <c r="N21" s="1"/>
  <c r="A22"/>
  <c r="N22" s="1"/>
  <c r="A12"/>
  <c r="N12" s="1"/>
  <c r="O76"/>
  <c r="N13"/>
  <c r="A17"/>
  <c r="N17" s="1"/>
  <c r="A23"/>
  <c r="N23" s="1"/>
  <c r="N26"/>
  <c r="N28"/>
  <c r="N47"/>
  <c r="N54"/>
  <c r="A11"/>
  <c r="N11" s="1"/>
  <c r="O65" i="6"/>
  <c r="A5"/>
  <c r="A64" s="1"/>
  <c r="A3"/>
  <c r="A62" s="1"/>
  <c r="N24" i="7"/>
  <c r="I93"/>
  <c r="G93"/>
  <c r="E93"/>
  <c r="F93"/>
  <c r="U76" i="5"/>
  <c r="J16"/>
  <c r="J114" s="1"/>
  <c r="O114" s="1"/>
  <c r="B122" i="7" s="1"/>
  <c r="D23" i="5"/>
  <c r="J8" i="6"/>
  <c r="F117"/>
  <c r="F112"/>
  <c r="F107"/>
  <c r="F101"/>
  <c r="F94"/>
  <c r="F84"/>
  <c r="F80"/>
  <c r="F76"/>
  <c r="F114"/>
  <c r="F109"/>
  <c r="F99"/>
  <c r="F95"/>
  <c r="F85"/>
  <c r="F77"/>
  <c r="E68"/>
  <c r="E116" s="1"/>
  <c r="C68"/>
  <c r="C114" s="1"/>
  <c r="N43" i="7"/>
  <c r="C47" i="5"/>
  <c r="C115"/>
  <c r="J93" i="7"/>
  <c r="K93" s="1"/>
  <c r="Y79" i="5"/>
  <c r="U80"/>
  <c r="Y80"/>
  <c r="D93" i="7"/>
  <c r="C34"/>
  <c r="D34" s="1"/>
  <c r="E34" s="1"/>
  <c r="F34" s="1"/>
  <c r="G34" s="1"/>
  <c r="H34" s="1"/>
  <c r="I34" s="1"/>
  <c r="J34" s="1"/>
  <c r="S80" i="5"/>
  <c r="I16"/>
  <c r="G115"/>
  <c r="E16"/>
  <c r="B114"/>
  <c r="B115"/>
  <c r="N45" i="7"/>
  <c r="L141" i="5"/>
  <c r="L136"/>
  <c r="C73"/>
  <c r="S73"/>
  <c r="R73"/>
  <c r="B117"/>
  <c r="R95"/>
  <c r="R90"/>
  <c r="R89"/>
  <c r="R83"/>
  <c r="R81"/>
  <c r="C117"/>
  <c r="R96"/>
  <c r="R88"/>
  <c r="R87"/>
  <c r="R82"/>
  <c r="R80"/>
  <c r="R75"/>
  <c r="T95"/>
  <c r="T90"/>
  <c r="T89"/>
  <c r="D85"/>
  <c r="T84"/>
  <c r="T83"/>
  <c r="T81"/>
  <c r="E117"/>
  <c r="T96"/>
  <c r="T88"/>
  <c r="T87"/>
  <c r="T82"/>
  <c r="T80"/>
  <c r="T75"/>
  <c r="V95"/>
  <c r="V90"/>
  <c r="V89"/>
  <c r="V83"/>
  <c r="V81"/>
  <c r="G117"/>
  <c r="V96"/>
  <c r="V88"/>
  <c r="V87"/>
  <c r="V82"/>
  <c r="V80"/>
  <c r="V75"/>
  <c r="X100"/>
  <c r="X95"/>
  <c r="X90"/>
  <c r="X89"/>
  <c r="H85"/>
  <c r="X84"/>
  <c r="X83"/>
  <c r="X81"/>
  <c r="X99"/>
  <c r="X96"/>
  <c r="X88"/>
  <c r="X87"/>
  <c r="X82"/>
  <c r="X80"/>
  <c r="G35"/>
  <c r="E62"/>
  <c r="T79"/>
  <c r="B53"/>
  <c r="R76"/>
  <c r="T76"/>
  <c r="V76"/>
  <c r="D117"/>
  <c r="H117"/>
  <c r="R79"/>
  <c r="V79"/>
  <c r="S79"/>
  <c r="U79"/>
  <c r="W79"/>
  <c r="S81"/>
  <c r="U81"/>
  <c r="W81"/>
  <c r="Y81"/>
  <c r="S83"/>
  <c r="U83"/>
  <c r="W83"/>
  <c r="Y83"/>
  <c r="U84"/>
  <c r="Y84"/>
  <c r="E85"/>
  <c r="I85"/>
  <c r="Y85"/>
  <c r="S89"/>
  <c r="U89"/>
  <c r="W89"/>
  <c r="Y89"/>
  <c r="S90"/>
  <c r="U90"/>
  <c r="W90"/>
  <c r="Y90"/>
  <c r="S95"/>
  <c r="U95"/>
  <c r="W95"/>
  <c r="Y95"/>
  <c r="W100"/>
  <c r="Y100"/>
  <c r="S82"/>
  <c r="U82"/>
  <c r="W82"/>
  <c r="Y82"/>
  <c r="S87"/>
  <c r="U87"/>
  <c r="W87"/>
  <c r="Y87"/>
  <c r="S88"/>
  <c r="U88"/>
  <c r="W88"/>
  <c r="Y88"/>
  <c r="S96"/>
  <c r="U96"/>
  <c r="W96"/>
  <c r="Y96"/>
  <c r="W99"/>
  <c r="N52" i="7"/>
  <c r="N50"/>
  <c r="N42"/>
  <c r="H93"/>
  <c r="J66" i="6"/>
  <c r="E114"/>
  <c r="E109"/>
  <c r="E99"/>
  <c r="E95"/>
  <c r="E85"/>
  <c r="E77"/>
  <c r="E117"/>
  <c r="E107"/>
  <c r="E101"/>
  <c r="E94"/>
  <c r="E84"/>
  <c r="E80"/>
  <c r="E76"/>
  <c r="C116"/>
  <c r="C105"/>
  <c r="C95"/>
  <c r="C79"/>
  <c r="C107"/>
  <c r="C94"/>
  <c r="C78"/>
  <c r="B55" i="5"/>
  <c r="X85"/>
  <c r="E141"/>
  <c r="E137"/>
  <c r="U85"/>
  <c r="D27"/>
  <c r="D73"/>
  <c r="E73"/>
  <c r="L138"/>
  <c r="E114"/>
  <c r="I114"/>
  <c r="H8" i="6"/>
  <c r="H66" s="1"/>
  <c r="O77" i="7"/>
  <c r="C9"/>
  <c r="D9" s="1"/>
  <c r="B77"/>
  <c r="A154"/>
  <c r="A155"/>
  <c r="O9"/>
  <c r="A166"/>
  <c r="P77"/>
  <c r="P9"/>
  <c r="C77"/>
  <c r="C119"/>
  <c r="F14" i="8"/>
  <c r="F45"/>
  <c r="F43"/>
  <c r="F16"/>
  <c r="E78" i="6"/>
  <c r="E81"/>
  <c r="E86"/>
  <c r="E98"/>
  <c r="E106"/>
  <c r="E115"/>
  <c r="E75"/>
  <c r="E83"/>
  <c r="E88"/>
  <c r="E97"/>
  <c r="E104"/>
  <c r="E111"/>
  <c r="L121" i="5"/>
  <c r="F75" i="6"/>
  <c r="F83"/>
  <c r="F88"/>
  <c r="F97"/>
  <c r="F104"/>
  <c r="F111"/>
  <c r="F116"/>
  <c r="F78"/>
  <c r="F81"/>
  <c r="F86"/>
  <c r="F98"/>
  <c r="F105"/>
  <c r="F110"/>
  <c r="F115"/>
  <c r="Y99" i="5"/>
  <c r="I91"/>
  <c r="I93"/>
  <c r="K9"/>
  <c r="L9"/>
  <c r="AA100"/>
  <c r="AA99"/>
  <c r="AA96"/>
  <c r="AA95"/>
  <c r="AA91"/>
  <c r="AA90"/>
  <c r="AA89"/>
  <c r="AA88"/>
  <c r="AA87"/>
  <c r="AA84"/>
  <c r="AA83"/>
  <c r="AA82"/>
  <c r="AA81"/>
  <c r="AA80"/>
  <c r="AA79"/>
  <c r="K16"/>
  <c r="K47"/>
  <c r="K115"/>
  <c r="K62"/>
  <c r="K85"/>
  <c r="AA85"/>
  <c r="J85"/>
  <c r="AE83"/>
  <c r="V99"/>
  <c r="G68" i="6"/>
  <c r="G109" s="1"/>
  <c r="F27" i="8"/>
  <c r="F70"/>
  <c r="G84" i="5"/>
  <c r="G85"/>
  <c r="W85"/>
  <c r="X79"/>
  <c r="V100"/>
  <c r="L68" i="6"/>
  <c r="L117" s="1"/>
  <c r="K68"/>
  <c r="K83" s="1"/>
  <c r="J68"/>
  <c r="J105" s="1"/>
  <c r="H68"/>
  <c r="H101" s="1"/>
  <c r="A76" i="8"/>
  <c r="A89"/>
  <c r="A86"/>
  <c r="A83"/>
  <c r="A80"/>
  <c r="A78"/>
  <c r="N105" i="7"/>
  <c r="N102"/>
  <c r="N100"/>
  <c r="N96"/>
  <c r="G83" i="6"/>
  <c r="Y91" i="5"/>
  <c r="J107" i="6"/>
  <c r="G106"/>
  <c r="I106"/>
  <c r="H105"/>
  <c r="L106"/>
  <c r="H78"/>
  <c r="K111"/>
  <c r="K104"/>
  <c r="K114"/>
  <c r="K77"/>
  <c r="W84" i="5"/>
  <c r="Z85"/>
  <c r="J93"/>
  <c r="K141"/>
  <c r="K136"/>
  <c r="K121"/>
  <c r="K40" i="8"/>
  <c r="K48" s="1"/>
  <c r="K68" s="1"/>
  <c r="K8" i="6"/>
  <c r="K66" s="1"/>
  <c r="K137" i="5"/>
  <c r="G96" i="6"/>
  <c r="L97"/>
  <c r="H97"/>
  <c r="J95"/>
  <c r="K94"/>
  <c r="G99"/>
  <c r="L98"/>
  <c r="H98"/>
  <c r="J96"/>
  <c r="H96"/>
  <c r="L94"/>
  <c r="H94"/>
  <c r="G88"/>
  <c r="G84"/>
  <c r="H87"/>
  <c r="H85"/>
  <c r="H83"/>
  <c r="G85"/>
  <c r="K87"/>
  <c r="J84"/>
  <c r="H84"/>
  <c r="L137" i="5"/>
  <c r="L116" i="6"/>
  <c r="B88" i="7"/>
  <c r="B64"/>
  <c r="D37" i="5"/>
  <c r="K132"/>
  <c r="J121"/>
  <c r="G16"/>
  <c r="B36" i="7"/>
  <c r="B24"/>
  <c r="B28" s="1"/>
  <c r="F117" i="5"/>
  <c r="Y73"/>
  <c r="I111"/>
  <c r="J73"/>
  <c r="Z73"/>
  <c r="E132"/>
  <c r="E37"/>
  <c r="U43"/>
  <c r="G121"/>
  <c r="G141"/>
  <c r="G136"/>
  <c r="I141"/>
  <c r="I136"/>
  <c r="S91"/>
  <c r="C15" i="7"/>
  <c r="D15" s="1"/>
  <c r="E15" s="1"/>
  <c r="F15" s="1"/>
  <c r="G15" s="1"/>
  <c r="H15" s="1"/>
  <c r="I15" s="1"/>
  <c r="J15" s="1"/>
  <c r="K15" s="1"/>
  <c r="B17"/>
  <c r="D115" i="5"/>
  <c r="D22" i="7"/>
  <c r="B121" i="5"/>
  <c r="B63"/>
  <c r="B141"/>
  <c r="B120"/>
  <c r="L114"/>
  <c r="L115"/>
  <c r="L55"/>
  <c r="I115"/>
  <c r="L80" i="6"/>
  <c r="L111"/>
  <c r="J141" i="5"/>
  <c r="J137"/>
  <c r="L139"/>
  <c r="T57"/>
  <c r="T46"/>
  <c r="T34"/>
  <c r="T20"/>
  <c r="T50"/>
  <c r="T43"/>
  <c r="T41"/>
  <c r="T31"/>
  <c r="T22"/>
  <c r="T14"/>
  <c r="T13"/>
  <c r="T35"/>
  <c r="T15"/>
  <c r="T23"/>
  <c r="T44"/>
  <c r="T60"/>
  <c r="T52"/>
  <c r="T37"/>
  <c r="T25"/>
  <c r="T61"/>
  <c r="T49"/>
  <c r="T42"/>
  <c r="T33"/>
  <c r="T30"/>
  <c r="T21"/>
  <c r="T12"/>
  <c r="T19"/>
  <c r="T32"/>
  <c r="T27"/>
  <c r="E22" i="7"/>
  <c r="F22" s="1"/>
  <c r="G22" s="1"/>
  <c r="H22" s="1"/>
  <c r="I22" s="1"/>
  <c r="J22" s="1"/>
  <c r="U31" i="5"/>
  <c r="U37"/>
  <c r="U60"/>
  <c r="U61"/>
  <c r="U30"/>
  <c r="U34"/>
  <c r="U47"/>
  <c r="E133"/>
  <c r="U50"/>
  <c r="U22"/>
  <c r="U25"/>
  <c r="U16"/>
  <c r="U33"/>
  <c r="U46"/>
  <c r="U23"/>
  <c r="U62"/>
  <c r="K73"/>
  <c r="AA73"/>
  <c r="L120"/>
  <c r="L63"/>
  <c r="B138"/>
  <c r="B136"/>
  <c r="B137"/>
  <c r="I138"/>
  <c r="I137"/>
  <c r="G137"/>
  <c r="G138"/>
  <c r="B55" i="7"/>
  <c r="K21"/>
  <c r="B57"/>
  <c r="AD84" i="5"/>
  <c r="A156" i="7"/>
  <c r="A168" s="1"/>
  <c r="A167"/>
  <c r="A157"/>
  <c r="L105" i="6"/>
  <c r="L84"/>
  <c r="J88"/>
  <c r="J85"/>
  <c r="J114"/>
  <c r="L96"/>
  <c r="L95"/>
  <c r="J99"/>
  <c r="J101"/>
  <c r="J109"/>
  <c r="J112"/>
  <c r="C86"/>
  <c r="C101"/>
  <c r="C77"/>
  <c r="C93"/>
  <c r="C104"/>
  <c r="I97" i="5"/>
  <c r="I11" i="6"/>
  <c r="I123" i="5"/>
  <c r="U32"/>
  <c r="U19"/>
  <c r="U21"/>
  <c r="U49"/>
  <c r="U14"/>
  <c r="U52"/>
  <c r="U41"/>
  <c r="U44"/>
  <c r="U27"/>
  <c r="U15"/>
  <c r="U57"/>
  <c r="U42"/>
  <c r="U35"/>
  <c r="U12"/>
  <c r="U13"/>
  <c r="K85" i="6"/>
  <c r="H88"/>
  <c r="K84"/>
  <c r="K86"/>
  <c r="K88"/>
  <c r="K95"/>
  <c r="K97"/>
  <c r="K99"/>
  <c r="G97"/>
  <c r="H86"/>
  <c r="H95"/>
  <c r="K98"/>
  <c r="G98"/>
  <c r="Z93" i="5"/>
  <c r="H114" i="6"/>
  <c r="K114" i="5"/>
  <c r="K112" i="6"/>
  <c r="K80"/>
  <c r="K110"/>
  <c r="K107"/>
  <c r="H76"/>
  <c r="H81"/>
  <c r="F106"/>
  <c r="H109"/>
  <c r="H115"/>
  <c r="H116"/>
  <c r="K55" i="5"/>
  <c r="K120"/>
  <c r="G77" i="6"/>
  <c r="E138" i="5"/>
  <c r="S9"/>
  <c r="D91"/>
  <c r="K116"/>
  <c r="I116"/>
  <c r="L116"/>
  <c r="U73"/>
  <c r="F73"/>
  <c r="D141"/>
  <c r="T62"/>
  <c r="D8" i="6"/>
  <c r="D66" s="1"/>
  <c r="E9" i="5"/>
  <c r="C136"/>
  <c r="C137"/>
  <c r="C138"/>
  <c r="F85"/>
  <c r="V84"/>
  <c r="C114"/>
  <c r="W80"/>
  <c r="T91"/>
  <c r="K117"/>
  <c r="J136"/>
  <c r="Y93"/>
  <c r="K138"/>
  <c r="K63"/>
  <c r="J78" i="6"/>
  <c r="J104"/>
  <c r="J110"/>
  <c r="K93" i="5"/>
  <c r="G117" i="6"/>
  <c r="G116"/>
  <c r="L112"/>
  <c r="T73" i="5"/>
  <c r="D122"/>
  <c r="E136"/>
  <c r="C8" i="6"/>
  <c r="C66" s="1"/>
  <c r="C122" i="5"/>
  <c r="D132"/>
  <c r="I27"/>
  <c r="C121"/>
  <c r="C55"/>
  <c r="E55"/>
  <c r="U53"/>
  <c r="E121"/>
  <c r="R84"/>
  <c r="B85"/>
  <c r="I121"/>
  <c r="I55"/>
  <c r="I30" i="6"/>
  <c r="AB9" i="5"/>
  <c r="L73"/>
  <c r="AB73"/>
  <c r="L40" i="8"/>
  <c r="L48" s="1"/>
  <c r="L68" s="1"/>
  <c r="L8" i="6"/>
  <c r="C132" i="5"/>
  <c r="B122"/>
  <c r="B132"/>
  <c r="G36"/>
  <c r="G132"/>
  <c r="H132"/>
  <c r="G122"/>
  <c r="I132"/>
  <c r="D121"/>
  <c r="D55"/>
  <c r="B107" i="6"/>
  <c r="B86"/>
  <c r="B111"/>
  <c r="B83"/>
  <c r="B97"/>
  <c r="B116"/>
  <c r="B98"/>
  <c r="B115"/>
  <c r="B81"/>
  <c r="B105"/>
  <c r="B77"/>
  <c r="B104"/>
  <c r="B78"/>
  <c r="B101"/>
  <c r="B74"/>
  <c r="B99"/>
  <c r="B79"/>
  <c r="B109"/>
  <c r="B84"/>
  <c r="B117"/>
  <c r="B96"/>
  <c r="B114"/>
  <c r="B95"/>
  <c r="B93"/>
  <c r="B112"/>
  <c r="B94"/>
  <c r="D115"/>
  <c r="D80"/>
  <c r="D104"/>
  <c r="D79"/>
  <c r="D88"/>
  <c r="D116"/>
  <c r="D98"/>
  <c r="D101"/>
  <c r="D76"/>
  <c r="D97"/>
  <c r="D75"/>
  <c r="D83"/>
  <c r="D112"/>
  <c r="D94"/>
  <c r="D99"/>
  <c r="D96"/>
  <c r="D114"/>
  <c r="D93"/>
  <c r="D77"/>
  <c r="D105"/>
  <c r="D84"/>
  <c r="D117"/>
  <c r="D86"/>
  <c r="D109"/>
  <c r="D85"/>
  <c r="D74"/>
  <c r="D95"/>
  <c r="D78"/>
  <c r="D107"/>
  <c r="S84" i="5"/>
  <c r="C85"/>
  <c r="U91"/>
  <c r="E93"/>
  <c r="L36"/>
  <c r="L37"/>
  <c r="AB27" s="1"/>
  <c r="L122"/>
  <c r="F141"/>
  <c r="F136"/>
  <c r="F121"/>
  <c r="F120"/>
  <c r="T53"/>
  <c r="K139"/>
  <c r="D93"/>
  <c r="D36"/>
  <c r="T36"/>
  <c r="F35"/>
  <c r="J138"/>
  <c r="J139"/>
  <c r="T47"/>
  <c r="K96" i="6"/>
  <c r="H99"/>
  <c r="Y97" i="5"/>
  <c r="AA93"/>
  <c r="J97"/>
  <c r="K76" i="6"/>
  <c r="K78"/>
  <c r="K81"/>
  <c r="K116"/>
  <c r="K101"/>
  <c r="K105"/>
  <c r="K109"/>
  <c r="H111"/>
  <c r="H77"/>
  <c r="H80"/>
  <c r="H104"/>
  <c r="H107"/>
  <c r="H106"/>
  <c r="J106"/>
  <c r="K106"/>
  <c r="H112"/>
  <c r="H110"/>
  <c r="H117"/>
  <c r="G115"/>
  <c r="G78"/>
  <c r="G114"/>
  <c r="G101"/>
  <c r="D136" i="5"/>
  <c r="T85"/>
  <c r="Z9"/>
  <c r="AA9"/>
  <c r="H35"/>
  <c r="H36"/>
  <c r="G55"/>
  <c r="I68" i="6"/>
  <c r="R91" i="5"/>
  <c r="G91"/>
  <c r="H91"/>
  <c r="Z84"/>
  <c r="AB87"/>
  <c r="G37"/>
  <c r="D114"/>
  <c r="T16"/>
  <c r="F132"/>
  <c r="E122"/>
  <c r="E36"/>
  <c r="U36"/>
  <c r="B36"/>
  <c r="B37"/>
  <c r="R63"/>
  <c r="L132"/>
  <c r="K122"/>
  <c r="K36"/>
  <c r="K37"/>
  <c r="J115"/>
  <c r="J55"/>
  <c r="J63"/>
  <c r="J122"/>
  <c r="F49" i="8"/>
  <c r="F122" i="5"/>
  <c r="G139"/>
  <c r="I139"/>
  <c r="F63"/>
  <c r="D97"/>
  <c r="D123"/>
  <c r="T93"/>
  <c r="C36"/>
  <c r="C37"/>
  <c r="S35"/>
  <c r="J128"/>
  <c r="J36"/>
  <c r="F114"/>
  <c r="AB62"/>
  <c r="AB53"/>
  <c r="AB20"/>
  <c r="AB31"/>
  <c r="AB42"/>
  <c r="AB61"/>
  <c r="AB34"/>
  <c r="AB57"/>
  <c r="AB16"/>
  <c r="G114"/>
  <c r="W75"/>
  <c r="Z76"/>
  <c r="X76"/>
  <c r="Z75"/>
  <c r="X75"/>
  <c r="AB99"/>
  <c r="AB96"/>
  <c r="AB90"/>
  <c r="AB88"/>
  <c r="AB83"/>
  <c r="AB81"/>
  <c r="AB79"/>
  <c r="AB75"/>
  <c r="AD73"/>
  <c r="L117"/>
  <c r="J117"/>
  <c r="B125" i="7" s="1"/>
  <c r="Z97" i="5"/>
  <c r="J123"/>
  <c r="H93"/>
  <c r="H16"/>
  <c r="H53"/>
  <c r="H62"/>
  <c r="Z99"/>
  <c r="Z95"/>
  <c r="Z90"/>
  <c r="Z88"/>
  <c r="Z82"/>
  <c r="Z80"/>
  <c r="H47"/>
  <c r="L85"/>
  <c r="AA76"/>
  <c r="Y76"/>
  <c r="L55" i="6"/>
  <c r="L115" s="1"/>
  <c r="AD91" i="5"/>
  <c r="AB100"/>
  <c r="AB95"/>
  <c r="AB89"/>
  <c r="AB82"/>
  <c r="AB80"/>
  <c r="AB76"/>
  <c r="AD75"/>
  <c r="AD79"/>
  <c r="AD81"/>
  <c r="AD83"/>
  <c r="AD88"/>
  <c r="AD90"/>
  <c r="AD96"/>
  <c r="AD99"/>
  <c r="N68" i="6"/>
  <c r="N115" s="1"/>
  <c r="AD76" i="5"/>
  <c r="AD80"/>
  <c r="AD82"/>
  <c r="AD87"/>
  <c r="AD89"/>
  <c r="AD95"/>
  <c r="N106" i="6"/>
  <c r="N55" i="5"/>
  <c r="L66" i="6"/>
  <c r="C41" i="8"/>
  <c r="C50" i="7"/>
  <c r="N114" i="5"/>
  <c r="N121"/>
  <c r="N141"/>
  <c r="N136" s="1"/>
  <c r="N120"/>
  <c r="N63"/>
  <c r="N85"/>
  <c r="C80" i="7"/>
  <c r="B80"/>
  <c r="O93" s="1"/>
  <c r="A169"/>
  <c r="A158"/>
  <c r="C111" i="5"/>
  <c r="T9"/>
  <c r="K97"/>
  <c r="K123"/>
  <c r="D137"/>
  <c r="D138"/>
  <c r="F93"/>
  <c r="V85"/>
  <c r="E8" i="6"/>
  <c r="E66" s="1"/>
  <c r="F9" i="5"/>
  <c r="V73"/>
  <c r="G73"/>
  <c r="X91"/>
  <c r="I83" i="6"/>
  <c r="I105"/>
  <c r="I80"/>
  <c r="I110"/>
  <c r="I98"/>
  <c r="I97"/>
  <c r="I84"/>
  <c r="I85"/>
  <c r="I107"/>
  <c r="I81"/>
  <c r="I76"/>
  <c r="I101"/>
  <c r="I99"/>
  <c r="I86"/>
  <c r="D63" i="5"/>
  <c r="T63"/>
  <c r="T55"/>
  <c r="D120"/>
  <c r="I120"/>
  <c r="I63"/>
  <c r="R85"/>
  <c r="B93"/>
  <c r="U55"/>
  <c r="E120"/>
  <c r="E63"/>
  <c r="U63"/>
  <c r="I122"/>
  <c r="I36"/>
  <c r="I37"/>
  <c r="Y27"/>
  <c r="J132"/>
  <c r="B139" i="7"/>
  <c r="M49" i="8"/>
  <c r="B96" i="7"/>
  <c r="AB36" i="5"/>
  <c r="I71" i="6"/>
  <c r="W91" i="5"/>
  <c r="G93"/>
  <c r="G63"/>
  <c r="G120"/>
  <c r="J11" i="6"/>
  <c r="J30" s="1"/>
  <c r="J129" i="5"/>
  <c r="F37"/>
  <c r="F36"/>
  <c r="V35"/>
  <c r="F137"/>
  <c r="F138"/>
  <c r="AB35"/>
  <c r="AB51"/>
  <c r="AB46"/>
  <c r="AB49"/>
  <c r="AB22"/>
  <c r="AB15"/>
  <c r="AB44"/>
  <c r="AB60"/>
  <c r="AB37"/>
  <c r="AB12"/>
  <c r="AB43"/>
  <c r="AB32"/>
  <c r="AB21"/>
  <c r="AB63"/>
  <c r="AB19"/>
  <c r="AB33"/>
  <c r="AB14"/>
  <c r="AB23"/>
  <c r="AB45"/>
  <c r="AB52"/>
  <c r="AB25"/>
  <c r="AB50"/>
  <c r="AB41"/>
  <c r="AB30"/>
  <c r="AB13"/>
  <c r="AB47"/>
  <c r="AB55"/>
  <c r="E97"/>
  <c r="E123"/>
  <c r="U93"/>
  <c r="S85"/>
  <c r="C93"/>
  <c r="I90" i="6"/>
  <c r="I55"/>
  <c r="I57" s="1"/>
  <c r="I117" s="1"/>
  <c r="C63" i="5"/>
  <c r="C120"/>
  <c r="V63"/>
  <c r="AA36"/>
  <c r="H115"/>
  <c r="H55"/>
  <c r="X93"/>
  <c r="H97"/>
  <c r="H123"/>
  <c r="S36"/>
  <c r="R35"/>
  <c r="L93"/>
  <c r="AB85"/>
  <c r="I128"/>
  <c r="H120"/>
  <c r="H122"/>
  <c r="B130" i="7"/>
  <c r="H121" i="5"/>
  <c r="B129" i="7"/>
  <c r="H141" i="5"/>
  <c r="H63"/>
  <c r="H114"/>
  <c r="H37"/>
  <c r="S27"/>
  <c r="S44"/>
  <c r="S43"/>
  <c r="S31"/>
  <c r="S14"/>
  <c r="S46"/>
  <c r="S20"/>
  <c r="S61"/>
  <c r="S30"/>
  <c r="S37"/>
  <c r="S62"/>
  <c r="S49"/>
  <c r="S21"/>
  <c r="S25"/>
  <c r="S32"/>
  <c r="S23"/>
  <c r="S55"/>
  <c r="S50"/>
  <c r="S41"/>
  <c r="S22"/>
  <c r="S57"/>
  <c r="S34"/>
  <c r="S12"/>
  <c r="S42"/>
  <c r="S13"/>
  <c r="S19"/>
  <c r="S16"/>
  <c r="S60"/>
  <c r="S33"/>
  <c r="S52"/>
  <c r="S47"/>
  <c r="S15"/>
  <c r="S53"/>
  <c r="D133"/>
  <c r="S63"/>
  <c r="D129"/>
  <c r="T100"/>
  <c r="T99"/>
  <c r="D11" i="6"/>
  <c r="D71" s="1"/>
  <c r="D128" i="5"/>
  <c r="T97"/>
  <c r="D127"/>
  <c r="J120"/>
  <c r="AA25"/>
  <c r="AA12"/>
  <c r="AA46"/>
  <c r="AA32"/>
  <c r="AA13"/>
  <c r="AA33"/>
  <c r="AA57"/>
  <c r="AA31"/>
  <c r="AA55"/>
  <c r="AA45"/>
  <c r="AA14"/>
  <c r="AA49"/>
  <c r="AA34"/>
  <c r="AA19"/>
  <c r="AA41"/>
  <c r="AA15"/>
  <c r="AA35"/>
  <c r="AA47"/>
  <c r="L133"/>
  <c r="AA44"/>
  <c r="AA20"/>
  <c r="AA52"/>
  <c r="AA37"/>
  <c r="AA23"/>
  <c r="AA53"/>
  <c r="AA21"/>
  <c r="AA43"/>
  <c r="AA62"/>
  <c r="AA16"/>
  <c r="AA22"/>
  <c r="AA60"/>
  <c r="AA42"/>
  <c r="AA30"/>
  <c r="AA61"/>
  <c r="AA51"/>
  <c r="AA50"/>
  <c r="AA63"/>
  <c r="R46"/>
  <c r="R20"/>
  <c r="R49"/>
  <c r="R33"/>
  <c r="R21"/>
  <c r="R47"/>
  <c r="R19"/>
  <c r="R27"/>
  <c r="R60"/>
  <c r="R37"/>
  <c r="R15"/>
  <c r="R43"/>
  <c r="R31"/>
  <c r="R13"/>
  <c r="R16"/>
  <c r="C133"/>
  <c r="R44"/>
  <c r="R57"/>
  <c r="R34"/>
  <c r="R61"/>
  <c r="R42"/>
  <c r="R30"/>
  <c r="R12"/>
  <c r="B133"/>
  <c r="R53"/>
  <c r="R55"/>
  <c r="R52"/>
  <c r="R25"/>
  <c r="R50"/>
  <c r="R41"/>
  <c r="R22"/>
  <c r="R14"/>
  <c r="R32"/>
  <c r="R23"/>
  <c r="R62"/>
  <c r="W36"/>
  <c r="W63"/>
  <c r="W51"/>
  <c r="W31"/>
  <c r="W37"/>
  <c r="W32"/>
  <c r="W21"/>
  <c r="W47"/>
  <c r="W61"/>
  <c r="W22"/>
  <c r="W34"/>
  <c r="W15"/>
  <c r="W16"/>
  <c r="W41"/>
  <c r="W30"/>
  <c r="W27"/>
  <c r="W49"/>
  <c r="W20"/>
  <c r="W19"/>
  <c r="W14"/>
  <c r="G133"/>
  <c r="W43"/>
  <c r="W13"/>
  <c r="W12"/>
  <c r="W50"/>
  <c r="W25"/>
  <c r="W60"/>
  <c r="W42"/>
  <c r="W57"/>
  <c r="W53"/>
  <c r="H133"/>
  <c r="W55"/>
  <c r="W44"/>
  <c r="W52"/>
  <c r="W23"/>
  <c r="W45"/>
  <c r="W33"/>
  <c r="W46"/>
  <c r="W62"/>
  <c r="W35"/>
  <c r="I129"/>
  <c r="AA27"/>
  <c r="R36"/>
  <c r="N77" i="6"/>
  <c r="N83"/>
  <c r="N87"/>
  <c r="N97"/>
  <c r="N104"/>
  <c r="N110"/>
  <c r="N116"/>
  <c r="N78"/>
  <c r="N84"/>
  <c r="N88"/>
  <c r="N96"/>
  <c r="N101"/>
  <c r="N109"/>
  <c r="N114"/>
  <c r="N93" i="5"/>
  <c r="AD85"/>
  <c r="N97"/>
  <c r="N137"/>
  <c r="N138"/>
  <c r="O80" i="7"/>
  <c r="O104"/>
  <c r="O85"/>
  <c r="O101"/>
  <c r="O105"/>
  <c r="O91"/>
  <c r="O79"/>
  <c r="B89"/>
  <c r="O89" s="1"/>
  <c r="O96"/>
  <c r="D80"/>
  <c r="Q79" s="1"/>
  <c r="O88"/>
  <c r="P79"/>
  <c r="P100"/>
  <c r="P87"/>
  <c r="P93"/>
  <c r="P80"/>
  <c r="P105"/>
  <c r="P99"/>
  <c r="P85"/>
  <c r="AD93" i="5"/>
  <c r="A159" i="7"/>
  <c r="A170"/>
  <c r="U9" i="5"/>
  <c r="D111"/>
  <c r="W73"/>
  <c r="H73"/>
  <c r="X73"/>
  <c r="F8" i="6"/>
  <c r="F66" s="1"/>
  <c r="G9" i="5"/>
  <c r="F6" i="8"/>
  <c r="F40" s="1"/>
  <c r="F48" s="1"/>
  <c r="F68" s="1"/>
  <c r="F84" s="1"/>
  <c r="AA97" i="5"/>
  <c r="K128"/>
  <c r="K11" i="6"/>
  <c r="K30" s="1"/>
  <c r="K55" s="1"/>
  <c r="K115" s="1"/>
  <c r="K129" i="5"/>
  <c r="F123"/>
  <c r="V93"/>
  <c r="F97"/>
  <c r="F7" i="8"/>
  <c r="X16" i="5"/>
  <c r="W93"/>
  <c r="G97"/>
  <c r="G123"/>
  <c r="Y42"/>
  <c r="Y15"/>
  <c r="Y45"/>
  <c r="Y32"/>
  <c r="Y46"/>
  <c r="Y13"/>
  <c r="Y22"/>
  <c r="Y44"/>
  <c r="Y31"/>
  <c r="Y19"/>
  <c r="Y50"/>
  <c r="Y30"/>
  <c r="Y34"/>
  <c r="Y47"/>
  <c r="Y35"/>
  <c r="Y33"/>
  <c r="Y20"/>
  <c r="Y16"/>
  <c r="Y43"/>
  <c r="Y21"/>
  <c r="Y12"/>
  <c r="Y25"/>
  <c r="Y49"/>
  <c r="Y61"/>
  <c r="Y37"/>
  <c r="Y51"/>
  <c r="Y41"/>
  <c r="Y57"/>
  <c r="Y60"/>
  <c r="Y14"/>
  <c r="Y52"/>
  <c r="Y62"/>
  <c r="Y23"/>
  <c r="Y53"/>
  <c r="V36"/>
  <c r="Y36"/>
  <c r="Y55"/>
  <c r="C123"/>
  <c r="S93"/>
  <c r="C97"/>
  <c r="E128"/>
  <c r="E11" i="6"/>
  <c r="E30" s="1"/>
  <c r="E90" s="1"/>
  <c r="U97" i="5"/>
  <c r="U99"/>
  <c r="U100"/>
  <c r="E129"/>
  <c r="E127"/>
  <c r="V55"/>
  <c r="V47"/>
  <c r="V52"/>
  <c r="V49"/>
  <c r="V21"/>
  <c r="V51"/>
  <c r="V34"/>
  <c r="V41"/>
  <c r="V14"/>
  <c r="V37"/>
  <c r="V42"/>
  <c r="V13"/>
  <c r="V45"/>
  <c r="V12"/>
  <c r="V31"/>
  <c r="V15"/>
  <c r="V53"/>
  <c r="V16"/>
  <c r="V44"/>
  <c r="V25"/>
  <c r="V33"/>
  <c r="V19"/>
  <c r="V57"/>
  <c r="V50"/>
  <c r="V22"/>
  <c r="V32"/>
  <c r="V60"/>
  <c r="V61"/>
  <c r="V30"/>
  <c r="V46"/>
  <c r="V43"/>
  <c r="V20"/>
  <c r="V23"/>
  <c r="F127"/>
  <c r="V62"/>
  <c r="V27"/>
  <c r="F133"/>
  <c r="B97"/>
  <c r="B123"/>
  <c r="R93"/>
  <c r="Y63"/>
  <c r="X63"/>
  <c r="B128" i="7"/>
  <c r="D30" i="6"/>
  <c r="D90" s="1"/>
  <c r="X52" i="5"/>
  <c r="X50"/>
  <c r="X22"/>
  <c r="X15"/>
  <c r="X45"/>
  <c r="X19"/>
  <c r="X33"/>
  <c r="X51"/>
  <c r="X37"/>
  <c r="X43"/>
  <c r="X20"/>
  <c r="X44"/>
  <c r="X34"/>
  <c r="X42"/>
  <c r="X14"/>
  <c r="X36"/>
  <c r="X27"/>
  <c r="I133"/>
  <c r="X25"/>
  <c r="X41"/>
  <c r="X13"/>
  <c r="X32"/>
  <c r="X46"/>
  <c r="X49"/>
  <c r="X21"/>
  <c r="X60"/>
  <c r="X12"/>
  <c r="X31"/>
  <c r="X23"/>
  <c r="X57"/>
  <c r="X61"/>
  <c r="X30"/>
  <c r="X35"/>
  <c r="I127"/>
  <c r="H138"/>
  <c r="B145" i="7"/>
  <c r="H137" i="5"/>
  <c r="B144" i="7"/>
  <c r="AB93" i="5"/>
  <c r="AG96"/>
  <c r="L123"/>
  <c r="B131" i="7"/>
  <c r="L97" i="5"/>
  <c r="H129"/>
  <c r="H128"/>
  <c r="H11" i="6"/>
  <c r="H71" s="1"/>
  <c r="X97" i="5"/>
  <c r="H127"/>
  <c r="X55"/>
  <c r="B124" i="7"/>
  <c r="B123"/>
  <c r="N123" i="5"/>
  <c r="X62"/>
  <c r="H136"/>
  <c r="X53"/>
  <c r="X47"/>
  <c r="AD97"/>
  <c r="N11" i="6"/>
  <c r="N30" s="1"/>
  <c r="N90" s="1"/>
  <c r="Q80" i="7"/>
  <c r="B98"/>
  <c r="B102" s="1"/>
  <c r="A160"/>
  <c r="A171"/>
  <c r="E111" i="5"/>
  <c r="V9"/>
  <c r="V97"/>
  <c r="F11" i="6"/>
  <c r="F71" s="1"/>
  <c r="F128" i="5"/>
  <c r="F129"/>
  <c r="G8" i="6"/>
  <c r="O15" s="1"/>
  <c r="S100" i="5"/>
  <c r="S99"/>
  <c r="S97"/>
  <c r="C129"/>
  <c r="C11" i="6"/>
  <c r="C128" i="5"/>
  <c r="C127"/>
  <c r="B128"/>
  <c r="R100"/>
  <c r="B11" i="6"/>
  <c r="B30" s="1"/>
  <c r="B90" s="1"/>
  <c r="R97" i="5"/>
  <c r="R99"/>
  <c r="B129"/>
  <c r="B127"/>
  <c r="G11" i="6"/>
  <c r="G30" s="1"/>
  <c r="G129" i="5"/>
  <c r="G128"/>
  <c r="W97"/>
  <c r="G127"/>
  <c r="H139"/>
  <c r="AB97"/>
  <c r="L127"/>
  <c r="L128"/>
  <c r="B135" i="7"/>
  <c r="L11" i="6"/>
  <c r="L129" i="5"/>
  <c r="B136" i="7"/>
  <c r="A161"/>
  <c r="A172"/>
  <c r="W9" i="5"/>
  <c r="F111"/>
  <c r="O14" i="6"/>
  <c r="F30"/>
  <c r="F90" s="1"/>
  <c r="O139" i="5"/>
  <c r="B143" i="7"/>
  <c r="L30" i="6"/>
  <c r="A162" i="7"/>
  <c r="A174" s="1"/>
  <c r="A173"/>
  <c r="X9" i="5"/>
  <c r="H111"/>
  <c r="G111"/>
  <c r="N92" i="7" l="1"/>
  <c r="L90" i="6"/>
  <c r="K90"/>
  <c r="L71"/>
  <c r="O84" i="7"/>
  <c r="O100"/>
  <c r="O83"/>
  <c r="O86"/>
  <c r="N117" i="6"/>
  <c r="N105"/>
  <c r="N94"/>
  <c r="N81"/>
  <c r="N112"/>
  <c r="N99"/>
  <c r="N85"/>
  <c r="L76"/>
  <c r="G110"/>
  <c r="G76"/>
  <c r="G80"/>
  <c r="J111"/>
  <c r="J76"/>
  <c r="C97"/>
  <c r="C115"/>
  <c r="C80"/>
  <c r="J77"/>
  <c r="J97"/>
  <c r="J94"/>
  <c r="L83"/>
  <c r="L78"/>
  <c r="L104"/>
  <c r="L88"/>
  <c r="J83"/>
  <c r="J87"/>
  <c r="L99"/>
  <c r="L114"/>
  <c r="L101"/>
  <c r="G107"/>
  <c r="C84"/>
  <c r="C117"/>
  <c r="C99"/>
  <c r="C86" i="7"/>
  <c r="P86" s="1"/>
  <c r="C83"/>
  <c r="G90" i="6"/>
  <c r="K71"/>
  <c r="J71"/>
  <c r="O95" i="7"/>
  <c r="O99"/>
  <c r="O92"/>
  <c r="O87"/>
  <c r="O94"/>
  <c r="N111" i="6"/>
  <c r="N98"/>
  <c r="N86"/>
  <c r="N76"/>
  <c r="N107"/>
  <c r="N95"/>
  <c r="N80"/>
  <c r="G105"/>
  <c r="G81"/>
  <c r="G111"/>
  <c r="G104"/>
  <c r="J81"/>
  <c r="G94"/>
  <c r="C109"/>
  <c r="C83"/>
  <c r="C96"/>
  <c r="J116"/>
  <c r="L110"/>
  <c r="J98"/>
  <c r="L87"/>
  <c r="L86"/>
  <c r="B65" i="7"/>
  <c r="L109" i="6"/>
  <c r="L77"/>
  <c r="L107"/>
  <c r="J86"/>
  <c r="G87"/>
  <c r="L85"/>
  <c r="G86"/>
  <c r="G95"/>
  <c r="L81"/>
  <c r="J80"/>
  <c r="G112"/>
  <c r="C98"/>
  <c r="C88"/>
  <c r="C112"/>
  <c r="A110" i="7"/>
  <c r="D20"/>
  <c r="E20" s="1"/>
  <c r="C26"/>
  <c r="C24"/>
  <c r="B71" i="6"/>
  <c r="C42" i="7"/>
  <c r="C91" s="1"/>
  <c r="P91" s="1"/>
  <c r="O34" i="6"/>
  <c r="O37"/>
  <c r="O35"/>
  <c r="O46"/>
  <c r="O49"/>
  <c r="O51"/>
  <c r="O38"/>
  <c r="O36"/>
  <c r="O45"/>
  <c r="O47"/>
  <c r="O50"/>
  <c r="M86" i="8"/>
  <c r="C86" s="1"/>
  <c r="C51" i="7"/>
  <c r="D51" s="1"/>
  <c r="E51" s="1"/>
  <c r="F51" s="1"/>
  <c r="G51" s="1"/>
  <c r="H51" s="1"/>
  <c r="I51" s="1"/>
  <c r="J51" s="1"/>
  <c r="K51" s="1"/>
  <c r="C53"/>
  <c r="D53" s="1"/>
  <c r="E53" s="1"/>
  <c r="F53" s="1"/>
  <c r="G53" s="1"/>
  <c r="H53" s="1"/>
  <c r="I53" s="1"/>
  <c r="J53" s="1"/>
  <c r="K53" s="1"/>
  <c r="J37" i="5"/>
  <c r="Z16" s="1"/>
  <c r="D86" i="7"/>
  <c r="Q86" s="1"/>
  <c r="C95"/>
  <c r="P95" s="1"/>
  <c r="D84"/>
  <c r="E84" s="1"/>
  <c r="F84" s="1"/>
  <c r="G84" s="1"/>
  <c r="H84" s="1"/>
  <c r="I84" s="1"/>
  <c r="J84" s="1"/>
  <c r="P84"/>
  <c r="C88"/>
  <c r="P88" s="1"/>
  <c r="F20"/>
  <c r="G20" s="1"/>
  <c r="D26"/>
  <c r="C12"/>
  <c r="C92" s="1"/>
  <c r="P92" s="1"/>
  <c r="D12"/>
  <c r="D59"/>
  <c r="D104" s="1"/>
  <c r="C104"/>
  <c r="P104" s="1"/>
  <c r="N139" i="5"/>
  <c r="N36"/>
  <c r="N37"/>
  <c r="N122"/>
  <c r="AD27"/>
  <c r="O26" i="6"/>
  <c r="O23"/>
  <c r="O19"/>
  <c r="O57"/>
  <c r="K108"/>
  <c r="I108"/>
  <c r="G66"/>
  <c r="H30"/>
  <c r="I115"/>
  <c r="I95"/>
  <c r="I96"/>
  <c r="I116"/>
  <c r="I78"/>
  <c r="I104"/>
  <c r="I114"/>
  <c r="I87"/>
  <c r="I88"/>
  <c r="I94"/>
  <c r="I111"/>
  <c r="I77"/>
  <c r="I112"/>
  <c r="I109"/>
  <c r="O74"/>
  <c r="O75"/>
  <c r="O17"/>
  <c r="O28"/>
  <c r="O25"/>
  <c r="O20"/>
  <c r="O18"/>
  <c r="O41"/>
  <c r="O56"/>
  <c r="N108"/>
  <c r="L108"/>
  <c r="J108"/>
  <c r="M68"/>
  <c r="O106" s="1"/>
  <c r="AC76" i="5"/>
  <c r="AC80"/>
  <c r="AC82"/>
  <c r="AC84"/>
  <c r="AC87"/>
  <c r="AC89"/>
  <c r="AC91"/>
  <c r="AC95"/>
  <c r="AC100"/>
  <c r="M117" i="6"/>
  <c r="AC75" i="5"/>
  <c r="AC79"/>
  <c r="AC81"/>
  <c r="AC83"/>
  <c r="AC88"/>
  <c r="AC90"/>
  <c r="AC96"/>
  <c r="E87" i="7"/>
  <c r="F87" s="1"/>
  <c r="G87" s="1"/>
  <c r="H87" s="1"/>
  <c r="I87" s="1"/>
  <c r="J87" s="1"/>
  <c r="Q87"/>
  <c r="O102"/>
  <c r="C154"/>
  <c r="B154" s="1"/>
  <c r="M55" i="6"/>
  <c r="M115" s="1"/>
  <c r="O33"/>
  <c r="M55" i="5"/>
  <c r="M36"/>
  <c r="A74" i="7"/>
  <c r="D77"/>
  <c r="Q9"/>
  <c r="Q77"/>
  <c r="D119" s="1"/>
  <c r="E9"/>
  <c r="M84" i="6"/>
  <c r="M96"/>
  <c r="M110"/>
  <c r="K57"/>
  <c r="K117" s="1"/>
  <c r="G71"/>
  <c r="M80"/>
  <c r="M95"/>
  <c r="M106"/>
  <c r="J55"/>
  <c r="J90"/>
  <c r="M37" i="5"/>
  <c r="AC16" s="1"/>
  <c r="M141"/>
  <c r="M63"/>
  <c r="Q104" i="7"/>
  <c r="M43" i="8"/>
  <c r="C43" s="1"/>
  <c r="C44" i="7" s="1"/>
  <c r="M45" i="8"/>
  <c r="C45" s="1"/>
  <c r="C46" i="7" s="1"/>
  <c r="M70" i="8"/>
  <c r="C70" s="1"/>
  <c r="F85" i="7" s="1"/>
  <c r="M27" i="8"/>
  <c r="C27" s="1"/>
  <c r="F26" i="7" s="1"/>
  <c r="M85" i="5"/>
  <c r="Q84" i="7"/>
  <c r="Q105"/>
  <c r="Q93"/>
  <c r="D95"/>
  <c r="Q95" s="1"/>
  <c r="M7" i="8"/>
  <c r="B37" i="7"/>
  <c r="E23"/>
  <c r="E24" s="1"/>
  <c r="D24"/>
  <c r="E85"/>
  <c r="C52"/>
  <c r="H90" i="6"/>
  <c r="C30"/>
  <c r="C90" s="1"/>
  <c r="C71"/>
  <c r="D50" i="7"/>
  <c r="C14"/>
  <c r="D14"/>
  <c r="F79"/>
  <c r="E80"/>
  <c r="N71" i="6"/>
  <c r="E71"/>
  <c r="Q100" i="7"/>
  <c r="Q99"/>
  <c r="E59"/>
  <c r="D83"/>
  <c r="D52" s="1"/>
  <c r="O94" i="6" l="1"/>
  <c r="D44" i="7"/>
  <c r="M109" i="6"/>
  <c r="M97"/>
  <c r="M83"/>
  <c r="M98"/>
  <c r="M86"/>
  <c r="M76"/>
  <c r="O115"/>
  <c r="M99"/>
  <c r="M85"/>
  <c r="M105"/>
  <c r="M88"/>
  <c r="M78"/>
  <c r="M101"/>
  <c r="D85" i="7"/>
  <c r="M104" i="6"/>
  <c r="M87"/>
  <c r="M77"/>
  <c r="M107"/>
  <c r="M94"/>
  <c r="M81"/>
  <c r="M114"/>
  <c r="O85"/>
  <c r="O111"/>
  <c r="O114"/>
  <c r="O112"/>
  <c r="O116"/>
  <c r="C28" i="7"/>
  <c r="C139" s="1"/>
  <c r="E26"/>
  <c r="D46"/>
  <c r="C89"/>
  <c r="P89" s="1"/>
  <c r="O96" i="6"/>
  <c r="O80"/>
  <c r="O76"/>
  <c r="O110"/>
  <c r="O109"/>
  <c r="I44" i="8"/>
  <c r="AE63" i="5"/>
  <c r="AE61"/>
  <c r="AE57"/>
  <c r="AE53"/>
  <c r="AE51"/>
  <c r="AE49"/>
  <c r="AE42"/>
  <c r="AE44"/>
  <c r="AE46"/>
  <c r="C46" i="8" s="1"/>
  <c r="AE37" i="5"/>
  <c r="AE35"/>
  <c r="AE34"/>
  <c r="C35" i="8" s="1"/>
  <c r="AE32" i="5"/>
  <c r="AE27"/>
  <c r="AE23"/>
  <c r="AE19"/>
  <c r="AE13"/>
  <c r="AE15"/>
  <c r="C18" i="8" s="1"/>
  <c r="Z44" i="5"/>
  <c r="Z41"/>
  <c r="Z13"/>
  <c r="Z14"/>
  <c r="Z12"/>
  <c r="Z43"/>
  <c r="Z15"/>
  <c r="Z20"/>
  <c r="K133"/>
  <c r="Z61"/>
  <c r="Z33"/>
  <c r="Z52"/>
  <c r="Z49"/>
  <c r="Z51"/>
  <c r="Z35"/>
  <c r="Z60"/>
  <c r="Z45"/>
  <c r="J127"/>
  <c r="Z63"/>
  <c r="AE21"/>
  <c r="AE22"/>
  <c r="Z36"/>
  <c r="AE62"/>
  <c r="AE60"/>
  <c r="AE55"/>
  <c r="AE50"/>
  <c r="AE52"/>
  <c r="AE47"/>
  <c r="AE43"/>
  <c r="AE45"/>
  <c r="AE41"/>
  <c r="AE36"/>
  <c r="AE33"/>
  <c r="AE31"/>
  <c r="AE30"/>
  <c r="AE25"/>
  <c r="AE20"/>
  <c r="AE14"/>
  <c r="AE12"/>
  <c r="K127"/>
  <c r="Z53"/>
  <c r="Z23"/>
  <c r="Z37"/>
  <c r="Z34"/>
  <c r="Z57"/>
  <c r="Z31"/>
  <c r="Z46"/>
  <c r="Z30"/>
  <c r="Z62"/>
  <c r="Z47"/>
  <c r="Z19"/>
  <c r="Z25"/>
  <c r="Z22"/>
  <c r="Z50"/>
  <c r="Z21"/>
  <c r="Z32"/>
  <c r="C33" i="8" s="1"/>
  <c r="Z42" i="5"/>
  <c r="AG42" s="1"/>
  <c r="J133"/>
  <c r="O133" s="1"/>
  <c r="B140" i="7" s="1"/>
  <c r="Z55" i="5"/>
  <c r="Z27"/>
  <c r="AE16"/>
  <c r="D92" i="7"/>
  <c r="Q92" s="1"/>
  <c r="P83"/>
  <c r="E83"/>
  <c r="F83" s="1"/>
  <c r="G83" s="1"/>
  <c r="H83" s="1"/>
  <c r="I83" s="1"/>
  <c r="J83" s="1"/>
  <c r="H20"/>
  <c r="G26"/>
  <c r="AD16" i="5"/>
  <c r="AD61"/>
  <c r="AD53"/>
  <c r="AD49"/>
  <c r="AD44"/>
  <c r="AD37"/>
  <c r="AD31"/>
  <c r="AD19"/>
  <c r="AD13"/>
  <c r="AD60"/>
  <c r="AD52"/>
  <c r="AD47"/>
  <c r="AD43"/>
  <c r="AD34"/>
  <c r="AD30"/>
  <c r="AD22"/>
  <c r="AD14"/>
  <c r="AD23"/>
  <c r="AD63"/>
  <c r="AD57"/>
  <c r="AD51"/>
  <c r="AD46"/>
  <c r="AD42"/>
  <c r="AD33"/>
  <c r="AD21"/>
  <c r="AD15"/>
  <c r="AD62"/>
  <c r="AD55"/>
  <c r="AD50"/>
  <c r="AD45"/>
  <c r="AD41"/>
  <c r="AD32"/>
  <c r="AD25"/>
  <c r="AD20"/>
  <c r="AD12"/>
  <c r="AD35"/>
  <c r="AD36"/>
  <c r="O108" i="6"/>
  <c r="O107"/>
  <c r="O97"/>
  <c r="O77"/>
  <c r="O81"/>
  <c r="O86"/>
  <c r="O55"/>
  <c r="M111"/>
  <c r="M108"/>
  <c r="O104"/>
  <c r="O98"/>
  <c r="O78"/>
  <c r="O83"/>
  <c r="O87"/>
  <c r="O68"/>
  <c r="O105"/>
  <c r="O95"/>
  <c r="O99"/>
  <c r="O101"/>
  <c r="O79"/>
  <c r="O84"/>
  <c r="O88"/>
  <c r="M93" i="5"/>
  <c r="AC93" s="1"/>
  <c r="AC85"/>
  <c r="M112" i="6"/>
  <c r="M116"/>
  <c r="AC63" i="5"/>
  <c r="AC61"/>
  <c r="AC57"/>
  <c r="AC53"/>
  <c r="AC51"/>
  <c r="AC49"/>
  <c r="AC46"/>
  <c r="AC44"/>
  <c r="AC42"/>
  <c r="AC37"/>
  <c r="AC35"/>
  <c r="AC33"/>
  <c r="AC31"/>
  <c r="AC27"/>
  <c r="AC23"/>
  <c r="AC21"/>
  <c r="AC19"/>
  <c r="AC15"/>
  <c r="AC13"/>
  <c r="AC62"/>
  <c r="AC60"/>
  <c r="AC55"/>
  <c r="AC52"/>
  <c r="AC50"/>
  <c r="AC47"/>
  <c r="AC45"/>
  <c r="AC43"/>
  <c r="AC41"/>
  <c r="AC36"/>
  <c r="AC34"/>
  <c r="AC32"/>
  <c r="AC30"/>
  <c r="AC25"/>
  <c r="AC22"/>
  <c r="AC20"/>
  <c r="AC12"/>
  <c r="AC14"/>
  <c r="E77" i="7"/>
  <c r="R77"/>
  <c r="E119" s="1"/>
  <c r="F9"/>
  <c r="R9"/>
  <c r="M97" i="5"/>
  <c r="J115" i="6"/>
  <c r="J57"/>
  <c r="O117" s="1"/>
  <c r="M139" i="5"/>
  <c r="G79" i="7"/>
  <c r="H79" s="1"/>
  <c r="I79" s="1"/>
  <c r="J79" s="1"/>
  <c r="F80"/>
  <c r="S79" s="1"/>
  <c r="C125"/>
  <c r="D125"/>
  <c r="D42"/>
  <c r="E50" s="1"/>
  <c r="G85"/>
  <c r="K84"/>
  <c r="Q85"/>
  <c r="D28"/>
  <c r="Q83"/>
  <c r="D88"/>
  <c r="E104"/>
  <c r="R104" s="1"/>
  <c r="F59"/>
  <c r="R84"/>
  <c r="E95"/>
  <c r="E86"/>
  <c r="R80"/>
  <c r="E46"/>
  <c r="R100"/>
  <c r="R99"/>
  <c r="R87"/>
  <c r="R105"/>
  <c r="E44"/>
  <c r="E14"/>
  <c r="R79"/>
  <c r="R93"/>
  <c r="E12"/>
  <c r="F23"/>
  <c r="B38"/>
  <c r="O37" s="1"/>
  <c r="H85"/>
  <c r="R85"/>
  <c r="C44" i="8" l="1"/>
  <c r="M44"/>
  <c r="O127" i="5"/>
  <c r="B134" i="7" s="1"/>
  <c r="I20"/>
  <c r="H26"/>
  <c r="AC97" i="5"/>
  <c r="M11" i="6"/>
  <c r="G9" i="7"/>
  <c r="F77"/>
  <c r="S77"/>
  <c r="F119" s="1"/>
  <c r="S9"/>
  <c r="J117" i="6"/>
  <c r="E42" i="7"/>
  <c r="F50" s="1"/>
  <c r="G23"/>
  <c r="F24"/>
  <c r="R86"/>
  <c r="Q88"/>
  <c r="D89"/>
  <c r="R83"/>
  <c r="E88"/>
  <c r="E52"/>
  <c r="S80"/>
  <c r="F44"/>
  <c r="F46"/>
  <c r="S100"/>
  <c r="S84"/>
  <c r="F95"/>
  <c r="S95" s="1"/>
  <c r="F12"/>
  <c r="F86"/>
  <c r="S86" s="1"/>
  <c r="S87"/>
  <c r="S105"/>
  <c r="S99"/>
  <c r="S93"/>
  <c r="S85"/>
  <c r="F14"/>
  <c r="F125" s="1"/>
  <c r="E125"/>
  <c r="O17"/>
  <c r="O15"/>
  <c r="O52"/>
  <c r="O31"/>
  <c r="O32"/>
  <c r="O26"/>
  <c r="O23"/>
  <c r="O35"/>
  <c r="O21"/>
  <c r="O47"/>
  <c r="O44"/>
  <c r="O48"/>
  <c r="O62"/>
  <c r="O36"/>
  <c r="O46"/>
  <c r="O14"/>
  <c r="O51"/>
  <c r="O13"/>
  <c r="O54"/>
  <c r="O33"/>
  <c r="O45"/>
  <c r="O22"/>
  <c r="O55"/>
  <c r="O34"/>
  <c r="O59"/>
  <c r="O64"/>
  <c r="O20"/>
  <c r="O57"/>
  <c r="O38"/>
  <c r="O50"/>
  <c r="O63"/>
  <c r="O43"/>
  <c r="O42"/>
  <c r="O24"/>
  <c r="C166"/>
  <c r="B166" s="1"/>
  <c r="O16"/>
  <c r="O12"/>
  <c r="O65"/>
  <c r="O28"/>
  <c r="F92"/>
  <c r="S92" s="1"/>
  <c r="E92"/>
  <c r="R95"/>
  <c r="I85"/>
  <c r="G59"/>
  <c r="F104"/>
  <c r="S104" s="1"/>
  <c r="D139"/>
  <c r="E91"/>
  <c r="D91"/>
  <c r="G80"/>
  <c r="T79" s="1"/>
  <c r="J20" l="1"/>
  <c r="J26" s="1"/>
  <c r="I26"/>
  <c r="O71" i="6"/>
  <c r="O11"/>
  <c r="M71"/>
  <c r="M30"/>
  <c r="H9" i="7"/>
  <c r="T77"/>
  <c r="G119" s="1"/>
  <c r="G77"/>
  <c r="T9"/>
  <c r="R91"/>
  <c r="T93"/>
  <c r="T100"/>
  <c r="G46"/>
  <c r="T99"/>
  <c r="T105"/>
  <c r="G44"/>
  <c r="G14"/>
  <c r="G125" s="1"/>
  <c r="G12"/>
  <c r="G92" s="1"/>
  <c r="T92" s="1"/>
  <c r="T84"/>
  <c r="G86"/>
  <c r="T86" s="1"/>
  <c r="G95"/>
  <c r="T80"/>
  <c r="T87"/>
  <c r="H80"/>
  <c r="U79" s="1"/>
  <c r="Q89"/>
  <c r="T85"/>
  <c r="Q91"/>
  <c r="G104"/>
  <c r="T104" s="1"/>
  <c r="H59"/>
  <c r="J85"/>
  <c r="R92"/>
  <c r="E28"/>
  <c r="R88"/>
  <c r="E89"/>
  <c r="S83"/>
  <c r="F88"/>
  <c r="F52"/>
  <c r="F28"/>
  <c r="H23"/>
  <c r="G24"/>
  <c r="F42"/>
  <c r="F91" s="1"/>
  <c r="K20" l="1"/>
  <c r="G50"/>
  <c r="M90" i="6"/>
  <c r="O90"/>
  <c r="O30"/>
  <c r="U77" i="7"/>
  <c r="H119" s="1"/>
  <c r="H77"/>
  <c r="U9"/>
  <c r="I9"/>
  <c r="S91"/>
  <c r="T83"/>
  <c r="G88"/>
  <c r="G52"/>
  <c r="S88"/>
  <c r="F89"/>
  <c r="R89"/>
  <c r="E139"/>
  <c r="F139"/>
  <c r="G28"/>
  <c r="G139" s="1"/>
  <c r="H86"/>
  <c r="U100"/>
  <c r="U80"/>
  <c r="H12"/>
  <c r="U87"/>
  <c r="U84"/>
  <c r="H44"/>
  <c r="H95"/>
  <c r="U95" s="1"/>
  <c r="H46"/>
  <c r="H14"/>
  <c r="H125" s="1"/>
  <c r="U93"/>
  <c r="U99"/>
  <c r="U105"/>
  <c r="U85"/>
  <c r="G42"/>
  <c r="H50" s="1"/>
  <c r="I23"/>
  <c r="H24"/>
  <c r="K85"/>
  <c r="I59"/>
  <c r="H104"/>
  <c r="U104" s="1"/>
  <c r="I80"/>
  <c r="T95"/>
  <c r="H92"/>
  <c r="G91" l="1"/>
  <c r="J9"/>
  <c r="V9"/>
  <c r="V77"/>
  <c r="I119" s="1"/>
  <c r="I77"/>
  <c r="H42"/>
  <c r="K79"/>
  <c r="J80"/>
  <c r="X85" s="1"/>
  <c r="T91"/>
  <c r="U86"/>
  <c r="S89"/>
  <c r="U83"/>
  <c r="H88"/>
  <c r="H52"/>
  <c r="T88"/>
  <c r="G89"/>
  <c r="U92"/>
  <c r="V80"/>
  <c r="I95"/>
  <c r="V100"/>
  <c r="I86"/>
  <c r="V86" s="1"/>
  <c r="I46"/>
  <c r="I12"/>
  <c r="I92" s="1"/>
  <c r="V92" s="1"/>
  <c r="V99"/>
  <c r="V93"/>
  <c r="V105"/>
  <c r="I44"/>
  <c r="V87"/>
  <c r="V84"/>
  <c r="I14"/>
  <c r="I125" s="1"/>
  <c r="X84"/>
  <c r="X100"/>
  <c r="V85"/>
  <c r="I104"/>
  <c r="V104" s="1"/>
  <c r="J59"/>
  <c r="H28"/>
  <c r="H139" s="1"/>
  <c r="J23"/>
  <c r="I24"/>
  <c r="H91"/>
  <c r="V79"/>
  <c r="X80"/>
  <c r="X93" l="1"/>
  <c r="X79"/>
  <c r="W9"/>
  <c r="W77"/>
  <c r="J119" s="1"/>
  <c r="J77"/>
  <c r="U91"/>
  <c r="J24"/>
  <c r="J104"/>
  <c r="K59"/>
  <c r="V95"/>
  <c r="U88"/>
  <c r="H89"/>
  <c r="J12"/>
  <c r="J44"/>
  <c r="W93"/>
  <c r="W99"/>
  <c r="J95"/>
  <c r="W100"/>
  <c r="J86"/>
  <c r="W80"/>
  <c r="J46"/>
  <c r="J14"/>
  <c r="J125" s="1"/>
  <c r="K125" s="1"/>
  <c r="K80"/>
  <c r="W105"/>
  <c r="W84"/>
  <c r="W87"/>
  <c r="W85"/>
  <c r="X87"/>
  <c r="X86"/>
  <c r="W79"/>
  <c r="X99"/>
  <c r="I50"/>
  <c r="T89"/>
  <c r="I88"/>
  <c r="V83"/>
  <c r="I52"/>
  <c r="J28" l="1"/>
  <c r="K46"/>
  <c r="W86"/>
  <c r="K86"/>
  <c r="W95"/>
  <c r="K95"/>
  <c r="K12"/>
  <c r="K24"/>
  <c r="J92"/>
  <c r="W83"/>
  <c r="K83"/>
  <c r="J88"/>
  <c r="X88" s="1"/>
  <c r="J52"/>
  <c r="I42"/>
  <c r="J50" s="1"/>
  <c r="V88"/>
  <c r="I89"/>
  <c r="K14"/>
  <c r="K44"/>
  <c r="U89"/>
  <c r="K104"/>
  <c r="W104"/>
  <c r="X83"/>
  <c r="X95"/>
  <c r="I28"/>
  <c r="K50" l="1"/>
  <c r="J42"/>
  <c r="J139"/>
  <c r="I139"/>
  <c r="V89"/>
  <c r="K52"/>
  <c r="K92"/>
  <c r="W92"/>
  <c r="X92"/>
  <c r="K28"/>
  <c r="J91"/>
  <c r="I91"/>
  <c r="K88"/>
  <c r="W88"/>
  <c r="J89"/>
  <c r="X89" s="1"/>
  <c r="K26"/>
  <c r="K139" l="1"/>
  <c r="K91"/>
  <c r="W91"/>
  <c r="W89"/>
  <c r="K89"/>
  <c r="V91"/>
  <c r="X91"/>
  <c r="K42"/>
  <c r="P101"/>
  <c r="P12"/>
  <c r="Q12"/>
  <c r="R12"/>
  <c r="S12"/>
  <c r="T12"/>
  <c r="U12"/>
  <c r="V12"/>
  <c r="W12"/>
  <c r="X12"/>
  <c r="C13"/>
  <c r="D13"/>
  <c r="E13"/>
  <c r="F13"/>
  <c r="G13"/>
  <c r="H13"/>
  <c r="I13"/>
  <c r="J13"/>
  <c r="P13"/>
  <c r="Q13"/>
  <c r="R13"/>
  <c r="S13"/>
  <c r="T13"/>
  <c r="U13"/>
  <c r="V13"/>
  <c r="W13"/>
  <c r="X13"/>
  <c r="P14"/>
  <c r="Q14"/>
  <c r="R14"/>
  <c r="S14"/>
  <c r="T14"/>
  <c r="U14"/>
  <c r="V14"/>
  <c r="W14"/>
  <c r="X14"/>
  <c r="P15"/>
  <c r="Q15"/>
  <c r="R15"/>
  <c r="S15"/>
  <c r="T15"/>
  <c r="U15"/>
  <c r="V15"/>
  <c r="W15"/>
  <c r="X15"/>
  <c r="C16"/>
  <c r="D16"/>
  <c r="E16"/>
  <c r="F16"/>
  <c r="G16"/>
  <c r="H16"/>
  <c r="I16"/>
  <c r="J16"/>
  <c r="K16"/>
  <c r="P16"/>
  <c r="Q16"/>
  <c r="R16"/>
  <c r="S16"/>
  <c r="T16"/>
  <c r="U16"/>
  <c r="V16"/>
  <c r="W16"/>
  <c r="X16"/>
  <c r="C17"/>
  <c r="D17"/>
  <c r="E17"/>
  <c r="F17"/>
  <c r="G17"/>
  <c r="H17"/>
  <c r="I17"/>
  <c r="J17"/>
  <c r="K17"/>
  <c r="P17"/>
  <c r="Q17"/>
  <c r="R17"/>
  <c r="S17"/>
  <c r="T17"/>
  <c r="U17"/>
  <c r="V17"/>
  <c r="W17"/>
  <c r="X17"/>
  <c r="P20"/>
  <c r="Q20"/>
  <c r="R20"/>
  <c r="S20"/>
  <c r="T20"/>
  <c r="U20"/>
  <c r="V20"/>
  <c r="W20"/>
  <c r="X20"/>
  <c r="P21"/>
  <c r="Q21"/>
  <c r="R21"/>
  <c r="S21"/>
  <c r="T21"/>
  <c r="U21"/>
  <c r="V21"/>
  <c r="W21"/>
  <c r="X21"/>
  <c r="P22"/>
  <c r="Q22"/>
  <c r="R22"/>
  <c r="S22"/>
  <c r="T22"/>
  <c r="U22"/>
  <c r="V22"/>
  <c r="W22"/>
  <c r="X22"/>
  <c r="P23"/>
  <c r="Q23"/>
  <c r="R23"/>
  <c r="S23"/>
  <c r="T23"/>
  <c r="U23"/>
  <c r="V23"/>
  <c r="W23"/>
  <c r="X23"/>
  <c r="P24"/>
  <c r="Q24"/>
  <c r="R24"/>
  <c r="S24"/>
  <c r="T24"/>
  <c r="U24"/>
  <c r="V24"/>
  <c r="W24"/>
  <c r="X24"/>
  <c r="P26"/>
  <c r="Q26"/>
  <c r="R26"/>
  <c r="S26"/>
  <c r="T26"/>
  <c r="U26"/>
  <c r="V26"/>
  <c r="W26"/>
  <c r="X26"/>
  <c r="P28"/>
  <c r="Q28"/>
  <c r="R28"/>
  <c r="S28"/>
  <c r="T28"/>
  <c r="U28"/>
  <c r="V28"/>
  <c r="W28"/>
  <c r="X28"/>
  <c r="P31"/>
  <c r="Q31"/>
  <c r="R31"/>
  <c r="S31"/>
  <c r="T31"/>
  <c r="U31"/>
  <c r="V31"/>
  <c r="W31"/>
  <c r="X31"/>
  <c r="P32"/>
  <c r="Q32"/>
  <c r="R32"/>
  <c r="S32"/>
  <c r="T32"/>
  <c r="U32"/>
  <c r="V32"/>
  <c r="W32"/>
  <c r="X32"/>
  <c r="C33"/>
  <c r="D33"/>
  <c r="E33"/>
  <c r="F33"/>
  <c r="G33"/>
  <c r="H33"/>
  <c r="I33"/>
  <c r="J33"/>
  <c r="K33"/>
  <c r="P33"/>
  <c r="Q33"/>
  <c r="R33"/>
  <c r="S33"/>
  <c r="T33"/>
  <c r="U33"/>
  <c r="V33"/>
  <c r="W33"/>
  <c r="X33"/>
  <c r="P34"/>
  <c r="Q34"/>
  <c r="R34"/>
  <c r="S34"/>
  <c r="T34"/>
  <c r="U34"/>
  <c r="V34"/>
  <c r="W34"/>
  <c r="X34"/>
  <c r="C35"/>
  <c r="D35"/>
  <c r="E35"/>
  <c r="F35"/>
  <c r="G35"/>
  <c r="H35"/>
  <c r="I35"/>
  <c r="J35"/>
  <c r="K35"/>
  <c r="P35"/>
  <c r="Q35"/>
  <c r="R35"/>
  <c r="S35"/>
  <c r="T35"/>
  <c r="U35"/>
  <c r="V35"/>
  <c r="W35"/>
  <c r="X35"/>
  <c r="C36"/>
  <c r="D36"/>
  <c r="E36"/>
  <c r="F36"/>
  <c r="G36"/>
  <c r="H36"/>
  <c r="I36"/>
  <c r="J36"/>
  <c r="K36"/>
  <c r="P36"/>
  <c r="Q36"/>
  <c r="R36"/>
  <c r="S36"/>
  <c r="T36"/>
  <c r="U36"/>
  <c r="V36"/>
  <c r="W36"/>
  <c r="X36"/>
  <c r="C37"/>
  <c r="D37"/>
  <c r="E37"/>
  <c r="F37"/>
  <c r="G37"/>
  <c r="H37"/>
  <c r="I37"/>
  <c r="J37"/>
  <c r="K37"/>
  <c r="P37"/>
  <c r="Q37"/>
  <c r="R37"/>
  <c r="S37"/>
  <c r="T37"/>
  <c r="U37"/>
  <c r="V37"/>
  <c r="W37"/>
  <c r="X37"/>
  <c r="C38"/>
  <c r="D38"/>
  <c r="E38"/>
  <c r="F38"/>
  <c r="G38"/>
  <c r="H38"/>
  <c r="I38"/>
  <c r="J38"/>
  <c r="K38"/>
  <c r="P38"/>
  <c r="Q38"/>
  <c r="R38"/>
  <c r="S38"/>
  <c r="T38"/>
  <c r="U38"/>
  <c r="V38"/>
  <c r="W38"/>
  <c r="X38"/>
  <c r="P42"/>
  <c r="Q42"/>
  <c r="R42"/>
  <c r="S42"/>
  <c r="T42"/>
  <c r="U42"/>
  <c r="V42"/>
  <c r="W42"/>
  <c r="X42"/>
  <c r="P43"/>
  <c r="Q43"/>
  <c r="R43"/>
  <c r="S43"/>
  <c r="T43"/>
  <c r="U43"/>
  <c r="V43"/>
  <c r="W43"/>
  <c r="X43"/>
  <c r="P44"/>
  <c r="Q44"/>
  <c r="R44"/>
  <c r="S44"/>
  <c r="T44"/>
  <c r="U44"/>
  <c r="V44"/>
  <c r="W44"/>
  <c r="X44"/>
  <c r="C45"/>
  <c r="D45"/>
  <c r="E45"/>
  <c r="F45"/>
  <c r="G45"/>
  <c r="H45"/>
  <c r="I45"/>
  <c r="J45"/>
  <c r="K45"/>
  <c r="P45"/>
  <c r="Q45"/>
  <c r="R45"/>
  <c r="S45"/>
  <c r="T45"/>
  <c r="U45"/>
  <c r="V45"/>
  <c r="W45"/>
  <c r="X45"/>
  <c r="P46"/>
  <c r="Q46"/>
  <c r="R46"/>
  <c r="S46"/>
  <c r="T46"/>
  <c r="U46"/>
  <c r="V46"/>
  <c r="W46"/>
  <c r="X46"/>
  <c r="C47"/>
  <c r="D47"/>
  <c r="E47"/>
  <c r="F47"/>
  <c r="G47"/>
  <c r="H47"/>
  <c r="I47"/>
  <c r="J47"/>
  <c r="K47"/>
  <c r="P47"/>
  <c r="Q47"/>
  <c r="R47"/>
  <c r="S47"/>
  <c r="T47"/>
  <c r="U47"/>
  <c r="V47"/>
  <c r="W47"/>
  <c r="X47"/>
  <c r="C48"/>
  <c r="D48"/>
  <c r="E48"/>
  <c r="F48"/>
  <c r="G48"/>
  <c r="H48"/>
  <c r="I48"/>
  <c r="J48"/>
  <c r="K48"/>
  <c r="P48"/>
  <c r="Q48"/>
  <c r="R48"/>
  <c r="S48"/>
  <c r="T48"/>
  <c r="U48"/>
  <c r="V48"/>
  <c r="W48"/>
  <c r="X48"/>
  <c r="P50"/>
  <c r="Q50"/>
  <c r="R50"/>
  <c r="S50"/>
  <c r="T50"/>
  <c r="U50"/>
  <c r="V50"/>
  <c r="W50"/>
  <c r="X50"/>
  <c r="P51"/>
  <c r="Q51"/>
  <c r="R51"/>
  <c r="S51"/>
  <c r="T51"/>
  <c r="U51"/>
  <c r="V51"/>
  <c r="W51"/>
  <c r="X51"/>
  <c r="P52"/>
  <c r="Q52"/>
  <c r="R52"/>
  <c r="S52"/>
  <c r="T52"/>
  <c r="U52"/>
  <c r="V52"/>
  <c r="W52"/>
  <c r="X52"/>
  <c r="C54"/>
  <c r="D54"/>
  <c r="E54"/>
  <c r="F54"/>
  <c r="G54"/>
  <c r="H54"/>
  <c r="I54"/>
  <c r="J54"/>
  <c r="P54"/>
  <c r="Q54"/>
  <c r="R54"/>
  <c r="S54"/>
  <c r="T54"/>
  <c r="U54"/>
  <c r="V54"/>
  <c r="W54"/>
  <c r="X54"/>
  <c r="C55"/>
  <c r="D55"/>
  <c r="E55"/>
  <c r="F55"/>
  <c r="G55"/>
  <c r="H55"/>
  <c r="I55"/>
  <c r="J55"/>
  <c r="K55"/>
  <c r="P55"/>
  <c r="Q55"/>
  <c r="R55"/>
  <c r="S55"/>
  <c r="T55"/>
  <c r="U55"/>
  <c r="V55"/>
  <c r="W55"/>
  <c r="X55"/>
  <c r="C57"/>
  <c r="D57"/>
  <c r="E57"/>
  <c r="F57"/>
  <c r="G57"/>
  <c r="H57"/>
  <c r="I57"/>
  <c r="J57"/>
  <c r="K57"/>
  <c r="P57"/>
  <c r="Q57"/>
  <c r="R57"/>
  <c r="S57"/>
  <c r="T57"/>
  <c r="U57"/>
  <c r="V57"/>
  <c r="W57"/>
  <c r="X57"/>
  <c r="P59"/>
  <c r="Q59"/>
  <c r="R59"/>
  <c r="S59"/>
  <c r="T59"/>
  <c r="U59"/>
  <c r="V59"/>
  <c r="W59"/>
  <c r="X59"/>
  <c r="P62"/>
  <c r="Q62"/>
  <c r="R62"/>
  <c r="S62"/>
  <c r="T62"/>
  <c r="U62"/>
  <c r="V62"/>
  <c r="W62"/>
  <c r="X62"/>
  <c r="C63"/>
  <c r="D63"/>
  <c r="E63"/>
  <c r="F63"/>
  <c r="G63"/>
  <c r="H63"/>
  <c r="I63"/>
  <c r="J63"/>
  <c r="K63"/>
  <c r="P63"/>
  <c r="Q63"/>
  <c r="R63"/>
  <c r="S63"/>
  <c r="T63"/>
  <c r="U63"/>
  <c r="V63"/>
  <c r="W63"/>
  <c r="X63"/>
  <c r="C64"/>
  <c r="D64"/>
  <c r="E64"/>
  <c r="F64"/>
  <c r="G64"/>
  <c r="H64"/>
  <c r="I64"/>
  <c r="J64"/>
  <c r="K64"/>
  <c r="P64"/>
  <c r="Q64"/>
  <c r="R64"/>
  <c r="S64"/>
  <c r="T64"/>
  <c r="U64"/>
  <c r="V64"/>
  <c r="W64"/>
  <c r="X64"/>
  <c r="C65"/>
  <c r="D65"/>
  <c r="E65"/>
  <c r="F65"/>
  <c r="G65"/>
  <c r="H65"/>
  <c r="I65"/>
  <c r="J65"/>
  <c r="K65"/>
  <c r="P65"/>
  <c r="Q65"/>
  <c r="R65"/>
  <c r="S65"/>
  <c r="T65"/>
  <c r="U65"/>
  <c r="V65"/>
  <c r="W65"/>
  <c r="X65"/>
  <c r="C67"/>
  <c r="D67"/>
  <c r="E67"/>
  <c r="F67"/>
  <c r="G67"/>
  <c r="H67"/>
  <c r="I67"/>
  <c r="J67"/>
  <c r="C68"/>
  <c r="D68"/>
  <c r="E68"/>
  <c r="F68"/>
  <c r="G68"/>
  <c r="H68"/>
  <c r="I68"/>
  <c r="J68"/>
  <c r="C94"/>
  <c r="D94"/>
  <c r="E94"/>
  <c r="F94"/>
  <c r="G94"/>
  <c r="H94"/>
  <c r="I94"/>
  <c r="J94"/>
  <c r="P94"/>
  <c r="Q94"/>
  <c r="R94"/>
  <c r="S94"/>
  <c r="T94"/>
  <c r="U94"/>
  <c r="V94"/>
  <c r="W94"/>
  <c r="X94"/>
  <c r="C96"/>
  <c r="D96"/>
  <c r="E96"/>
  <c r="F96"/>
  <c r="G96"/>
  <c r="H96"/>
  <c r="I96"/>
  <c r="J96"/>
  <c r="K96"/>
  <c r="P96"/>
  <c r="Q96"/>
  <c r="R96"/>
  <c r="S96"/>
  <c r="T96"/>
  <c r="U96"/>
  <c r="V96"/>
  <c r="W96"/>
  <c r="X96"/>
  <c r="C98"/>
  <c r="D98"/>
  <c r="E98"/>
  <c r="F98"/>
  <c r="G98"/>
  <c r="H98"/>
  <c r="I98"/>
  <c r="J98"/>
  <c r="K98"/>
  <c r="D101"/>
  <c r="E101"/>
  <c r="F101"/>
  <c r="G101"/>
  <c r="H101"/>
  <c r="I101"/>
  <c r="J101"/>
  <c r="K101"/>
  <c r="Q101"/>
  <c r="R101"/>
  <c r="S101"/>
  <c r="T101"/>
  <c r="U101"/>
  <c r="V101"/>
  <c r="W101"/>
  <c r="X101"/>
  <c r="C102"/>
  <c r="D102"/>
  <c r="E102"/>
  <c r="F102"/>
  <c r="G102"/>
  <c r="H102"/>
  <c r="I102"/>
  <c r="J102"/>
  <c r="K102"/>
  <c r="P102"/>
  <c r="Q102"/>
  <c r="R102"/>
  <c r="S102"/>
  <c r="T102"/>
  <c r="U102"/>
  <c r="V102"/>
  <c r="W102"/>
  <c r="X102"/>
  <c r="C122"/>
  <c r="D122"/>
  <c r="E122"/>
  <c r="F122"/>
  <c r="G122"/>
  <c r="H122"/>
  <c r="I122"/>
  <c r="J122"/>
  <c r="K122"/>
  <c r="C123"/>
  <c r="D123"/>
  <c r="E123"/>
  <c r="F123"/>
  <c r="G123"/>
  <c r="H123"/>
  <c r="I123"/>
  <c r="J123"/>
  <c r="K123"/>
  <c r="C124"/>
  <c r="D124"/>
  <c r="E124"/>
  <c r="F124"/>
  <c r="G124"/>
  <c r="H124"/>
  <c r="I124"/>
  <c r="J124"/>
  <c r="K124"/>
  <c r="C128"/>
  <c r="D128"/>
  <c r="E128"/>
  <c r="F128"/>
  <c r="G128"/>
  <c r="H128"/>
  <c r="I128"/>
  <c r="J128"/>
  <c r="K128"/>
  <c r="C129"/>
  <c r="D129"/>
  <c r="E129"/>
  <c r="F129"/>
  <c r="G129"/>
  <c r="H129"/>
  <c r="I129"/>
  <c r="J129"/>
  <c r="K129"/>
  <c r="C130"/>
  <c r="D130"/>
  <c r="E130"/>
  <c r="F130"/>
  <c r="G130"/>
  <c r="H130"/>
  <c r="I130"/>
  <c r="J130"/>
  <c r="K130"/>
  <c r="C131"/>
  <c r="D131"/>
  <c r="E131"/>
  <c r="F131"/>
  <c r="G131"/>
  <c r="H131"/>
  <c r="I131"/>
  <c r="J131"/>
  <c r="K131"/>
  <c r="C134"/>
  <c r="D134"/>
  <c r="E134"/>
  <c r="F134"/>
  <c r="G134"/>
  <c r="H134"/>
  <c r="I134"/>
  <c r="J134"/>
  <c r="K134"/>
  <c r="C135"/>
  <c r="D135"/>
  <c r="E135"/>
  <c r="F135"/>
  <c r="G135"/>
  <c r="H135"/>
  <c r="I135"/>
  <c r="J135"/>
  <c r="K135"/>
  <c r="C136"/>
  <c r="D136"/>
  <c r="E136"/>
  <c r="F136"/>
  <c r="G136"/>
  <c r="H136"/>
  <c r="I136"/>
  <c r="J136"/>
  <c r="K136"/>
  <c r="C140"/>
  <c r="D140"/>
  <c r="E140"/>
  <c r="F140"/>
  <c r="G140"/>
  <c r="H140"/>
  <c r="I140"/>
  <c r="J140"/>
  <c r="K140"/>
  <c r="C143"/>
  <c r="D143"/>
  <c r="E143"/>
  <c r="F143"/>
  <c r="G143"/>
  <c r="H143"/>
  <c r="I143"/>
  <c r="J143"/>
  <c r="K143"/>
  <c r="C144"/>
  <c r="D144"/>
  <c r="E144"/>
  <c r="F144"/>
  <c r="G144"/>
  <c r="H144"/>
  <c r="I144"/>
  <c r="J144"/>
  <c r="K144"/>
  <c r="C145"/>
  <c r="D145"/>
  <c r="E145"/>
  <c r="F145"/>
  <c r="G145"/>
  <c r="H145"/>
  <c r="I145"/>
  <c r="J145"/>
  <c r="K145"/>
  <c r="C146"/>
  <c r="D146"/>
  <c r="E146"/>
  <c r="F146"/>
  <c r="G146"/>
  <c r="H146"/>
  <c r="I146"/>
  <c r="J146"/>
  <c r="C148"/>
  <c r="D148"/>
  <c r="E148"/>
  <c r="F148"/>
  <c r="G148"/>
  <c r="H148"/>
  <c r="I148"/>
  <c r="J148"/>
  <c r="K148"/>
  <c r="B155"/>
  <c r="C155"/>
  <c r="B156"/>
  <c r="C156"/>
  <c r="B157"/>
  <c r="C157"/>
  <c r="B158"/>
  <c r="C158"/>
  <c r="B159"/>
  <c r="C159"/>
  <c r="B160"/>
  <c r="C160"/>
  <c r="B161"/>
  <c r="C161"/>
  <c r="B162"/>
  <c r="C162"/>
  <c r="B167"/>
  <c r="C167"/>
  <c r="B168"/>
  <c r="C168"/>
  <c r="B169"/>
  <c r="C169"/>
  <c r="B170"/>
  <c r="C170"/>
  <c r="B171"/>
  <c r="C171"/>
  <c r="B172"/>
  <c r="C172"/>
  <c r="B173"/>
  <c r="C173"/>
  <c r="B174"/>
  <c r="C174"/>
</calcChain>
</file>

<file path=xl/sharedStrings.xml><?xml version="1.0" encoding="utf-8"?>
<sst xmlns="http://schemas.openxmlformats.org/spreadsheetml/2006/main" count="424" uniqueCount="246">
  <si>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</si>
  <si>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</si>
  <si>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</si>
  <si>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</si>
  <si>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</si>
  <si>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</si>
  <si>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</si>
  <si>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</si>
  <si>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</si>
  <si>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</si>
  <si>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</si>
  <si>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</si>
  <si>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</si>
  <si>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</si>
  <si>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</si>
  <si>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</si>
  <si>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</si>
  <si>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</si>
  <si>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</si>
  <si>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</si>
  <si>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</si>
  <si>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</si>
  <si>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</si>
  <si>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</si>
  <si>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</si>
  <si>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</si>
  <si>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</si>
  <si>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</si>
  <si>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</si>
  <si>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</si>
  <si>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</si>
  <si>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</si>
  <si>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</si>
  <si>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</si>
  <si>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</si>
  <si>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</si>
  <si>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</si>
  <si>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</si>
  <si>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</si>
  <si>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</si>
  <si>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</si>
  <si>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</si>
  <si>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</si>
  <si>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</si>
  <si>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</si>
  <si>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</si>
  <si>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</si>
  <si>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</si>
  <si>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</si>
  <si>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</si>
  <si>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</si>
  <si>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</si>
  <si>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</si>
  <si>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</si>
  <si>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</si>
  <si>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</si>
  <si>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</si>
  <si>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</si>
  <si>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</si>
  <si>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</si>
  <si>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</si>
  <si>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</si>
  <si>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</si>
  <si>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</si>
  <si>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</si>
  <si>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</si>
  <si>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</si>
  <si>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</si>
  <si>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Bond Rating</t>
  </si>
  <si>
    <t>Common Stock Rating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</si>
  <si>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</si>
  <si>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</si>
  <si>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</si>
  <si>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</si>
  <si>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</si>
  <si>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</si>
  <si>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</si>
  <si>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</si>
  <si>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</si>
  <si>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</si>
  <si>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</si>
  <si>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</si>
  <si>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</si>
  <si>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</si>
  <si>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</si>
  <si>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</si>
  <si>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</si>
  <si>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</si>
  <si>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</si>
  <si>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Accounts payable and accrued liabilities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</si>
  <si>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</si>
  <si>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</si>
  <si>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</si>
  <si>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</si>
  <si>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</si>
  <si>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</si>
  <si>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</si>
  <si>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</si>
  <si>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</si>
  <si>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</si>
  <si>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</si>
  <si>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</si>
  <si>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</si>
  <si>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</si>
  <si>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</si>
  <si>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</si>
  <si>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</si>
  <si>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</si>
  <si>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</si>
  <si>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</si>
  <si>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</si>
  <si>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</si>
  <si>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</si>
  <si>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</si>
  <si>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</si>
  <si>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</si>
  <si>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</si>
  <si>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</si>
  <si>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</si>
  <si>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</si>
  <si>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</si>
  <si>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</si>
  <si>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</si>
  <si>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</si>
  <si>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</si>
  <si>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</si>
  <si>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</si>
  <si>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</si>
  <si>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</si>
  <si>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</si>
  <si>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</si>
  <si>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</si>
  <si>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</si>
  <si>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</si>
  <si>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</si>
  <si>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 xml:space="preserve">Dividend Payout </t>
  </si>
  <si>
    <t>Inflation (GDP)</t>
  </si>
  <si>
    <t>Income Tax Rate</t>
  </si>
  <si>
    <t>growth rate</t>
  </si>
  <si>
    <t>of total assets</t>
  </si>
  <si>
    <t>Surplus Cash</t>
  </si>
  <si>
    <t>Additonal Loans</t>
  </si>
  <si>
    <t>Period</t>
  </si>
  <si>
    <t>estimate: Value Line 3-5 year at 2.50 percent, add 0.25% for higer commodity prices</t>
  </si>
  <si>
    <t>Long-term debt Rate</t>
  </si>
  <si>
    <t>Short-term debt Rate</t>
  </si>
  <si>
    <t>Rate on Cash balances</t>
  </si>
  <si>
    <t>Preferred Stock Dividend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</si>
  <si>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</si>
  <si>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</si>
  <si>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</si>
  <si>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</si>
  <si>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</si>
  <si>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</si>
  <si>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</si>
  <si>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</si>
  <si>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</si>
  <si>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</si>
  <si>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*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</si>
  <si>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</si>
  <si>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</si>
  <si>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</si>
  <si>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</si>
  <si>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</si>
  <si>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</si>
  <si>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</si>
  <si>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</si>
  <si>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</si>
  <si>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</si>
  <si>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</si>
  <si>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</si>
  <si>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</si>
  <si>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</si>
  <si>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</si>
  <si>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</si>
  <si>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</si>
  <si>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</si>
  <si>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</si>
  <si>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</si>
  <si>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</si>
  <si>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</si>
  <si>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</si>
  <si>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</si>
  <si>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</si>
  <si>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Assumed after 2012</t>
  </si>
  <si>
    <t>annual ammount, fixed</t>
  </si>
  <si>
    <t>percent of assets</t>
  </si>
  <si>
    <t>of revenues</t>
  </si>
  <si>
    <t>computer calculation</t>
  </si>
  <si>
    <t>fixed amount</t>
  </si>
  <si>
    <t>estimated growth rate</t>
  </si>
  <si>
    <t>percent of revenues</t>
  </si>
  <si>
    <t>percent of LTD</t>
  </si>
  <si>
    <t xml:space="preserve">average </t>
  </si>
  <si>
    <t>of fuel expense</t>
  </si>
  <si>
    <t>constant at 2009 amount</t>
  </si>
  <si>
    <t>Common Size Forecast Income Statements</t>
  </si>
  <si>
    <t>Interest Expense (Income) on Additional Loans (Surplus Cash)</t>
  </si>
  <si>
    <t>of plant in service</t>
  </si>
  <si>
    <t>cost of average s-t and l-t debt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</si>
  <si>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</si>
  <si>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</si>
  <si>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</si>
  <si>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</si>
  <si>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</si>
  <si>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revenue growth rate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</si>
  <si>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</si>
  <si>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</si>
  <si>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</si>
  <si>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</si>
  <si>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</si>
  <si>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</si>
  <si>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</si>
  <si>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</si>
  <si>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</si>
  <si>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</si>
  <si>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</si>
  <si>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of net income</t>
  </si>
  <si>
    <t>Exhibit 2</t>
  </si>
  <si>
    <t>Total Other (Income)/Expense</t>
  </si>
  <si>
    <t>Days Revenues Cash</t>
  </si>
  <si>
    <t xml:space="preserve">     Common Stock Dividends paid</t>
  </si>
  <si>
    <t>same as revenue</t>
  </si>
  <si>
    <t>one-third avg pct of assets</t>
  </si>
  <si>
    <t>A-/BBB+</t>
  </si>
  <si>
    <t>June</t>
  </si>
  <si>
    <t>2007-2011</t>
  </si>
  <si>
    <t>Fiscal Years Ended December 31, 2007-2011, Six Months Ended June 2012</t>
  </si>
  <si>
    <t xml:space="preserve">      Income Taxes Payable, net</t>
  </si>
  <si>
    <t>Six-months</t>
  </si>
  <si>
    <t>2007-2011 average</t>
  </si>
  <si>
    <t>of revenues, 2007-2011</t>
  </si>
  <si>
    <t>estimated from 2007-2011</t>
  </si>
  <si>
    <t>of total assets, 2007-2011</t>
  </si>
  <si>
    <t>absolute avg. growth 2007-2011</t>
  </si>
  <si>
    <t>2012-2013 reverse of 2011 and 2010, then five year average</t>
  </si>
  <si>
    <t>used 2008-2011</t>
  </si>
  <si>
    <t>2008-2011</t>
  </si>
  <si>
    <t>1100 per year fixed, then 0.5 avg grwth after 2014</t>
  </si>
  <si>
    <t>equal to 0.5 dividend payments after 2011</t>
  </si>
  <si>
    <t>Inflation rate</t>
  </si>
  <si>
    <t>2011 % of revenues</t>
  </si>
  <si>
    <t>of revenues, estimated from 2007-2011</t>
  </si>
  <si>
    <t>Actual 2007 to 2011 growth rate, plus 2.0%, 2012 is 2x 6 mo actual</t>
  </si>
  <si>
    <t>After 2016, revenue growth at 2.0 pct.</t>
  </si>
  <si>
    <t>Times Interest Earned plus Depr.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</si>
</sst>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0_);\(0\)"/>
    <numFmt numFmtId="170" formatCode="0.00_);\(0.00\)"/>
    <numFmt numFmtId="171" formatCode="&quot;$&quot;#,##0.00000_);\(&quot;$&quot;#,##0.00000\)"/>
  </numFmts>
  <fonts count="23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4" fontId="10" fillId="2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04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9" applyFill="1"/>
    <xf numFmtId="0" fontId="9" fillId="0" borderId="0" xfId="9" applyFont="1" applyFill="1" applyBorder="1" applyAlignment="1">
      <alignment vertical="center"/>
    </xf>
    <xf numFmtId="165" fontId="9" fillId="2" borderId="0" xfId="9" applyNumberFormat="1" applyFont="1" applyFill="1" applyBorder="1" applyAlignment="1">
      <alignment horizontal="right"/>
    </xf>
    <xf numFmtId="0" fontId="9" fillId="0" borderId="0" xfId="9" applyFont="1" applyBorder="1" applyAlignment="1">
      <alignment vertical="center"/>
    </xf>
    <xf numFmtId="165" fontId="9" fillId="0" borderId="0" xfId="9" applyNumberFormat="1" applyFont="1" applyFill="1" applyBorder="1" applyAlignment="1">
      <alignment horizontal="right"/>
    </xf>
    <xf numFmtId="0" fontId="7" fillId="3" borderId="0" xfId="9" applyFont="1" applyFill="1" applyBorder="1" applyAlignment="1"/>
    <xf numFmtId="0" fontId="9" fillId="0" borderId="5" xfId="9" applyFont="1" applyBorder="1" applyAlignment="1">
      <alignment vertical="center"/>
    </xf>
    <xf numFmtId="165" fontId="9" fillId="2" borderId="5" xfId="9" applyNumberFormat="1" applyFont="1" applyFill="1" applyBorder="1" applyAlignment="1">
      <alignment horizontal="right"/>
    </xf>
    <xf numFmtId="0" fontId="10" fillId="2" borderId="0" xfId="9" applyFont="1" applyFill="1"/>
    <xf numFmtId="167" fontId="10" fillId="2" borderId="0" xfId="9" applyNumberFormat="1" applyFill="1"/>
    <xf numFmtId="0" fontId="11" fillId="0" borderId="0" xfId="9" applyFont="1" applyFill="1" applyBorder="1" applyAlignment="1">
      <alignment horizontal="right"/>
    </xf>
    <xf numFmtId="0" fontId="11" fillId="2" borderId="0" xfId="9" applyNumberFormat="1" applyFont="1" applyFill="1" applyBorder="1" applyAlignment="1">
      <alignment horizontal="right"/>
    </xf>
    <xf numFmtId="0" fontId="11" fillId="2" borderId="0" xfId="9" applyFont="1" applyFill="1"/>
    <xf numFmtId="0" fontId="9" fillId="2" borderId="0" xfId="9" applyFont="1" applyFill="1"/>
    <xf numFmtId="167" fontId="9" fillId="2" borderId="0" xfId="9" applyNumberFormat="1" applyFont="1" applyFill="1"/>
    <xf numFmtId="0" fontId="10" fillId="2" borderId="0" xfId="9" applyFill="1" applyAlignment="1">
      <alignment horizontal="centerContinuous"/>
    </xf>
    <xf numFmtId="5" fontId="13" fillId="2" borderId="0" xfId="9" applyNumberFormat="1" applyFont="1" applyFill="1" applyAlignment="1">
      <alignment horizontal="centerContinuous"/>
    </xf>
    <xf numFmtId="167" fontId="10" fillId="2" borderId="0" xfId="9" applyNumberFormat="1" applyFill="1" applyAlignment="1">
      <alignment horizontal="centerContinuous"/>
    </xf>
    <xf numFmtId="0" fontId="15" fillId="2" borderId="0" xfId="9" applyFont="1" applyFill="1" applyAlignment="1">
      <alignment horizontal="centerContinuous"/>
    </xf>
    <xf numFmtId="0" fontId="10" fillId="2" borderId="0" xfId="9" applyFont="1" applyFill="1" applyAlignment="1">
      <alignment horizontal="centerContinuous"/>
    </xf>
    <xf numFmtId="0" fontId="11" fillId="2" borderId="0" xfId="9" applyFont="1" applyFill="1" applyAlignment="1">
      <alignment horizontal="center"/>
    </xf>
    <xf numFmtId="167" fontId="10" fillId="2" borderId="0" xfId="9" applyNumberFormat="1" applyFont="1" applyFill="1" applyAlignment="1">
      <alignment horizontal="centerContinuous"/>
    </xf>
    <xf numFmtId="0" fontId="9" fillId="0" borderId="0" xfId="9" quotePrefix="1" applyFont="1" applyBorder="1" applyAlignment="1">
      <alignment horizontal="left" vertical="center"/>
    </xf>
    <xf numFmtId="0" fontId="14" fillId="2" borderId="0" xfId="9" applyFont="1" applyFill="1" applyAlignment="1">
      <alignment horizontal="centerContinuous"/>
    </xf>
    <xf numFmtId="5" fontId="13" fillId="0" borderId="0" xfId="9" applyNumberFormat="1" applyFont="1" applyAlignment="1">
      <alignment horizontal="centerContinuous"/>
    </xf>
    <xf numFmtId="0" fontId="13" fillId="0" borderId="0" xfId="9" applyFont="1" applyAlignment="1">
      <alignment horizontal="centerContinuous"/>
    </xf>
    <xf numFmtId="0" fontId="12" fillId="2" borderId="0" xfId="9" applyFont="1" applyFill="1" applyAlignment="1">
      <alignment horizontal="centerContinuous"/>
    </xf>
    <xf numFmtId="5" fontId="11" fillId="2" borderId="0" xfId="9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9" applyFont="1" applyFill="1" applyAlignment="1">
      <alignment horizontal="centerContinuous"/>
    </xf>
    <xf numFmtId="10" fontId="9" fillId="2" borderId="0" xfId="10" applyFont="1"/>
    <xf numFmtId="10" fontId="9" fillId="2" borderId="0" xfId="9" applyNumberFormat="1" applyFont="1" applyFill="1"/>
    <xf numFmtId="10" fontId="9" fillId="2" borderId="0" xfId="10" applyFont="1" applyAlignment="1">
      <alignment horizontal="center"/>
    </xf>
    <xf numFmtId="0" fontId="7" fillId="3" borderId="0" xfId="9" quotePrefix="1" applyFont="1" applyFill="1" applyBorder="1" applyAlignment="1">
      <alignment horizontal="left"/>
    </xf>
    <xf numFmtId="165" fontId="9" fillId="0" borderId="0" xfId="9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9" applyNumberFormat="1" applyFont="1" applyBorder="1" applyAlignment="1" applyProtection="1">
      <alignment horizontal="right"/>
      <protection locked="0"/>
    </xf>
    <xf numFmtId="165" fontId="7" fillId="3" borderId="0" xfId="9" applyNumberFormat="1" applyFont="1" applyFill="1" applyBorder="1" applyAlignment="1">
      <alignment horizontal="right"/>
    </xf>
    <xf numFmtId="165" fontId="9" fillId="0" borderId="5" xfId="9" applyNumberFormat="1" applyFont="1" applyBorder="1" applyAlignment="1">
      <alignment horizontal="right"/>
    </xf>
    <xf numFmtId="165" fontId="7" fillId="3" borderId="5" xfId="3" applyNumberFormat="1" applyFont="1" applyFill="1" applyBorder="1" applyAlignment="1">
      <alignment horizontal="right"/>
    </xf>
    <xf numFmtId="165" fontId="10" fillId="2" borderId="0" xfId="9" applyNumberFormat="1" applyFill="1"/>
    <xf numFmtId="165" fontId="7" fillId="3" borderId="0" xfId="3" applyNumberFormat="1" applyFont="1" applyFill="1" applyBorder="1"/>
    <xf numFmtId="0" fontId="9" fillId="0" borderId="0" xfId="9" quotePrefix="1" applyFont="1" applyFill="1" applyBorder="1" applyAlignment="1">
      <alignment horizontal="left" vertical="center"/>
    </xf>
    <xf numFmtId="10" fontId="9" fillId="2" borderId="4" xfId="10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37" fontId="9" fillId="2" borderId="0" xfId="0" applyNumberFormat="1" applyFont="1" applyFill="1"/>
    <xf numFmtId="170" fontId="5" fillId="2" borderId="0" xfId="0" applyNumberFormat="1" applyFont="1" applyFill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5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5" fontId="9" fillId="2" borderId="0" xfId="0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164" fontId="9" fillId="2" borderId="0" xfId="0" applyNumberFormat="1" applyFont="1" applyFill="1"/>
    <xf numFmtId="10" fontId="9" fillId="2" borderId="6" xfId="0" applyNumberFormat="1" applyFont="1" applyFill="1" applyBorder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5" fontId="9" fillId="2" borderId="0" xfId="0" applyNumberFormat="1" applyFont="1" applyFill="1" applyAlignment="1">
      <alignment horizontal="left"/>
    </xf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0" fillId="0" borderId="0" xfId="0" applyNumberFormat="1" applyFill="1"/>
    <xf numFmtId="10" fontId="16" fillId="0" borderId="0" xfId="0" applyNumberFormat="1" applyFont="1" applyFill="1"/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10" fontId="9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5" fontId="0" fillId="0" borderId="0" xfId="0" applyNumberForma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9" fillId="0" borderId="0" xfId="0" applyNumberFormat="1" applyFont="1" applyFill="1" applyBorder="1"/>
    <xf numFmtId="10" fontId="5" fillId="0" borderId="4" xfId="0" applyNumberFormat="1" applyFont="1" applyFill="1" applyBorder="1"/>
    <xf numFmtId="168" fontId="11" fillId="0" borderId="0" xfId="0" applyNumberFormat="1" applyFont="1" applyFill="1" applyBorder="1"/>
    <xf numFmtId="5" fontId="9" fillId="0" borderId="0" xfId="0" applyNumberFormat="1" applyFont="1" applyFill="1" applyBorder="1"/>
    <xf numFmtId="10" fontId="5" fillId="0" borderId="5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0" fontId="9" fillId="0" borderId="0" xfId="0" quotePrefix="1" applyNumberFormat="1" applyFont="1" applyFill="1" applyAlignment="1">
      <alignment horizontal="left"/>
    </xf>
    <xf numFmtId="166" fontId="7" fillId="0" borderId="16" xfId="3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9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6" fontId="9" fillId="0" borderId="2" xfId="0" applyNumberFormat="1" applyFont="1" applyFill="1" applyBorder="1"/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6" fontId="5" fillId="0" borderId="0" xfId="0" applyNumberFormat="1" applyFont="1" applyFill="1" applyBorder="1" applyProtection="1"/>
    <xf numFmtId="168" fontId="9" fillId="0" borderId="0" xfId="0" applyNumberFormat="1" applyFont="1" applyFill="1"/>
    <xf numFmtId="166" fontId="5" fillId="2" borderId="0" xfId="0" quotePrefix="1" applyNumberFormat="1" applyFont="1" applyFill="1" applyAlignment="1">
      <alignment horizontal="left"/>
    </xf>
    <xf numFmtId="0" fontId="9" fillId="0" borderId="0" xfId="0" applyFont="1" applyFill="1"/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10" applyNumberFormat="1" applyFont="1" applyFill="1"/>
    <xf numFmtId="10" fontId="9" fillId="0" borderId="16" xfId="0" applyNumberFormat="1" applyFont="1" applyFill="1" applyBorder="1"/>
    <xf numFmtId="10" fontId="0" fillId="0" borderId="0" xfId="0" applyNumberFormat="1" applyFill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10" fontId="11" fillId="0" borderId="4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10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3" fillId="2" borderId="0" xfId="0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5" fontId="9" fillId="0" borderId="4" xfId="0" applyNumberFormat="1" applyFont="1" applyFill="1" applyBorder="1"/>
    <xf numFmtId="0" fontId="18" fillId="2" borderId="0" xfId="9" applyFont="1" applyFill="1" applyAlignment="1">
      <alignment horizontal="centerContinuous"/>
    </xf>
    <xf numFmtId="167" fontId="18" fillId="2" borderId="0" xfId="9" applyNumberFormat="1" applyFont="1" applyFill="1" applyAlignment="1">
      <alignment horizontal="centerContinuous"/>
    </xf>
    <xf numFmtId="0" fontId="11" fillId="2" borderId="0" xfId="9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9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9" applyFont="1" applyFill="1" applyBorder="1" applyAlignment="1">
      <alignment horizontal="right"/>
    </xf>
    <xf numFmtId="0" fontId="11" fillId="0" borderId="0" xfId="9" applyFont="1" applyFill="1" applyBorder="1" applyAlignment="1">
      <alignment vertical="center"/>
    </xf>
    <xf numFmtId="0" fontId="11" fillId="0" borderId="5" xfId="9" applyFont="1" applyBorder="1" applyAlignment="1">
      <alignment vertical="center"/>
    </xf>
    <xf numFmtId="165" fontId="11" fillId="0" borderId="5" xfId="9" applyNumberFormat="1" applyFont="1" applyBorder="1" applyAlignment="1">
      <alignment horizontal="right"/>
    </xf>
    <xf numFmtId="165" fontId="11" fillId="2" borderId="5" xfId="9" applyNumberFormat="1" applyFont="1" applyFill="1" applyBorder="1" applyAlignment="1">
      <alignment horizontal="right"/>
    </xf>
    <xf numFmtId="165" fontId="19" fillId="3" borderId="5" xfId="9" applyNumberFormat="1" applyFont="1" applyFill="1" applyBorder="1" applyAlignment="1">
      <alignment horizontal="right"/>
    </xf>
    <xf numFmtId="0" fontId="18" fillId="2" borderId="0" xfId="9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9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10" applyFont="1" applyBorder="1"/>
    <xf numFmtId="166" fontId="11" fillId="0" borderId="0" xfId="9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9" fillId="2" borderId="0" xfId="0" quotePrefix="1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center"/>
    </xf>
    <xf numFmtId="10" fontId="9" fillId="2" borderId="0" xfId="0" quotePrefix="1" applyNumberFormat="1" applyFont="1" applyFill="1" applyAlignment="1">
      <alignment horizontal="center" vertical="center"/>
    </xf>
    <xf numFmtId="5" fontId="20" fillId="2" borderId="0" xfId="0" applyNumberFormat="1" applyFont="1" applyFill="1" applyAlignment="1">
      <alignment horizontal="centerContinuous"/>
    </xf>
    <xf numFmtId="166" fontId="11" fillId="0" borderId="4" xfId="0" applyNumberFormat="1" applyFont="1" applyFill="1" applyBorder="1"/>
    <xf numFmtId="10" fontId="11" fillId="2" borderId="6" xfId="0" applyNumberFormat="1" applyFont="1" applyFill="1" applyBorder="1"/>
    <xf numFmtId="10" fontId="9" fillId="2" borderId="4" xfId="0" applyNumberFormat="1" applyFont="1" applyFill="1" applyBorder="1"/>
    <xf numFmtId="10" fontId="9" fillId="2" borderId="5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9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3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wrapText="1"/>
    </xf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10" fontId="11" fillId="2" borderId="8" xfId="0" applyNumberFormat="1" applyFont="1" applyFill="1" applyBorder="1"/>
    <xf numFmtId="10" fontId="11" fillId="2" borderId="14" xfId="0" applyNumberFormat="1" applyFont="1" applyFill="1" applyBorder="1"/>
    <xf numFmtId="5" fontId="11" fillId="2" borderId="14" xfId="0" applyNumberFormat="1" applyFont="1" applyFill="1" applyBorder="1"/>
    <xf numFmtId="171" fontId="5" fillId="0" borderId="0" xfId="0" applyNumberFormat="1" applyFont="1" applyFill="1"/>
    <xf numFmtId="5" fontId="9" fillId="0" borderId="0" xfId="0" applyNumberFormat="1" applyFont="1" applyFill="1" applyAlignment="1">
      <alignment horizontal="right"/>
    </xf>
    <xf numFmtId="0" fontId="21" fillId="2" borderId="0" xfId="9" applyFont="1" applyFill="1" applyBorder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10" fontId="9" fillId="0" borderId="4" xfId="0" applyNumberFormat="1" applyFont="1" applyFill="1" applyBorder="1"/>
    <xf numFmtId="5" fontId="5" fillId="0" borderId="0" xfId="1" applyNumberFormat="1" applyFont="1" applyFill="1" applyBorder="1"/>
    <xf numFmtId="10" fontId="11" fillId="2" borderId="5" xfId="9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5" fontId="5" fillId="2" borderId="12" xfId="0" applyNumberFormat="1" applyFont="1" applyFill="1" applyBorder="1"/>
    <xf numFmtId="169" fontId="9" fillId="2" borderId="0" xfId="0" applyNumberFormat="1" applyFont="1" applyFill="1" applyAlignment="1">
      <alignment vertical="center"/>
    </xf>
    <xf numFmtId="165" fontId="11" fillId="0" borderId="0" xfId="9" applyNumberFormat="1" applyFont="1" applyBorder="1" applyAlignment="1">
      <alignment horizontal="right"/>
    </xf>
    <xf numFmtId="0" fontId="5" fillId="0" borderId="0" xfId="9" quotePrefix="1" applyFont="1" applyBorder="1" applyAlignment="1">
      <alignment horizontal="left" vertical="center"/>
    </xf>
    <xf numFmtId="10" fontId="5" fillId="2" borderId="5" xfId="9" applyNumberFormat="1" applyFont="1" applyFill="1" applyBorder="1"/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9" applyNumberFormat="1" applyFont="1" applyFill="1" applyBorder="1" applyAlignment="1">
      <alignment horizontal="right"/>
    </xf>
    <xf numFmtId="10" fontId="10" fillId="2" borderId="0" xfId="9" applyNumberFormat="1" applyFill="1"/>
    <xf numFmtId="0" fontId="11" fillId="0" borderId="0" xfId="9" applyFont="1" applyBorder="1" applyAlignment="1">
      <alignment horizontal="center"/>
    </xf>
  </cellXfs>
  <cellStyles count="12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_Financial Cash flow" xfId="9"/>
    <cellStyle name="Percent" xfId="10" builtinId="5"/>
    <cellStyle name="Total" xfId="11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7"/>
  <sheetViews>
    <sheetView showGridLines="0" tabSelected="1" zoomScaleNormal="100" workbookViewId="0">
      <pane xSplit="6" ySplit="9" topLeftCell="I97" activePane="bottomRight" state="frozen"/>
      <selection pane="topRight" activeCell="G1" sqref="G1"/>
      <selection pane="bottomLeft" activeCell="A10" sqref="A10"/>
      <selection pane="bottomRight" activeCell="K124" sqref="K124"/>
    </sheetView>
  </sheetViews>
  <sheetFormatPr defaultColWidth="13.7109375" defaultRowHeight="12.75"/>
  <cols>
    <col min="1" max="1" width="30.28515625" customWidth="1"/>
    <col min="2" max="8" width="10.7109375" hidden="1" customWidth="1"/>
    <col min="9" max="15" width="10.7109375" customWidth="1"/>
    <col min="16" max="16" width="4.7109375" style="1" customWidth="1"/>
    <col min="17" max="17" width="28.140625" customWidth="1"/>
    <col min="18" max="22" width="13.7109375" style="52" hidden="1" customWidth="1"/>
    <col min="23" max="24" width="10.7109375" style="52" hidden="1" customWidth="1"/>
    <col min="25" max="31" width="10.7109375" style="52" customWidth="1"/>
    <col min="32" max="35" width="12.7109375" style="52" customWidth="1"/>
    <col min="36" max="54" width="13.7109375" style="52"/>
  </cols>
  <sheetData>
    <row r="1" spans="1:3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215" t="s">
        <v>115</v>
      </c>
      <c r="P1" s="140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50" t="s">
        <v>115</v>
      </c>
    </row>
    <row r="2" spans="1:3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41" t="s">
        <v>116</v>
      </c>
      <c r="P2" s="140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251" t="s">
        <v>120</v>
      </c>
    </row>
    <row r="3" spans="1:32" ht="18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41"/>
      <c r="P3" s="140"/>
      <c r="Q3" s="9" t="str">
        <f xml:space="preserve">       A4</f>
        <v>PacifiCorp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249"/>
    </row>
    <row r="4" spans="1:32" ht="18.75">
      <c r="A4" s="142" t="s">
        <v>42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40"/>
      <c r="Q4" s="11" t="s">
        <v>39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/>
    </row>
    <row r="5" spans="1:32" ht="15.75">
      <c r="A5" s="145" t="s">
        <v>40</v>
      </c>
      <c r="B5" s="146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7"/>
      <c r="P5" s="140"/>
      <c r="Q5" s="11" t="s">
        <v>40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</row>
    <row r="6" spans="1:32" ht="14.25">
      <c r="A6" s="246" t="s">
        <v>227</v>
      </c>
      <c r="B6" s="146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7"/>
      <c r="P6" s="140"/>
      <c r="Q6" s="252" t="str">
        <f>A6</f>
        <v>Fiscal Years Ended December 31, 2007-2011, Six Months Ended June 2012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2">
      <c r="A7" s="143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 t="s">
        <v>226</v>
      </c>
      <c r="P7" s="140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8"/>
    </row>
    <row r="8" spans="1:32">
      <c r="A8" s="148"/>
      <c r="B8" s="184"/>
      <c r="C8" s="184"/>
      <c r="D8" s="184"/>
      <c r="E8" s="184"/>
      <c r="F8" s="184"/>
      <c r="G8" s="184"/>
      <c r="H8" s="190"/>
      <c r="I8" s="190"/>
      <c r="J8" s="190"/>
      <c r="K8" s="190"/>
      <c r="L8" s="190"/>
      <c r="M8" s="190"/>
      <c r="N8" s="190" t="s">
        <v>225</v>
      </c>
      <c r="O8" s="189" t="s">
        <v>4</v>
      </c>
      <c r="P8" s="140"/>
      <c r="Q8" s="193"/>
      <c r="R8" s="193"/>
      <c r="S8" s="193"/>
      <c r="T8" s="193"/>
      <c r="U8" s="193"/>
      <c r="V8" s="193"/>
      <c r="W8" s="193"/>
      <c r="X8" s="194"/>
      <c r="Y8" s="194"/>
      <c r="Z8" s="194"/>
      <c r="AA8" s="194"/>
      <c r="AB8" s="194"/>
      <c r="AC8" s="194"/>
      <c r="AD8" s="194" t="s">
        <v>225</v>
      </c>
      <c r="AE8" s="195" t="str">
        <f>O7</f>
        <v>2007-2011</v>
      </c>
      <c r="AF8" s="193"/>
    </row>
    <row r="9" spans="1:32">
      <c r="A9" s="187" t="s">
        <v>0</v>
      </c>
      <c r="B9" s="187">
        <v>2000</v>
      </c>
      <c r="C9" s="187">
        <f>B9+1</f>
        <v>2001</v>
      </c>
      <c r="D9" s="187">
        <f>C9+1</f>
        <v>2002</v>
      </c>
      <c r="E9" s="187">
        <f>D9+1</f>
        <v>2003</v>
      </c>
      <c r="F9" s="187">
        <f>E9+1</f>
        <v>2004</v>
      </c>
      <c r="G9" s="187">
        <f>F9+1</f>
        <v>2005</v>
      </c>
      <c r="H9" s="191">
        <v>2006</v>
      </c>
      <c r="I9" s="191">
        <v>2007</v>
      </c>
      <c r="J9" s="187">
        <f>I9+1</f>
        <v>2008</v>
      </c>
      <c r="K9" s="187">
        <f>J9+1</f>
        <v>2009</v>
      </c>
      <c r="L9" s="187">
        <f>K9+1</f>
        <v>2010</v>
      </c>
      <c r="M9" s="187">
        <f>L9+1</f>
        <v>2011</v>
      </c>
      <c r="N9" s="187">
        <v>2012</v>
      </c>
      <c r="O9" s="192" t="s">
        <v>23</v>
      </c>
      <c r="P9" s="140"/>
      <c r="Q9" s="196" t="s">
        <v>0</v>
      </c>
      <c r="R9" s="197">
        <f>B9</f>
        <v>2000</v>
      </c>
      <c r="S9" s="197">
        <f t="shared" ref="S9:X9" si="0">R9+1</f>
        <v>2001</v>
      </c>
      <c r="T9" s="197">
        <f t="shared" si="0"/>
        <v>2002</v>
      </c>
      <c r="U9" s="197">
        <f t="shared" si="0"/>
        <v>2003</v>
      </c>
      <c r="V9" s="197">
        <f t="shared" si="0"/>
        <v>2004</v>
      </c>
      <c r="W9" s="197">
        <f t="shared" si="0"/>
        <v>2005</v>
      </c>
      <c r="X9" s="197">
        <f t="shared" si="0"/>
        <v>2006</v>
      </c>
      <c r="Y9" s="197">
        <f>I9</f>
        <v>2007</v>
      </c>
      <c r="Z9" s="197">
        <f>Y9+1</f>
        <v>2008</v>
      </c>
      <c r="AA9" s="197">
        <f>Z9+1</f>
        <v>2009</v>
      </c>
      <c r="AB9" s="257">
        <f>L9</f>
        <v>2010</v>
      </c>
      <c r="AC9" s="257">
        <f>M9</f>
        <v>2011</v>
      </c>
      <c r="AD9" s="257">
        <v>2012</v>
      </c>
      <c r="AE9" s="198" t="s">
        <v>3</v>
      </c>
      <c r="AF9" s="193"/>
    </row>
    <row r="10" spans="1:32" ht="7.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7"/>
      <c r="P10" s="140"/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</row>
    <row r="11" spans="1:32">
      <c r="A11" s="186" t="s">
        <v>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50"/>
      <c r="P11" s="141"/>
      <c r="Q11" s="199" t="str">
        <f>A11</f>
        <v>Current Assets: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5"/>
    </row>
    <row r="12" spans="1:32">
      <c r="A12" s="148" t="s">
        <v>5</v>
      </c>
      <c r="B12" s="148">
        <v>154.19999999999999</v>
      </c>
      <c r="C12" s="148">
        <v>139.4</v>
      </c>
      <c r="D12" s="148">
        <v>157.9</v>
      </c>
      <c r="E12" s="148">
        <v>152.5</v>
      </c>
      <c r="F12" s="148">
        <v>58.5</v>
      </c>
      <c r="G12" s="148">
        <v>199.3</v>
      </c>
      <c r="H12" s="148">
        <v>119.6</v>
      </c>
      <c r="I12" s="148">
        <v>228</v>
      </c>
      <c r="J12" s="148">
        <v>59</v>
      </c>
      <c r="K12" s="148">
        <v>117</v>
      </c>
      <c r="L12" s="148">
        <v>31</v>
      </c>
      <c r="M12" s="148">
        <v>47</v>
      </c>
      <c r="N12" s="148">
        <v>107</v>
      </c>
      <c r="O12" s="150">
        <f>RATE(4,,-I12,M12)</f>
        <v>-0.32618487895068132</v>
      </c>
      <c r="P12" s="141"/>
      <c r="Q12" s="2" t="str">
        <f t="shared" ref="Q12:Q76" si="1">A12</f>
        <v>Cash &amp; Equivalents</v>
      </c>
      <c r="R12" s="5">
        <f t="shared" ref="R12:V16" si="2">B12/B$37</f>
        <v>1.2531389423897407E-2</v>
      </c>
      <c r="S12" s="5">
        <f t="shared" si="2"/>
        <v>1.2520433275251937E-2</v>
      </c>
      <c r="T12" s="5">
        <f t="shared" si="2"/>
        <v>1.4516069721262043E-2</v>
      </c>
      <c r="U12" s="5">
        <f t="shared" si="2"/>
        <v>1.303886865370475E-2</v>
      </c>
      <c r="V12" s="5">
        <f t="shared" si="2"/>
        <v>5.0098055167807085E-3</v>
      </c>
      <c r="W12" s="5">
        <f t="shared" ref="W12:X16" si="3">G12/G$37</f>
        <v>1.5917386130389993E-2</v>
      </c>
      <c r="X12" s="5">
        <f t="shared" si="3"/>
        <v>9.3941702732635336E-3</v>
      </c>
      <c r="Y12" s="5">
        <f>I12/I$37</f>
        <v>1.5294827933185751E-2</v>
      </c>
      <c r="Z12" s="5">
        <f t="shared" ref="Z12:AA16" si="4">J12/J$37</f>
        <v>3.436826469388944E-3</v>
      </c>
      <c r="AA12" s="5">
        <f t="shared" si="4"/>
        <v>6.1689338816830119E-3</v>
      </c>
      <c r="AB12" s="5">
        <f t="shared" ref="AB12:AC16" si="5">L12/L$37</f>
        <v>1.5387670008934777E-3</v>
      </c>
      <c r="AC12" s="5">
        <f t="shared" si="5"/>
        <v>2.2268549227707759E-3</v>
      </c>
      <c r="AD12" s="5">
        <f t="shared" ref="AD12:AD16" si="6">N12/N$37</f>
        <v>4.9895080438330615E-3</v>
      </c>
      <c r="AE12" s="55">
        <f>SUM(I12:M12)/SUM(I$37:M$37)</f>
        <v>5.2225545009318254E-3</v>
      </c>
    </row>
    <row r="13" spans="1:32">
      <c r="A13" s="148" t="s">
        <v>2</v>
      </c>
      <c r="B13" s="148">
        <v>561.6</v>
      </c>
      <c r="C13" s="148">
        <v>567</v>
      </c>
      <c r="D13" s="148">
        <v>249.1</v>
      </c>
      <c r="E13" s="148">
        <v>258.2</v>
      </c>
      <c r="F13" s="148">
        <v>235.1</v>
      </c>
      <c r="G13" s="148">
        <v>293</v>
      </c>
      <c r="H13" s="148">
        <v>266.8</v>
      </c>
      <c r="I13" s="148">
        <f>391+192</f>
        <v>583</v>
      </c>
      <c r="J13" s="148">
        <v>609</v>
      </c>
      <c r="K13" s="148">
        <v>619</v>
      </c>
      <c r="L13" s="148">
        <v>628</v>
      </c>
      <c r="M13" s="148">
        <v>653</v>
      </c>
      <c r="N13" s="148">
        <v>621</v>
      </c>
      <c r="O13" s="150">
        <f t="shared" ref="O13:O15" si="7">RATE(4,,-I13,M13)</f>
        <v>2.875309934283727E-2</v>
      </c>
      <c r="P13" s="141"/>
      <c r="Q13" s="2" t="str">
        <f t="shared" si="1"/>
        <v>Accounts Receivable</v>
      </c>
      <c r="R13" s="5">
        <f t="shared" si="2"/>
        <v>4.5639612843455156E-2</v>
      </c>
      <c r="S13" s="5">
        <f t="shared" si="2"/>
        <v>5.0926009089439367E-2</v>
      </c>
      <c r="T13" s="5">
        <f t="shared" si="2"/>
        <v>2.2900272118849745E-2</v>
      </c>
      <c r="U13" s="5">
        <f t="shared" si="2"/>
        <v>2.2076300894338138E-2</v>
      </c>
      <c r="V13" s="5">
        <f t="shared" si="2"/>
        <v>2.0133423538378537E-2</v>
      </c>
      <c r="W13" s="5">
        <f t="shared" si="3"/>
        <v>2.3400873739108215E-2</v>
      </c>
      <c r="X13" s="5">
        <f t="shared" si="3"/>
        <v>2.0956225994203267E-2</v>
      </c>
      <c r="Y13" s="5">
        <f>I13/I$37</f>
        <v>3.9109143355470583E-2</v>
      </c>
      <c r="Z13" s="5">
        <f t="shared" si="4"/>
        <v>3.5475039319624861E-2</v>
      </c>
      <c r="AA13" s="5">
        <f t="shared" si="4"/>
        <v>3.2637351049246019E-2</v>
      </c>
      <c r="AB13" s="5">
        <f t="shared" si="5"/>
        <v>3.1172441179390449E-2</v>
      </c>
      <c r="AC13" s="5">
        <f t="shared" si="5"/>
        <v>3.0939069458921633E-2</v>
      </c>
      <c r="AD13" s="5">
        <f t="shared" si="6"/>
        <v>2.8957799020750758E-2</v>
      </c>
      <c r="AE13" s="55">
        <f t="shared" ref="AE13:AE15" si="8">SUM(I13:M13)/SUM(I$37:M$37)</f>
        <v>3.3502362068218265E-2</v>
      </c>
    </row>
    <row r="14" spans="1:32">
      <c r="A14" s="148" t="s">
        <v>48</v>
      </c>
      <c r="B14" s="148">
        <v>177.4</v>
      </c>
      <c r="C14" s="148">
        <v>160.4</v>
      </c>
      <c r="D14" s="148">
        <f>93.5+59.9</f>
        <v>153.4</v>
      </c>
      <c r="E14" s="148">
        <f>99.4+71.8</f>
        <v>171.2</v>
      </c>
      <c r="F14" s="148">
        <f>56+101</f>
        <v>157</v>
      </c>
      <c r="G14" s="148">
        <f>114.7+58.5</f>
        <v>173.2</v>
      </c>
      <c r="H14" s="151">
        <f>131.2+80.9</f>
        <v>212.1</v>
      </c>
      <c r="I14" s="151">
        <f>163+129</f>
        <v>292</v>
      </c>
      <c r="J14" s="151">
        <f>155+184</f>
        <v>339</v>
      </c>
      <c r="K14" s="151">
        <f>192+187</f>
        <v>379</v>
      </c>
      <c r="L14" s="151">
        <f>186+188</f>
        <v>374</v>
      </c>
      <c r="M14" s="151">
        <f>196+237</f>
        <v>433</v>
      </c>
      <c r="N14" s="151">
        <f>200+270</f>
        <v>470</v>
      </c>
      <c r="O14" s="150">
        <f t="shared" si="7"/>
        <v>0.10350996985734136</v>
      </c>
      <c r="P14" s="140"/>
      <c r="Q14" s="2" t="str">
        <f t="shared" si="1"/>
        <v>Material, Supplies, Fuel</v>
      </c>
      <c r="R14" s="5">
        <f t="shared" si="2"/>
        <v>1.4416786535664075E-2</v>
      </c>
      <c r="S14" s="5">
        <f t="shared" si="2"/>
        <v>1.4406581760045988E-2</v>
      </c>
      <c r="T14" s="5">
        <f t="shared" si="2"/>
        <v>1.410237552401265E-2</v>
      </c>
      <c r="U14" s="5">
        <f t="shared" si="2"/>
        <v>1.4637733203372151E-2</v>
      </c>
      <c r="V14" s="5">
        <f t="shared" si="2"/>
        <v>1.3445119079223439E-2</v>
      </c>
      <c r="W14" s="5">
        <f t="shared" si="3"/>
        <v>1.3832871438954071E-2</v>
      </c>
      <c r="X14" s="5">
        <f t="shared" si="3"/>
        <v>1.6659728385946451E-2</v>
      </c>
      <c r="Y14" s="5">
        <f>I14/I$37</f>
        <v>1.9588112967062452E-2</v>
      </c>
      <c r="Z14" s="5">
        <f t="shared" si="4"/>
        <v>1.9747189374963593E-2</v>
      </c>
      <c r="AA14" s="5">
        <f t="shared" si="4"/>
        <v>1.9983127702203944E-2</v>
      </c>
      <c r="AB14" s="18">
        <f t="shared" si="5"/>
        <v>1.8564479301101954E-2</v>
      </c>
      <c r="AC14" s="18">
        <f t="shared" si="5"/>
        <v>2.0515493224675448E-2</v>
      </c>
      <c r="AD14" s="18">
        <f t="shared" si="6"/>
        <v>2.1916530659827467E-2</v>
      </c>
      <c r="AE14" s="55">
        <f t="shared" si="8"/>
        <v>1.9687513543969141E-2</v>
      </c>
    </row>
    <row r="15" spans="1:32">
      <c r="A15" s="148" t="s">
        <v>22</v>
      </c>
      <c r="B15" s="152">
        <v>68</v>
      </c>
      <c r="C15" s="152">
        <f>370.4+73.5+46.7</f>
        <v>490.59999999999997</v>
      </c>
      <c r="D15" s="152">
        <f>127+51.3+21.5</f>
        <v>199.8</v>
      </c>
      <c r="E15" s="152">
        <f>109.2+2.5+107.2+31.1+17.5</f>
        <v>267.5</v>
      </c>
      <c r="F15" s="152">
        <f>127.8+2.4+118.9+31.5+25.2</f>
        <v>305.8</v>
      </c>
      <c r="G15" s="152">
        <f>143.8+36.5+252.7+115.8</f>
        <v>548.79999999999995</v>
      </c>
      <c r="H15" s="153">
        <f>148.2+221.7+46.9</f>
        <v>416.79999999999995</v>
      </c>
      <c r="I15" s="153">
        <f>34+143+55+141</f>
        <v>373</v>
      </c>
      <c r="J15" s="153">
        <f>174+74+78+43</f>
        <v>369</v>
      </c>
      <c r="K15" s="153">
        <f>108+39+61+249</f>
        <v>457</v>
      </c>
      <c r="L15" s="153">
        <f>345+114+83+120</f>
        <v>662</v>
      </c>
      <c r="M15" s="153">
        <f>70+11+129+140</f>
        <v>350</v>
      </c>
      <c r="N15" s="153">
        <f>126+76+77</f>
        <v>279</v>
      </c>
      <c r="O15" s="150">
        <f t="shared" si="7"/>
        <v>-1.5785400012850743E-2</v>
      </c>
      <c r="P15" s="154"/>
      <c r="Q15" s="2" t="str">
        <f t="shared" si="1"/>
        <v>Other Current Assets</v>
      </c>
      <c r="R15" s="6">
        <f t="shared" si="2"/>
        <v>5.5261639482816066E-3</v>
      </c>
      <c r="S15" s="6">
        <f t="shared" si="2"/>
        <v>4.4064021268569578E-2</v>
      </c>
      <c r="T15" s="6">
        <f t="shared" si="2"/>
        <v>1.8368022357873062E-2</v>
      </c>
      <c r="U15" s="6">
        <f t="shared" si="2"/>
        <v>2.2871458130268987E-2</v>
      </c>
      <c r="V15" s="6">
        <f t="shared" si="2"/>
        <v>2.6188009009086164E-2</v>
      </c>
      <c r="W15" s="6">
        <f t="shared" si="3"/>
        <v>4.3830715044445689E-2</v>
      </c>
      <c r="X15" s="103">
        <f t="shared" si="3"/>
        <v>3.2738212122878266E-2</v>
      </c>
      <c r="Y15" s="103">
        <f>I15/I$37</f>
        <v>2.5021801838062654E-2</v>
      </c>
      <c r="Z15" s="103">
        <f t="shared" si="4"/>
        <v>2.1494728257703734E-2</v>
      </c>
      <c r="AA15" s="103">
        <f t="shared" si="4"/>
        <v>2.4095750289992619E-2</v>
      </c>
      <c r="AB15" s="103">
        <f t="shared" si="5"/>
        <v>3.2860121115854263E-2</v>
      </c>
      <c r="AC15" s="103">
        <f t="shared" si="5"/>
        <v>1.6582962190846207E-2</v>
      </c>
      <c r="AD15" s="103">
        <f t="shared" si="6"/>
        <v>1.3010025647003964E-2</v>
      </c>
      <c r="AE15" s="55">
        <f t="shared" si="8"/>
        <v>2.3956572617344948E-2</v>
      </c>
    </row>
    <row r="16" spans="1:32">
      <c r="A16" s="184" t="s">
        <v>32</v>
      </c>
      <c r="B16" s="184">
        <f t="shared" ref="B16:L16" si="9">SUM(B11:B15)</f>
        <v>961.19999999999993</v>
      </c>
      <c r="C16" s="184">
        <f t="shared" si="9"/>
        <v>1357.3999999999999</v>
      </c>
      <c r="D16" s="184">
        <f t="shared" si="9"/>
        <v>760.2</v>
      </c>
      <c r="E16" s="184">
        <f t="shared" si="9"/>
        <v>849.4</v>
      </c>
      <c r="F16" s="184">
        <f t="shared" si="9"/>
        <v>756.40000000000009</v>
      </c>
      <c r="G16" s="184">
        <f t="shared" si="9"/>
        <v>1214.3</v>
      </c>
      <c r="H16" s="184">
        <f t="shared" si="9"/>
        <v>1015.3</v>
      </c>
      <c r="I16" s="184">
        <f t="shared" si="9"/>
        <v>1476</v>
      </c>
      <c r="J16" s="184">
        <f t="shared" si="9"/>
        <v>1376</v>
      </c>
      <c r="K16" s="184">
        <f t="shared" si="9"/>
        <v>1572</v>
      </c>
      <c r="L16" s="184">
        <f t="shared" si="9"/>
        <v>1695</v>
      </c>
      <c r="M16" s="184">
        <f t="shared" ref="M16" si="10">SUM(M11:M15)</f>
        <v>1483</v>
      </c>
      <c r="N16" s="184">
        <f>SUM(N11:N15)</f>
        <v>1477</v>
      </c>
      <c r="O16" s="206">
        <f>RATE(4,,-I16,M16)</f>
        <v>1.183534072749889E-3</v>
      </c>
      <c r="P16" s="154"/>
      <c r="Q16" s="193" t="str">
        <f t="shared" si="1"/>
        <v>Total Current Assets</v>
      </c>
      <c r="R16" s="200">
        <f t="shared" si="2"/>
        <v>7.8113952751298232E-2</v>
      </c>
      <c r="S16" s="200">
        <f t="shared" si="2"/>
        <v>0.12191704539330686</v>
      </c>
      <c r="T16" s="200">
        <f t="shared" si="2"/>
        <v>6.9886739721997507E-2</v>
      </c>
      <c r="U16" s="200">
        <f t="shared" si="2"/>
        <v>7.262436088168403E-2</v>
      </c>
      <c r="V16" s="200">
        <f t="shared" si="2"/>
        <v>6.4776357143468855E-2</v>
      </c>
      <c r="W16" s="200">
        <f t="shared" si="3"/>
        <v>9.6981846352897971E-2</v>
      </c>
      <c r="X16" s="200">
        <f t="shared" si="3"/>
        <v>7.974833677629152E-2</v>
      </c>
      <c r="Y16" s="200">
        <f>I16/I$37</f>
        <v>9.901388609378145E-2</v>
      </c>
      <c r="Z16" s="200">
        <f t="shared" si="4"/>
        <v>8.0153783421681127E-2</v>
      </c>
      <c r="AA16" s="200">
        <f t="shared" si="4"/>
        <v>8.2885162923125588E-2</v>
      </c>
      <c r="AB16" s="200">
        <f t="shared" si="5"/>
        <v>8.4135808597240153E-2</v>
      </c>
      <c r="AC16" s="200">
        <f t="shared" si="5"/>
        <v>7.026437979721406E-2</v>
      </c>
      <c r="AD16" s="200">
        <f t="shared" si="6"/>
        <v>6.8873863371415253E-2</v>
      </c>
      <c r="AE16" s="201">
        <f>SUM(I16:M16)/SUM(I$37:M$37)</f>
        <v>8.2369002730464172E-2</v>
      </c>
    </row>
    <row r="17" spans="1:31" ht="7.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50"/>
      <c r="P17" s="154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5"/>
    </row>
    <row r="18" spans="1:31">
      <c r="A18" s="186" t="s">
        <v>24</v>
      </c>
      <c r="B18" s="148"/>
      <c r="C18" s="148"/>
      <c r="D18" s="148"/>
      <c r="E18" s="148"/>
      <c r="F18" s="148"/>
      <c r="G18" s="279"/>
      <c r="H18" s="279"/>
      <c r="I18" s="279"/>
      <c r="J18" s="148"/>
      <c r="K18" s="148"/>
      <c r="L18" s="148"/>
      <c r="M18" s="148"/>
      <c r="N18" s="148"/>
      <c r="O18" s="279"/>
      <c r="P18" s="154"/>
      <c r="Q18" s="199" t="str">
        <f t="shared" si="1"/>
        <v>Plant &amp; Equipment: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5"/>
    </row>
    <row r="19" spans="1:31">
      <c r="A19" s="140" t="s">
        <v>148</v>
      </c>
      <c r="B19" s="148">
        <f>12862.7-312.4</f>
        <v>12550.300000000001</v>
      </c>
      <c r="C19" s="148">
        <f>12678.9-268.7</f>
        <v>12410.199999999999</v>
      </c>
      <c r="D19" s="148">
        <f>13098.9-364.4</f>
        <v>12734.5</v>
      </c>
      <c r="E19" s="148">
        <f>13516.8-332.5</f>
        <v>13184.3</v>
      </c>
      <c r="F19" s="148">
        <f>14158.2-345.4</f>
        <v>13812.800000000001</v>
      </c>
      <c r="G19" s="148">
        <f>14852.4-593.4</f>
        <v>14259</v>
      </c>
      <c r="H19" s="148">
        <v>15102.4</v>
      </c>
      <c r="I19" s="148">
        <f>6814+2878+4885+671+1766</f>
        <v>17014</v>
      </c>
      <c r="J19" s="148">
        <v>18879</v>
      </c>
      <c r="K19" s="148">
        <v>20330</v>
      </c>
      <c r="L19" s="148">
        <v>22034</v>
      </c>
      <c r="M19" s="148">
        <v>23055</v>
      </c>
      <c r="N19" s="148">
        <v>23612</v>
      </c>
      <c r="O19" s="150">
        <f>RATE(4,,-I19,M19)</f>
        <v>7.8921070261225898E-2</v>
      </c>
      <c r="P19" s="154"/>
      <c r="Q19" s="2" t="str">
        <f t="shared" si="1"/>
        <v>Plant in Service</v>
      </c>
      <c r="R19" s="5">
        <f>B19/B$37</f>
        <v>1.0199266970605685</v>
      </c>
      <c r="S19" s="5">
        <f>C19/C$37</f>
        <v>1.1146419012376727</v>
      </c>
      <c r="T19" s="5">
        <f>D19/D$37</f>
        <v>1.1707086121938663</v>
      </c>
      <c r="U19" s="5">
        <f>E19/E$37</f>
        <v>1.127267908137964</v>
      </c>
      <c r="V19" s="5">
        <f>F19/F$37</f>
        <v>1.1828964383280098</v>
      </c>
      <c r="W19" s="5">
        <f t="shared" ref="W19:X23" si="11">G19/G$37</f>
        <v>1.1388158998155087</v>
      </c>
      <c r="X19" s="5">
        <f t="shared" si="11"/>
        <v>1.1862417820646756</v>
      </c>
      <c r="Y19" s="5">
        <f>I19/I$37</f>
        <v>1.1413429932246595</v>
      </c>
      <c r="Z19" s="5">
        <f t="shared" ref="Z19:AA23" si="12">J19/J$37</f>
        <v>1.0997262189083707</v>
      </c>
      <c r="AA19" s="5">
        <f t="shared" si="12"/>
        <v>1.0719181693556892</v>
      </c>
      <c r="AB19" s="5">
        <f t="shared" ref="AB19:AC23" si="13">L19/L$37</f>
        <v>1.0937158741189319</v>
      </c>
      <c r="AC19" s="5">
        <f t="shared" si="13"/>
        <v>1.0923434094570263</v>
      </c>
      <c r="AD19" s="5">
        <f t="shared" ref="AD19:AD23" si="14">N19/N$37</f>
        <v>1.1010491956166939</v>
      </c>
      <c r="AE19" s="55">
        <f>SUM(I19:M19)/SUM(I$37:M$37)</f>
        <v>1.0977332813244918</v>
      </c>
    </row>
    <row r="20" spans="1:31">
      <c r="A20" s="148" t="s">
        <v>149</v>
      </c>
      <c r="B20" s="148">
        <v>312.39999999999998</v>
      </c>
      <c r="C20" s="148">
        <v>268.7</v>
      </c>
      <c r="D20" s="148">
        <v>364.4</v>
      </c>
      <c r="E20" s="148">
        <v>332.5</v>
      </c>
      <c r="F20" s="148">
        <v>345.4</v>
      </c>
      <c r="G20" s="148">
        <v>593.4</v>
      </c>
      <c r="H20" s="148">
        <v>618.29999999999995</v>
      </c>
      <c r="I20" s="148">
        <v>960</v>
      </c>
      <c r="J20" s="148">
        <v>1220</v>
      </c>
      <c r="K20" s="148">
        <v>1830</v>
      </c>
      <c r="L20" s="148">
        <v>1004</v>
      </c>
      <c r="M20" s="148">
        <v>1207</v>
      </c>
      <c r="N20" s="148">
        <v>1203</v>
      </c>
      <c r="O20" s="150">
        <f>RATE(4,,-I20,M20)</f>
        <v>5.8909901507436954E-2</v>
      </c>
      <c r="P20" s="154"/>
      <c r="Q20" s="2" t="str">
        <f t="shared" si="1"/>
        <v>Construction Work in Progress</v>
      </c>
      <c r="R20" s="5">
        <f t="shared" ref="R20:T23" si="15">B20/B$37</f>
        <v>2.538784731534079E-2</v>
      </c>
      <c r="S20" s="5">
        <f t="shared" si="15"/>
        <v>2.4133718945912448E-2</v>
      </c>
      <c r="T20" s="5">
        <f t="shared" si="15"/>
        <v>3.3500036772817529E-2</v>
      </c>
      <c r="U20" s="5"/>
      <c r="V20" s="5">
        <f>F20/F$37</f>
        <v>2.9579261974291563E-2</v>
      </c>
      <c r="W20" s="5">
        <f t="shared" si="11"/>
        <v>4.7392759306439637E-2</v>
      </c>
      <c r="X20" s="5">
        <f t="shared" si="11"/>
        <v>4.8565346822398346E-2</v>
      </c>
      <c r="Y20" s="5">
        <f>I20/I$37</f>
        <v>6.4399275508150527E-2</v>
      </c>
      <c r="Z20" s="5">
        <f t="shared" si="12"/>
        <v>7.1066581231432405E-2</v>
      </c>
      <c r="AA20" s="5">
        <f t="shared" si="12"/>
        <v>9.6488453021195825E-2</v>
      </c>
      <c r="AB20" s="18">
        <f t="shared" si="13"/>
        <v>4.9836195770872629E-2</v>
      </c>
      <c r="AC20" s="18">
        <f t="shared" si="13"/>
        <v>5.7187529612432481E-2</v>
      </c>
      <c r="AD20" s="18">
        <f t="shared" si="14"/>
        <v>5.6096992305898812E-2</v>
      </c>
      <c r="AE20" s="55">
        <f>SUM(I20:M20)/SUM(I$37:M$37)</f>
        <v>6.7405625623022575E-2</v>
      </c>
    </row>
    <row r="21" spans="1:31" hidden="1">
      <c r="A21" s="148" t="s">
        <v>156</v>
      </c>
      <c r="B21" s="148">
        <v>1281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/>
      <c r="K21" s="148"/>
      <c r="L21" s="148">
        <v>0</v>
      </c>
      <c r="M21" s="148">
        <v>0</v>
      </c>
      <c r="N21" s="148">
        <v>0</v>
      </c>
      <c r="O21" s="150" t="e">
        <f>RATE(5.75,,-E21,H21)</f>
        <v>#NUM!</v>
      </c>
      <c r="P21" s="154"/>
      <c r="Q21" s="2" t="str">
        <f t="shared" si="1"/>
        <v>Australian Electric Operations</v>
      </c>
      <c r="R21" s="5">
        <f t="shared" si="15"/>
        <v>0.10410317673159909</v>
      </c>
      <c r="S21" s="5">
        <f t="shared" si="15"/>
        <v>0</v>
      </c>
      <c r="T21" s="5">
        <f t="shared" si="15"/>
        <v>0</v>
      </c>
      <c r="U21" s="5">
        <f>E21/E$37</f>
        <v>0</v>
      </c>
      <c r="V21" s="5">
        <f>F21/F$37</f>
        <v>0</v>
      </c>
      <c r="W21" s="5">
        <f t="shared" si="11"/>
        <v>0</v>
      </c>
      <c r="X21" s="5">
        <f t="shared" si="11"/>
        <v>0</v>
      </c>
      <c r="Y21" s="5">
        <f>I21/I$37</f>
        <v>0</v>
      </c>
      <c r="Z21" s="5">
        <f t="shared" si="12"/>
        <v>0</v>
      </c>
      <c r="AA21" s="5">
        <f t="shared" si="12"/>
        <v>0</v>
      </c>
      <c r="AB21" s="18">
        <f t="shared" si="13"/>
        <v>0</v>
      </c>
      <c r="AC21" s="18">
        <f t="shared" si="13"/>
        <v>0</v>
      </c>
      <c r="AD21" s="18">
        <f t="shared" si="14"/>
        <v>0</v>
      </c>
      <c r="AE21" s="55">
        <f>SUM(F21:K21)/SUM(F$37:K$37)</f>
        <v>0</v>
      </c>
    </row>
    <row r="22" spans="1:31" ht="12.75" hidden="1" customHeight="1">
      <c r="A22" s="148" t="s">
        <v>49</v>
      </c>
      <c r="B22" s="152">
        <v>49.4</v>
      </c>
      <c r="C22" s="152">
        <v>33.5</v>
      </c>
      <c r="D22" s="152">
        <v>0</v>
      </c>
      <c r="E22" s="152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0" t="e">
        <f>RATE(5.75,,-E22,H22)</f>
        <v>#NUM!</v>
      </c>
      <c r="P22" s="154"/>
      <c r="Q22" s="2" t="str">
        <f t="shared" si="1"/>
        <v>Other PP&amp;E</v>
      </c>
      <c r="R22" s="18">
        <f t="shared" si="15"/>
        <v>4.0145955741928141E-3</v>
      </c>
      <c r="S22" s="18">
        <f t="shared" si="15"/>
        <v>3.008855916219081E-3</v>
      </c>
      <c r="T22" s="18">
        <f t="shared" si="15"/>
        <v>0</v>
      </c>
      <c r="U22" s="18">
        <f>E22/E$37</f>
        <v>0</v>
      </c>
      <c r="V22" s="18">
        <f>F22/F$37</f>
        <v>0</v>
      </c>
      <c r="W22" s="18">
        <f t="shared" si="11"/>
        <v>0</v>
      </c>
      <c r="X22" s="18">
        <f t="shared" si="11"/>
        <v>0</v>
      </c>
      <c r="Y22" s="18">
        <f>I22/I$37</f>
        <v>0</v>
      </c>
      <c r="Z22" s="18">
        <f t="shared" si="12"/>
        <v>0</v>
      </c>
      <c r="AA22" s="18">
        <f t="shared" si="12"/>
        <v>0</v>
      </c>
      <c r="AB22" s="103">
        <f t="shared" si="13"/>
        <v>0</v>
      </c>
      <c r="AC22" s="103">
        <f t="shared" si="13"/>
        <v>0</v>
      </c>
      <c r="AD22" s="103">
        <f t="shared" si="14"/>
        <v>0</v>
      </c>
      <c r="AE22" s="55">
        <f>SUM(F22:K22)/SUM(F$37:K$37)</f>
        <v>0</v>
      </c>
    </row>
    <row r="23" spans="1:31" ht="12.75" customHeight="1">
      <c r="A23" s="184" t="s">
        <v>60</v>
      </c>
      <c r="B23" s="213">
        <f t="shared" ref="B23:L23" si="16">SUM(B19:B22)</f>
        <v>14193.1</v>
      </c>
      <c r="C23" s="213">
        <f t="shared" si="16"/>
        <v>12712.4</v>
      </c>
      <c r="D23" s="213">
        <f t="shared" si="16"/>
        <v>13098.9</v>
      </c>
      <c r="E23" s="213">
        <f t="shared" si="16"/>
        <v>13516.8</v>
      </c>
      <c r="F23" s="213">
        <f t="shared" si="16"/>
        <v>14158.2</v>
      </c>
      <c r="G23" s="213">
        <f t="shared" si="16"/>
        <v>14852.4</v>
      </c>
      <c r="H23" s="213">
        <f t="shared" si="16"/>
        <v>15720.699999999999</v>
      </c>
      <c r="I23" s="213">
        <f t="shared" si="16"/>
        <v>17974</v>
      </c>
      <c r="J23" s="213">
        <f t="shared" si="16"/>
        <v>20099</v>
      </c>
      <c r="K23" s="213">
        <f t="shared" si="16"/>
        <v>22160</v>
      </c>
      <c r="L23" s="213">
        <f t="shared" si="16"/>
        <v>23038</v>
      </c>
      <c r="M23" s="213">
        <f t="shared" ref="M23" si="17">SUM(M19:M22)</f>
        <v>24262</v>
      </c>
      <c r="N23" s="213">
        <f>SUM(N19:N22)</f>
        <v>24815</v>
      </c>
      <c r="O23" s="206">
        <f>RATE(4,,-I23,M23)</f>
        <v>7.788012798997225E-2</v>
      </c>
      <c r="P23" s="156"/>
      <c r="Q23" s="193" t="str">
        <f t="shared" si="1"/>
        <v>Total Plant &amp; Equipment:</v>
      </c>
      <c r="R23" s="201">
        <f t="shared" si="15"/>
        <v>1.1534323166817011</v>
      </c>
      <c r="S23" s="201">
        <f t="shared" si="15"/>
        <v>1.1417844760998042</v>
      </c>
      <c r="T23" s="201">
        <f t="shared" si="15"/>
        <v>1.2042086489666837</v>
      </c>
      <c r="U23" s="201">
        <f>E23/E$37</f>
        <v>1.1556969168419433</v>
      </c>
      <c r="V23" s="201">
        <f>F23/F$37</f>
        <v>1.2124757003023012</v>
      </c>
      <c r="W23" s="201">
        <f t="shared" si="11"/>
        <v>1.1862086591219483</v>
      </c>
      <c r="X23" s="201">
        <f t="shared" si="11"/>
        <v>1.2348071288870737</v>
      </c>
      <c r="Y23" s="201">
        <f>I23/I$37</f>
        <v>1.2057422687328101</v>
      </c>
      <c r="Z23" s="201">
        <f t="shared" si="12"/>
        <v>1.1707928001398031</v>
      </c>
      <c r="AA23" s="201">
        <f t="shared" si="12"/>
        <v>1.168406622376885</v>
      </c>
      <c r="AB23" s="201">
        <f t="shared" si="13"/>
        <v>1.1435520698898045</v>
      </c>
      <c r="AC23" s="201">
        <f t="shared" si="13"/>
        <v>1.149530939069459</v>
      </c>
      <c r="AD23" s="201">
        <f t="shared" si="14"/>
        <v>1.1571461879225926</v>
      </c>
      <c r="AE23" s="201">
        <f>SUM(I23:M23)/SUM(I$37:M$37)</f>
        <v>1.1651389069475144</v>
      </c>
    </row>
    <row r="24" spans="1:31" ht="7.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50"/>
      <c r="P24" s="157"/>
      <c r="Q24" s="2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55"/>
    </row>
    <row r="25" spans="1:31" ht="12.75" customHeight="1">
      <c r="A25" s="148" t="s">
        <v>50</v>
      </c>
      <c r="B25" s="151">
        <v>4994.8</v>
      </c>
      <c r="C25" s="148">
        <v>4789.5</v>
      </c>
      <c r="D25" s="148">
        <v>5129.3999999999996</v>
      </c>
      <c r="E25" s="148">
        <v>4818.3</v>
      </c>
      <c r="F25" s="148">
        <v>5121.7</v>
      </c>
      <c r="G25" s="148">
        <v>5361.8</v>
      </c>
      <c r="H25" s="148">
        <v>5611.5</v>
      </c>
      <c r="I25" s="148">
        <v>6125</v>
      </c>
      <c r="J25" s="148">
        <v>6275</v>
      </c>
      <c r="K25" s="148">
        <v>6623</v>
      </c>
      <c r="L25" s="148">
        <v>6646</v>
      </c>
      <c r="M25" s="148">
        <v>6888</v>
      </c>
      <c r="N25" s="148">
        <v>7038</v>
      </c>
      <c r="O25" s="150">
        <f>RATE(4,,-I25,M25)</f>
        <v>2.9785473788761906E-2</v>
      </c>
      <c r="P25" s="140"/>
      <c r="Q25" s="2" t="str">
        <f t="shared" si="1"/>
        <v>Accumulated Depreciation &amp; Amort.</v>
      </c>
      <c r="R25" s="5">
        <f t="shared" ref="R25:AC25" si="18">B25/B$37</f>
        <v>0.4059129954246613</v>
      </c>
      <c r="S25" s="5">
        <f t="shared" si="18"/>
        <v>0.43017657942481458</v>
      </c>
      <c r="T25" s="5">
        <f t="shared" si="18"/>
        <v>0.47155622563800831</v>
      </c>
      <c r="U25" s="5">
        <f t="shared" si="18"/>
        <v>0.41196839891243014</v>
      </c>
      <c r="V25" s="5">
        <f t="shared" si="18"/>
        <v>0.43861061393667955</v>
      </c>
      <c r="W25" s="5">
        <f t="shared" si="18"/>
        <v>0.42822800277935302</v>
      </c>
      <c r="X25" s="5">
        <f t="shared" si="18"/>
        <v>0.44076410107373176</v>
      </c>
      <c r="Y25" s="5">
        <f t="shared" si="18"/>
        <v>0.41088079425773127</v>
      </c>
      <c r="Z25" s="5">
        <f t="shared" si="18"/>
        <v>0.36552688297314617</v>
      </c>
      <c r="AA25" s="5">
        <f t="shared" si="18"/>
        <v>0.3492038384477486</v>
      </c>
      <c r="AB25" s="5">
        <f t="shared" si="18"/>
        <v>0.32989178993348556</v>
      </c>
      <c r="AC25" s="5">
        <f t="shared" si="18"/>
        <v>0.32635269591585331</v>
      </c>
      <c r="AD25" s="5">
        <f t="shared" ref="AD25" si="19">N25/N$37</f>
        <v>0.32818838890184193</v>
      </c>
      <c r="AE25" s="55">
        <f>SUM(I25:M25)/SUM(I$37:M$37)</f>
        <v>0.35276080266978721</v>
      </c>
    </row>
    <row r="26" spans="1:31" ht="7.5" customHeigh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50"/>
      <c r="P26" s="140"/>
      <c r="Q26" s="2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55"/>
    </row>
    <row r="27" spans="1:31" ht="12.75" customHeight="1">
      <c r="A27" s="184" t="s">
        <v>51</v>
      </c>
      <c r="B27" s="184">
        <f t="shared" ref="B27:G27" si="20">B23-B25</f>
        <v>9198.2999999999993</v>
      </c>
      <c r="C27" s="184">
        <f t="shared" si="20"/>
        <v>7922.9</v>
      </c>
      <c r="D27" s="184">
        <f t="shared" si="20"/>
        <v>7969.5</v>
      </c>
      <c r="E27" s="184">
        <f t="shared" si="20"/>
        <v>8698.5</v>
      </c>
      <c r="F27" s="184">
        <f t="shared" si="20"/>
        <v>9036.5</v>
      </c>
      <c r="G27" s="184">
        <f t="shared" si="20"/>
        <v>9490.5999999999985</v>
      </c>
      <c r="H27" s="184">
        <f t="shared" ref="H27:N27" si="21">H23-H25</f>
        <v>10109.199999999999</v>
      </c>
      <c r="I27" s="184">
        <f t="shared" si="21"/>
        <v>11849</v>
      </c>
      <c r="J27" s="184">
        <f t="shared" si="21"/>
        <v>13824</v>
      </c>
      <c r="K27" s="184">
        <f t="shared" si="21"/>
        <v>15537</v>
      </c>
      <c r="L27" s="184">
        <f t="shared" si="21"/>
        <v>16392</v>
      </c>
      <c r="M27" s="184">
        <f t="shared" ref="M27" si="22">M23-M25</f>
        <v>17374</v>
      </c>
      <c r="N27" s="184">
        <f t="shared" si="21"/>
        <v>17777</v>
      </c>
      <c r="O27" s="185">
        <f>RATE(4,,-I27,M27)</f>
        <v>0.10041000260718176</v>
      </c>
      <c r="P27" s="157"/>
      <c r="Q27" s="193" t="str">
        <f t="shared" si="1"/>
        <v>Net Plant &amp; Equipment</v>
      </c>
      <c r="R27" s="200">
        <f t="shared" ref="R27:AC27" si="23">B27/B$37</f>
        <v>0.74751932125703968</v>
      </c>
      <c r="S27" s="200">
        <f t="shared" si="23"/>
        <v>0.71160789667498969</v>
      </c>
      <c r="T27" s="200">
        <f t="shared" si="23"/>
        <v>0.73265242332867542</v>
      </c>
      <c r="U27" s="200">
        <f t="shared" si="23"/>
        <v>0.74372851792951322</v>
      </c>
      <c r="V27" s="200">
        <f t="shared" si="23"/>
        <v>0.77386508636562168</v>
      </c>
      <c r="W27" s="200">
        <f t="shared" si="23"/>
        <v>0.75798065634259515</v>
      </c>
      <c r="X27" s="200">
        <f t="shared" si="23"/>
        <v>0.79404302781334202</v>
      </c>
      <c r="Y27" s="200">
        <f t="shared" si="23"/>
        <v>0.79486147447507882</v>
      </c>
      <c r="Z27" s="200">
        <f t="shared" si="23"/>
        <v>0.80526591716665696</v>
      </c>
      <c r="AA27" s="200">
        <f t="shared" si="23"/>
        <v>0.81920278392913637</v>
      </c>
      <c r="AB27" s="200">
        <f t="shared" si="23"/>
        <v>0.81366027995631884</v>
      </c>
      <c r="AC27" s="200">
        <f t="shared" si="23"/>
        <v>0.82317824315360566</v>
      </c>
      <c r="AD27" s="200">
        <f t="shared" ref="AD27" si="24">N27/N$37</f>
        <v>0.82895779902075073</v>
      </c>
      <c r="AE27" s="200">
        <f>SUM(I27:M27)/SUM(I$37:M$37)</f>
        <v>0.81237810427772716</v>
      </c>
    </row>
    <row r="28" spans="1:31" ht="7.5" customHeigh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50"/>
      <c r="P28" s="154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5"/>
    </row>
    <row r="29" spans="1:31">
      <c r="A29" s="186" t="s">
        <v>71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50"/>
      <c r="P29" s="154"/>
      <c r="Q29" s="199" t="str">
        <f t="shared" si="1"/>
        <v>Other Assets: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5"/>
    </row>
    <row r="30" spans="1:31">
      <c r="A30" s="148" t="s">
        <v>52</v>
      </c>
      <c r="B30" s="148">
        <v>789.7</v>
      </c>
      <c r="C30" s="148">
        <v>1081.8</v>
      </c>
      <c r="D30" s="148">
        <v>1158.3</v>
      </c>
      <c r="E30" s="148">
        <v>1175.2</v>
      </c>
      <c r="F30" s="148">
        <f>1032.3</f>
        <v>1032.3</v>
      </c>
      <c r="G30" s="148">
        <f>972.8</f>
        <v>972.8</v>
      </c>
      <c r="H30" s="148">
        <v>884.3</v>
      </c>
      <c r="I30" s="148">
        <v>1091</v>
      </c>
      <c r="J30" s="148">
        <v>1624</v>
      </c>
      <c r="K30" s="148">
        <v>1539</v>
      </c>
      <c r="L30" s="148">
        <v>1654</v>
      </c>
      <c r="M30" s="148">
        <v>1810</v>
      </c>
      <c r="N30" s="148">
        <v>1754</v>
      </c>
      <c r="O30" s="150">
        <f>RATE(4,,-I30,M30)</f>
        <v>0.13491531362876646</v>
      </c>
      <c r="P30" s="154"/>
      <c r="Q30" s="2" t="str">
        <f t="shared" si="1"/>
        <v>Regulatory Assets</v>
      </c>
      <c r="R30" s="5">
        <f t="shared" ref="R30:V37" si="25">B30/B$37</f>
        <v>6.4176642205264492E-2</v>
      </c>
      <c r="S30" s="5">
        <f t="shared" si="25"/>
        <v>9.7163591945247804E-2</v>
      </c>
      <c r="T30" s="5">
        <f t="shared" si="25"/>
        <v>0.10648488637199381</v>
      </c>
      <c r="U30" s="5">
        <f t="shared" si="25"/>
        <v>0.1004805143726808</v>
      </c>
      <c r="V30" s="5">
        <f t="shared" si="25"/>
        <v>8.8403798888422647E-2</v>
      </c>
      <c r="W30" s="5">
        <f t="shared" ref="W30:Y37" si="26">G30/G$37</f>
        <v>7.7694095472370203E-2</v>
      </c>
      <c r="X30" s="5">
        <f t="shared" si="26"/>
        <v>6.9458735557248685E-2</v>
      </c>
      <c r="Y30" s="5">
        <f t="shared" si="26"/>
        <v>7.3187093311866902E-2</v>
      </c>
      <c r="Z30" s="5">
        <f t="shared" ref="Z30:AA37" si="27">J30/J$37</f>
        <v>9.4600104852332959E-2</v>
      </c>
      <c r="AA30" s="5">
        <f t="shared" si="27"/>
        <v>8.1145207212907314E-2</v>
      </c>
      <c r="AB30" s="5">
        <f t="shared" ref="AB30:AC37" si="28">L30/L$37</f>
        <v>8.2100665144445542E-2</v>
      </c>
      <c r="AC30" s="5">
        <f t="shared" si="28"/>
        <v>8.57576044726618E-2</v>
      </c>
      <c r="AD30" s="5">
        <f t="shared" ref="AD30:AD37" si="29">N30/N$37</f>
        <v>8.1790627185824208E-2</v>
      </c>
      <c r="AE30" s="55">
        <f>SUM(I30:M30)/SUM(I$37:M$37)</f>
        <v>8.3625883066788018E-2</v>
      </c>
    </row>
    <row r="31" spans="1:31" hidden="1">
      <c r="A31" s="148" t="s">
        <v>53</v>
      </c>
      <c r="B31" s="148">
        <v>382.7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50" t="e">
        <f t="shared" ref="O31:O34" si="30">RATE(4,,-I31,M31)</f>
        <v>#NUM!</v>
      </c>
      <c r="P31" s="154"/>
      <c r="Q31" s="2" t="str">
        <f t="shared" si="1"/>
        <v>Intangible Assets-net</v>
      </c>
      <c r="R31" s="5">
        <f t="shared" si="25"/>
        <v>3.1100925632461335E-2</v>
      </c>
      <c r="S31" s="5">
        <f t="shared" si="25"/>
        <v>0</v>
      </c>
      <c r="T31" s="5">
        <f t="shared" si="25"/>
        <v>0</v>
      </c>
      <c r="U31" s="5">
        <f t="shared" si="25"/>
        <v>0</v>
      </c>
      <c r="V31" s="5">
        <f t="shared" si="25"/>
        <v>0</v>
      </c>
      <c r="W31" s="5">
        <f t="shared" si="26"/>
        <v>0</v>
      </c>
      <c r="X31" s="5">
        <f t="shared" si="26"/>
        <v>0</v>
      </c>
      <c r="Y31" s="5">
        <f t="shared" si="26"/>
        <v>0</v>
      </c>
      <c r="Z31" s="5">
        <f t="shared" si="27"/>
        <v>0</v>
      </c>
      <c r="AA31" s="5">
        <f t="shared" si="27"/>
        <v>0</v>
      </c>
      <c r="AB31" s="5">
        <f t="shared" si="28"/>
        <v>0</v>
      </c>
      <c r="AC31" s="5">
        <f t="shared" si="28"/>
        <v>0</v>
      </c>
      <c r="AD31" s="5">
        <f t="shared" si="29"/>
        <v>0</v>
      </c>
      <c r="AE31" s="55">
        <f t="shared" ref="AE31:AE34" si="31">SUM(I31:M31)/SUM(I$37:M$37)</f>
        <v>0</v>
      </c>
    </row>
    <row r="32" spans="1:31">
      <c r="A32" s="140" t="s">
        <v>174</v>
      </c>
      <c r="B32" s="148">
        <f>196.8+288.3</f>
        <v>485.1</v>
      </c>
      <c r="C32" s="148">
        <f>189.9+278.3</f>
        <v>468.20000000000005</v>
      </c>
      <c r="D32" s="148">
        <f>468.4+155</f>
        <v>623.4</v>
      </c>
      <c r="E32" s="148">
        <f>506.9+122.3</f>
        <v>629.19999999999993</v>
      </c>
      <c r="F32" s="148">
        <f>422.2+110.3</f>
        <v>532.5</v>
      </c>
      <c r="G32" s="148">
        <f>170+360.3</f>
        <v>530.29999999999995</v>
      </c>
      <c r="H32" s="148">
        <f>94.7+345.3</f>
        <v>440</v>
      </c>
      <c r="I32" s="148">
        <v>215</v>
      </c>
      <c r="J32" s="148">
        <v>86</v>
      </c>
      <c r="K32" s="148">
        <v>43</v>
      </c>
      <c r="L32" s="148">
        <v>9</v>
      </c>
      <c r="M32" s="148">
        <v>4</v>
      </c>
      <c r="N32" s="148"/>
      <c r="O32" s="150">
        <f t="shared" si="30"/>
        <v>-0.63067782642496484</v>
      </c>
      <c r="P32" s="154"/>
      <c r="Q32" s="2" t="str">
        <f t="shared" si="1"/>
        <v>Financial Assets/Derivatives</v>
      </c>
      <c r="R32" s="5">
        <f t="shared" si="25"/>
        <v>3.9422678401638343E-2</v>
      </c>
      <c r="S32" s="5">
        <f t="shared" si="25"/>
        <v>4.2052129551455937E-2</v>
      </c>
      <c r="T32" s="5">
        <f t="shared" si="25"/>
        <v>5.7310436125615941E-2</v>
      </c>
      <c r="U32" s="5">
        <f t="shared" si="25"/>
        <v>5.3797089553514935E-2</v>
      </c>
      <c r="V32" s="5">
        <f t="shared" si="25"/>
        <v>4.5602075857875679E-2</v>
      </c>
      <c r="W32" s="5">
        <f t="shared" si="26"/>
        <v>4.2353185473887667E-2</v>
      </c>
      <c r="X32" s="5">
        <f t="shared" si="26"/>
        <v>3.4560492644113337E-2</v>
      </c>
      <c r="Y32" s="5">
        <f t="shared" si="26"/>
        <v>1.4422754410679547E-2</v>
      </c>
      <c r="Z32" s="5">
        <f t="shared" si="27"/>
        <v>5.0096114638550704E-3</v>
      </c>
      <c r="AA32" s="5">
        <f t="shared" si="27"/>
        <v>2.2672150163450385E-3</v>
      </c>
      <c r="AB32" s="5">
        <f t="shared" si="28"/>
        <v>4.4673880671100964E-4</v>
      </c>
      <c r="AC32" s="5">
        <f t="shared" si="28"/>
        <v>1.895195678953852E-4</v>
      </c>
      <c r="AD32" s="5">
        <f t="shared" si="29"/>
        <v>0</v>
      </c>
      <c r="AE32" s="55">
        <f t="shared" si="31"/>
        <v>3.868157586789754E-3</v>
      </c>
    </row>
    <row r="33" spans="1:33" hidden="1">
      <c r="A33" s="148" t="s">
        <v>55</v>
      </c>
      <c r="B33" s="148">
        <v>116</v>
      </c>
      <c r="C33" s="148">
        <v>0</v>
      </c>
      <c r="D33" s="148"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50" t="e">
        <f t="shared" si="30"/>
        <v>#NUM!</v>
      </c>
      <c r="P33" s="154"/>
      <c r="Q33" s="2" t="str">
        <f t="shared" si="1"/>
        <v>Investments in Affiliates</v>
      </c>
      <c r="R33" s="5">
        <f t="shared" si="25"/>
        <v>9.4269855588333291E-3</v>
      </c>
      <c r="S33" s="5">
        <f t="shared" si="25"/>
        <v>0</v>
      </c>
      <c r="T33" s="5">
        <f t="shared" si="25"/>
        <v>0</v>
      </c>
      <c r="U33" s="5">
        <f t="shared" si="25"/>
        <v>0</v>
      </c>
      <c r="V33" s="5">
        <f t="shared" si="25"/>
        <v>0</v>
      </c>
      <c r="W33" s="5">
        <f t="shared" si="26"/>
        <v>0</v>
      </c>
      <c r="X33" s="5">
        <f t="shared" si="26"/>
        <v>0</v>
      </c>
      <c r="Y33" s="5">
        <f t="shared" si="26"/>
        <v>0</v>
      </c>
      <c r="Z33" s="5">
        <f t="shared" si="27"/>
        <v>0</v>
      </c>
      <c r="AA33" s="5">
        <f t="shared" si="27"/>
        <v>0</v>
      </c>
      <c r="AB33" s="5">
        <f t="shared" si="28"/>
        <v>0</v>
      </c>
      <c r="AC33" s="5">
        <f t="shared" si="28"/>
        <v>0</v>
      </c>
      <c r="AD33" s="5">
        <f t="shared" si="29"/>
        <v>0</v>
      </c>
      <c r="AE33" s="55">
        <f t="shared" si="31"/>
        <v>0</v>
      </c>
    </row>
    <row r="34" spans="1:33">
      <c r="A34" s="148" t="s">
        <v>54</v>
      </c>
      <c r="B34" s="152">
        <v>372.1</v>
      </c>
      <c r="C34" s="152">
        <v>303.5</v>
      </c>
      <c r="D34" s="152">
        <v>366.2</v>
      </c>
      <c r="E34" s="152">
        <v>343.5</v>
      </c>
      <c r="F34" s="152">
        <v>319.39999999999998</v>
      </c>
      <c r="G34" s="152">
        <v>312.89999999999998</v>
      </c>
      <c r="H34" s="153">
        <v>282.5</v>
      </c>
      <c r="I34" s="153">
        <v>276</v>
      </c>
      <c r="J34" s="153">
        <v>257</v>
      </c>
      <c r="K34" s="153">
        <v>275</v>
      </c>
      <c r="L34" s="153">
        <v>396</v>
      </c>
      <c r="M34" s="153">
        <v>435</v>
      </c>
      <c r="N34" s="153">
        <v>437</v>
      </c>
      <c r="O34" s="150">
        <f t="shared" si="30"/>
        <v>0.12045661181306967</v>
      </c>
      <c r="P34" s="154"/>
      <c r="Q34" s="2" t="str">
        <f t="shared" si="1"/>
        <v>Deferred Charges and Other</v>
      </c>
      <c r="R34" s="6">
        <f t="shared" si="25"/>
        <v>3.02394941934645E-2</v>
      </c>
      <c r="S34" s="6">
        <f t="shared" si="25"/>
        <v>2.7259336434999733E-2</v>
      </c>
      <c r="T34" s="6">
        <f t="shared" si="25"/>
        <v>3.3665514451717289E-2</v>
      </c>
      <c r="U34" s="6">
        <f t="shared" si="25"/>
        <v>2.936951726260709E-2</v>
      </c>
      <c r="V34" s="6">
        <f t="shared" si="25"/>
        <v>2.7352681744611248E-2</v>
      </c>
      <c r="W34" s="6">
        <f t="shared" si="26"/>
        <v>2.4990216358249009E-2</v>
      </c>
      <c r="X34" s="103">
        <f t="shared" si="26"/>
        <v>2.2189407209004582E-2</v>
      </c>
      <c r="Y34" s="103">
        <f t="shared" si="26"/>
        <v>1.8514791708593277E-2</v>
      </c>
      <c r="Z34" s="103">
        <f t="shared" si="27"/>
        <v>1.4970583095473874E-2</v>
      </c>
      <c r="AA34" s="103">
        <f t="shared" si="27"/>
        <v>1.4499630918485711E-2</v>
      </c>
      <c r="AB34" s="103">
        <f t="shared" si="28"/>
        <v>1.9656507495284425E-2</v>
      </c>
      <c r="AC34" s="103">
        <f t="shared" si="28"/>
        <v>2.0610253008623139E-2</v>
      </c>
      <c r="AD34" s="103">
        <f t="shared" si="29"/>
        <v>2.0377710422009792E-2</v>
      </c>
      <c r="AE34" s="55">
        <f t="shared" si="31"/>
        <v>1.7758852338230834E-2</v>
      </c>
    </row>
    <row r="35" spans="1:33">
      <c r="A35" s="184" t="s">
        <v>72</v>
      </c>
      <c r="B35" s="207">
        <f t="shared" ref="B35:L35" si="32">SUM(B30:B34)</f>
        <v>2145.6</v>
      </c>
      <c r="C35" s="207">
        <f t="shared" si="32"/>
        <v>1853.5</v>
      </c>
      <c r="D35" s="207">
        <f t="shared" si="32"/>
        <v>2147.8999999999996</v>
      </c>
      <c r="E35" s="207">
        <f t="shared" si="32"/>
        <v>2147.9</v>
      </c>
      <c r="F35" s="207">
        <f t="shared" si="32"/>
        <v>1884.1999999999998</v>
      </c>
      <c r="G35" s="207">
        <f t="shared" si="32"/>
        <v>1816</v>
      </c>
      <c r="H35" s="208">
        <f t="shared" si="32"/>
        <v>1606.8</v>
      </c>
      <c r="I35" s="208">
        <f t="shared" si="32"/>
        <v>1582</v>
      </c>
      <c r="J35" s="208">
        <f>SUM(J30:J34)</f>
        <v>1967</v>
      </c>
      <c r="K35" s="208">
        <f>SUM(K30:K34)</f>
        <v>1857</v>
      </c>
      <c r="L35" s="208">
        <f t="shared" si="32"/>
        <v>2059</v>
      </c>
      <c r="M35" s="208">
        <f t="shared" ref="M35" si="33">SUM(M30:M34)</f>
        <v>2249</v>
      </c>
      <c r="N35" s="208">
        <f>SUM(N30:N34)</f>
        <v>2191</v>
      </c>
      <c r="O35" s="206">
        <f>RATE(4,,-I35,M35)</f>
        <v>9.1932378448857766E-2</v>
      </c>
      <c r="P35" s="154"/>
      <c r="Q35" s="193" t="str">
        <f t="shared" si="1"/>
        <v>Total Other Assets</v>
      </c>
      <c r="R35" s="202">
        <f t="shared" si="25"/>
        <v>0.17436672599166197</v>
      </c>
      <c r="S35" s="202">
        <f t="shared" si="25"/>
        <v>0.16647505793170347</v>
      </c>
      <c r="T35" s="202">
        <f t="shared" si="25"/>
        <v>0.19746083694932701</v>
      </c>
      <c r="U35" s="202">
        <f t="shared" si="25"/>
        <v>0.18364712118880283</v>
      </c>
      <c r="V35" s="202">
        <f t="shared" si="25"/>
        <v>0.16135855649090955</v>
      </c>
      <c r="W35" s="202">
        <f t="shared" si="26"/>
        <v>0.14503749730450688</v>
      </c>
      <c r="X35" s="203">
        <f t="shared" si="26"/>
        <v>0.12620863541036659</v>
      </c>
      <c r="Y35" s="203">
        <f t="shared" si="26"/>
        <v>0.10612463943113973</v>
      </c>
      <c r="Z35" s="203">
        <f t="shared" si="27"/>
        <v>0.11458029941166191</v>
      </c>
      <c r="AA35" s="203">
        <f t="shared" si="27"/>
        <v>9.7912053147738057E-2</v>
      </c>
      <c r="AB35" s="203">
        <f t="shared" si="28"/>
        <v>0.10220391144644098</v>
      </c>
      <c r="AC35" s="203">
        <f t="shared" si="28"/>
        <v>0.10655737704918032</v>
      </c>
      <c r="AD35" s="203">
        <f t="shared" si="29"/>
        <v>0.10216833760783399</v>
      </c>
      <c r="AE35" s="203">
        <f>SUM(I35:M35)/SUM(I$37:M$37)</f>
        <v>0.10525289299180861</v>
      </c>
    </row>
    <row r="36" spans="1:33">
      <c r="A36" s="148" t="s">
        <v>36</v>
      </c>
      <c r="B36" s="152">
        <f t="shared" ref="B36:L36" si="34">B27+B35</f>
        <v>11343.9</v>
      </c>
      <c r="C36" s="152">
        <f t="shared" si="34"/>
        <v>9776.4</v>
      </c>
      <c r="D36" s="152">
        <f t="shared" si="34"/>
        <v>10117.4</v>
      </c>
      <c r="E36" s="152">
        <f t="shared" si="34"/>
        <v>10846.4</v>
      </c>
      <c r="F36" s="152">
        <f t="shared" si="34"/>
        <v>10920.7</v>
      </c>
      <c r="G36" s="152">
        <f t="shared" si="34"/>
        <v>11306.599999999999</v>
      </c>
      <c r="H36" s="151">
        <f t="shared" si="34"/>
        <v>11715.999999999998</v>
      </c>
      <c r="I36" s="151">
        <f t="shared" si="34"/>
        <v>13431</v>
      </c>
      <c r="J36" s="151">
        <f>J27+J35</f>
        <v>15791</v>
      </c>
      <c r="K36" s="151">
        <f>K27+K35</f>
        <v>17394</v>
      </c>
      <c r="L36" s="151">
        <f t="shared" si="34"/>
        <v>18451</v>
      </c>
      <c r="M36" s="151">
        <f t="shared" ref="M36" si="35">M27+M35</f>
        <v>19623</v>
      </c>
      <c r="N36" s="151">
        <f>N27+N35</f>
        <v>19968</v>
      </c>
      <c r="O36" s="155">
        <f>RATE(4,,-I36,M36)</f>
        <v>9.9421596260228132E-2</v>
      </c>
      <c r="P36" s="156"/>
      <c r="Q36" s="2" t="str">
        <f t="shared" si="1"/>
        <v>Total Non-Current Assets</v>
      </c>
      <c r="R36" s="6">
        <f t="shared" si="25"/>
        <v>0.92188604724870171</v>
      </c>
      <c r="S36" s="6">
        <f t="shared" si="25"/>
        <v>0.87808295460669317</v>
      </c>
      <c r="T36" s="6">
        <f t="shared" si="25"/>
        <v>0.93011326027800245</v>
      </c>
      <c r="U36" s="6">
        <f t="shared" si="25"/>
        <v>0.927375639118316</v>
      </c>
      <c r="V36" s="6">
        <f t="shared" si="25"/>
        <v>0.93522364285653137</v>
      </c>
      <c r="W36" s="6">
        <f t="shared" si="26"/>
        <v>0.90301815364710214</v>
      </c>
      <c r="X36" s="97">
        <f t="shared" si="26"/>
        <v>0.92025166322370855</v>
      </c>
      <c r="Y36" s="97">
        <f t="shared" si="26"/>
        <v>0.90098611390621852</v>
      </c>
      <c r="Z36" s="97">
        <f t="shared" si="27"/>
        <v>0.91984621657831889</v>
      </c>
      <c r="AA36" s="97">
        <f t="shared" si="27"/>
        <v>0.91711483707687436</v>
      </c>
      <c r="AB36" s="97">
        <f t="shared" si="28"/>
        <v>0.91586419140275988</v>
      </c>
      <c r="AC36" s="97">
        <f t="shared" si="28"/>
        <v>0.92973562020278588</v>
      </c>
      <c r="AD36" s="97">
        <f t="shared" si="29"/>
        <v>0.93112613662858479</v>
      </c>
      <c r="AE36" s="256">
        <f>SUM(I36:M36)/SUM(I$37:M$37)</f>
        <v>0.91763099726953579</v>
      </c>
    </row>
    <row r="37" spans="1:33" ht="13.5" thickBot="1">
      <c r="A37" s="184" t="s">
        <v>31</v>
      </c>
      <c r="B37" s="209">
        <f t="shared" ref="B37:G37" si="36">B16+B27+B35</f>
        <v>12305.1</v>
      </c>
      <c r="C37" s="209">
        <f t="shared" si="36"/>
        <v>11133.8</v>
      </c>
      <c r="D37" s="209">
        <f t="shared" si="36"/>
        <v>10877.6</v>
      </c>
      <c r="E37" s="209">
        <f t="shared" si="36"/>
        <v>11695.8</v>
      </c>
      <c r="F37" s="209">
        <f t="shared" si="36"/>
        <v>11677.099999999999</v>
      </c>
      <c r="G37" s="209">
        <f t="shared" si="36"/>
        <v>12520.899999999998</v>
      </c>
      <c r="H37" s="210">
        <f t="shared" ref="H37:N37" si="37">H16+H27+H35</f>
        <v>12731.299999999997</v>
      </c>
      <c r="I37" s="210">
        <f t="shared" si="37"/>
        <v>14907</v>
      </c>
      <c r="J37" s="210">
        <f t="shared" si="37"/>
        <v>17167</v>
      </c>
      <c r="K37" s="210">
        <f t="shared" si="37"/>
        <v>18966</v>
      </c>
      <c r="L37" s="210">
        <f t="shared" si="37"/>
        <v>20146</v>
      </c>
      <c r="M37" s="210">
        <f t="shared" ref="M37" si="38">M16+M27+M35</f>
        <v>21106</v>
      </c>
      <c r="N37" s="210">
        <f t="shared" si="37"/>
        <v>21445</v>
      </c>
      <c r="O37" s="206">
        <f>RATE(4,,-I37,M37)</f>
        <v>9.0822081016122796E-2</v>
      </c>
      <c r="P37" s="157"/>
      <c r="Q37" s="193" t="str">
        <f t="shared" si="1"/>
        <v>Total Assets</v>
      </c>
      <c r="R37" s="204">
        <f t="shared" si="25"/>
        <v>1</v>
      </c>
      <c r="S37" s="204">
        <f t="shared" si="25"/>
        <v>1</v>
      </c>
      <c r="T37" s="204">
        <f t="shared" si="25"/>
        <v>1</v>
      </c>
      <c r="U37" s="204">
        <f t="shared" si="25"/>
        <v>1</v>
      </c>
      <c r="V37" s="204">
        <f t="shared" si="25"/>
        <v>1</v>
      </c>
      <c r="W37" s="204">
        <f t="shared" si="26"/>
        <v>1</v>
      </c>
      <c r="X37" s="205">
        <f t="shared" si="26"/>
        <v>1</v>
      </c>
      <c r="Y37" s="205">
        <f t="shared" si="26"/>
        <v>1</v>
      </c>
      <c r="Z37" s="205">
        <f t="shared" si="27"/>
        <v>1</v>
      </c>
      <c r="AA37" s="205">
        <f t="shared" si="27"/>
        <v>1</v>
      </c>
      <c r="AB37" s="205">
        <f t="shared" si="28"/>
        <v>1</v>
      </c>
      <c r="AC37" s="205">
        <f t="shared" si="28"/>
        <v>1</v>
      </c>
      <c r="AD37" s="205">
        <f t="shared" si="29"/>
        <v>1</v>
      </c>
      <c r="AE37" s="205">
        <f>SUM(I37:M37)/SUM(I$37:M$37)</f>
        <v>1</v>
      </c>
    </row>
    <row r="38" spans="1:33" ht="13.5" thickTop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60"/>
      <c r="P38" s="154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31"/>
    </row>
    <row r="39" spans="1:33" ht="7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50"/>
      <c r="P39" s="154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5"/>
    </row>
    <row r="40" spans="1:33">
      <c r="A40" s="186" t="s">
        <v>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50"/>
      <c r="P40" s="157"/>
      <c r="Q40" s="199" t="str">
        <f t="shared" si="1"/>
        <v>Current Liabilities: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5"/>
    </row>
    <row r="41" spans="1:33">
      <c r="A41" s="148" t="s">
        <v>56</v>
      </c>
      <c r="B41" s="148">
        <v>186.9</v>
      </c>
      <c r="C41" s="148">
        <v>51.2</v>
      </c>
      <c r="D41" s="148">
        <v>144.5</v>
      </c>
      <c r="E41" s="148">
        <v>136.69999999999999</v>
      </c>
      <c r="F41" s="148">
        <v>240</v>
      </c>
      <c r="G41" s="148">
        <v>269.89999999999998</v>
      </c>
      <c r="H41" s="148">
        <v>216.9</v>
      </c>
      <c r="I41" s="148">
        <v>414</v>
      </c>
      <c r="J41" s="148">
        <v>144</v>
      </c>
      <c r="K41" s="148">
        <v>16</v>
      </c>
      <c r="L41" s="148">
        <v>588</v>
      </c>
      <c r="M41" s="148">
        <v>19</v>
      </c>
      <c r="N41" s="148">
        <v>66</v>
      </c>
      <c r="O41" s="150">
        <f t="shared" ref="O41:O46" si="39">RATE(4,,-I41,M41)</f>
        <v>-0.53715208152237615</v>
      </c>
      <c r="P41" s="157"/>
      <c r="Q41" s="2" t="str">
        <f t="shared" si="1"/>
        <v>Current Maturities LTD</v>
      </c>
      <c r="R41" s="5">
        <f t="shared" ref="R41:V44" si="40">B41/B$37</f>
        <v>1.5188824146085769E-2</v>
      </c>
      <c r="S41" s="5">
        <f t="shared" si="40"/>
        <v>4.5986096391169235E-3</v>
      </c>
      <c r="T41" s="5">
        <f t="shared" si="40"/>
        <v>1.3284180333897182E-2</v>
      </c>
      <c r="U41" s="5">
        <f t="shared" si="40"/>
        <v>1.1687956360402879E-2</v>
      </c>
      <c r="V41" s="5">
        <f t="shared" si="40"/>
        <v>2.0553048273972137E-2</v>
      </c>
      <c r="W41" s="5">
        <f t="shared" ref="W41:Y44" si="41">G41/G$37</f>
        <v>2.1555958437492515E-2</v>
      </c>
      <c r="X41" s="5">
        <f t="shared" si="41"/>
        <v>1.7036751942064051E-2</v>
      </c>
      <c r="Y41" s="5">
        <f t="shared" si="41"/>
        <v>2.7772187562889919E-2</v>
      </c>
      <c r="Z41" s="5">
        <f t="shared" ref="Z41:AA47" si="42">J41/J$37</f>
        <v>8.3881866371526767E-3</v>
      </c>
      <c r="AA41" s="5">
        <f t="shared" si="42"/>
        <v>8.4361488980280502E-4</v>
      </c>
      <c r="AB41" s="5">
        <f t="shared" ref="AB41:AC47" si="43">L41/L$37</f>
        <v>2.9186935371785964E-2</v>
      </c>
      <c r="AC41" s="5">
        <f t="shared" si="43"/>
        <v>9.0021794750307972E-4</v>
      </c>
      <c r="AD41" s="5">
        <f t="shared" ref="AD41:AD47" si="44">N41/N$37</f>
        <v>3.0776404756353462E-3</v>
      </c>
      <c r="AE41" s="55">
        <f>SUM(I41:M41)/SUM(I$37:M$37)</f>
        <v>1.2796342044814285E-2</v>
      </c>
    </row>
    <row r="42" spans="1:33">
      <c r="A42" s="140" t="s">
        <v>177</v>
      </c>
      <c r="B42" s="148">
        <v>109</v>
      </c>
      <c r="C42" s="148">
        <v>240.5</v>
      </c>
      <c r="D42" s="148">
        <v>177.5</v>
      </c>
      <c r="E42" s="148">
        <v>25</v>
      </c>
      <c r="F42" s="148">
        <v>124.9</v>
      </c>
      <c r="G42" s="148">
        <v>468.8</v>
      </c>
      <c r="H42" s="148">
        <v>184.4</v>
      </c>
      <c r="I42" s="148">
        <v>0</v>
      </c>
      <c r="J42" s="148">
        <v>85</v>
      </c>
      <c r="K42" s="148">
        <v>0</v>
      </c>
      <c r="L42" s="148">
        <v>36</v>
      </c>
      <c r="M42" s="148">
        <v>688</v>
      </c>
      <c r="N42" s="148">
        <v>0</v>
      </c>
      <c r="O42" s="150"/>
      <c r="P42" s="157"/>
      <c r="Q42" s="2" t="str">
        <f t="shared" si="1"/>
        <v>Short-term Debt</v>
      </c>
      <c r="R42" s="5">
        <f t="shared" si="40"/>
        <v>8.8581157406278695E-3</v>
      </c>
      <c r="S42" s="5">
        <f t="shared" si="40"/>
        <v>2.1600890980617581E-2</v>
      </c>
      <c r="T42" s="5">
        <f t="shared" si="40"/>
        <v>1.6317937780392734E-2</v>
      </c>
      <c r="U42" s="5">
        <f t="shared" si="40"/>
        <v>2.1375194514270082E-3</v>
      </c>
      <c r="V42" s="5">
        <f t="shared" si="40"/>
        <v>1.0696148872579666E-2</v>
      </c>
      <c r="W42" s="5">
        <f t="shared" si="41"/>
        <v>3.7441397982573142E-2</v>
      </c>
      <c r="X42" s="5">
        <f t="shared" si="41"/>
        <v>1.4483988280851134E-2</v>
      </c>
      <c r="Y42" s="5">
        <f t="shared" si="41"/>
        <v>0</v>
      </c>
      <c r="Z42" s="5">
        <f t="shared" si="42"/>
        <v>4.9513601677637327E-3</v>
      </c>
      <c r="AA42" s="5">
        <f t="shared" si="42"/>
        <v>0</v>
      </c>
      <c r="AB42" s="5">
        <f t="shared" si="43"/>
        <v>1.7869552268440386E-3</v>
      </c>
      <c r="AC42" s="5">
        <f t="shared" si="43"/>
        <v>3.2597365678006252E-2</v>
      </c>
      <c r="AD42" s="5">
        <f t="shared" si="44"/>
        <v>0</v>
      </c>
      <c r="AE42" s="55">
        <f t="shared" ref="AE42:AE46" si="45">SUM(I42:M42)/SUM(I$37:M$37)</f>
        <v>8.7656568283274831E-3</v>
      </c>
      <c r="AG42" s="55">
        <f>AVERAGE(X42:AB42)</f>
        <v>4.2444607350917811E-3</v>
      </c>
    </row>
    <row r="43" spans="1:33">
      <c r="A43" s="148" t="s">
        <v>1</v>
      </c>
      <c r="B43" s="148">
        <v>437.4</v>
      </c>
      <c r="C43" s="148">
        <v>609.9</v>
      </c>
      <c r="D43" s="148">
        <v>292.7</v>
      </c>
      <c r="E43" s="148">
        <v>243.4</v>
      </c>
      <c r="F43" s="148">
        <v>262.60000000000002</v>
      </c>
      <c r="G43" s="148">
        <v>350.4</v>
      </c>
      <c r="H43" s="148">
        <v>361.3</v>
      </c>
      <c r="I43" s="148">
        <v>451</v>
      </c>
      <c r="J43" s="148">
        <v>757</v>
      </c>
      <c r="K43" s="148">
        <v>553</v>
      </c>
      <c r="L43" s="148">
        <v>479</v>
      </c>
      <c r="M43" s="148">
        <v>582</v>
      </c>
      <c r="N43" s="148">
        <v>486</v>
      </c>
      <c r="O43" s="150">
        <f t="shared" si="39"/>
        <v>6.5826737182433634E-2</v>
      </c>
      <c r="P43" s="154"/>
      <c r="Q43" s="2" t="str">
        <f t="shared" si="1"/>
        <v>Accounts Payable</v>
      </c>
      <c r="R43" s="5">
        <f t="shared" si="40"/>
        <v>3.5546236926152566E-2</v>
      </c>
      <c r="S43" s="5">
        <f t="shared" si="40"/>
        <v>5.4779140994090071E-2</v>
      </c>
      <c r="T43" s="5">
        <f t="shared" si="40"/>
        <v>2.6908509229977198E-2</v>
      </c>
      <c r="U43" s="5">
        <f t="shared" si="40"/>
        <v>2.0810889379093353E-2</v>
      </c>
      <c r="V43" s="5">
        <f t="shared" si="40"/>
        <v>2.248846031977118E-2</v>
      </c>
      <c r="W43" s="5">
        <f t="shared" si="41"/>
        <v>2.7985208731001767E-2</v>
      </c>
      <c r="X43" s="5">
        <f t="shared" si="41"/>
        <v>2.8378877255268518E-2</v>
      </c>
      <c r="Y43" s="5">
        <f t="shared" si="41"/>
        <v>3.0254242973099886E-2</v>
      </c>
      <c r="Z43" s="5">
        <f t="shared" si="42"/>
        <v>4.4096231141142889E-2</v>
      </c>
      <c r="AA43" s="5">
        <f t="shared" si="42"/>
        <v>2.9157439628809449E-2</v>
      </c>
      <c r="AB43" s="5">
        <f t="shared" si="43"/>
        <v>2.3776432046063736E-2</v>
      </c>
      <c r="AC43" s="5">
        <f t="shared" si="43"/>
        <v>2.7575097128778547E-2</v>
      </c>
      <c r="AD43" s="5">
        <f t="shared" si="44"/>
        <v>2.2662625320587548E-2</v>
      </c>
      <c r="AE43" s="55">
        <f t="shared" si="45"/>
        <v>3.057686473367139E-2</v>
      </c>
    </row>
    <row r="44" spans="1:33">
      <c r="A44" s="140" t="s">
        <v>178</v>
      </c>
      <c r="B44" s="148">
        <f>153.8+97.3+4.2+4.6</f>
        <v>259.90000000000003</v>
      </c>
      <c r="C44" s="148">
        <f>61.9+84.1+377.5+18.7</f>
        <v>542.20000000000005</v>
      </c>
      <c r="D44" s="148">
        <f>91.8+115.9+100.8+151.7</f>
        <v>460.2</v>
      </c>
      <c r="E44" s="148">
        <f>141.3+63.1+67.9+91.7+39.6</f>
        <v>403.6</v>
      </c>
      <c r="F44" s="148">
        <f>131.5+54.2+66.1+76.9+3.7+2.6</f>
        <v>335</v>
      </c>
      <c r="G44" s="148">
        <f>134.3+39.8+64.8+136.7+2+3.7+3.9</f>
        <v>385.2</v>
      </c>
      <c r="H44" s="148">
        <f>118+47+63+97.9+16.9+3.7+3.8</f>
        <v>350.29999999999995</v>
      </c>
      <c r="I44" s="148">
        <f>80+28+74</f>
        <v>182</v>
      </c>
      <c r="J44" s="148">
        <f>77+89+73</f>
        <v>239</v>
      </c>
      <c r="K44" s="148">
        <f>76+111+67</f>
        <v>254</v>
      </c>
      <c r="L44" s="148">
        <f>81+110+63</f>
        <v>254</v>
      </c>
      <c r="M44" s="148">
        <f>72+105+66</f>
        <v>243</v>
      </c>
      <c r="N44" s="148">
        <f>113+115+96</f>
        <v>324</v>
      </c>
      <c r="O44" s="150">
        <f t="shared" si="39"/>
        <v>7.4938756294068418E-2</v>
      </c>
      <c r="P44" s="154"/>
      <c r="Q44" s="2" t="str">
        <f>A44</f>
        <v>Accrued Expenses</v>
      </c>
      <c r="R44" s="5">
        <f t="shared" si="40"/>
        <v>2.1121323678799851E-2</v>
      </c>
      <c r="S44" s="5">
        <f t="shared" si="40"/>
        <v>4.8698557545492113E-2</v>
      </c>
      <c r="T44" s="5">
        <f t="shared" si="40"/>
        <v>4.2307126572037945E-2</v>
      </c>
      <c r="U44" s="5">
        <f t="shared" si="40"/>
        <v>3.4508114023837619E-2</v>
      </c>
      <c r="V44" s="5">
        <f t="shared" si="40"/>
        <v>2.868862988241944E-2</v>
      </c>
      <c r="W44" s="5">
        <f t="shared" si="41"/>
        <v>3.0764561652916328E-2</v>
      </c>
      <c r="X44" s="5">
        <f t="shared" si="41"/>
        <v>2.7514864939165679E-2</v>
      </c>
      <c r="Y44" s="5">
        <f t="shared" si="41"/>
        <v>1.2209029315086871E-2</v>
      </c>
      <c r="Z44" s="5">
        <f>J44/J$37</f>
        <v>1.3922059765829789E-2</v>
      </c>
      <c r="AA44" s="5">
        <f>K44/K$37</f>
        <v>1.3392386375619529E-2</v>
      </c>
      <c r="AB44" s="5">
        <f t="shared" si="43"/>
        <v>1.2607961878288493E-2</v>
      </c>
      <c r="AC44" s="5">
        <f t="shared" si="43"/>
        <v>1.1513313749644651E-2</v>
      </c>
      <c r="AD44" s="5">
        <f t="shared" ref="AD44:AD45" si="46">N44/N$37</f>
        <v>1.51084168803917E-2</v>
      </c>
      <c r="AE44" s="55">
        <f t="shared" si="45"/>
        <v>1.2698825466996057E-2</v>
      </c>
    </row>
    <row r="45" spans="1:33">
      <c r="A45" s="140" t="s">
        <v>175</v>
      </c>
      <c r="B45" s="148"/>
      <c r="C45" s="148"/>
      <c r="D45" s="148"/>
      <c r="E45" s="148"/>
      <c r="F45" s="148"/>
      <c r="G45" s="148"/>
      <c r="H45" s="148"/>
      <c r="I45" s="148">
        <v>117</v>
      </c>
      <c r="J45" s="148">
        <v>130</v>
      </c>
      <c r="K45" s="148">
        <v>85</v>
      </c>
      <c r="L45" s="148">
        <v>84</v>
      </c>
      <c r="M45" s="148">
        <v>90</v>
      </c>
      <c r="N45" s="148">
        <v>72</v>
      </c>
      <c r="O45" s="150">
        <f t="shared" si="39"/>
        <v>-6.348624179510047E-2</v>
      </c>
      <c r="P45" s="154"/>
      <c r="Q45" s="2" t="str">
        <f t="shared" si="1"/>
        <v>Derivative Contacts</v>
      </c>
      <c r="R45" s="5"/>
      <c r="S45" s="5"/>
      <c r="T45" s="5"/>
      <c r="U45" s="5"/>
      <c r="V45" s="5">
        <f>F45/F$37</f>
        <v>0</v>
      </c>
      <c r="W45" s="5">
        <f t="shared" ref="W45:Y47" si="47">G45/G$37</f>
        <v>0</v>
      </c>
      <c r="X45" s="5">
        <f t="shared" si="47"/>
        <v>0</v>
      </c>
      <c r="Y45" s="5">
        <f t="shared" si="47"/>
        <v>7.8486617025558467E-3</v>
      </c>
      <c r="Z45" s="5">
        <f>J45/J$37</f>
        <v>7.5726684918739438E-3</v>
      </c>
      <c r="AA45" s="5">
        <f>K45/K$37</f>
        <v>4.4817041020774016E-3</v>
      </c>
      <c r="AB45" s="5">
        <f t="shared" si="43"/>
        <v>4.1695621959694229E-3</v>
      </c>
      <c r="AC45" s="5">
        <f t="shared" si="43"/>
        <v>4.2641902776461666E-3</v>
      </c>
      <c r="AD45" s="5">
        <f t="shared" si="46"/>
        <v>3.3574259734203775E-3</v>
      </c>
      <c r="AE45" s="55">
        <f t="shared" si="45"/>
        <v>5.4825987084471031E-3</v>
      </c>
    </row>
    <row r="46" spans="1:33">
      <c r="A46" s="148" t="s">
        <v>61</v>
      </c>
      <c r="B46" s="152">
        <v>103</v>
      </c>
      <c r="C46" s="152">
        <v>157.4</v>
      </c>
      <c r="D46" s="152">
        <v>142</v>
      </c>
      <c r="E46" s="152">
        <v>127.3</v>
      </c>
      <c r="F46" s="152">
        <v>111.8</v>
      </c>
      <c r="G46" s="152">
        <v>123.4</v>
      </c>
      <c r="H46" s="153">
        <v>103.2</v>
      </c>
      <c r="I46" s="153">
        <v>149</v>
      </c>
      <c r="J46" s="153">
        <v>111</v>
      </c>
      <c r="K46" s="153">
        <v>105</v>
      </c>
      <c r="L46" s="153">
        <v>121</v>
      </c>
      <c r="M46" s="153">
        <v>192</v>
      </c>
      <c r="N46" s="153">
        <f>50+119+60</f>
        <v>229</v>
      </c>
      <c r="O46" s="150">
        <f t="shared" si="39"/>
        <v>6.5439368343860632E-2</v>
      </c>
      <c r="P46" s="154"/>
      <c r="Q46" s="2" t="str">
        <f t="shared" si="1"/>
        <v xml:space="preserve">Other </v>
      </c>
      <c r="R46" s="6">
        <f t="shared" ref="R46:U47" si="48">B46/B$37</f>
        <v>8.3705130393089047E-3</v>
      </c>
      <c r="S46" s="6">
        <f t="shared" si="48"/>
        <v>1.4137131976503981E-2</v>
      </c>
      <c r="T46" s="6">
        <f t="shared" si="48"/>
        <v>1.3054350224314186E-2</v>
      </c>
      <c r="U46" s="6">
        <f t="shared" si="48"/>
        <v>1.0884249046666326E-2</v>
      </c>
      <c r="V46" s="6">
        <f>F46/F$37</f>
        <v>9.5742949876253536E-3</v>
      </c>
      <c r="W46" s="6">
        <f t="shared" si="47"/>
        <v>9.8555215679384089E-3</v>
      </c>
      <c r="X46" s="103">
        <f t="shared" si="47"/>
        <v>8.1060064565284008E-3</v>
      </c>
      <c r="Y46" s="103">
        <f t="shared" si="47"/>
        <v>9.9953042194941971E-3</v>
      </c>
      <c r="Z46" s="103">
        <f t="shared" si="42"/>
        <v>6.4658938661385215E-3</v>
      </c>
      <c r="AA46" s="103">
        <f t="shared" si="42"/>
        <v>5.5362227143309082E-3</v>
      </c>
      <c r="AB46" s="103">
        <f t="shared" si="43"/>
        <v>6.0061550680035741E-3</v>
      </c>
      <c r="AC46" s="103">
        <f t="shared" si="43"/>
        <v>9.0969392589784898E-3</v>
      </c>
      <c r="AD46" s="103">
        <f t="shared" si="44"/>
        <v>1.0678479832128702E-2</v>
      </c>
      <c r="AE46" s="55">
        <f t="shared" si="45"/>
        <v>7.3462488623065921E-3</v>
      </c>
    </row>
    <row r="47" spans="1:33">
      <c r="A47" s="184" t="s">
        <v>33</v>
      </c>
      <c r="B47" s="184">
        <f t="shared" ref="B47:L47" si="49">SUM(B40:B46)</f>
        <v>1096.2</v>
      </c>
      <c r="C47" s="184">
        <f t="shared" si="49"/>
        <v>1601.2</v>
      </c>
      <c r="D47" s="184">
        <f t="shared" si="49"/>
        <v>1216.9000000000001</v>
      </c>
      <c r="E47" s="184">
        <f t="shared" si="49"/>
        <v>936</v>
      </c>
      <c r="F47" s="184">
        <f t="shared" si="49"/>
        <v>1074.3</v>
      </c>
      <c r="G47" s="184">
        <f t="shared" si="49"/>
        <v>1597.7</v>
      </c>
      <c r="H47" s="184">
        <f t="shared" si="49"/>
        <v>1216.1000000000001</v>
      </c>
      <c r="I47" s="184">
        <f t="shared" si="49"/>
        <v>1313</v>
      </c>
      <c r="J47" s="184">
        <f t="shared" si="49"/>
        <v>1466</v>
      </c>
      <c r="K47" s="184">
        <f t="shared" si="49"/>
        <v>1013</v>
      </c>
      <c r="L47" s="184">
        <f t="shared" si="49"/>
        <v>1562</v>
      </c>
      <c r="M47" s="184">
        <f t="shared" ref="M47" si="50">SUM(M40:M46)</f>
        <v>1814</v>
      </c>
      <c r="N47" s="184">
        <f>SUM(N40:N46)</f>
        <v>1177</v>
      </c>
      <c r="O47" s="206">
        <f>RATE(4,,-I47,M47)</f>
        <v>8.4159398824417656E-2</v>
      </c>
      <c r="P47" s="154"/>
      <c r="Q47" s="193" t="str">
        <f t="shared" si="1"/>
        <v>Total Current Liabilities</v>
      </c>
      <c r="R47" s="200">
        <f t="shared" si="48"/>
        <v>8.9085013530974963E-2</v>
      </c>
      <c r="S47" s="200">
        <f t="shared" si="48"/>
        <v>0.14381433113582068</v>
      </c>
      <c r="T47" s="200">
        <f t="shared" si="48"/>
        <v>0.11187210414061925</v>
      </c>
      <c r="U47" s="200">
        <f t="shared" si="48"/>
        <v>8.0028728261427179E-2</v>
      </c>
      <c r="V47" s="200">
        <f>F47/F$37</f>
        <v>9.2000582336367764E-2</v>
      </c>
      <c r="W47" s="200">
        <f t="shared" si="47"/>
        <v>0.12760264837192217</v>
      </c>
      <c r="X47" s="200">
        <f t="shared" si="47"/>
        <v>9.552048887387779E-2</v>
      </c>
      <c r="Y47" s="200">
        <f t="shared" si="47"/>
        <v>8.8079425773126718E-2</v>
      </c>
      <c r="Z47" s="200">
        <f t="shared" si="42"/>
        <v>8.5396400069901554E-2</v>
      </c>
      <c r="AA47" s="200">
        <f t="shared" si="42"/>
        <v>5.341136771064009E-2</v>
      </c>
      <c r="AB47" s="200">
        <f t="shared" si="43"/>
        <v>7.7534001786955228E-2</v>
      </c>
      <c r="AC47" s="200">
        <f t="shared" si="43"/>
        <v>8.5947124040557182E-2</v>
      </c>
      <c r="AD47" s="200">
        <f t="shared" si="44"/>
        <v>5.4884588482163675E-2</v>
      </c>
      <c r="AE47" s="201">
        <f>SUM(I47:M47)/SUM(I$37:M$37)</f>
        <v>7.7666536644562911E-2</v>
      </c>
      <c r="AF47" s="193"/>
    </row>
    <row r="48" spans="1:33" ht="7.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50"/>
      <c r="P48" s="154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5"/>
    </row>
    <row r="49" spans="1:31">
      <c r="A49" s="184" t="s">
        <v>57</v>
      </c>
      <c r="B49" s="184">
        <f>4221.5+340.9</f>
        <v>4562.3999999999996</v>
      </c>
      <c r="C49" s="184">
        <v>2906.9</v>
      </c>
      <c r="D49" s="184">
        <v>3553.8</v>
      </c>
      <c r="E49" s="184">
        <v>3417.6</v>
      </c>
      <c r="F49" s="184">
        <v>3520.2</v>
      </c>
      <c r="G49" s="184">
        <v>3629</v>
      </c>
      <c r="H49" s="184">
        <v>3721</v>
      </c>
      <c r="I49" s="184">
        <v>4753</v>
      </c>
      <c r="J49" s="184">
        <v>5424</v>
      </c>
      <c r="K49" s="184">
        <v>6400</v>
      </c>
      <c r="L49" s="184">
        <v>5813</v>
      </c>
      <c r="M49" s="184">
        <v>6194</v>
      </c>
      <c r="N49" s="184">
        <v>6806</v>
      </c>
      <c r="O49" s="185">
        <f t="shared" ref="O49:O52" si="51">RATE(4,,-I49,M49)</f>
        <v>6.8441741842377349E-2</v>
      </c>
      <c r="P49" s="154"/>
      <c r="Q49" s="193" t="str">
        <f t="shared" si="1"/>
        <v>Long-Term Debt</v>
      </c>
      <c r="R49" s="200">
        <f t="shared" ref="R49:V50" si="52">B49/B$37</f>
        <v>0.37077309408294118</v>
      </c>
      <c r="S49" s="200">
        <f t="shared" si="52"/>
        <v>0.26108785859275363</v>
      </c>
      <c r="T49" s="200">
        <f t="shared" si="52"/>
        <v>0.32670809737442086</v>
      </c>
      <c r="U49" s="200">
        <f t="shared" si="52"/>
        <v>0.29220745908787771</v>
      </c>
      <c r="V49" s="200">
        <f t="shared" si="52"/>
        <v>0.30146183555848627</v>
      </c>
      <c r="W49" s="200">
        <f t="shared" ref="W49:X53" si="53">G49/G$37</f>
        <v>0.28983539521919355</v>
      </c>
      <c r="X49" s="200">
        <f t="shared" si="53"/>
        <v>0.2922718025653312</v>
      </c>
      <c r="Y49" s="200">
        <f>I49/I$37</f>
        <v>0.31884349634399944</v>
      </c>
      <c r="Z49" s="200">
        <f t="shared" ref="Z49:AA53" si="54">J49/J$37</f>
        <v>0.31595502999941749</v>
      </c>
      <c r="AA49" s="200">
        <f t="shared" si="54"/>
        <v>0.33744595592112203</v>
      </c>
      <c r="AB49" s="200">
        <f t="shared" ref="AB49:AC53" si="55">L49/L$37</f>
        <v>0.28854363149012213</v>
      </c>
      <c r="AC49" s="200">
        <f t="shared" si="55"/>
        <v>0.293471050886004</v>
      </c>
      <c r="AD49" s="200">
        <f t="shared" ref="AD49:AD53" si="56">N49/N$37</f>
        <v>0.31737001632082068</v>
      </c>
      <c r="AE49" s="200">
        <f>SUM(I49:M49)/SUM(I$37:M$37)</f>
        <v>0.30971265115069563</v>
      </c>
    </row>
    <row r="50" spans="1:31">
      <c r="A50" s="148" t="s">
        <v>11</v>
      </c>
      <c r="B50" s="148">
        <v>1642.2</v>
      </c>
      <c r="C50" s="148">
        <v>1645</v>
      </c>
      <c r="D50" s="148">
        <v>1434.8</v>
      </c>
      <c r="E50" s="148">
        <v>1511.1</v>
      </c>
      <c r="F50" s="148">
        <v>1564.6</v>
      </c>
      <c r="G50" s="148">
        <v>1629</v>
      </c>
      <c r="H50" s="148">
        <v>1621.2</v>
      </c>
      <c r="I50" s="148">
        <v>1701</v>
      </c>
      <c r="J50" s="148">
        <v>2025</v>
      </c>
      <c r="K50" s="148">
        <v>2625</v>
      </c>
      <c r="L50" s="148">
        <v>3448</v>
      </c>
      <c r="M50" s="148">
        <v>3863</v>
      </c>
      <c r="N50" s="148">
        <v>4038</v>
      </c>
      <c r="O50" s="150">
        <f t="shared" si="51"/>
        <v>0.22759496538231172</v>
      </c>
      <c r="P50" s="154"/>
      <c r="Q50" s="2" t="str">
        <f t="shared" si="1"/>
        <v>Deferred Income Taxes</v>
      </c>
      <c r="R50" s="5">
        <f t="shared" si="52"/>
        <v>0.13345685935100079</v>
      </c>
      <c r="S50" s="5">
        <f t="shared" si="52"/>
        <v>0.14774829797553396</v>
      </c>
      <c r="T50" s="5">
        <f t="shared" si="52"/>
        <v>0.13190409649187321</v>
      </c>
      <c r="U50" s="5">
        <f t="shared" si="52"/>
        <v>0.12920022572205406</v>
      </c>
      <c r="V50" s="5">
        <f t="shared" si="52"/>
        <v>0.13398874720607001</v>
      </c>
      <c r="W50" s="5">
        <f t="shared" si="53"/>
        <v>0.13010246867237982</v>
      </c>
      <c r="X50" s="5">
        <f t="shared" si="53"/>
        <v>0.12733970607871942</v>
      </c>
      <c r="Y50" s="5">
        <f>I50/I$37</f>
        <v>0.11410746629100423</v>
      </c>
      <c r="Z50" s="5">
        <f t="shared" si="54"/>
        <v>0.11795887458495952</v>
      </c>
      <c r="AA50" s="5">
        <f t="shared" si="54"/>
        <v>0.13840556785827271</v>
      </c>
      <c r="AB50" s="5">
        <f t="shared" si="55"/>
        <v>0.1711506006155068</v>
      </c>
      <c r="AC50" s="5">
        <f t="shared" si="55"/>
        <v>0.18302852269496825</v>
      </c>
      <c r="AD50" s="5">
        <f t="shared" si="56"/>
        <v>0.18829564000932619</v>
      </c>
      <c r="AE50" s="5">
        <f t="shared" ref="AE50:AE52" si="57">SUM(I50:M50)/SUM(I$37:M$37)</f>
        <v>0.14803016512807177</v>
      </c>
    </row>
    <row r="51" spans="1:31">
      <c r="A51" s="140" t="s">
        <v>176</v>
      </c>
      <c r="B51" s="148"/>
      <c r="C51" s="148"/>
      <c r="D51" s="148"/>
      <c r="E51" s="148"/>
      <c r="F51" s="148"/>
      <c r="G51" s="148"/>
      <c r="H51" s="148"/>
      <c r="I51" s="148">
        <v>497</v>
      </c>
      <c r="J51" s="148">
        <v>490</v>
      </c>
      <c r="K51" s="148">
        <v>410</v>
      </c>
      <c r="L51" s="148">
        <v>399</v>
      </c>
      <c r="M51" s="148">
        <v>66</v>
      </c>
      <c r="N51" s="148"/>
      <c r="O51" s="150">
        <f t="shared" si="51"/>
        <v>-0.39633376269153031</v>
      </c>
      <c r="P51" s="154"/>
      <c r="Q51" s="2" t="str">
        <f t="shared" si="1"/>
        <v>Derivative Contracts</v>
      </c>
      <c r="R51" s="5"/>
      <c r="S51" s="5"/>
      <c r="T51" s="5"/>
      <c r="U51" s="5"/>
      <c r="V51" s="5">
        <f>F51/F$37</f>
        <v>0</v>
      </c>
      <c r="W51" s="5">
        <f>G51/G$37</f>
        <v>0</v>
      </c>
      <c r="X51" s="5">
        <f>H51/H$37</f>
        <v>0</v>
      </c>
      <c r="Y51" s="5">
        <f>I51/I$37</f>
        <v>3.3340041591198764E-2</v>
      </c>
      <c r="Z51" s="5">
        <f>J51/J$37</f>
        <v>2.8543135084755637E-2</v>
      </c>
      <c r="AA51" s="5">
        <f>K51/K$37</f>
        <v>2.1617631551196878E-2</v>
      </c>
      <c r="AB51" s="5">
        <f t="shared" si="55"/>
        <v>1.9805420430854759E-2</v>
      </c>
      <c r="AC51" s="5">
        <f t="shared" si="55"/>
        <v>3.1270728702738559E-3</v>
      </c>
      <c r="AD51" s="5">
        <f t="shared" si="56"/>
        <v>0</v>
      </c>
      <c r="AE51" s="5">
        <f t="shared" si="57"/>
        <v>2.0175096433060286E-2</v>
      </c>
    </row>
    <row r="52" spans="1:31" ht="12.75" customHeight="1">
      <c r="A52" s="148" t="s">
        <v>180</v>
      </c>
      <c r="B52" s="151">
        <f>115.2+101.6+691.1</f>
        <v>907.90000000000009</v>
      </c>
      <c r="C52" s="151">
        <f>107.2+256+645.4</f>
        <v>1008.5999999999999</v>
      </c>
      <c r="D52" s="151">
        <f>99.3+219.7+560.5+443.7</f>
        <v>1323.2</v>
      </c>
      <c r="E52" s="151">
        <f>801.9+91.4+643.5+650.1</f>
        <v>2186.9</v>
      </c>
      <c r="F52" s="151">
        <f>3706.3-1564.6</f>
        <v>2141.7000000000003</v>
      </c>
      <c r="G52" s="151">
        <f>3868.3-1629</f>
        <v>2239.3000000000002</v>
      </c>
      <c r="H52" s="151">
        <f>3701.1-H50</f>
        <v>2079.8999999999996</v>
      </c>
      <c r="I52" s="151">
        <f>799+764</f>
        <v>1563</v>
      </c>
      <c r="J52" s="151">
        <f>821+874</f>
        <v>1695</v>
      </c>
      <c r="K52" s="151">
        <f>838+948</f>
        <v>1786</v>
      </c>
      <c r="L52" s="153">
        <f>825+788</f>
        <v>1613</v>
      </c>
      <c r="M52" s="153">
        <f>826+1031</f>
        <v>1857</v>
      </c>
      <c r="N52" s="153">
        <f>836+1046</f>
        <v>1882</v>
      </c>
      <c r="O52" s="150">
        <f t="shared" si="51"/>
        <v>4.4030608725042081E-2</v>
      </c>
      <c r="P52" s="156"/>
      <c r="Q52" s="2" t="str">
        <f t="shared" si="1"/>
        <v>Other Long-term Liabilities</v>
      </c>
      <c r="R52" s="6">
        <f t="shared" ref="R52:V53" si="58">B52/B$37</f>
        <v>7.378241542124811E-2</v>
      </c>
      <c r="S52" s="6">
        <f t="shared" si="58"/>
        <v>9.0589017226822832E-2</v>
      </c>
      <c r="T52" s="6">
        <f t="shared" si="58"/>
        <v>0.12164448040008825</v>
      </c>
      <c r="U52" s="6">
        <f t="shared" si="58"/>
        <v>0.18698165153302898</v>
      </c>
      <c r="V52" s="6">
        <f t="shared" si="58"/>
        <v>0.18341026453485887</v>
      </c>
      <c r="W52" s="6">
        <f t="shared" si="53"/>
        <v>0.17884497120814002</v>
      </c>
      <c r="X52" s="103">
        <f t="shared" si="53"/>
        <v>0.16336901966020753</v>
      </c>
      <c r="Y52" s="103">
        <f>I52/I$37</f>
        <v>0.10485007043670759</v>
      </c>
      <c r="Z52" s="103">
        <f t="shared" si="54"/>
        <v>9.8735946874817959E-2</v>
      </c>
      <c r="AA52" s="103">
        <f t="shared" si="54"/>
        <v>9.4168512074238112E-2</v>
      </c>
      <c r="AB52" s="103">
        <f t="shared" si="55"/>
        <v>8.0065521691650945E-2</v>
      </c>
      <c r="AC52" s="103">
        <f t="shared" si="55"/>
        <v>8.7984459395432577E-2</v>
      </c>
      <c r="AD52" s="103">
        <f t="shared" si="56"/>
        <v>8.7759384471904872E-2</v>
      </c>
      <c r="AE52" s="5">
        <f t="shared" si="57"/>
        <v>9.225068261604473E-2</v>
      </c>
    </row>
    <row r="53" spans="1:31">
      <c r="A53" s="212" t="s">
        <v>58</v>
      </c>
      <c r="B53" s="213">
        <f t="shared" ref="B53:L53" si="59">SUM(B49:B52)</f>
        <v>7112.5</v>
      </c>
      <c r="C53" s="213">
        <f t="shared" si="59"/>
        <v>5560.5</v>
      </c>
      <c r="D53" s="213">
        <f t="shared" si="59"/>
        <v>6311.8</v>
      </c>
      <c r="E53" s="213">
        <f t="shared" si="59"/>
        <v>7115.6</v>
      </c>
      <c r="F53" s="213">
        <f t="shared" si="59"/>
        <v>7226.5</v>
      </c>
      <c r="G53" s="213">
        <f t="shared" si="59"/>
        <v>7497.3</v>
      </c>
      <c r="H53" s="213">
        <f t="shared" si="59"/>
        <v>7422.0999999999995</v>
      </c>
      <c r="I53" s="213">
        <f t="shared" si="59"/>
        <v>8514</v>
      </c>
      <c r="J53" s="213">
        <f t="shared" si="59"/>
        <v>9634</v>
      </c>
      <c r="K53" s="213">
        <f t="shared" si="59"/>
        <v>11221</v>
      </c>
      <c r="L53" s="213">
        <f t="shared" si="59"/>
        <v>11273</v>
      </c>
      <c r="M53" s="213">
        <f t="shared" ref="M53" si="60">SUM(M49:M52)</f>
        <v>11980</v>
      </c>
      <c r="N53" s="213">
        <f>SUM(N49:N52)</f>
        <v>12726</v>
      </c>
      <c r="O53" s="206">
        <f>RATE(4,,-I53,M53)</f>
        <v>8.9132688978475469E-2</v>
      </c>
      <c r="P53" s="157"/>
      <c r="Q53" s="193" t="str">
        <f t="shared" si="1"/>
        <v>Total LTD &amp; Deferrals</v>
      </c>
      <c r="R53" s="200">
        <f t="shared" si="58"/>
        <v>0.57801236885519014</v>
      </c>
      <c r="S53" s="200">
        <f t="shared" si="58"/>
        <v>0.49942517379511042</v>
      </c>
      <c r="T53" s="200">
        <f t="shared" si="58"/>
        <v>0.58025667426638228</v>
      </c>
      <c r="U53" s="200">
        <f t="shared" si="58"/>
        <v>0.60838933634296077</v>
      </c>
      <c r="V53" s="200">
        <f t="shared" si="58"/>
        <v>0.61886084729941515</v>
      </c>
      <c r="W53" s="200">
        <f t="shared" si="53"/>
        <v>0.59878283509971342</v>
      </c>
      <c r="X53" s="200">
        <f t="shared" si="53"/>
        <v>0.58298052830425806</v>
      </c>
      <c r="Y53" s="200">
        <f>I53/I$37</f>
        <v>0.57114107466291009</v>
      </c>
      <c r="Z53" s="200">
        <f t="shared" si="54"/>
        <v>0.56119298654395056</v>
      </c>
      <c r="AA53" s="200">
        <f t="shared" si="54"/>
        <v>0.5916376674048297</v>
      </c>
      <c r="AB53" s="200">
        <f t="shared" si="55"/>
        <v>0.55956517422813457</v>
      </c>
      <c r="AC53" s="200">
        <f t="shared" si="55"/>
        <v>0.56761110584667862</v>
      </c>
      <c r="AD53" s="200">
        <f t="shared" si="56"/>
        <v>0.59342504080205172</v>
      </c>
      <c r="AE53" s="201">
        <f>SUM(I53:M53)/SUM(I$37:M$37)</f>
        <v>0.57016859532787245</v>
      </c>
    </row>
    <row r="54" spans="1:31" ht="7.5" customHeight="1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0"/>
      <c r="P54" s="154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5"/>
    </row>
    <row r="55" spans="1:31">
      <c r="A55" s="184" t="s">
        <v>34</v>
      </c>
      <c r="B55" s="184">
        <f t="shared" ref="B55:G55" si="61">B53+B47</f>
        <v>8208.7000000000007</v>
      </c>
      <c r="C55" s="184">
        <f t="shared" si="61"/>
        <v>7161.7</v>
      </c>
      <c r="D55" s="184">
        <f t="shared" si="61"/>
        <v>7528.7000000000007</v>
      </c>
      <c r="E55" s="184">
        <f t="shared" si="61"/>
        <v>8051.6</v>
      </c>
      <c r="F55" s="184">
        <f t="shared" si="61"/>
        <v>8300.7999999999993</v>
      </c>
      <c r="G55" s="184">
        <f t="shared" si="61"/>
        <v>9095</v>
      </c>
      <c r="H55" s="184">
        <f t="shared" ref="H55:N55" si="62">H53+H47</f>
        <v>8638.1999999999989</v>
      </c>
      <c r="I55" s="184">
        <f t="shared" si="62"/>
        <v>9827</v>
      </c>
      <c r="J55" s="184">
        <f t="shared" si="62"/>
        <v>11100</v>
      </c>
      <c r="K55" s="184">
        <f t="shared" si="62"/>
        <v>12234</v>
      </c>
      <c r="L55" s="184">
        <f t="shared" si="62"/>
        <v>12835</v>
      </c>
      <c r="M55" s="184">
        <f t="shared" ref="M55" si="63">M53+M47</f>
        <v>13794</v>
      </c>
      <c r="N55" s="184">
        <f t="shared" si="62"/>
        <v>13903</v>
      </c>
      <c r="O55" s="185">
        <f>RATE(4,,-I55,M55)</f>
        <v>8.8472137167360701E-2</v>
      </c>
      <c r="P55" s="154"/>
      <c r="Q55" s="193" t="str">
        <f t="shared" si="1"/>
        <v>Total Liabilities</v>
      </c>
      <c r="R55" s="200">
        <f t="shared" ref="R55:AC55" si="64">B55/B$37</f>
        <v>0.66709738238616512</v>
      </c>
      <c r="S55" s="200">
        <f t="shared" si="64"/>
        <v>0.64323950493093107</v>
      </c>
      <c r="T55" s="200">
        <f t="shared" si="64"/>
        <v>0.6921287784070016</v>
      </c>
      <c r="U55" s="200">
        <f t="shared" si="64"/>
        <v>0.68841806460438792</v>
      </c>
      <c r="V55" s="200">
        <f t="shared" si="64"/>
        <v>0.71086142963578292</v>
      </c>
      <c r="W55" s="200">
        <f t="shared" si="64"/>
        <v>0.72638548347163556</v>
      </c>
      <c r="X55" s="200">
        <f t="shared" si="64"/>
        <v>0.67850101717813582</v>
      </c>
      <c r="Y55" s="200">
        <f t="shared" si="64"/>
        <v>0.65922050043603675</v>
      </c>
      <c r="Z55" s="200">
        <f t="shared" si="64"/>
        <v>0.64658938661385212</v>
      </c>
      <c r="AA55" s="200">
        <f t="shared" si="64"/>
        <v>0.64504903511546974</v>
      </c>
      <c r="AB55" s="200">
        <f t="shared" si="64"/>
        <v>0.63709917601508981</v>
      </c>
      <c r="AC55" s="200">
        <f t="shared" si="64"/>
        <v>0.65355822988723589</v>
      </c>
      <c r="AD55" s="200">
        <f t="shared" ref="AD55" si="65">N55/N$37</f>
        <v>0.64830962928421543</v>
      </c>
      <c r="AE55" s="200">
        <f>SUM(I55:M55)/SUM(I$37:M$37)</f>
        <v>0.64783513197243536</v>
      </c>
    </row>
    <row r="56" spans="1:31" ht="7.5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50"/>
      <c r="P56" s="157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5"/>
    </row>
    <row r="57" spans="1:31">
      <c r="A57" s="148" t="s">
        <v>59</v>
      </c>
      <c r="B57" s="148">
        <f>175+41.5</f>
        <v>216.5</v>
      </c>
      <c r="C57" s="148">
        <f>341.2+175+41.5</f>
        <v>557.70000000000005</v>
      </c>
      <c r="D57" s="148">
        <f>341.5+74.2+41.3</f>
        <v>457</v>
      </c>
      <c r="E57" s="148">
        <f>341.8+66.7+41.3</f>
        <v>449.8</v>
      </c>
      <c r="F57" s="148">
        <f>56.3+41.3</f>
        <v>97.6</v>
      </c>
      <c r="G57" s="148">
        <f>48.8+41.3</f>
        <v>90.1</v>
      </c>
      <c r="H57" s="148">
        <f>41.3+41.3</f>
        <v>82.6</v>
      </c>
      <c r="I57" s="148">
        <v>41</v>
      </c>
      <c r="J57" s="148">
        <v>41</v>
      </c>
      <c r="K57" s="148">
        <v>41</v>
      </c>
      <c r="L57" s="148">
        <v>41</v>
      </c>
      <c r="M57" s="148">
        <v>41</v>
      </c>
      <c r="N57" s="148">
        <v>41</v>
      </c>
      <c r="O57" s="150">
        <f t="shared" ref="O57" si="66">RATE(4,,-I57,M57)</f>
        <v>4.7219850861616268E-12</v>
      </c>
      <c r="P57" s="157"/>
      <c r="Q57" s="2" t="str">
        <f t="shared" si="1"/>
        <v>Preferred Stock</v>
      </c>
      <c r="R57" s="5">
        <f t="shared" ref="R57:AC57" si="67">B57/B$37</f>
        <v>1.7594330805925998E-2</v>
      </c>
      <c r="S57" s="5">
        <f t="shared" si="67"/>
        <v>5.0090714760459149E-2</v>
      </c>
      <c r="T57" s="5">
        <f t="shared" si="67"/>
        <v>4.2012944031771714E-2</v>
      </c>
      <c r="U57" s="5">
        <f t="shared" si="67"/>
        <v>3.8458249970074729E-2</v>
      </c>
      <c r="V57" s="5">
        <f t="shared" si="67"/>
        <v>8.3582396314153349E-3</v>
      </c>
      <c r="W57" s="5">
        <f t="shared" si="67"/>
        <v>7.1959683409339595E-3</v>
      </c>
      <c r="X57" s="5">
        <f t="shared" si="67"/>
        <v>6.4879470281903667E-3</v>
      </c>
      <c r="Y57" s="5">
        <f t="shared" si="67"/>
        <v>2.7503857248272622E-3</v>
      </c>
      <c r="Z57" s="5">
        <f t="shared" si="67"/>
        <v>2.3883031397448594E-3</v>
      </c>
      <c r="AA57" s="5">
        <f t="shared" si="67"/>
        <v>2.1617631551196881E-3</v>
      </c>
      <c r="AB57" s="5">
        <f t="shared" si="67"/>
        <v>2.0351434527945992E-3</v>
      </c>
      <c r="AC57" s="5">
        <f t="shared" si="67"/>
        <v>1.9425755709276983E-3</v>
      </c>
      <c r="AD57" s="5">
        <f t="shared" ref="AD57" si="68">N57/N$37</f>
        <v>1.911867568197715E-3</v>
      </c>
      <c r="AE57" s="55">
        <f>SUM(I57:M57)/SUM(I$37:M$37)</f>
        <v>2.2212109391929963E-3</v>
      </c>
    </row>
    <row r="58" spans="1:31" ht="7.5" customHeight="1">
      <c r="A58" s="13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50"/>
      <c r="P58" s="157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5"/>
    </row>
    <row r="59" spans="1:31">
      <c r="A59" s="186" t="s">
        <v>62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50"/>
      <c r="P59" s="157"/>
      <c r="Q59" s="193" t="str">
        <f t="shared" si="1"/>
        <v>Common Equity: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 s="55"/>
    </row>
    <row r="60" spans="1:31">
      <c r="A60" s="159" t="s">
        <v>6</v>
      </c>
      <c r="B60" s="148">
        <v>3284.9</v>
      </c>
      <c r="C60" s="148">
        <f>3284.9+0.9</f>
        <v>3285.8</v>
      </c>
      <c r="D60" s="148">
        <f>2742.1+0.7-24</f>
        <v>2718.7999999999997</v>
      </c>
      <c r="E60" s="148">
        <f>2892.1-1.7-1.9</f>
        <v>2888.5</v>
      </c>
      <c r="F60" s="148">
        <f>2892.1+4.5-8</f>
        <v>2888.6</v>
      </c>
      <c r="G60" s="148">
        <f>2894.1+4.3-9</f>
        <v>2889.4</v>
      </c>
      <c r="H60" s="148">
        <f>3381.9+2.7-4.1</f>
        <v>3380.5</v>
      </c>
      <c r="I60" s="148">
        <f>3804-4</f>
        <v>3800</v>
      </c>
      <c r="J60" s="148">
        <f>4254-2+80</f>
        <v>4332</v>
      </c>
      <c r="K60" s="148">
        <f>4379-6+84</f>
        <v>4457</v>
      </c>
      <c r="L60" s="148">
        <f>4479-7</f>
        <v>4472</v>
      </c>
      <c r="M60" s="148">
        <v>4479</v>
      </c>
      <c r="N60" s="148">
        <v>4479</v>
      </c>
      <c r="O60" s="150">
        <f t="shared" ref="O60:O61" si="69">RATE(4,,-I60,M60)</f>
        <v>4.1955967877665958E-2</v>
      </c>
      <c r="P60" s="154"/>
      <c r="Q60" s="2" t="str">
        <f t="shared" si="1"/>
        <v>Common Stock</v>
      </c>
      <c r="R60" s="5">
        <f t="shared" ref="R60:V63" si="70">B60/B$37</f>
        <v>0.26695435226044484</v>
      </c>
      <c r="S60" s="5">
        <f t="shared" si="70"/>
        <v>0.29511936625410917</v>
      </c>
      <c r="T60" s="5">
        <f t="shared" si="70"/>
        <v>0.24994484077370005</v>
      </c>
      <c r="U60" s="5">
        <f t="shared" si="70"/>
        <v>0.24696899741787651</v>
      </c>
      <c r="V60" s="5">
        <f t="shared" si="70"/>
        <v>0.24737306351748295</v>
      </c>
      <c r="W60" s="5">
        <f t="shared" ref="W60:X63" si="71">G60/G$37</f>
        <v>0.23076615898218183</v>
      </c>
      <c r="X60" s="5">
        <f t="shared" si="71"/>
        <v>0.26552669405323892</v>
      </c>
      <c r="Y60" s="5">
        <f>I60/I$37</f>
        <v>0.25491379888642918</v>
      </c>
      <c r="Z60" s="5">
        <f t="shared" ref="Z60:AA63" si="72">J60/J$37</f>
        <v>0.25234461466767638</v>
      </c>
      <c r="AA60" s="5">
        <f t="shared" si="72"/>
        <v>0.23499947274069388</v>
      </c>
      <c r="AB60" s="5">
        <f t="shared" ref="AB60:AC63" si="73">L60/L$37</f>
        <v>0.22197954929018168</v>
      </c>
      <c r="AC60" s="5">
        <f t="shared" si="73"/>
        <v>0.21221453615085759</v>
      </c>
      <c r="AD60" s="5">
        <f t="shared" ref="AD60:AD63" si="74">N60/N$37</f>
        <v>0.20885987409652601</v>
      </c>
      <c r="AE60" s="55">
        <f>SUM(I60:M60)/SUM(I$37:M$37)</f>
        <v>0.23338967624496165</v>
      </c>
    </row>
    <row r="61" spans="1:31">
      <c r="A61" s="159" t="s">
        <v>27</v>
      </c>
      <c r="B61" s="152">
        <f>622.2-27.2</f>
        <v>595</v>
      </c>
      <c r="C61" s="152">
        <v>128.6</v>
      </c>
      <c r="D61" s="152">
        <v>173.1</v>
      </c>
      <c r="E61" s="152">
        <v>305.89999999999998</v>
      </c>
      <c r="F61" s="152">
        <v>390.1</v>
      </c>
      <c r="G61" s="152">
        <v>446.4</v>
      </c>
      <c r="H61" s="153">
        <v>630</v>
      </c>
      <c r="I61" s="153">
        <v>1239</v>
      </c>
      <c r="J61" s="153">
        <v>1694</v>
      </c>
      <c r="K61" s="153">
        <v>2234</v>
      </c>
      <c r="L61" s="153">
        <v>2798</v>
      </c>
      <c r="M61" s="153">
        <v>2792</v>
      </c>
      <c r="N61" s="153">
        <f>3031-9</f>
        <v>3022</v>
      </c>
      <c r="O61" s="150">
        <f t="shared" si="69"/>
        <v>0.22521139390672287</v>
      </c>
      <c r="P61" s="154"/>
      <c r="Q61" s="2" t="str">
        <f t="shared" si="1"/>
        <v>Retained Earnings</v>
      </c>
      <c r="R61" s="6">
        <f t="shared" si="70"/>
        <v>4.8353934547464061E-2</v>
      </c>
      <c r="S61" s="6">
        <f t="shared" si="70"/>
        <v>1.155041405450071E-2</v>
      </c>
      <c r="T61" s="6">
        <f t="shared" si="70"/>
        <v>1.5913436787526658E-2</v>
      </c>
      <c r="U61" s="6">
        <f t="shared" si="70"/>
        <v>2.6154688007660871E-2</v>
      </c>
      <c r="V61" s="6">
        <f t="shared" si="70"/>
        <v>3.3407267215318878E-2</v>
      </c>
      <c r="W61" s="6">
        <f t="shared" si="71"/>
        <v>3.5652389205248831E-2</v>
      </c>
      <c r="X61" s="103">
        <f t="shared" si="71"/>
        <v>4.9484341740434999E-2</v>
      </c>
      <c r="Y61" s="103">
        <f>I61/I$37</f>
        <v>8.3115314952706784E-2</v>
      </c>
      <c r="Z61" s="103">
        <f t="shared" si="72"/>
        <v>9.8677695578726632E-2</v>
      </c>
      <c r="AA61" s="103">
        <f t="shared" si="72"/>
        <v>0.11778972898871665</v>
      </c>
      <c r="AB61" s="103">
        <f t="shared" si="73"/>
        <v>0.13888613124193389</v>
      </c>
      <c r="AC61" s="103">
        <f t="shared" si="73"/>
        <v>0.13228465839097886</v>
      </c>
      <c r="AD61" s="103">
        <f t="shared" si="74"/>
        <v>0.14091862905106084</v>
      </c>
      <c r="AE61" s="55">
        <f>SUM(I61:M61)/SUM(I$37:M$37)</f>
        <v>0.11655398084341005</v>
      </c>
    </row>
    <row r="62" spans="1:31">
      <c r="A62" s="184" t="s">
        <v>63</v>
      </c>
      <c r="B62" s="207">
        <f t="shared" ref="B62:L62" si="75">SUM(B59:B61)</f>
        <v>3879.9</v>
      </c>
      <c r="C62" s="207">
        <f t="shared" si="75"/>
        <v>3414.4</v>
      </c>
      <c r="D62" s="207">
        <f t="shared" si="75"/>
        <v>2891.8999999999996</v>
      </c>
      <c r="E62" s="207">
        <f t="shared" si="75"/>
        <v>3194.4</v>
      </c>
      <c r="F62" s="207">
        <f t="shared" si="75"/>
        <v>3278.7</v>
      </c>
      <c r="G62" s="207">
        <f t="shared" si="75"/>
        <v>3335.8</v>
      </c>
      <c r="H62" s="212">
        <f t="shared" si="75"/>
        <v>4010.5</v>
      </c>
      <c r="I62" s="212">
        <f t="shared" si="75"/>
        <v>5039</v>
      </c>
      <c r="J62" s="212">
        <f>SUM(J59:J61)</f>
        <v>6026</v>
      </c>
      <c r="K62" s="212">
        <f>SUM(K59:K61)</f>
        <v>6691</v>
      </c>
      <c r="L62" s="212">
        <f t="shared" si="75"/>
        <v>7270</v>
      </c>
      <c r="M62" s="212">
        <f t="shared" ref="M62" si="76">SUM(M59:M61)</f>
        <v>7271</v>
      </c>
      <c r="N62" s="212">
        <f>SUM(N59:N61)</f>
        <v>7501</v>
      </c>
      <c r="O62" s="206">
        <f>RATE(4,,-I62,M62)</f>
        <v>9.6004775793734065E-2</v>
      </c>
      <c r="P62" s="154"/>
      <c r="Q62" s="193" t="str">
        <f t="shared" si="1"/>
        <v>Total Common Equity</v>
      </c>
      <c r="R62" s="202">
        <f t="shared" si="70"/>
        <v>0.3153082868079089</v>
      </c>
      <c r="S62" s="202">
        <f t="shared" si="70"/>
        <v>0.30666978030860986</v>
      </c>
      <c r="T62" s="202">
        <f t="shared" si="70"/>
        <v>0.26585827756122671</v>
      </c>
      <c r="U62" s="202">
        <f t="shared" si="70"/>
        <v>0.27312368542553739</v>
      </c>
      <c r="V62" s="202">
        <f t="shared" si="70"/>
        <v>0.28078033073280184</v>
      </c>
      <c r="W62" s="202">
        <f t="shared" si="71"/>
        <v>0.26641854818743066</v>
      </c>
      <c r="X62" s="203">
        <f t="shared" si="71"/>
        <v>0.3150110357936739</v>
      </c>
      <c r="Y62" s="203">
        <f>I62/I$37</f>
        <v>0.33802911383913598</v>
      </c>
      <c r="Z62" s="203">
        <f t="shared" si="72"/>
        <v>0.35102231024640296</v>
      </c>
      <c r="AA62" s="203">
        <f t="shared" si="72"/>
        <v>0.35278920172941053</v>
      </c>
      <c r="AB62" s="203">
        <f t="shared" si="73"/>
        <v>0.36086568053211554</v>
      </c>
      <c r="AC62" s="203">
        <f t="shared" si="73"/>
        <v>0.34449919454183642</v>
      </c>
      <c r="AD62" s="203">
        <f t="shared" si="74"/>
        <v>0.34977850314758685</v>
      </c>
      <c r="AE62" s="201">
        <f>SUM(I62:M62)/SUM(I$37:M$37)</f>
        <v>0.34994365708837166</v>
      </c>
    </row>
    <row r="63" spans="1:31" ht="13.5" thickBot="1">
      <c r="A63" s="184" t="s">
        <v>35</v>
      </c>
      <c r="B63" s="209">
        <f t="shared" ref="B63:L63" si="77">B62+B55+B57</f>
        <v>12305.1</v>
      </c>
      <c r="C63" s="209">
        <f t="shared" si="77"/>
        <v>11133.800000000001</v>
      </c>
      <c r="D63" s="209">
        <f t="shared" si="77"/>
        <v>10877.6</v>
      </c>
      <c r="E63" s="209">
        <f t="shared" si="77"/>
        <v>11695.8</v>
      </c>
      <c r="F63" s="209">
        <f t="shared" si="77"/>
        <v>11677.1</v>
      </c>
      <c r="G63" s="209">
        <f t="shared" si="77"/>
        <v>12520.9</v>
      </c>
      <c r="H63" s="210">
        <f t="shared" si="77"/>
        <v>12731.3</v>
      </c>
      <c r="I63" s="210">
        <f t="shared" si="77"/>
        <v>14907</v>
      </c>
      <c r="J63" s="210">
        <f>J62+J55+J57</f>
        <v>17167</v>
      </c>
      <c r="K63" s="210">
        <f>K62+K55+K57</f>
        <v>18966</v>
      </c>
      <c r="L63" s="210">
        <f t="shared" si="77"/>
        <v>20146</v>
      </c>
      <c r="M63" s="210">
        <f t="shared" ref="M63" si="78">M62+M55+M57</f>
        <v>21106</v>
      </c>
      <c r="N63" s="210">
        <f>N62+N55+N57</f>
        <v>21445</v>
      </c>
      <c r="O63" s="211">
        <f>RATE(4,,-I63,M63)</f>
        <v>9.0822081016122796E-2</v>
      </c>
      <c r="P63" s="154"/>
      <c r="Q63" s="193" t="str">
        <f t="shared" si="1"/>
        <v>Total Liabilities &amp; Equity</v>
      </c>
      <c r="R63" s="204">
        <f t="shared" si="70"/>
        <v>1</v>
      </c>
      <c r="S63" s="204">
        <f t="shared" si="70"/>
        <v>1.0000000000000002</v>
      </c>
      <c r="T63" s="204">
        <f t="shared" si="70"/>
        <v>1</v>
      </c>
      <c r="U63" s="204">
        <f t="shared" si="70"/>
        <v>1</v>
      </c>
      <c r="V63" s="204">
        <f t="shared" si="70"/>
        <v>1.0000000000000002</v>
      </c>
      <c r="W63" s="204">
        <f t="shared" si="71"/>
        <v>1.0000000000000002</v>
      </c>
      <c r="X63" s="205">
        <f t="shared" si="71"/>
        <v>1.0000000000000002</v>
      </c>
      <c r="Y63" s="205">
        <f>I63/I$37</f>
        <v>1</v>
      </c>
      <c r="Z63" s="205">
        <f t="shared" si="72"/>
        <v>1</v>
      </c>
      <c r="AA63" s="205">
        <f t="shared" si="72"/>
        <v>1</v>
      </c>
      <c r="AB63" s="205">
        <f t="shared" si="73"/>
        <v>1</v>
      </c>
      <c r="AC63" s="205">
        <f t="shared" si="73"/>
        <v>1</v>
      </c>
      <c r="AD63" s="205">
        <f t="shared" si="74"/>
        <v>1</v>
      </c>
      <c r="AE63" s="205">
        <f>SUM(I63:M63)/SUM(I$37:M$37)</f>
        <v>1</v>
      </c>
    </row>
    <row r="64" spans="1:31" ht="13.5" thickTop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214"/>
      <c r="P64" s="157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254"/>
    </row>
    <row r="65" spans="1:32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1"/>
      <c r="P65" s="140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6" t="s">
        <v>115</v>
      </c>
    </row>
    <row r="66" spans="1:3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215" t="s">
        <v>115</v>
      </c>
      <c r="P66" s="140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54" t="s">
        <v>122</v>
      </c>
    </row>
    <row r="67" spans="1:32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61" t="s">
        <v>121</v>
      </c>
      <c r="P67" s="140"/>
      <c r="Q67" s="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3"/>
    </row>
    <row r="68" spans="1:32" ht="18.75">
      <c r="A68" s="142" t="str">
        <f>A4</f>
        <v>PacifiCorp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4"/>
      <c r="P68" s="140"/>
      <c r="Q68" s="217" t="str">
        <f t="shared" si="1"/>
        <v>PacifiCorp</v>
      </c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3"/>
    </row>
    <row r="69" spans="1:32" ht="15.75">
      <c r="A69" s="145" t="s">
        <v>14</v>
      </c>
      <c r="B69" s="146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7"/>
      <c r="P69" s="140"/>
      <c r="Q69" s="218" t="str">
        <f t="shared" si="1"/>
        <v>Historical Income Statements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3"/>
    </row>
    <row r="70" spans="1:32" ht="15.75">
      <c r="A70" s="246" t="str">
        <f>A6</f>
        <v>Fiscal Years Ended December 31, 2007-2011, Six Months Ended June 2012</v>
      </c>
      <c r="B70" s="146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7"/>
      <c r="P70" s="140"/>
      <c r="Q70" s="218" t="str">
        <f t="shared" si="1"/>
        <v>Fiscal Years Ended December 31, 2007-2011, Six Months Ended June 2012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3"/>
    </row>
    <row r="71" spans="1:32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90" t="s">
        <v>229</v>
      </c>
      <c r="O71" s="189" t="str">
        <f>O7</f>
        <v>2007-2011</v>
      </c>
      <c r="P71" s="140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5"/>
    </row>
    <row r="72" spans="1:32" ht="12.75" customHeight="1">
      <c r="A72" s="184"/>
      <c r="B72" s="184"/>
      <c r="C72" s="184"/>
      <c r="D72" s="184"/>
      <c r="E72" s="184"/>
      <c r="F72" s="184"/>
      <c r="G72" s="184"/>
      <c r="H72" s="190"/>
      <c r="I72" s="190"/>
      <c r="J72" s="190"/>
      <c r="K72" s="190"/>
      <c r="L72" s="190"/>
      <c r="M72" s="190"/>
      <c r="N72" s="190" t="str">
        <f>N8</f>
        <v>June</v>
      </c>
      <c r="O72" s="189" t="s">
        <v>4</v>
      </c>
      <c r="P72" s="140"/>
      <c r="Q72" s="2"/>
      <c r="R72" s="193"/>
      <c r="S72" s="193"/>
      <c r="T72" s="193"/>
      <c r="U72" s="193"/>
      <c r="V72" s="193"/>
      <c r="W72" s="193"/>
      <c r="X72" s="194"/>
      <c r="Y72" s="194"/>
      <c r="Z72" s="194"/>
      <c r="AA72" s="194"/>
      <c r="AB72" s="194"/>
      <c r="AC72" s="194"/>
      <c r="AD72" s="194" t="str">
        <f>AD8</f>
        <v>June</v>
      </c>
      <c r="AE72" s="195" t="str">
        <f>O7</f>
        <v>2007-2011</v>
      </c>
    </row>
    <row r="73" spans="1:32">
      <c r="A73" s="207" t="s">
        <v>0</v>
      </c>
      <c r="B73" s="187">
        <f>B9</f>
        <v>2000</v>
      </c>
      <c r="C73" s="187">
        <f t="shared" ref="C73:H73" si="79">B73+1</f>
        <v>2001</v>
      </c>
      <c r="D73" s="187">
        <f t="shared" si="79"/>
        <v>2002</v>
      </c>
      <c r="E73" s="187">
        <f t="shared" si="79"/>
        <v>2003</v>
      </c>
      <c r="F73" s="187">
        <f t="shared" si="79"/>
        <v>2004</v>
      </c>
      <c r="G73" s="187">
        <f>F73+1</f>
        <v>2005</v>
      </c>
      <c r="H73" s="187">
        <f t="shared" si="79"/>
        <v>2006</v>
      </c>
      <c r="I73" s="187">
        <f>Y9</f>
        <v>2007</v>
      </c>
      <c r="J73" s="187">
        <f>I73+1</f>
        <v>2008</v>
      </c>
      <c r="K73" s="187">
        <f>J73+1</f>
        <v>2009</v>
      </c>
      <c r="L73" s="187">
        <f>AB9</f>
        <v>2010</v>
      </c>
      <c r="M73" s="187">
        <f>AC9</f>
        <v>2011</v>
      </c>
      <c r="N73" s="187">
        <f>AD9</f>
        <v>2012</v>
      </c>
      <c r="O73" s="192" t="s">
        <v>23</v>
      </c>
      <c r="P73" s="157"/>
      <c r="Q73" s="193" t="str">
        <f t="shared" si="1"/>
        <v>Account Name</v>
      </c>
      <c r="R73" s="197">
        <f t="shared" ref="R73:AC73" si="80">B73</f>
        <v>2000</v>
      </c>
      <c r="S73" s="197">
        <f t="shared" si="80"/>
        <v>2001</v>
      </c>
      <c r="T73" s="197">
        <f t="shared" si="80"/>
        <v>2002</v>
      </c>
      <c r="U73" s="197">
        <f t="shared" si="80"/>
        <v>2003</v>
      </c>
      <c r="V73" s="197">
        <f t="shared" si="80"/>
        <v>2004</v>
      </c>
      <c r="W73" s="197">
        <f t="shared" si="80"/>
        <v>2005</v>
      </c>
      <c r="X73" s="197">
        <f t="shared" si="80"/>
        <v>2006</v>
      </c>
      <c r="Y73" s="197">
        <f t="shared" si="80"/>
        <v>2007</v>
      </c>
      <c r="Z73" s="197">
        <f t="shared" si="80"/>
        <v>2008</v>
      </c>
      <c r="AA73" s="197">
        <f t="shared" si="80"/>
        <v>2009</v>
      </c>
      <c r="AB73" s="197">
        <f t="shared" si="80"/>
        <v>2010</v>
      </c>
      <c r="AC73" s="197">
        <f t="shared" si="80"/>
        <v>2011</v>
      </c>
      <c r="AD73" s="197">
        <f t="shared" ref="AD73" si="81">N73</f>
        <v>2012</v>
      </c>
      <c r="AE73" s="198" t="s">
        <v>3</v>
      </c>
    </row>
    <row r="74" spans="1:32">
      <c r="A74" s="184" t="s">
        <v>157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5"/>
      <c r="P74" s="154"/>
      <c r="Q74" s="219" t="str">
        <f t="shared" si="1"/>
        <v>Operating Sales and Revenues: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2">
      <c r="A75" s="148" t="s">
        <v>44</v>
      </c>
      <c r="B75" s="162">
        <v>3986.9</v>
      </c>
      <c r="C75" s="163">
        <v>5055.7</v>
      </c>
      <c r="D75" s="163">
        <v>3353.7</v>
      </c>
      <c r="E75" s="163">
        <v>3082.4</v>
      </c>
      <c r="F75" s="163">
        <v>3194.5</v>
      </c>
      <c r="G75" s="163">
        <v>3048.8</v>
      </c>
      <c r="H75" s="163">
        <v>3896.7</v>
      </c>
      <c r="I75" s="163">
        <v>4258</v>
      </c>
      <c r="J75" s="171">
        <v>4498</v>
      </c>
      <c r="K75" s="171">
        <v>4457</v>
      </c>
      <c r="L75" s="164">
        <v>4432</v>
      </c>
      <c r="M75" s="164">
        <v>4586</v>
      </c>
      <c r="N75" s="164">
        <v>2344</v>
      </c>
      <c r="O75" s="150">
        <f>RATE(4,,-I75,M75)</f>
        <v>1.8725314884784704E-2</v>
      </c>
      <c r="P75" s="154"/>
      <c r="Q75" s="2" t="str">
        <f t="shared" si="1"/>
        <v>Revenues</v>
      </c>
      <c r="R75" s="6">
        <f t="shared" ref="R75:W76" si="82">B75/B$76</f>
        <v>1</v>
      </c>
      <c r="S75" s="6">
        <f t="shared" si="82"/>
        <v>1</v>
      </c>
      <c r="T75" s="6">
        <f t="shared" si="82"/>
        <v>1</v>
      </c>
      <c r="U75" s="6">
        <f t="shared" si="82"/>
        <v>1</v>
      </c>
      <c r="V75" s="6">
        <f t="shared" si="82"/>
        <v>1</v>
      </c>
      <c r="W75" s="5">
        <f t="shared" si="82"/>
        <v>1</v>
      </c>
      <c r="X75" s="5">
        <f t="shared" ref="X75:AC76" si="83">H75/H$76</f>
        <v>1</v>
      </c>
      <c r="Y75" s="5">
        <f t="shared" si="83"/>
        <v>1</v>
      </c>
      <c r="Z75" s="5">
        <f t="shared" si="83"/>
        <v>1</v>
      </c>
      <c r="AA75" s="5">
        <f t="shared" si="83"/>
        <v>1</v>
      </c>
      <c r="AB75" s="5">
        <f t="shared" si="83"/>
        <v>1</v>
      </c>
      <c r="AC75" s="5">
        <f t="shared" si="83"/>
        <v>1</v>
      </c>
      <c r="AD75" s="5">
        <f t="shared" ref="AD75:AD76" si="84">N75/N$76</f>
        <v>1</v>
      </c>
      <c r="AE75" s="5">
        <f>SUM(I75:M75)/SUM(I$76:M$76)</f>
        <v>1</v>
      </c>
    </row>
    <row r="76" spans="1:32">
      <c r="A76" s="184" t="s">
        <v>45</v>
      </c>
      <c r="B76" s="221">
        <f t="shared" ref="B76:L76" si="85">SUM(B74:B75)</f>
        <v>3986.9</v>
      </c>
      <c r="C76" s="221">
        <f t="shared" si="85"/>
        <v>5055.7</v>
      </c>
      <c r="D76" s="221">
        <f t="shared" si="85"/>
        <v>3353.7</v>
      </c>
      <c r="E76" s="221">
        <f t="shared" si="85"/>
        <v>3082.4</v>
      </c>
      <c r="F76" s="221">
        <f t="shared" si="85"/>
        <v>3194.5</v>
      </c>
      <c r="G76" s="221">
        <f t="shared" si="85"/>
        <v>3048.8</v>
      </c>
      <c r="H76" s="221">
        <f t="shared" si="85"/>
        <v>3896.7</v>
      </c>
      <c r="I76" s="221">
        <f t="shared" si="85"/>
        <v>4258</v>
      </c>
      <c r="J76" s="253">
        <f t="shared" si="85"/>
        <v>4498</v>
      </c>
      <c r="K76" s="253">
        <f t="shared" si="85"/>
        <v>4457</v>
      </c>
      <c r="L76" s="221">
        <f t="shared" si="85"/>
        <v>4432</v>
      </c>
      <c r="M76" s="221">
        <f t="shared" ref="M76" si="86">SUM(M74:M75)</f>
        <v>4586</v>
      </c>
      <c r="N76" s="221">
        <f>SUM(N74:N75)</f>
        <v>2344</v>
      </c>
      <c r="O76" s="206">
        <f>RATE(4,,-I76,M76)</f>
        <v>1.8725314884784704E-2</v>
      </c>
      <c r="P76" s="154"/>
      <c r="Q76" s="193" t="str">
        <f t="shared" si="1"/>
        <v>Total Revenues</v>
      </c>
      <c r="R76" s="200">
        <f t="shared" si="82"/>
        <v>1</v>
      </c>
      <c r="S76" s="200">
        <f t="shared" si="82"/>
        <v>1</v>
      </c>
      <c r="T76" s="200">
        <f t="shared" si="82"/>
        <v>1</v>
      </c>
      <c r="U76" s="200">
        <f t="shared" si="82"/>
        <v>1</v>
      </c>
      <c r="V76" s="200">
        <f t="shared" si="82"/>
        <v>1</v>
      </c>
      <c r="W76" s="201">
        <f t="shared" si="82"/>
        <v>1</v>
      </c>
      <c r="X76" s="201">
        <f t="shared" si="83"/>
        <v>1</v>
      </c>
      <c r="Y76" s="201">
        <f t="shared" si="83"/>
        <v>1</v>
      </c>
      <c r="Z76" s="201">
        <f t="shared" si="83"/>
        <v>1</v>
      </c>
      <c r="AA76" s="201">
        <f t="shared" si="83"/>
        <v>1</v>
      </c>
      <c r="AB76" s="201">
        <f t="shared" si="83"/>
        <v>1</v>
      </c>
      <c r="AC76" s="201">
        <f t="shared" si="83"/>
        <v>1</v>
      </c>
      <c r="AD76" s="201">
        <f t="shared" si="84"/>
        <v>1</v>
      </c>
      <c r="AE76" s="201">
        <f>SUM(I76:M76)/SUM(I$76:M$76)</f>
        <v>1</v>
      </c>
      <c r="AF76" s="193"/>
    </row>
    <row r="77" spans="1:32" ht="7.5" customHeight="1">
      <c r="A77" s="148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50"/>
      <c r="P77" s="154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200"/>
    </row>
    <row r="78" spans="1:32">
      <c r="A78" s="184" t="s">
        <v>21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50"/>
      <c r="P78" s="154"/>
      <c r="Q78" s="193" t="str">
        <f t="shared" ref="Q78:Q101" si="87">A78</f>
        <v>Operating Expenses: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200"/>
    </row>
    <row r="79" spans="1:32">
      <c r="A79" s="166" t="s">
        <v>179</v>
      </c>
      <c r="B79" s="167">
        <f>1217.8+512.3</f>
        <v>1730.1</v>
      </c>
      <c r="C79" s="165">
        <f>2636+491</f>
        <v>3127</v>
      </c>
      <c r="D79" s="165">
        <f>974.4+490.9</f>
        <v>1465.3</v>
      </c>
      <c r="E79" s="165">
        <f>698.5+482.2</f>
        <v>1180.7</v>
      </c>
      <c r="F79" s="165">
        <f>672.8+483.9</f>
        <v>1156.6999999999998</v>
      </c>
      <c r="G79" s="165">
        <f>448+500</f>
        <v>948</v>
      </c>
      <c r="H79" s="168">
        <f>1545.1</f>
        <v>1545.1</v>
      </c>
      <c r="I79" s="168">
        <v>1768</v>
      </c>
      <c r="J79" s="168">
        <v>1957</v>
      </c>
      <c r="K79" s="168">
        <v>1677</v>
      </c>
      <c r="L79" s="168">
        <v>1618</v>
      </c>
      <c r="M79" s="168">
        <v>1636</v>
      </c>
      <c r="N79" s="168">
        <v>849</v>
      </c>
      <c r="O79" s="150">
        <f>RATE(4,,-I79,M79)</f>
        <v>-1.9211737858292305E-2</v>
      </c>
      <c r="P79" s="154"/>
      <c r="Q79" s="2" t="str">
        <f t="shared" si="87"/>
        <v>Energy Costs</v>
      </c>
      <c r="R79" s="5">
        <f t="shared" ref="R79:V85" si="88">B79/B$76</f>
        <v>0.43394617371892946</v>
      </c>
      <c r="S79" s="5">
        <f t="shared" si="88"/>
        <v>0.61850980081887774</v>
      </c>
      <c r="T79" s="5">
        <f t="shared" si="88"/>
        <v>0.43692041625667177</v>
      </c>
      <c r="U79" s="5">
        <f t="shared" si="88"/>
        <v>0.38304567869192835</v>
      </c>
      <c r="V79" s="5">
        <f t="shared" si="88"/>
        <v>0.36209109406792922</v>
      </c>
      <c r="W79" s="5">
        <f t="shared" ref="W79:Y85" si="89">G79/G$76</f>
        <v>0.31094200997113619</v>
      </c>
      <c r="X79" s="5">
        <f t="shared" si="89"/>
        <v>0.39651499987168631</v>
      </c>
      <c r="Y79" s="5">
        <f t="shared" si="89"/>
        <v>0.41521841240018786</v>
      </c>
      <c r="Z79" s="5">
        <f t="shared" ref="Z79:AA85" si="90">J79/J$76</f>
        <v>0.43508225878168072</v>
      </c>
      <c r="AA79" s="5">
        <f t="shared" si="90"/>
        <v>0.37626205968140003</v>
      </c>
      <c r="AB79" s="5">
        <f t="shared" ref="AB79:AC85" si="91">L79/L$76</f>
        <v>0.36507220216606501</v>
      </c>
      <c r="AC79" s="5">
        <f t="shared" si="91"/>
        <v>0.35673789795028349</v>
      </c>
      <c r="AD79" s="5">
        <f t="shared" ref="AD79:AD85" si="92">N79/N$76</f>
        <v>0.36220136518771329</v>
      </c>
      <c r="AE79" s="55">
        <f>SUM(I79:M79)/SUM(I$76:M$76)</f>
        <v>0.38936620035086139</v>
      </c>
    </row>
    <row r="80" spans="1:32">
      <c r="A80" s="166" t="s">
        <v>166</v>
      </c>
      <c r="B80" s="167">
        <f>726+283</f>
        <v>1009</v>
      </c>
      <c r="C80" s="165">
        <f>705.2+200.8</f>
        <v>906</v>
      </c>
      <c r="D80" s="165">
        <v>813.4</v>
      </c>
      <c r="E80" s="165">
        <v>885.1</v>
      </c>
      <c r="F80" s="165">
        <v>895.8</v>
      </c>
      <c r="G80" s="165">
        <v>913.1</v>
      </c>
      <c r="H80" s="165">
        <v>1014.5</v>
      </c>
      <c r="I80" s="168">
        <v>998</v>
      </c>
      <c r="J80" s="168">
        <v>985</v>
      </c>
      <c r="K80" s="168">
        <v>1035</v>
      </c>
      <c r="L80" s="165">
        <v>1081</v>
      </c>
      <c r="M80" s="165">
        <v>1103</v>
      </c>
      <c r="N80" s="165">
        <v>569</v>
      </c>
      <c r="O80" s="150">
        <f t="shared" ref="O80:O82" si="93">RATE(4,,-I80,M80)</f>
        <v>2.5324282510202672E-2</v>
      </c>
      <c r="P80" s="154"/>
      <c r="Q80" s="2" t="str">
        <f t="shared" si="87"/>
        <v>Other operations and maintenance</v>
      </c>
      <c r="R80" s="5">
        <f t="shared" si="88"/>
        <v>0.25307883317866009</v>
      </c>
      <c r="S80" s="5">
        <f t="shared" si="88"/>
        <v>0.17920367110390253</v>
      </c>
      <c r="T80" s="5">
        <f t="shared" si="88"/>
        <v>0.24253809225631393</v>
      </c>
      <c r="U80" s="5">
        <f t="shared" si="88"/>
        <v>0.28714637944458865</v>
      </c>
      <c r="V80" s="5">
        <f t="shared" si="88"/>
        <v>0.28041947096572234</v>
      </c>
      <c r="W80" s="5">
        <f t="shared" si="89"/>
        <v>0.29949488323274731</v>
      </c>
      <c r="X80" s="5">
        <f t="shared" si="89"/>
        <v>0.26034850001283139</v>
      </c>
      <c r="Y80" s="5">
        <f t="shared" si="89"/>
        <v>0.2343823391263504</v>
      </c>
      <c r="Z80" s="5">
        <f t="shared" si="90"/>
        <v>0.21898621609604269</v>
      </c>
      <c r="AA80" s="5">
        <f t="shared" si="90"/>
        <v>0.23221898137760827</v>
      </c>
      <c r="AB80" s="5">
        <f t="shared" si="91"/>
        <v>0.24390794223826714</v>
      </c>
      <c r="AC80" s="5">
        <f t="shared" si="91"/>
        <v>0.24051460968163976</v>
      </c>
      <c r="AD80" s="5">
        <f t="shared" si="92"/>
        <v>0.24274744027303755</v>
      </c>
      <c r="AE80" s="55">
        <f t="shared" ref="AE80:AE82" si="94">SUM(I80:M80)/SUM(I$76:M$76)</f>
        <v>0.23399757095947102</v>
      </c>
    </row>
    <row r="81" spans="1:54">
      <c r="A81" s="166" t="s">
        <v>167</v>
      </c>
      <c r="B81" s="167">
        <v>441.3</v>
      </c>
      <c r="C81" s="165">
        <v>429</v>
      </c>
      <c r="D81" s="165">
        <v>403</v>
      </c>
      <c r="E81" s="165">
        <v>434.3</v>
      </c>
      <c r="F81" s="165">
        <v>428.8</v>
      </c>
      <c r="G81" s="165">
        <v>436.9</v>
      </c>
      <c r="H81" s="165">
        <v>448.3</v>
      </c>
      <c r="I81" s="168">
        <v>497</v>
      </c>
      <c r="J81" s="168">
        <v>490</v>
      </c>
      <c r="K81" s="168">
        <v>549</v>
      </c>
      <c r="L81" s="165">
        <v>561</v>
      </c>
      <c r="M81" s="165">
        <v>611</v>
      </c>
      <c r="N81" s="165">
        <v>317</v>
      </c>
      <c r="O81" s="150">
        <f t="shared" si="93"/>
        <v>5.2982625766436121E-2</v>
      </c>
      <c r="P81" s="156"/>
      <c r="Q81" s="2" t="str">
        <f t="shared" si="87"/>
        <v>Depreciation and amortization</v>
      </c>
      <c r="R81" s="5">
        <f t="shared" si="88"/>
        <v>0.110687501567634</v>
      </c>
      <c r="S81" s="5">
        <f t="shared" si="88"/>
        <v>8.48547184366161E-2</v>
      </c>
      <c r="T81" s="5">
        <f t="shared" si="88"/>
        <v>0.1201657870411784</v>
      </c>
      <c r="U81" s="5">
        <f t="shared" si="88"/>
        <v>0.14089670386711653</v>
      </c>
      <c r="V81" s="5">
        <f t="shared" si="88"/>
        <v>0.13423070903114728</v>
      </c>
      <c r="W81" s="5">
        <f t="shared" si="89"/>
        <v>0.14330228286538965</v>
      </c>
      <c r="X81" s="5">
        <f t="shared" si="89"/>
        <v>0.11504606461878</v>
      </c>
      <c r="Y81" s="5">
        <f t="shared" si="89"/>
        <v>0.11672146547674965</v>
      </c>
      <c r="Z81" s="5">
        <f t="shared" si="90"/>
        <v>0.10893730546909737</v>
      </c>
      <c r="AA81" s="5">
        <f t="shared" si="90"/>
        <v>0.12317702490464438</v>
      </c>
      <c r="AB81" s="5">
        <f t="shared" si="91"/>
        <v>0.12657942238267147</v>
      </c>
      <c r="AC81" s="5">
        <f t="shared" si="91"/>
        <v>0.13323157435673791</v>
      </c>
      <c r="AD81" s="5">
        <f t="shared" si="92"/>
        <v>0.13523890784982937</v>
      </c>
      <c r="AE81" s="55">
        <f t="shared" si="94"/>
        <v>0.12181188430569925</v>
      </c>
    </row>
    <row r="82" spans="1:54">
      <c r="A82" s="166" t="s">
        <v>169</v>
      </c>
      <c r="B82" s="167">
        <v>101.4</v>
      </c>
      <c r="C82" s="165">
        <v>100.3</v>
      </c>
      <c r="D82" s="165">
        <v>90.8</v>
      </c>
      <c r="E82" s="165">
        <v>93.4</v>
      </c>
      <c r="F82" s="165">
        <v>95.3</v>
      </c>
      <c r="G82" s="165">
        <v>94.4</v>
      </c>
      <c r="H82" s="165">
        <v>96.8</v>
      </c>
      <c r="I82" s="168">
        <v>101</v>
      </c>
      <c r="J82" s="168">
        <v>112</v>
      </c>
      <c r="K82" s="168">
        <v>136</v>
      </c>
      <c r="L82" s="165">
        <v>136</v>
      </c>
      <c r="M82" s="165">
        <v>152</v>
      </c>
      <c r="N82" s="165">
        <v>80</v>
      </c>
      <c r="O82" s="150">
        <f t="shared" si="93"/>
        <v>0.1075938956860826</v>
      </c>
      <c r="P82" s="157"/>
      <c r="Q82" s="2" t="str">
        <f t="shared" si="87"/>
        <v>Taxes, other than income taxes</v>
      </c>
      <c r="R82" s="5">
        <f t="shared" si="88"/>
        <v>2.5433294037974365E-2</v>
      </c>
      <c r="S82" s="5">
        <f t="shared" si="88"/>
        <v>1.983899361117155E-2</v>
      </c>
      <c r="T82" s="5">
        <f t="shared" si="88"/>
        <v>2.7074574350717119E-2</v>
      </c>
      <c r="U82" s="5">
        <f t="shared" si="88"/>
        <v>3.0301064105891513E-2</v>
      </c>
      <c r="V82" s="5">
        <f t="shared" si="88"/>
        <v>2.9832524651745185E-2</v>
      </c>
      <c r="W82" s="5">
        <f t="shared" si="89"/>
        <v>3.0963001836788243E-2</v>
      </c>
      <c r="X82" s="5">
        <f t="shared" si="89"/>
        <v>2.4841532578848771E-2</v>
      </c>
      <c r="Y82" s="5">
        <f t="shared" si="89"/>
        <v>2.3720056364490372E-2</v>
      </c>
      <c r="Z82" s="5">
        <f t="shared" si="90"/>
        <v>2.4899955535793685E-2</v>
      </c>
      <c r="AA82" s="5">
        <f t="shared" si="90"/>
        <v>3.0513798519183306E-2</v>
      </c>
      <c r="AB82" s="5">
        <f t="shared" si="91"/>
        <v>3.0685920577617327E-2</v>
      </c>
      <c r="AC82" s="5">
        <f t="shared" si="91"/>
        <v>3.3144352376798955E-2</v>
      </c>
      <c r="AD82" s="5">
        <f t="shared" si="92"/>
        <v>3.4129692832764506E-2</v>
      </c>
      <c r="AE82" s="55">
        <f t="shared" si="94"/>
        <v>2.8653681795690701E-2</v>
      </c>
    </row>
    <row r="83" spans="1:54" s="21" customFormat="1" hidden="1">
      <c r="A83" s="166" t="s">
        <v>168</v>
      </c>
      <c r="B83" s="169">
        <v>0</v>
      </c>
      <c r="C83" s="163">
        <v>-30.6</v>
      </c>
      <c r="D83" s="163">
        <v>-32.4</v>
      </c>
      <c r="E83" s="163">
        <v>0</v>
      </c>
      <c r="F83" s="163">
        <v>0</v>
      </c>
      <c r="G83" s="163">
        <v>0</v>
      </c>
      <c r="H83" s="164">
        <v>0</v>
      </c>
      <c r="I83" s="164">
        <v>0</v>
      </c>
      <c r="J83" s="164">
        <v>0</v>
      </c>
      <c r="K83" s="164">
        <v>0</v>
      </c>
      <c r="L83" s="164">
        <v>0</v>
      </c>
      <c r="M83" s="164">
        <v>0</v>
      </c>
      <c r="N83" s="164">
        <v>0</v>
      </c>
      <c r="O83" s="150" t="e">
        <f>RATE(5.75,,-F83,K83)</f>
        <v>#NUM!</v>
      </c>
      <c r="P83" s="154"/>
      <c r="Q83" s="2" t="str">
        <f t="shared" si="87"/>
        <v>Other Operating Expenses</v>
      </c>
      <c r="R83" s="6">
        <f t="shared" si="88"/>
        <v>0</v>
      </c>
      <c r="S83" s="6">
        <f t="shared" si="88"/>
        <v>-6.0525743220523377E-3</v>
      </c>
      <c r="T83" s="6">
        <f t="shared" si="88"/>
        <v>-9.6609714643528053E-3</v>
      </c>
      <c r="U83" s="6">
        <f t="shared" si="88"/>
        <v>0</v>
      </c>
      <c r="V83" s="18">
        <f t="shared" si="88"/>
        <v>0</v>
      </c>
      <c r="W83" s="18">
        <f t="shared" si="89"/>
        <v>0</v>
      </c>
      <c r="X83" s="18">
        <f t="shared" si="89"/>
        <v>0</v>
      </c>
      <c r="Y83" s="18">
        <f t="shared" si="89"/>
        <v>0</v>
      </c>
      <c r="Z83" s="18">
        <f t="shared" si="90"/>
        <v>0</v>
      </c>
      <c r="AA83" s="18">
        <f t="shared" si="90"/>
        <v>0</v>
      </c>
      <c r="AB83" s="18">
        <f t="shared" si="91"/>
        <v>0</v>
      </c>
      <c r="AC83" s="18">
        <f t="shared" si="91"/>
        <v>0</v>
      </c>
      <c r="AD83" s="18">
        <f t="shared" si="92"/>
        <v>0</v>
      </c>
      <c r="AE83" s="55">
        <f>SUM(F83:K83)/SUM(F$76:K$76)</f>
        <v>0</v>
      </c>
      <c r="AF83" s="52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</row>
    <row r="84" spans="1:54" s="21" customFormat="1" ht="12.75" customHeight="1">
      <c r="A84" s="148" t="s">
        <v>37</v>
      </c>
      <c r="B84" s="163">
        <f t="shared" ref="B84:L84" si="95">SUM(B78:B83)</f>
        <v>3281.8</v>
      </c>
      <c r="C84" s="163">
        <f t="shared" si="95"/>
        <v>4531.7</v>
      </c>
      <c r="D84" s="163">
        <f t="shared" si="95"/>
        <v>2740.1</v>
      </c>
      <c r="E84" s="163">
        <f t="shared" si="95"/>
        <v>2593.5000000000005</v>
      </c>
      <c r="F84" s="170">
        <f t="shared" si="95"/>
        <v>2576.6000000000004</v>
      </c>
      <c r="G84" s="170">
        <f t="shared" si="95"/>
        <v>2392.4</v>
      </c>
      <c r="H84" s="170">
        <f t="shared" si="95"/>
        <v>3104.7000000000003</v>
      </c>
      <c r="I84" s="170">
        <f t="shared" si="95"/>
        <v>3364</v>
      </c>
      <c r="J84" s="170">
        <f>SUM(J78:J83)</f>
        <v>3544</v>
      </c>
      <c r="K84" s="170">
        <f>SUM(K78:K83)</f>
        <v>3397</v>
      </c>
      <c r="L84" s="170">
        <f t="shared" si="95"/>
        <v>3396</v>
      </c>
      <c r="M84" s="170">
        <f t="shared" ref="M84" si="96">SUM(M78:M83)</f>
        <v>3502</v>
      </c>
      <c r="N84" s="170">
        <f>SUM(N78:N83)</f>
        <v>1815</v>
      </c>
      <c r="O84" s="158">
        <f>RATE(4,,-I84,M84)</f>
        <v>1.0101552612183755E-2</v>
      </c>
      <c r="P84" s="154"/>
      <c r="Q84" s="2" t="str">
        <f t="shared" si="87"/>
        <v>Total Operating Expenses</v>
      </c>
      <c r="R84" s="6">
        <f t="shared" si="88"/>
        <v>0.82314580250319802</v>
      </c>
      <c r="S84" s="6">
        <f t="shared" si="88"/>
        <v>0.89635460964851554</v>
      </c>
      <c r="T84" s="6">
        <f t="shared" si="88"/>
        <v>0.81703789844052843</v>
      </c>
      <c r="U84" s="6">
        <f t="shared" si="88"/>
        <v>0.84138982610952517</v>
      </c>
      <c r="V84" s="97">
        <f t="shared" si="88"/>
        <v>0.80657379871654422</v>
      </c>
      <c r="W84" s="97">
        <f t="shared" si="89"/>
        <v>0.78470217790606134</v>
      </c>
      <c r="X84" s="97">
        <f t="shared" si="89"/>
        <v>0.79675109708214653</v>
      </c>
      <c r="Y84" s="97">
        <f t="shared" si="89"/>
        <v>0.79004227336777832</v>
      </c>
      <c r="Z84" s="97">
        <f t="shared" si="90"/>
        <v>0.78790573588261448</v>
      </c>
      <c r="AA84" s="97">
        <f t="shared" si="90"/>
        <v>0.76217186448283603</v>
      </c>
      <c r="AB84" s="97">
        <f t="shared" si="91"/>
        <v>0.76624548736462095</v>
      </c>
      <c r="AC84" s="97">
        <f t="shared" si="91"/>
        <v>0.76362843436546013</v>
      </c>
      <c r="AD84" s="97">
        <f t="shared" si="92"/>
        <v>0.77431740614334466</v>
      </c>
      <c r="AE84" s="256">
        <f>SUM(I84:M84)/SUM(I$76:M$76)</f>
        <v>0.77382933741172233</v>
      </c>
      <c r="AF84" s="52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</row>
    <row r="85" spans="1:54" s="21" customFormat="1">
      <c r="A85" s="184" t="s">
        <v>13</v>
      </c>
      <c r="B85" s="221">
        <f t="shared" ref="B85:L85" si="97">B76-B84</f>
        <v>705.09999999999991</v>
      </c>
      <c r="C85" s="221">
        <f t="shared" si="97"/>
        <v>524</v>
      </c>
      <c r="D85" s="221">
        <f t="shared" si="97"/>
        <v>613.59999999999991</v>
      </c>
      <c r="E85" s="221">
        <f t="shared" si="97"/>
        <v>488.89999999999964</v>
      </c>
      <c r="F85" s="221">
        <f t="shared" si="97"/>
        <v>617.89999999999964</v>
      </c>
      <c r="G85" s="221">
        <f t="shared" si="97"/>
        <v>656.40000000000009</v>
      </c>
      <c r="H85" s="221">
        <f t="shared" si="97"/>
        <v>791.99999999999955</v>
      </c>
      <c r="I85" s="221">
        <f t="shared" si="97"/>
        <v>894</v>
      </c>
      <c r="J85" s="221">
        <f t="shared" si="97"/>
        <v>954</v>
      </c>
      <c r="K85" s="221">
        <f t="shared" si="97"/>
        <v>1060</v>
      </c>
      <c r="L85" s="221">
        <f t="shared" si="97"/>
        <v>1036</v>
      </c>
      <c r="M85" s="221">
        <f t="shared" ref="M85" si="98">M76-M84</f>
        <v>1084</v>
      </c>
      <c r="N85" s="221">
        <f>N76-N84</f>
        <v>529</v>
      </c>
      <c r="O85" s="206">
        <f>RATE(4,,-I85,M85)</f>
        <v>4.9356219353469205E-2</v>
      </c>
      <c r="P85" s="157"/>
      <c r="Q85" s="193" t="str">
        <f t="shared" si="87"/>
        <v>Earnings From Operations</v>
      </c>
      <c r="R85" s="200">
        <f t="shared" si="88"/>
        <v>0.17685419749680201</v>
      </c>
      <c r="S85" s="200">
        <f t="shared" si="88"/>
        <v>0.10364539035148447</v>
      </c>
      <c r="T85" s="200">
        <f t="shared" si="88"/>
        <v>0.18296210155947162</v>
      </c>
      <c r="U85" s="200">
        <f t="shared" si="88"/>
        <v>0.15861017389047483</v>
      </c>
      <c r="V85" s="200">
        <f t="shared" si="88"/>
        <v>0.19342620128345583</v>
      </c>
      <c r="W85" s="200">
        <f t="shared" si="89"/>
        <v>0.21529782209393861</v>
      </c>
      <c r="X85" s="200">
        <f t="shared" si="89"/>
        <v>0.20324890291785347</v>
      </c>
      <c r="Y85" s="200">
        <f t="shared" si="89"/>
        <v>0.2099577266322217</v>
      </c>
      <c r="Z85" s="200">
        <f t="shared" si="90"/>
        <v>0.21209426411738549</v>
      </c>
      <c r="AA85" s="200">
        <f t="shared" si="90"/>
        <v>0.237828135517164</v>
      </c>
      <c r="AB85" s="200">
        <f t="shared" si="91"/>
        <v>0.23375451263537905</v>
      </c>
      <c r="AC85" s="200">
        <f t="shared" si="91"/>
        <v>0.2363715656345399</v>
      </c>
      <c r="AD85" s="200">
        <f t="shared" si="92"/>
        <v>0.22568259385665529</v>
      </c>
      <c r="AE85" s="201">
        <f>SUM(I85:M85)/SUM(I$76:M$76)</f>
        <v>0.22617066258827764</v>
      </c>
      <c r="AF85" s="104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</row>
    <row r="86" spans="1:54" s="21" customFormat="1" ht="7.5" customHeight="1">
      <c r="A86" s="148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50"/>
      <c r="P86" s="157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5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</row>
    <row r="87" spans="1:54">
      <c r="A87" s="222" t="s">
        <v>170</v>
      </c>
      <c r="B87" s="221">
        <f>341.4-20.2</f>
        <v>321.2</v>
      </c>
      <c r="C87" s="221">
        <f>290.4-12.9</f>
        <v>277.5</v>
      </c>
      <c r="D87" s="221">
        <f>227.7-6.9</f>
        <v>220.79999999999998</v>
      </c>
      <c r="E87" s="221">
        <f>270.3-18</f>
        <v>252.3</v>
      </c>
      <c r="F87" s="221">
        <f>256.5-19.9</f>
        <v>236.6</v>
      </c>
      <c r="G87" s="221">
        <f>267.4-14.8</f>
        <v>252.59999999999997</v>
      </c>
      <c r="H87" s="221">
        <f>279.9-32.4</f>
        <v>247.49999999999997</v>
      </c>
      <c r="I87" s="221">
        <f>314-29</f>
        <v>285</v>
      </c>
      <c r="J87" s="221">
        <f>343-34</f>
        <v>309</v>
      </c>
      <c r="K87" s="221">
        <f>394-35</f>
        <v>359</v>
      </c>
      <c r="L87" s="221">
        <f>387-45</f>
        <v>342</v>
      </c>
      <c r="M87" s="221">
        <f>392-25</f>
        <v>367</v>
      </c>
      <c r="N87" s="221">
        <f>190-15</f>
        <v>175</v>
      </c>
      <c r="O87" s="185">
        <f>RATE(4,,-I87,M87)</f>
        <v>6.5259218232526547E-2</v>
      </c>
      <c r="P87" s="157"/>
      <c r="Q87" s="193" t="str">
        <f t="shared" si="87"/>
        <v>Interest expense (net)</v>
      </c>
      <c r="R87" s="108">
        <f t="shared" ref="R87:V91" si="99">B87/B$76</f>
        <v>8.0563846597607153E-2</v>
      </c>
      <c r="S87" s="108">
        <f t="shared" si="99"/>
        <v>5.4888541646062862E-2</v>
      </c>
      <c r="T87" s="108">
        <f t="shared" si="99"/>
        <v>6.5837731460774665E-2</v>
      </c>
      <c r="U87" s="108">
        <f t="shared" si="99"/>
        <v>8.185180378925512E-2</v>
      </c>
      <c r="V87" s="108">
        <f t="shared" si="99"/>
        <v>7.4064798873063081E-2</v>
      </c>
      <c r="W87" s="200">
        <f t="shared" ref="W87:Y91" si="100">G87/G$76</f>
        <v>8.285226974547362E-2</v>
      </c>
      <c r="X87" s="200">
        <f t="shared" si="100"/>
        <v>6.3515282161829237E-2</v>
      </c>
      <c r="Y87" s="200">
        <f t="shared" si="100"/>
        <v>6.693283231564115E-2</v>
      </c>
      <c r="Z87" s="200">
        <f t="shared" ref="Z87:AA91" si="101">J87/J$76</f>
        <v>6.8697198755002228E-2</v>
      </c>
      <c r="AA87" s="200">
        <f t="shared" si="101"/>
        <v>8.0547453444020645E-2</v>
      </c>
      <c r="AB87" s="200">
        <f t="shared" ref="AB87:AC91" si="102">L87/L$76</f>
        <v>7.7166064981949459E-2</v>
      </c>
      <c r="AC87" s="200">
        <f t="shared" si="102"/>
        <v>8.0026166593981679E-2</v>
      </c>
      <c r="AD87" s="200">
        <f t="shared" ref="AD87:AD91" si="103">N87/N$76</f>
        <v>7.4658703071672355E-2</v>
      </c>
      <c r="AE87" s="200">
        <f>SUM(I87:M87)/SUM(I$76:M$76)</f>
        <v>7.4760469614502278E-2</v>
      </c>
      <c r="AF87" s="104"/>
    </row>
    <row r="88" spans="1:54" ht="12.75" customHeight="1">
      <c r="A88" s="166" t="s">
        <v>171</v>
      </c>
      <c r="B88" s="165">
        <v>-17.100000000000001</v>
      </c>
      <c r="C88" s="165">
        <v>-32.6</v>
      </c>
      <c r="D88" s="165">
        <v>-47.5</v>
      </c>
      <c r="E88" s="165">
        <v>-21.6</v>
      </c>
      <c r="F88" s="165">
        <v>-13.8</v>
      </c>
      <c r="G88" s="165">
        <v>-9.1</v>
      </c>
      <c r="H88" s="165">
        <v>-9.5</v>
      </c>
      <c r="I88" s="165">
        <v>-15</v>
      </c>
      <c r="J88" s="165">
        <v>-11</v>
      </c>
      <c r="K88" s="165">
        <v>-19</v>
      </c>
      <c r="L88" s="165">
        <v>-5</v>
      </c>
      <c r="M88" s="165">
        <v>-5</v>
      </c>
      <c r="N88" s="165">
        <v>-1</v>
      </c>
      <c r="O88" s="150">
        <f t="shared" ref="O88:O90" si="104">RATE(4,,-I88,M88)</f>
        <v>-0.24016431434529451</v>
      </c>
      <c r="P88" s="157"/>
      <c r="Q88" s="2" t="str">
        <f t="shared" si="87"/>
        <v>Interest income</v>
      </c>
      <c r="R88" s="18">
        <f t="shared" si="99"/>
        <v>-4.2890466277057367E-3</v>
      </c>
      <c r="S88" s="18">
        <f t="shared" si="99"/>
        <v>-6.4481674149969347E-3</v>
      </c>
      <c r="T88" s="18">
        <f t="shared" si="99"/>
        <v>-1.4163461251751797E-2</v>
      </c>
      <c r="U88" s="18">
        <f t="shared" si="99"/>
        <v>-7.007526602647288E-3</v>
      </c>
      <c r="V88" s="18">
        <f t="shared" si="99"/>
        <v>-4.3199248708718115E-3</v>
      </c>
      <c r="W88" s="5">
        <f t="shared" si="100"/>
        <v>-2.9847808974022565E-3</v>
      </c>
      <c r="X88" s="5">
        <f t="shared" si="100"/>
        <v>-2.4379603254035469E-3</v>
      </c>
      <c r="Y88" s="5">
        <f t="shared" si="100"/>
        <v>-3.5227806481916393E-3</v>
      </c>
      <c r="Z88" s="5">
        <f t="shared" si="101"/>
        <v>-2.4455313472654511E-3</v>
      </c>
      <c r="AA88" s="5">
        <f t="shared" si="101"/>
        <v>-4.2629571460623735E-3</v>
      </c>
      <c r="AB88" s="5">
        <f t="shared" si="102"/>
        <v>-1.1281588447653429E-3</v>
      </c>
      <c r="AC88" s="5">
        <f t="shared" si="102"/>
        <v>-1.0902747492368076E-3</v>
      </c>
      <c r="AD88" s="5">
        <f t="shared" si="103"/>
        <v>-4.2662116040955632E-4</v>
      </c>
      <c r="AE88" s="55">
        <f>SUM(I88:M88)/SUM(I$76:M$76)</f>
        <v>-2.4740227610094011E-3</v>
      </c>
      <c r="AF88" s="111"/>
    </row>
    <row r="89" spans="1:54" ht="12.75" hidden="1" customHeight="1">
      <c r="A89" s="166" t="s">
        <v>172</v>
      </c>
      <c r="B89" s="165">
        <v>0</v>
      </c>
      <c r="C89" s="165">
        <v>184.2</v>
      </c>
      <c r="D89" s="165">
        <v>-27.4</v>
      </c>
      <c r="E89" s="165">
        <v>0</v>
      </c>
      <c r="F89" s="165">
        <v>0</v>
      </c>
      <c r="G89" s="165">
        <v>0</v>
      </c>
      <c r="H89" s="171">
        <v>0</v>
      </c>
      <c r="I89" s="171">
        <v>0</v>
      </c>
      <c r="J89" s="171">
        <v>0</v>
      </c>
      <c r="K89" s="171">
        <v>0</v>
      </c>
      <c r="L89" s="171">
        <v>0</v>
      </c>
      <c r="M89" s="171">
        <v>0</v>
      </c>
      <c r="N89" s="171">
        <v>0</v>
      </c>
      <c r="O89" s="150" t="e">
        <f t="shared" si="104"/>
        <v>#NUM!</v>
      </c>
      <c r="P89" s="154"/>
      <c r="Q89" s="2" t="str">
        <f t="shared" si="87"/>
        <v>Loss (Gain) on Sale of Assets</v>
      </c>
      <c r="R89" s="18">
        <f t="shared" si="99"/>
        <v>0</v>
      </c>
      <c r="S89" s="18">
        <f t="shared" si="99"/>
        <v>3.6434123860197398E-2</v>
      </c>
      <c r="T89" s="18">
        <f t="shared" si="99"/>
        <v>-8.1700808062736673E-3</v>
      </c>
      <c r="U89" s="18">
        <f t="shared" si="99"/>
        <v>0</v>
      </c>
      <c r="V89" s="18">
        <f t="shared" si="99"/>
        <v>0</v>
      </c>
      <c r="W89" s="18">
        <f t="shared" si="100"/>
        <v>0</v>
      </c>
      <c r="X89" s="18">
        <f t="shared" si="100"/>
        <v>0</v>
      </c>
      <c r="Y89" s="18">
        <f t="shared" si="100"/>
        <v>0</v>
      </c>
      <c r="Z89" s="18">
        <f t="shared" si="101"/>
        <v>0</v>
      </c>
      <c r="AA89" s="18">
        <f t="shared" si="101"/>
        <v>0</v>
      </c>
      <c r="AB89" s="18">
        <f t="shared" si="102"/>
        <v>0</v>
      </c>
      <c r="AC89" s="18">
        <f t="shared" si="102"/>
        <v>0</v>
      </c>
      <c r="AD89" s="18">
        <f t="shared" si="103"/>
        <v>0</v>
      </c>
      <c r="AE89" s="55">
        <f t="shared" ref="AE89:AE90" si="105">SUM(I89:M89)/SUM(I$76:M$76)</f>
        <v>0</v>
      </c>
    </row>
    <row r="90" spans="1:54">
      <c r="A90" s="220" t="s">
        <v>173</v>
      </c>
      <c r="B90" s="163">
        <f>2.6-13.7</f>
        <v>-11.1</v>
      </c>
      <c r="C90" s="163">
        <v>2.7</v>
      </c>
      <c r="D90" s="163">
        <f>-1.8</f>
        <v>-1.8</v>
      </c>
      <c r="E90" s="163">
        <v>19</v>
      </c>
      <c r="F90" s="163">
        <v>1.6</v>
      </c>
      <c r="G90" s="163">
        <v>-7.3</v>
      </c>
      <c r="H90" s="164">
        <v>-6.1</v>
      </c>
      <c r="I90" s="164">
        <v>-41</v>
      </c>
      <c r="J90" s="164">
        <v>-47</v>
      </c>
      <c r="K90" s="164">
        <v>-64</v>
      </c>
      <c r="L90" s="164">
        <f>-79+1</f>
        <v>-78</v>
      </c>
      <c r="M90" s="164">
        <f>-47+1</f>
        <v>-46</v>
      </c>
      <c r="N90" s="164">
        <f>-30-1</f>
        <v>-31</v>
      </c>
      <c r="O90" s="150">
        <f t="shared" si="104"/>
        <v>2.9185108634326221E-2</v>
      </c>
      <c r="P90" s="154"/>
      <c r="Q90" s="2" t="str">
        <f t="shared" si="87"/>
        <v>Other (Income) Expense</v>
      </c>
      <c r="R90" s="6">
        <f t="shared" si="99"/>
        <v>-2.7841179864054777E-3</v>
      </c>
      <c r="S90" s="6">
        <f t="shared" si="99"/>
        <v>5.3405067547520626E-4</v>
      </c>
      <c r="T90" s="6">
        <f t="shared" si="99"/>
        <v>-5.3672063690848914E-4</v>
      </c>
      <c r="U90" s="6">
        <f t="shared" si="99"/>
        <v>6.1640280301064106E-3</v>
      </c>
      <c r="V90" s="103">
        <f t="shared" si="99"/>
        <v>5.008608545938332E-4</v>
      </c>
      <c r="W90" s="103">
        <f t="shared" si="100"/>
        <v>-2.394384675938074E-3</v>
      </c>
      <c r="X90" s="103">
        <f t="shared" si="100"/>
        <v>-1.565427156311751E-3</v>
      </c>
      <c r="Y90" s="103">
        <f t="shared" si="100"/>
        <v>-9.6289337717238143E-3</v>
      </c>
      <c r="Z90" s="103">
        <f t="shared" si="101"/>
        <v>-1.0449088483770564E-2</v>
      </c>
      <c r="AA90" s="103">
        <f t="shared" si="101"/>
        <v>-1.4359434597262733E-2</v>
      </c>
      <c r="AB90" s="103">
        <f t="shared" si="102"/>
        <v>-1.759927797833935E-2</v>
      </c>
      <c r="AC90" s="103">
        <f t="shared" si="102"/>
        <v>-1.003052769297863E-2</v>
      </c>
      <c r="AD90" s="103">
        <f t="shared" si="103"/>
        <v>-1.3225255972696246E-2</v>
      </c>
      <c r="AE90" s="55">
        <f t="shared" si="105"/>
        <v>-1.241509603706536E-2</v>
      </c>
    </row>
    <row r="91" spans="1:54">
      <c r="A91" s="140" t="s">
        <v>219</v>
      </c>
      <c r="B91" s="165">
        <f t="shared" ref="B91:L91" si="106">SUM(B87:B90)</f>
        <v>292.99999999999994</v>
      </c>
      <c r="C91" s="165">
        <f t="shared" si="106"/>
        <v>431.8</v>
      </c>
      <c r="D91" s="165">
        <f t="shared" si="106"/>
        <v>144.09999999999997</v>
      </c>
      <c r="E91" s="165">
        <f t="shared" si="106"/>
        <v>249.70000000000002</v>
      </c>
      <c r="F91" s="165">
        <f t="shared" si="106"/>
        <v>224.39999999999998</v>
      </c>
      <c r="G91" s="165">
        <f t="shared" si="106"/>
        <v>236.19999999999996</v>
      </c>
      <c r="H91" s="165">
        <f t="shared" si="106"/>
        <v>231.89999999999998</v>
      </c>
      <c r="I91" s="165">
        <f t="shared" si="106"/>
        <v>229</v>
      </c>
      <c r="J91" s="165">
        <f>SUM(J87:J90)</f>
        <v>251</v>
      </c>
      <c r="K91" s="165">
        <f>SUM(K87:K90)</f>
        <v>276</v>
      </c>
      <c r="L91" s="165">
        <f t="shared" si="106"/>
        <v>259</v>
      </c>
      <c r="M91" s="165">
        <f t="shared" ref="M91" si="107">SUM(M87:M90)</f>
        <v>316</v>
      </c>
      <c r="N91" s="165">
        <f>SUM(N87:N90)</f>
        <v>143</v>
      </c>
      <c r="O91" s="155">
        <f>RATE(4,,-I91,M91)</f>
        <v>8.3834322710240425E-2</v>
      </c>
      <c r="P91" s="154"/>
      <c r="Q91" s="2" t="str">
        <f t="shared" si="87"/>
        <v>Total Other (Income)/Expense</v>
      </c>
      <c r="R91" s="18">
        <f t="shared" si="99"/>
        <v>7.349068198349594E-2</v>
      </c>
      <c r="S91" s="18">
        <f t="shared" si="99"/>
        <v>8.5408548766738535E-2</v>
      </c>
      <c r="T91" s="18">
        <f t="shared" si="99"/>
        <v>4.2967468765840705E-2</v>
      </c>
      <c r="U91" s="18">
        <f t="shared" si="99"/>
        <v>8.1008305216714246E-2</v>
      </c>
      <c r="V91" s="18">
        <f t="shared" si="99"/>
        <v>7.0245734856785091E-2</v>
      </c>
      <c r="W91" s="5">
        <f t="shared" si="100"/>
        <v>7.7473104172133281E-2</v>
      </c>
      <c r="X91" s="5">
        <f t="shared" si="100"/>
        <v>5.951189468011394E-2</v>
      </c>
      <c r="Y91" s="5">
        <f t="shared" si="100"/>
        <v>5.3781117895725691E-2</v>
      </c>
      <c r="Z91" s="5">
        <f t="shared" si="101"/>
        <v>5.5802578923966208E-2</v>
      </c>
      <c r="AA91" s="5">
        <f t="shared" si="101"/>
        <v>6.1925061700695533E-2</v>
      </c>
      <c r="AB91" s="5">
        <f t="shared" si="102"/>
        <v>5.8438628158844763E-2</v>
      </c>
      <c r="AC91" s="5">
        <f t="shared" si="102"/>
        <v>6.8905364151766249E-2</v>
      </c>
      <c r="AD91" s="5">
        <f t="shared" si="103"/>
        <v>6.1006825938566552E-2</v>
      </c>
      <c r="AE91" s="255">
        <f>SUM(I91:M91)/SUM(I$76:M$76)</f>
        <v>5.9871350816427513E-2</v>
      </c>
    </row>
    <row r="92" spans="1:54" ht="7.5" customHeight="1">
      <c r="A92" s="148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2"/>
      <c r="M92" s="172"/>
      <c r="N92" s="172"/>
      <c r="O92" s="150"/>
      <c r="P92" s="154"/>
      <c r="Q92" s="2"/>
      <c r="R92" s="18"/>
      <c r="S92" s="18"/>
      <c r="T92" s="18"/>
      <c r="U92" s="18"/>
      <c r="V92" s="18"/>
      <c r="W92" s="5"/>
      <c r="X92" s="5"/>
      <c r="Y92" s="5"/>
      <c r="Z92" s="5"/>
      <c r="AA92" s="5"/>
      <c r="AB92" s="5"/>
      <c r="AC92" s="5"/>
      <c r="AD92" s="5"/>
      <c r="AE92" s="55"/>
    </row>
    <row r="93" spans="1:54">
      <c r="A93" s="184" t="s">
        <v>12</v>
      </c>
      <c r="B93" s="223">
        <f t="shared" ref="B93:G93" si="108">B85-B91</f>
        <v>412.09999999999997</v>
      </c>
      <c r="C93" s="223">
        <f t="shared" si="108"/>
        <v>92.199999999999989</v>
      </c>
      <c r="D93" s="223">
        <f t="shared" si="108"/>
        <v>469.49999999999994</v>
      </c>
      <c r="E93" s="223">
        <f t="shared" si="108"/>
        <v>239.19999999999962</v>
      </c>
      <c r="F93" s="223">
        <f t="shared" si="108"/>
        <v>393.49999999999966</v>
      </c>
      <c r="G93" s="223">
        <f t="shared" si="108"/>
        <v>420.20000000000016</v>
      </c>
      <c r="H93" s="223">
        <f t="shared" ref="H93:N93" si="109">H85-H91</f>
        <v>560.09999999999957</v>
      </c>
      <c r="I93" s="223">
        <f t="shared" si="109"/>
        <v>665</v>
      </c>
      <c r="J93" s="223">
        <f t="shared" si="109"/>
        <v>703</v>
      </c>
      <c r="K93" s="223">
        <f t="shared" si="109"/>
        <v>784</v>
      </c>
      <c r="L93" s="223">
        <f t="shared" si="109"/>
        <v>777</v>
      </c>
      <c r="M93" s="223">
        <f t="shared" ref="M93" si="110">M85-M91</f>
        <v>768</v>
      </c>
      <c r="N93" s="223">
        <f t="shared" si="109"/>
        <v>386</v>
      </c>
      <c r="O93" s="185">
        <f>RATE(4,,-I93,M93)</f>
        <v>3.6656544288017769E-2</v>
      </c>
      <c r="P93" s="157"/>
      <c r="Q93" s="193" t="str">
        <f t="shared" si="87"/>
        <v>Earnings Before Taxes</v>
      </c>
      <c r="R93" s="200">
        <f t="shared" ref="R93:AC93" si="111">B93/B$76</f>
        <v>0.10336351551330607</v>
      </c>
      <c r="S93" s="200">
        <f t="shared" si="111"/>
        <v>1.8236841584745929E-2</v>
      </c>
      <c r="T93" s="200">
        <f t="shared" si="111"/>
        <v>0.13999463279363092</v>
      </c>
      <c r="U93" s="200">
        <f t="shared" si="111"/>
        <v>7.760186867376058E-2</v>
      </c>
      <c r="V93" s="200">
        <f t="shared" si="111"/>
        <v>0.12318046642667073</v>
      </c>
      <c r="W93" s="200">
        <f t="shared" si="111"/>
        <v>0.13782471792180534</v>
      </c>
      <c r="X93" s="200">
        <f t="shared" si="111"/>
        <v>0.14373700823773952</v>
      </c>
      <c r="Y93" s="200">
        <f t="shared" si="111"/>
        <v>0.156176608736496</v>
      </c>
      <c r="Z93" s="200">
        <f t="shared" si="111"/>
        <v>0.15629168519341929</v>
      </c>
      <c r="AA93" s="200">
        <f t="shared" si="111"/>
        <v>0.17590307381646847</v>
      </c>
      <c r="AB93" s="200">
        <f t="shared" si="111"/>
        <v>0.17531588447653429</v>
      </c>
      <c r="AC93" s="200">
        <f t="shared" si="111"/>
        <v>0.16746620148277366</v>
      </c>
      <c r="AD93" s="200">
        <f t="shared" ref="AD93" si="112">N93/N$76</f>
        <v>0.16467576791808874</v>
      </c>
      <c r="AE93" s="200">
        <f>SUM(I93:M93)/SUM(I$76:M$76)</f>
        <v>0.16629931177185012</v>
      </c>
    </row>
    <row r="94" spans="1:54" ht="7.5" customHeight="1">
      <c r="A94" s="148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50"/>
      <c r="P94" s="157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5"/>
    </row>
    <row r="95" spans="1:54">
      <c r="A95" s="148" t="s">
        <v>43</v>
      </c>
      <c r="B95" s="165">
        <f>195.5+-1.1</f>
        <v>194.4</v>
      </c>
      <c r="C95" s="165">
        <v>0</v>
      </c>
      <c r="D95" s="165">
        <f>-146.7+112.8</f>
        <v>-33.899999999999991</v>
      </c>
      <c r="E95" s="165">
        <v>1.9</v>
      </c>
      <c r="F95" s="165">
        <v>0.9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65">
        <v>0</v>
      </c>
      <c r="N95" s="165">
        <v>0</v>
      </c>
      <c r="O95" s="150"/>
      <c r="P95" s="154"/>
      <c r="Q95" s="2" t="str">
        <f t="shared" si="87"/>
        <v>Extraordinary Items</v>
      </c>
      <c r="R95" s="5">
        <f t="shared" ref="R95:V97" si="113">B95/B$76</f>
        <v>4.8759687978128373E-2</v>
      </c>
      <c r="S95" s="5">
        <f t="shared" si="113"/>
        <v>0</v>
      </c>
      <c r="T95" s="5">
        <f t="shared" si="113"/>
        <v>-1.0108238661776544E-2</v>
      </c>
      <c r="U95" s="5">
        <f t="shared" si="113"/>
        <v>6.16402803010641E-4</v>
      </c>
      <c r="V95" s="5">
        <f t="shared" si="113"/>
        <v>2.8173423070903115E-4</v>
      </c>
      <c r="W95" s="5">
        <f t="shared" ref="W95:Y97" si="114">G95/G$76</f>
        <v>0</v>
      </c>
      <c r="X95" s="5">
        <f t="shared" si="114"/>
        <v>0</v>
      </c>
      <c r="Y95" s="5">
        <f t="shared" si="114"/>
        <v>0</v>
      </c>
      <c r="Z95" s="5">
        <f t="shared" ref="Z95:AA97" si="115">J95/J$76</f>
        <v>0</v>
      </c>
      <c r="AA95" s="5">
        <f t="shared" si="115"/>
        <v>0</v>
      </c>
      <c r="AB95" s="5">
        <f t="shared" ref="AB95:AC97" si="116">L95/L$76</f>
        <v>0</v>
      </c>
      <c r="AC95" s="5">
        <f t="shared" si="116"/>
        <v>0</v>
      </c>
      <c r="AD95" s="5">
        <f t="shared" ref="AD95:AD97" si="117">N95/N$76</f>
        <v>0</v>
      </c>
      <c r="AE95" s="55">
        <f>SUM(I95:M95)/SUM(I$76:M$76)</f>
        <v>0</v>
      </c>
    </row>
    <row r="96" spans="1:54">
      <c r="A96" s="148" t="s">
        <v>15</v>
      </c>
      <c r="B96" s="163">
        <v>134</v>
      </c>
      <c r="C96" s="163">
        <v>180.4</v>
      </c>
      <c r="D96" s="163">
        <v>176.1</v>
      </c>
      <c r="E96" s="163">
        <v>97.2</v>
      </c>
      <c r="F96" s="163">
        <v>144.5</v>
      </c>
      <c r="G96" s="163">
        <v>168.5</v>
      </c>
      <c r="H96" s="164">
        <v>199.4</v>
      </c>
      <c r="I96" s="164">
        <v>220</v>
      </c>
      <c r="J96" s="171">
        <v>238</v>
      </c>
      <c r="K96" s="171">
        <v>234</v>
      </c>
      <c r="L96" s="171">
        <v>211</v>
      </c>
      <c r="M96" s="171">
        <v>213</v>
      </c>
      <c r="N96" s="171">
        <v>105</v>
      </c>
      <c r="O96" s="150">
        <f>RATE(4,,-I96,M96)</f>
        <v>-8.0512587513920254E-3</v>
      </c>
      <c r="P96" s="154"/>
      <c r="Q96" s="2" t="str">
        <f t="shared" si="87"/>
        <v>Income Taxes</v>
      </c>
      <c r="R96" s="6">
        <f t="shared" si="113"/>
        <v>3.3610072989039105E-2</v>
      </c>
      <c r="S96" s="6">
        <f t="shared" si="113"/>
        <v>3.5682496983602666E-2</v>
      </c>
      <c r="T96" s="6">
        <f t="shared" si="113"/>
        <v>5.2509168977547191E-2</v>
      </c>
      <c r="U96" s="6">
        <f t="shared" si="113"/>
        <v>3.1533869711912799E-2</v>
      </c>
      <c r="V96" s="18">
        <f t="shared" si="113"/>
        <v>4.5233995930505554E-2</v>
      </c>
      <c r="W96" s="5">
        <f t="shared" si="114"/>
        <v>5.5267646287063758E-2</v>
      </c>
      <c r="X96" s="5">
        <f t="shared" si="114"/>
        <v>5.1171504093207074E-2</v>
      </c>
      <c r="Y96" s="5">
        <f t="shared" si="114"/>
        <v>5.1667449506810709E-2</v>
      </c>
      <c r="Z96" s="5">
        <f t="shared" si="115"/>
        <v>5.2912405513561585E-2</v>
      </c>
      <c r="AA96" s="5">
        <f t="shared" si="115"/>
        <v>5.2501682746241868E-2</v>
      </c>
      <c r="AB96" s="5">
        <f t="shared" si="116"/>
        <v>4.7608303249097469E-2</v>
      </c>
      <c r="AC96" s="5">
        <f t="shared" si="116"/>
        <v>4.6445704317488005E-2</v>
      </c>
      <c r="AD96" s="5">
        <f t="shared" si="117"/>
        <v>4.4795221843003413E-2</v>
      </c>
      <c r="AE96" s="55">
        <f>SUM(I96:M96)/SUM(I$76:M$76)</f>
        <v>5.0200170932481671E-2</v>
      </c>
      <c r="AG96" s="55">
        <f>AB96/AB93</f>
        <v>0.27155727155727155</v>
      </c>
    </row>
    <row r="97" spans="1:31" ht="13.5" thickBot="1">
      <c r="A97" s="184" t="s">
        <v>17</v>
      </c>
      <c r="B97" s="224">
        <f t="shared" ref="B97:L97" si="118">B93-B95-B96</f>
        <v>83.69999999999996</v>
      </c>
      <c r="C97" s="224">
        <f t="shared" si="118"/>
        <v>-88.200000000000017</v>
      </c>
      <c r="D97" s="224">
        <f t="shared" si="118"/>
        <v>327.29999999999995</v>
      </c>
      <c r="E97" s="224">
        <f t="shared" si="118"/>
        <v>140.09999999999962</v>
      </c>
      <c r="F97" s="224">
        <f t="shared" si="118"/>
        <v>248.09999999999968</v>
      </c>
      <c r="G97" s="224">
        <f t="shared" si="118"/>
        <v>251.70000000000016</v>
      </c>
      <c r="H97" s="225">
        <f t="shared" si="118"/>
        <v>360.69999999999959</v>
      </c>
      <c r="I97" s="225">
        <f t="shared" si="118"/>
        <v>445</v>
      </c>
      <c r="J97" s="225">
        <f t="shared" si="118"/>
        <v>465</v>
      </c>
      <c r="K97" s="225">
        <f t="shared" si="118"/>
        <v>550</v>
      </c>
      <c r="L97" s="225">
        <f t="shared" si="118"/>
        <v>566</v>
      </c>
      <c r="M97" s="225">
        <f t="shared" ref="M97" si="119">M93-M95-M96</f>
        <v>555</v>
      </c>
      <c r="N97" s="225">
        <f>N93-N95-N96</f>
        <v>281</v>
      </c>
      <c r="O97" s="211">
        <f>RATE(4,,-I97,M97)</f>
        <v>5.6776733397596833E-2</v>
      </c>
      <c r="P97" s="173"/>
      <c r="Q97" s="2" t="str">
        <f t="shared" si="87"/>
        <v>Net Income</v>
      </c>
      <c r="R97" s="7">
        <f t="shared" si="113"/>
        <v>2.0993754546138593E-2</v>
      </c>
      <c r="S97" s="7">
        <f t="shared" si="113"/>
        <v>-1.744565539885674E-2</v>
      </c>
      <c r="T97" s="7">
        <f t="shared" si="113"/>
        <v>9.759370247786027E-2</v>
      </c>
      <c r="U97" s="7">
        <f t="shared" si="113"/>
        <v>4.5451596158837149E-2</v>
      </c>
      <c r="V97" s="205">
        <f t="shared" si="113"/>
        <v>7.7664736265456155E-2</v>
      </c>
      <c r="W97" s="205">
        <f t="shared" si="114"/>
        <v>8.2557071634741588E-2</v>
      </c>
      <c r="X97" s="205">
        <f t="shared" si="114"/>
        <v>9.2565504144532448E-2</v>
      </c>
      <c r="Y97" s="205">
        <f t="shared" si="114"/>
        <v>0.1045091592296853</v>
      </c>
      <c r="Z97" s="205">
        <f t="shared" si="115"/>
        <v>0.10337927967985772</v>
      </c>
      <c r="AA97" s="205">
        <f t="shared" si="115"/>
        <v>0.12340139107022662</v>
      </c>
      <c r="AB97" s="205">
        <f t="shared" si="116"/>
        <v>0.12770758122743683</v>
      </c>
      <c r="AC97" s="205">
        <f t="shared" si="116"/>
        <v>0.12102049716528565</v>
      </c>
      <c r="AD97" s="205">
        <f t="shared" si="117"/>
        <v>0.11988054607508532</v>
      </c>
      <c r="AE97" s="205">
        <f>SUM(I97:M97)/SUM(I$76:M$76)</f>
        <v>0.11609914083936845</v>
      </c>
    </row>
    <row r="98" spans="1:31" ht="13.5" thickTop="1">
      <c r="A98" s="184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160"/>
      <c r="P98" s="140"/>
      <c r="Q98" s="2"/>
      <c r="R98" s="2"/>
      <c r="S98" s="2"/>
      <c r="T98" s="2"/>
      <c r="U98" s="2"/>
      <c r="V98" s="2"/>
      <c r="W98" s="5"/>
      <c r="X98" s="5"/>
      <c r="Y98" s="5"/>
      <c r="Z98" s="5"/>
      <c r="AA98" s="5"/>
      <c r="AB98" s="5"/>
      <c r="AC98" s="5"/>
      <c r="AD98" s="5"/>
      <c r="AE98" s="254"/>
    </row>
    <row r="99" spans="1:31">
      <c r="A99" s="148" t="s">
        <v>46</v>
      </c>
      <c r="B99" s="165">
        <v>18.899999999999999</v>
      </c>
      <c r="C99" s="165">
        <v>17.899999999999999</v>
      </c>
      <c r="D99" s="165">
        <v>12.7</v>
      </c>
      <c r="E99" s="165">
        <v>7.3</v>
      </c>
      <c r="F99" s="165">
        <v>3.3</v>
      </c>
      <c r="G99" s="165">
        <v>2.1</v>
      </c>
      <c r="H99" s="165">
        <v>2.1</v>
      </c>
      <c r="I99" s="165">
        <v>2</v>
      </c>
      <c r="J99" s="165">
        <v>2</v>
      </c>
      <c r="K99" s="165">
        <v>2</v>
      </c>
      <c r="L99" s="165">
        <v>2</v>
      </c>
      <c r="M99" s="165">
        <v>2</v>
      </c>
      <c r="N99" s="165">
        <v>1</v>
      </c>
      <c r="O99" s="150">
        <f>RATE(4,,-I99,M99)</f>
        <v>4.7220339190668739E-12</v>
      </c>
      <c r="P99" s="140"/>
      <c r="Q99" s="2" t="str">
        <f t="shared" si="87"/>
        <v>Preferred Stock Dividends</v>
      </c>
      <c r="R99" s="5">
        <f t="shared" ref="R99:U100" si="120">B99/B$97</f>
        <v>0.2258064516129033</v>
      </c>
      <c r="S99" s="5">
        <f t="shared" si="120"/>
        <v>-0.20294784580498862</v>
      </c>
      <c r="T99" s="5">
        <f t="shared" si="120"/>
        <v>3.8802322028719832E-2</v>
      </c>
      <c r="U99" s="5">
        <f t="shared" si="120"/>
        <v>5.2105638829407705E-2</v>
      </c>
      <c r="V99" s="5">
        <f t="shared" ref="V99:AC100" si="121">F99/F$76</f>
        <v>1.0330255125997809E-3</v>
      </c>
      <c r="W99" s="5">
        <f t="shared" si="121"/>
        <v>6.887955917082131E-4</v>
      </c>
      <c r="X99" s="5">
        <f t="shared" si="121"/>
        <v>5.3891754561552084E-4</v>
      </c>
      <c r="Y99" s="5">
        <f t="shared" si="121"/>
        <v>4.6970408642555192E-4</v>
      </c>
      <c r="Z99" s="5">
        <f t="shared" si="121"/>
        <v>4.4464206313917296E-4</v>
      </c>
      <c r="AA99" s="5">
        <f t="shared" si="121"/>
        <v>4.4873233116446041E-4</v>
      </c>
      <c r="AB99" s="5">
        <f t="shared" si="121"/>
        <v>4.512635379061372E-4</v>
      </c>
      <c r="AC99" s="5">
        <f t="shared" si="121"/>
        <v>4.3610989969472308E-4</v>
      </c>
      <c r="AD99" s="5">
        <f t="shared" ref="AD99:AD100" si="122">N99/N$76</f>
        <v>4.2662116040955632E-4</v>
      </c>
      <c r="AE99" s="55">
        <f>SUM(I99:M99)/SUM(I$76:M$76)</f>
        <v>4.4982232018352748E-4</v>
      </c>
    </row>
    <row r="100" spans="1:31">
      <c r="A100" s="148" t="s">
        <v>47</v>
      </c>
      <c r="B100" s="165">
        <f>269.5-B99</f>
        <v>250.6</v>
      </c>
      <c r="C100" s="165">
        <f>347.7-C99</f>
        <v>329.8</v>
      </c>
      <c r="D100" s="165">
        <f>310.3-D99</f>
        <v>297.60000000000002</v>
      </c>
      <c r="E100" s="165">
        <f>7.3-E99</f>
        <v>0</v>
      </c>
      <c r="F100" s="165">
        <v>160.6</v>
      </c>
      <c r="G100" s="165">
        <f>195.4-G99</f>
        <v>193.3</v>
      </c>
      <c r="H100" s="165">
        <v>175</v>
      </c>
      <c r="I100" s="165">
        <v>0</v>
      </c>
      <c r="J100" s="165">
        <v>0</v>
      </c>
      <c r="K100" s="165">
        <v>0</v>
      </c>
      <c r="L100" s="165">
        <v>0</v>
      </c>
      <c r="M100" s="165">
        <v>550</v>
      </c>
      <c r="N100" s="165">
        <v>50</v>
      </c>
      <c r="O100" s="150"/>
      <c r="P100" s="140"/>
      <c r="Q100" s="2" t="str">
        <f t="shared" si="87"/>
        <v>Common Stock Dividends</v>
      </c>
      <c r="R100" s="5">
        <f t="shared" si="120"/>
        <v>2.9940262843488665</v>
      </c>
      <c r="S100" s="5">
        <f t="shared" si="120"/>
        <v>-3.73922902494331</v>
      </c>
      <c r="T100" s="5">
        <f t="shared" si="120"/>
        <v>0.90925756186984441</v>
      </c>
      <c r="U100" s="5">
        <f t="shared" si="120"/>
        <v>0</v>
      </c>
      <c r="V100" s="5">
        <f t="shared" si="121"/>
        <v>5.0273908279855999E-2</v>
      </c>
      <c r="W100" s="5">
        <f t="shared" si="121"/>
        <v>6.3401994227236941E-2</v>
      </c>
      <c r="X100" s="5">
        <f t="shared" si="121"/>
        <v>4.4909795467960069E-2</v>
      </c>
      <c r="Y100" s="5">
        <f t="shared" si="121"/>
        <v>0</v>
      </c>
      <c r="Z100" s="5">
        <f t="shared" si="121"/>
        <v>0</v>
      </c>
      <c r="AA100" s="5">
        <f t="shared" si="121"/>
        <v>0</v>
      </c>
      <c r="AB100" s="5">
        <f t="shared" si="121"/>
        <v>0</v>
      </c>
      <c r="AC100" s="5">
        <f t="shared" si="121"/>
        <v>0.11993022241604885</v>
      </c>
      <c r="AD100" s="5">
        <f t="shared" si="122"/>
        <v>2.1331058020477817E-2</v>
      </c>
      <c r="AE100" s="55">
        <f>SUM(I100:M100)/SUM(I$76:M$76)</f>
        <v>2.4740227610094014E-2</v>
      </c>
    </row>
    <row r="101" spans="1:31">
      <c r="A101" s="149" t="s">
        <v>158</v>
      </c>
      <c r="B101" s="165" t="s">
        <v>160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50"/>
      <c r="P101" s="140"/>
      <c r="Q101" s="14" t="str">
        <f t="shared" si="87"/>
        <v>*</v>
      </c>
      <c r="R101" s="174" t="s">
        <v>159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50"/>
      <c r="P102" s="140"/>
      <c r="Q102" s="2"/>
      <c r="R102" s="140"/>
      <c r="S102" s="140"/>
      <c r="T102" s="140"/>
      <c r="U102" s="140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</row>
    <row r="103" spans="1:31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50"/>
      <c r="P103" s="140"/>
      <c r="Q103" s="2"/>
      <c r="S103" s="140"/>
      <c r="T103" s="140"/>
      <c r="U103" s="140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</row>
    <row r="104" spans="1:31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215" t="s">
        <v>115</v>
      </c>
      <c r="P104" s="140"/>
      <c r="Q104" s="2"/>
      <c r="R104" s="140"/>
      <c r="S104" s="140"/>
      <c r="T104" s="140"/>
      <c r="U104" s="140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</row>
    <row r="105" spans="1:31">
      <c r="A105" s="148"/>
      <c r="B105" s="148"/>
      <c r="C105" s="148"/>
      <c r="D105" s="148"/>
      <c r="E105" s="148"/>
      <c r="F105" s="138"/>
      <c r="G105" s="138"/>
      <c r="H105" s="138"/>
      <c r="I105" s="138"/>
      <c r="J105" s="138"/>
      <c r="K105" s="138"/>
      <c r="L105" s="138"/>
      <c r="M105" s="138"/>
      <c r="N105" s="138"/>
      <c r="O105" s="161" t="s">
        <v>119</v>
      </c>
      <c r="P105" s="140"/>
      <c r="Q105" s="2"/>
      <c r="R105" s="140"/>
      <c r="S105" s="140"/>
      <c r="T105" s="140"/>
      <c r="U105" s="140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</row>
    <row r="106" spans="1:31" ht="18.75">
      <c r="A106" s="142" t="str">
        <f>A4</f>
        <v>PacifiCorp</v>
      </c>
      <c r="B106" s="143"/>
      <c r="C106" s="143"/>
      <c r="D106" s="143"/>
      <c r="E106" s="143"/>
      <c r="F106" s="146"/>
      <c r="G106" s="146"/>
      <c r="H106" s="146"/>
      <c r="I106" s="146"/>
      <c r="J106" s="146"/>
      <c r="K106" s="146"/>
      <c r="L106" s="146"/>
      <c r="M106" s="146"/>
      <c r="N106" s="146"/>
      <c r="O106" s="143"/>
      <c r="P106" s="140"/>
      <c r="Q106" s="2"/>
      <c r="R106" s="140"/>
      <c r="S106" s="140"/>
      <c r="T106" s="140"/>
      <c r="U106" s="140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</row>
    <row r="107" spans="1:31" ht="15.75">
      <c r="A107" s="145" t="s">
        <v>41</v>
      </c>
      <c r="B107" s="146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7"/>
      <c r="P107" s="140"/>
      <c r="Q107" s="2"/>
      <c r="R107" s="140"/>
      <c r="S107" s="140"/>
      <c r="T107" s="140"/>
      <c r="U107" s="140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</row>
    <row r="108" spans="1:31" ht="14.25">
      <c r="A108" s="246" t="str">
        <f>A6</f>
        <v>Fiscal Years Ended December 31, 2007-2011, Six Months Ended June 2012</v>
      </c>
      <c r="B108" s="146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7"/>
      <c r="P108" s="140"/>
      <c r="Q108" s="2"/>
      <c r="R108" s="140"/>
      <c r="S108" s="140"/>
      <c r="T108" s="140"/>
      <c r="U108" s="140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</row>
    <row r="109" spans="1:31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50"/>
      <c r="P109" s="140"/>
      <c r="Q109" s="2"/>
      <c r="R109" s="140"/>
      <c r="S109" s="140"/>
      <c r="T109" s="140"/>
      <c r="U109" s="140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</row>
    <row r="110" spans="1:31">
      <c r="A110" s="184"/>
      <c r="B110" s="184"/>
      <c r="C110" s="184"/>
      <c r="D110" s="184"/>
      <c r="E110" s="184"/>
      <c r="F110" s="184"/>
      <c r="G110" s="184"/>
      <c r="H110" s="190"/>
      <c r="I110" s="190"/>
      <c r="J110" s="190"/>
      <c r="K110" s="190"/>
      <c r="L110" s="190"/>
      <c r="M110" s="190"/>
      <c r="N110" s="190" t="str">
        <f>N72</f>
        <v>June</v>
      </c>
      <c r="O110" s="189" t="str">
        <f>O7</f>
        <v>2007-2011</v>
      </c>
      <c r="P110" s="140"/>
      <c r="Q110" s="2"/>
      <c r="R110" s="140"/>
      <c r="S110" s="140"/>
      <c r="T110" s="140"/>
      <c r="U110" s="140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</row>
    <row r="111" spans="1:31">
      <c r="A111" s="207" t="s">
        <v>26</v>
      </c>
      <c r="B111" s="187">
        <f t="shared" ref="B111:H111" si="123">R9</f>
        <v>2000</v>
      </c>
      <c r="C111" s="187">
        <f t="shared" si="123"/>
        <v>2001</v>
      </c>
      <c r="D111" s="187">
        <f t="shared" si="123"/>
        <v>2002</v>
      </c>
      <c r="E111" s="187">
        <f t="shared" si="123"/>
        <v>2003</v>
      </c>
      <c r="F111" s="187">
        <f t="shared" si="123"/>
        <v>2004</v>
      </c>
      <c r="G111" s="187">
        <f t="shared" si="123"/>
        <v>2005</v>
      </c>
      <c r="H111" s="187">
        <f t="shared" si="123"/>
        <v>2006</v>
      </c>
      <c r="I111" s="187">
        <f>Y73</f>
        <v>2007</v>
      </c>
      <c r="J111" s="187">
        <f t="shared" ref="J111:M111" si="124">Z73</f>
        <v>2008</v>
      </c>
      <c r="K111" s="187">
        <f t="shared" si="124"/>
        <v>2009</v>
      </c>
      <c r="L111" s="187">
        <f t="shared" si="124"/>
        <v>2010</v>
      </c>
      <c r="M111" s="187">
        <f t="shared" si="124"/>
        <v>2011</v>
      </c>
      <c r="N111" s="187">
        <f>N73</f>
        <v>2012</v>
      </c>
      <c r="O111" s="192" t="s">
        <v>3</v>
      </c>
      <c r="P111" s="140"/>
      <c r="Q111" s="2"/>
      <c r="R111" s="140"/>
      <c r="S111" s="140"/>
      <c r="T111" s="140"/>
      <c r="U111" s="140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</row>
    <row r="112" spans="1:31" ht="7.5" customHeight="1">
      <c r="A112" s="151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7"/>
      <c r="P112" s="140"/>
      <c r="Q112" s="2"/>
      <c r="R112" s="140"/>
      <c r="S112" s="140"/>
      <c r="T112" s="140"/>
      <c r="U112" s="140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ht="12.75" customHeight="1">
      <c r="A113" s="186" t="s">
        <v>29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50"/>
      <c r="P113" s="140"/>
      <c r="Q113" s="2"/>
      <c r="R113" s="140"/>
      <c r="S113" s="140"/>
      <c r="T113" s="140"/>
      <c r="U113" s="140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ht="12.75" customHeight="1">
      <c r="A114" s="148" t="s">
        <v>7</v>
      </c>
      <c r="B114" s="178">
        <f t="shared" ref="B114:L114" si="125">B16/B47</f>
        <v>0.87684729064039402</v>
      </c>
      <c r="C114" s="178">
        <f t="shared" si="125"/>
        <v>0.84773919560329747</v>
      </c>
      <c r="D114" s="178">
        <f t="shared" si="125"/>
        <v>0.62470211192374059</v>
      </c>
      <c r="E114" s="178">
        <f t="shared" si="125"/>
        <v>0.90747863247863247</v>
      </c>
      <c r="F114" s="178">
        <f t="shared" si="125"/>
        <v>0.70408638183002892</v>
      </c>
      <c r="G114" s="178">
        <f t="shared" si="125"/>
        <v>0.76003004318708134</v>
      </c>
      <c r="H114" s="178">
        <f t="shared" si="125"/>
        <v>0.83488199983553968</v>
      </c>
      <c r="I114" s="178">
        <f t="shared" si="125"/>
        <v>1.1241431835491242</v>
      </c>
      <c r="J114" s="178">
        <f t="shared" si="125"/>
        <v>0.93860845839017737</v>
      </c>
      <c r="K114" s="178">
        <f t="shared" si="125"/>
        <v>1.5518262586377098</v>
      </c>
      <c r="L114" s="178">
        <f t="shared" si="125"/>
        <v>1.0851472471190782</v>
      </c>
      <c r="M114" s="178">
        <f t="shared" ref="M114" si="126">M16/M47</f>
        <v>0.81753031973539136</v>
      </c>
      <c r="N114" s="178">
        <f>N16/N47</f>
        <v>1.2548853016142736</v>
      </c>
      <c r="O114" s="178">
        <f>AVERAGE(I114:M114)</f>
        <v>1.1034510934862962</v>
      </c>
      <c r="P114" s="140"/>
      <c r="Q114" s="2"/>
      <c r="R114" s="140"/>
      <c r="S114" s="140"/>
      <c r="T114" s="140"/>
      <c r="U114" s="140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ht="12.75" customHeight="1">
      <c r="A115" s="148" t="s">
        <v>25</v>
      </c>
      <c r="B115" s="178">
        <f t="shared" ref="B115:L115" si="127">(B12+B13)/B47</f>
        <v>0.65298303229337706</v>
      </c>
      <c r="C115" s="178">
        <f t="shared" si="127"/>
        <v>0.44116912315763174</v>
      </c>
      <c r="D115" s="178">
        <f t="shared" si="127"/>
        <v>0.33445640562083984</v>
      </c>
      <c r="E115" s="178">
        <f t="shared" si="127"/>
        <v>0.43878205128205128</v>
      </c>
      <c r="F115" s="178">
        <f t="shared" si="127"/>
        <v>0.27329423810853581</v>
      </c>
      <c r="G115" s="178">
        <f t="shared" si="127"/>
        <v>0.30813043750391189</v>
      </c>
      <c r="H115" s="178">
        <f t="shared" si="127"/>
        <v>0.31773702820491728</v>
      </c>
      <c r="I115" s="178">
        <f t="shared" si="127"/>
        <v>0.61766945925361771</v>
      </c>
      <c r="J115" s="178">
        <f t="shared" si="127"/>
        <v>0.45566166439290584</v>
      </c>
      <c r="K115" s="178">
        <f t="shared" si="127"/>
        <v>0.72655478775913129</v>
      </c>
      <c r="L115" s="178">
        <f t="shared" si="127"/>
        <v>0.42189500640204863</v>
      </c>
      <c r="M115" s="178">
        <f t="shared" ref="M115" si="128">(M12+M13)/M47</f>
        <v>0.38588754134509373</v>
      </c>
      <c r="N115" s="178">
        <f>(N12+N13)/N47</f>
        <v>0.61852166525063723</v>
      </c>
      <c r="O115" s="178">
        <f t="shared" ref="O115:O123" si="129">AVERAGE(I115:M115)</f>
        <v>0.52153369183055942</v>
      </c>
      <c r="P115" s="140"/>
      <c r="Q115" s="2"/>
      <c r="R115" s="140"/>
      <c r="S115" s="140"/>
      <c r="T115" s="140"/>
      <c r="U115" s="140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ht="12.75" customHeight="1">
      <c r="A116" s="140" t="s">
        <v>220</v>
      </c>
      <c r="B116" s="178"/>
      <c r="C116" s="178"/>
      <c r="D116" s="178"/>
      <c r="E116" s="178"/>
      <c r="F116" s="178"/>
      <c r="G116" s="178"/>
      <c r="H116" s="178">
        <f t="shared" ref="H116:M116" si="130">((H76/365)/((G12+H12)/2))^-1</f>
        <v>14.935522365078143</v>
      </c>
      <c r="I116" s="178">
        <f t="shared" si="130"/>
        <v>14.898309065288869</v>
      </c>
      <c r="J116" s="178">
        <f t="shared" si="130"/>
        <v>11.644619831036016</v>
      </c>
      <c r="K116" s="178">
        <f t="shared" si="130"/>
        <v>7.2066412385012342</v>
      </c>
      <c r="L116" s="178">
        <f t="shared" si="130"/>
        <v>6.0943140794223831</v>
      </c>
      <c r="M116" s="178">
        <f t="shared" si="130"/>
        <v>3.1040122110771917</v>
      </c>
      <c r="N116" s="178">
        <f>((N76*2/365)/((M12+N12)/2))^-1</f>
        <v>5.9950938566552896</v>
      </c>
      <c r="O116" s="178">
        <f t="shared" si="129"/>
        <v>8.5895792850651382</v>
      </c>
      <c r="P116" s="140"/>
      <c r="Q116" s="2"/>
      <c r="R116" s="140"/>
      <c r="S116" s="140"/>
      <c r="T116" s="140"/>
      <c r="U116" s="140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ht="12.75" customHeight="1">
      <c r="A117" s="148" t="s">
        <v>10</v>
      </c>
      <c r="B117" s="178">
        <f>365*(B13/B76)</f>
        <v>51.414382101382024</v>
      </c>
      <c r="C117" s="178">
        <f t="shared" ref="C117:M117" si="131">365*(((B13+C13)/2)/((B76+C76)/2))</f>
        <v>45.555371242784148</v>
      </c>
      <c r="D117" s="178">
        <f t="shared" si="131"/>
        <v>35.42184935905059</v>
      </c>
      <c r="E117" s="178">
        <f t="shared" si="131"/>
        <v>28.769674181569581</v>
      </c>
      <c r="F117" s="178">
        <f t="shared" si="131"/>
        <v>28.685258646784238</v>
      </c>
      <c r="G117" s="178">
        <f t="shared" si="131"/>
        <v>30.87413707494434</v>
      </c>
      <c r="H117" s="178">
        <f t="shared" si="131"/>
        <v>29.41861637031171</v>
      </c>
      <c r="I117" s="178">
        <f t="shared" si="131"/>
        <v>38.03659239457</v>
      </c>
      <c r="J117" s="178">
        <f t="shared" si="131"/>
        <v>49.689355870260393</v>
      </c>
      <c r="K117" s="178">
        <f t="shared" si="131"/>
        <v>50.052484645449468</v>
      </c>
      <c r="L117" s="178">
        <f t="shared" si="131"/>
        <v>51.204297446281927</v>
      </c>
      <c r="M117" s="178">
        <f t="shared" si="131"/>
        <v>51.847970725216236</v>
      </c>
      <c r="N117" s="178">
        <f>365*(((M13+N13)/2)/((M76+N76*2)/2))</f>
        <v>50.141255121846015</v>
      </c>
      <c r="O117" s="178">
        <f t="shared" si="129"/>
        <v>48.166140216355601</v>
      </c>
      <c r="P117" s="140"/>
      <c r="Q117" s="2"/>
      <c r="R117" s="140"/>
      <c r="S117" s="140"/>
      <c r="T117" s="140"/>
      <c r="U117" s="140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</row>
    <row r="118" spans="1:31" ht="7.5" customHeight="1">
      <c r="A118" s="14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40"/>
      <c r="Q118" s="2"/>
      <c r="R118" s="140"/>
      <c r="S118" s="140"/>
      <c r="T118" s="140"/>
      <c r="U118" s="140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</row>
    <row r="119" spans="1:31">
      <c r="A119" s="186" t="s">
        <v>16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40"/>
      <c r="Q119" s="2"/>
      <c r="R119" s="140"/>
      <c r="S119" s="140"/>
      <c r="T119" s="140"/>
      <c r="U119" s="140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</row>
    <row r="120" spans="1:31">
      <c r="A120" s="148" t="s">
        <v>20</v>
      </c>
      <c r="B120" s="178">
        <f t="shared" ref="B120:L120" si="132">B62/B55</f>
        <v>0.47265705897401533</v>
      </c>
      <c r="C120" s="178">
        <f t="shared" si="132"/>
        <v>0.47675831157406762</v>
      </c>
      <c r="D120" s="178">
        <f t="shared" si="132"/>
        <v>0.38411677978933939</v>
      </c>
      <c r="E120" s="178">
        <f t="shared" si="132"/>
        <v>0.39674102041830195</v>
      </c>
      <c r="F120" s="178">
        <f t="shared" si="132"/>
        <v>0.39498602544333078</v>
      </c>
      <c r="G120" s="178">
        <f t="shared" si="132"/>
        <v>0.36677295217152284</v>
      </c>
      <c r="H120" s="178">
        <f t="shared" si="132"/>
        <v>0.46427496469171825</v>
      </c>
      <c r="I120" s="178">
        <f t="shared" si="132"/>
        <v>0.51277093721379874</v>
      </c>
      <c r="J120" s="178">
        <f>J62/J55</f>
        <v>0.54288288288288289</v>
      </c>
      <c r="K120" s="178">
        <f>K62/K55</f>
        <v>0.54691842406408375</v>
      </c>
      <c r="L120" s="178">
        <f t="shared" si="132"/>
        <v>0.56641994546162833</v>
      </c>
      <c r="M120" s="178">
        <f t="shared" ref="M120" si="133">M62/M55</f>
        <v>0.52711323763955342</v>
      </c>
      <c r="N120" s="178">
        <f>N62/N55</f>
        <v>0.53952384377472484</v>
      </c>
      <c r="O120" s="178">
        <f t="shared" si="129"/>
        <v>0.53922108545238934</v>
      </c>
      <c r="P120" s="140"/>
      <c r="Q120" s="2"/>
      <c r="R120" s="140"/>
      <c r="S120" s="140"/>
      <c r="T120" s="140"/>
      <c r="U120" s="140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</row>
    <row r="121" spans="1:31">
      <c r="A121" s="148" t="s">
        <v>19</v>
      </c>
      <c r="B121" s="178">
        <f t="shared" ref="B121:L121" si="134">B62/B53</f>
        <v>0.54550439367311077</v>
      </c>
      <c r="C121" s="178">
        <f t="shared" si="134"/>
        <v>0.61404549950544018</v>
      </c>
      <c r="D121" s="178">
        <f t="shared" si="134"/>
        <v>0.45817357964447536</v>
      </c>
      <c r="E121" s="178">
        <f t="shared" si="134"/>
        <v>0.44892911349710496</v>
      </c>
      <c r="F121" s="178">
        <f t="shared" si="134"/>
        <v>0.45370511312530271</v>
      </c>
      <c r="G121" s="178">
        <f t="shared" si="134"/>
        <v>0.44493350939671616</v>
      </c>
      <c r="H121" s="178">
        <f t="shared" si="134"/>
        <v>0.54034572425593841</v>
      </c>
      <c r="I121" s="178">
        <f t="shared" si="134"/>
        <v>0.59184871975569653</v>
      </c>
      <c r="J121" s="178">
        <f>J62/J53</f>
        <v>0.62549304546398177</v>
      </c>
      <c r="K121" s="178">
        <f>K62/K53</f>
        <v>0.59629266553783089</v>
      </c>
      <c r="L121" s="178">
        <f t="shared" si="134"/>
        <v>0.64490375232857267</v>
      </c>
      <c r="M121" s="178">
        <f t="shared" ref="M121" si="135">M62/M53</f>
        <v>0.60692821368948247</v>
      </c>
      <c r="N121" s="178">
        <f>N62/N53</f>
        <v>0.58942322803708946</v>
      </c>
      <c r="O121" s="178">
        <f t="shared" si="129"/>
        <v>0.61309327935511282</v>
      </c>
      <c r="P121" s="140"/>
      <c r="Q121" s="2"/>
      <c r="R121" s="140"/>
      <c r="S121" s="140"/>
      <c r="T121" s="140"/>
      <c r="U121" s="140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</row>
    <row r="122" spans="1:31">
      <c r="A122" s="148" t="s">
        <v>18</v>
      </c>
      <c r="B122" s="178">
        <f t="shared" ref="B122:L122" si="136">B62/B27</f>
        <v>0.42180620332017876</v>
      </c>
      <c r="C122" s="178">
        <f t="shared" si="136"/>
        <v>0.43095331254969776</v>
      </c>
      <c r="D122" s="178">
        <f t="shared" si="136"/>
        <v>0.3628709454796411</v>
      </c>
      <c r="E122" s="178">
        <f t="shared" si="136"/>
        <v>0.36723573029832729</v>
      </c>
      <c r="F122" s="178">
        <f t="shared" si="136"/>
        <v>0.36282852874453603</v>
      </c>
      <c r="G122" s="178">
        <f t="shared" si="136"/>
        <v>0.35148462689397936</v>
      </c>
      <c r="H122" s="178">
        <f t="shared" si="136"/>
        <v>0.39671784117437586</v>
      </c>
      <c r="I122" s="178">
        <f t="shared" si="136"/>
        <v>0.42526795510169635</v>
      </c>
      <c r="J122" s="178">
        <f t="shared" si="136"/>
        <v>0.43590856481481483</v>
      </c>
      <c r="K122" s="178">
        <f t="shared" si="136"/>
        <v>0.43064941751946967</v>
      </c>
      <c r="L122" s="178">
        <f t="shared" si="136"/>
        <v>0.44350902879453391</v>
      </c>
      <c r="M122" s="178">
        <f t="shared" ref="M122" si="137">M62/M27</f>
        <v>0.41849890641187981</v>
      </c>
      <c r="N122" s="178">
        <f>N62/N27</f>
        <v>0.42194971029982564</v>
      </c>
      <c r="O122" s="178">
        <f t="shared" si="129"/>
        <v>0.43076677452847889</v>
      </c>
      <c r="P122" s="140"/>
      <c r="Q122" s="2"/>
      <c r="R122" s="140"/>
      <c r="S122" s="140"/>
      <c r="T122" s="140"/>
      <c r="U122" s="140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  <row r="123" spans="1:31">
      <c r="A123" s="148" t="s">
        <v>30</v>
      </c>
      <c r="B123" s="178">
        <f t="shared" ref="B123:I123" si="138">(B93+B87)/B87</f>
        <v>2.2830012453300124</v>
      </c>
      <c r="C123" s="178">
        <f t="shared" si="138"/>
        <v>1.3322522522522522</v>
      </c>
      <c r="D123" s="178">
        <f t="shared" si="138"/>
        <v>3.1263586956521738</v>
      </c>
      <c r="E123" s="178">
        <f t="shared" si="138"/>
        <v>1.9480776852952819</v>
      </c>
      <c r="F123" s="178">
        <f t="shared" si="138"/>
        <v>2.6631445477599311</v>
      </c>
      <c r="G123" s="178">
        <f t="shared" si="138"/>
        <v>2.6634996041171823</v>
      </c>
      <c r="H123" s="178">
        <f t="shared" si="138"/>
        <v>3.2630303030303018</v>
      </c>
      <c r="I123" s="178">
        <f t="shared" si="138"/>
        <v>3.3333333333333335</v>
      </c>
      <c r="J123" s="178">
        <f>(J93+J87)/J87</f>
        <v>3.2750809061488675</v>
      </c>
      <c r="K123" s="178">
        <f>(K93+K87)/K87</f>
        <v>3.1838440111420612</v>
      </c>
      <c r="L123" s="178">
        <f>((L93+L87)/L87)</f>
        <v>3.2719298245614037</v>
      </c>
      <c r="M123" s="178">
        <f>((M93+M87)/M87)</f>
        <v>3.092643051771117</v>
      </c>
      <c r="N123" s="178">
        <f>((N93+N87)/N87)</f>
        <v>3.2057142857142855</v>
      </c>
      <c r="O123" s="178">
        <f t="shared" si="129"/>
        <v>3.2313662253913562</v>
      </c>
      <c r="P123" s="140"/>
      <c r="Q123" s="2"/>
      <c r="R123" s="140"/>
      <c r="S123" s="140"/>
      <c r="T123" s="140"/>
      <c r="U123" s="140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</row>
    <row r="124" spans="1:31">
      <c r="A124" s="148" t="s">
        <v>245</v>
      </c>
      <c r="B124" s="178"/>
      <c r="C124" s="178"/>
      <c r="D124" s="178"/>
      <c r="E124" s="178"/>
      <c r="F124" s="178"/>
      <c r="G124" s="178"/>
      <c r="H124" s="178"/>
      <c r="I124" s="178">
        <f>(I93+I87+I81)/I87</f>
        <v>5.0771929824561406</v>
      </c>
      <c r="J124" s="178">
        <f t="shared" ref="J124:N124" si="139">(J93+J87+J81)/J87</f>
        <v>4.8608414239482203</v>
      </c>
      <c r="K124" s="178">
        <f t="shared" si="139"/>
        <v>4.7130919220055709</v>
      </c>
      <c r="L124" s="178">
        <f t="shared" si="139"/>
        <v>4.9122807017543861</v>
      </c>
      <c r="M124" s="178">
        <f t="shared" si="139"/>
        <v>4.7574931880108995</v>
      </c>
      <c r="N124" s="178">
        <f t="shared" si="139"/>
        <v>5.0171428571428569</v>
      </c>
      <c r="O124" s="178">
        <f t="shared" ref="O124" si="140">AVERAGE(I124:M124)</f>
        <v>4.8641800436350433</v>
      </c>
      <c r="P124" s="140"/>
      <c r="Q124" s="2"/>
      <c r="R124" s="140"/>
      <c r="S124" s="140"/>
      <c r="T124" s="140"/>
      <c r="U124" s="140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</row>
    <row r="125" spans="1:31">
      <c r="A125" s="14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40"/>
      <c r="Q125" s="2"/>
      <c r="R125" s="140"/>
      <c r="S125" s="140"/>
      <c r="T125" s="140"/>
      <c r="U125" s="140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</row>
    <row r="126" spans="1:31">
      <c r="A126" s="186" t="s">
        <v>66</v>
      </c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40"/>
      <c r="Q126" s="2"/>
      <c r="R126" s="140"/>
      <c r="S126" s="140"/>
      <c r="T126" s="140"/>
      <c r="U126" s="140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</row>
    <row r="127" spans="1:31">
      <c r="A127" s="148" t="s">
        <v>28</v>
      </c>
      <c r="B127" s="150">
        <f>(B97+(B87*(1-(B96/B93))))/((B37)/1)</f>
        <v>2.4417305749913163E-2</v>
      </c>
      <c r="C127" s="150">
        <f t="shared" ref="C127:K127" si="141">(C97+(C87*(1-(C96/C93))))/((B37+C37)/2)</f>
        <v>-3.0177265524137634E-2</v>
      </c>
      <c r="D127" s="150">
        <f t="shared" si="141"/>
        <v>4.2276489838652002E-2</v>
      </c>
      <c r="E127" s="150">
        <f t="shared" si="141"/>
        <v>2.5683038962038707E-2</v>
      </c>
      <c r="F127" s="150">
        <f t="shared" si="141"/>
        <v>3.4040824318727507E-2</v>
      </c>
      <c r="G127" s="150">
        <f>(G97+(G87*(1-(G96/G93))))/((F37+G37)/2)</f>
        <v>3.3309159453546809E-2</v>
      </c>
      <c r="H127" s="150">
        <f t="shared" si="141"/>
        <v>4.1191504558362284E-2</v>
      </c>
      <c r="I127" s="150">
        <f t="shared" si="141"/>
        <v>4.6002415902156493E-2</v>
      </c>
      <c r="J127" s="150">
        <f t="shared" si="141"/>
        <v>4.174024666110402E-2</v>
      </c>
      <c r="K127" s="150">
        <f t="shared" si="141"/>
        <v>4.4383222527657175E-2</v>
      </c>
      <c r="L127" s="150">
        <f>((L97+(L87*(1-(L96/L93))))/((K37+L37)/2))</f>
        <v>4.1681704496185981E-2</v>
      </c>
      <c r="M127" s="150">
        <f>((M97+(M87*(1-(M96/M93))))/((L37+M37)/2))</f>
        <v>3.9766064372636481E-2</v>
      </c>
      <c r="N127" s="150">
        <f>((N97+(N87*(1-(N96/N93))))/((M37+N37)/2))*2</f>
        <v>3.8391236216022633E-2</v>
      </c>
      <c r="O127" s="179">
        <f>AVERAGE(I127:M127)</f>
        <v>4.2714730791948027E-2</v>
      </c>
      <c r="P127" s="140"/>
      <c r="Q127" s="2"/>
      <c r="R127" s="140"/>
      <c r="S127" s="140"/>
      <c r="T127" s="140"/>
      <c r="U127" s="140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</row>
    <row r="128" spans="1:31">
      <c r="A128" s="148" t="s">
        <v>65</v>
      </c>
      <c r="B128" s="150">
        <f>(B97+(B87*(1-(B96/B93))))/((B49+B57+B62)/1)</f>
        <v>3.4699656878927392E-2</v>
      </c>
      <c r="C128" s="150">
        <f t="shared" ref="C128:K128" si="142">(C97+(C87*(1-(C96/C93))))/((B49+C49+B57+C57+B62+C62)/2)</f>
        <v>-4.5522655002233889E-2</v>
      </c>
      <c r="D128" s="150">
        <f t="shared" si="142"/>
        <v>6.7521766431899152E-2</v>
      </c>
      <c r="E128" s="150">
        <f t="shared" si="142"/>
        <v>4.1516238440737915E-2</v>
      </c>
      <c r="F128" s="150">
        <f t="shared" si="142"/>
        <v>5.7000693689001243E-2</v>
      </c>
      <c r="G128" s="150">
        <f>(G97+(G87*(1-(G96/G93))))/((F49+G49+F57+G57+F62+G62)/2)</f>
        <v>5.7773057933750413E-2</v>
      </c>
      <c r="H128" s="150">
        <f t="shared" si="142"/>
        <v>6.9956023364629499E-2</v>
      </c>
      <c r="I128" s="150">
        <f t="shared" si="142"/>
        <v>7.2047450936900209E-2</v>
      </c>
      <c r="J128" s="150">
        <f t="shared" si="142"/>
        <v>6.2782623870204959E-2</v>
      </c>
      <c r="K128" s="150">
        <f t="shared" si="142"/>
        <v>6.5130121414605724E-2</v>
      </c>
      <c r="L128" s="150">
        <f>((L97+(L87*(1-(L96/L93))))/((K49+L49+K57+L57+K62+L62)/2))</f>
        <v>6.2090753589839509E-2</v>
      </c>
      <c r="M128" s="150">
        <f>((M97+(M87*(1-(M96/M93))))/((L49+M49+L57+M57+L62+M62)/2))</f>
        <v>6.1600814401051446E-2</v>
      </c>
      <c r="N128" s="150">
        <f>((N97+(N87*(1-(N96/N93))))/((M49+N49+M57+N57+M62+N62)/2))*2</f>
        <v>5.864814720427871E-2</v>
      </c>
      <c r="O128" s="179">
        <f t="shared" ref="O128:O129" si="143">AVERAGE(I128:M128)</f>
        <v>6.4730352842520378E-2</v>
      </c>
      <c r="P128" s="140"/>
      <c r="Q128" s="2"/>
      <c r="R128" s="140"/>
      <c r="S128" s="140"/>
      <c r="T128" s="140"/>
      <c r="U128" s="140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</row>
    <row r="129" spans="1:31">
      <c r="A129" s="148" t="s">
        <v>64</v>
      </c>
      <c r="B129" s="150">
        <f>(B97-B99)/((B62)/1)</f>
        <v>1.6701461377870552E-2</v>
      </c>
      <c r="C129" s="150">
        <f t="shared" ref="C129:K129" si="144">(C97-C99)/((C62+B62)/2)</f>
        <v>-2.9091208203665883E-2</v>
      </c>
      <c r="D129" s="150">
        <f t="shared" si="144"/>
        <v>9.9773242630385492E-2</v>
      </c>
      <c r="E129" s="150">
        <f t="shared" si="144"/>
        <v>4.3638992491332872E-2</v>
      </c>
      <c r="F129" s="150">
        <f t="shared" si="144"/>
        <v>7.563609398896963E-2</v>
      </c>
      <c r="G129" s="150">
        <f>(G97-G99)/((G62+F62)/2)</f>
        <v>7.5470557109380956E-2</v>
      </c>
      <c r="H129" s="150">
        <f t="shared" si="144"/>
        <v>9.7627377046948682E-2</v>
      </c>
      <c r="I129" s="150">
        <f t="shared" si="144"/>
        <v>9.7905961655340074E-2</v>
      </c>
      <c r="J129" s="150">
        <f t="shared" si="144"/>
        <v>8.3687302304563935E-2</v>
      </c>
      <c r="K129" s="150">
        <f t="shared" si="144"/>
        <v>8.6183848391916326E-2</v>
      </c>
      <c r="L129" s="150">
        <f>((L97-L99)/((L62+K62)/2))</f>
        <v>8.0796504548384787E-2</v>
      </c>
      <c r="M129" s="150">
        <f>((M97-M99)/((M62+L62)/2))</f>
        <v>7.6060793618045533E-2</v>
      </c>
      <c r="N129" s="150">
        <f>((N97-N99)/((N62+M62)/2))*2</f>
        <v>7.5819117248849169E-2</v>
      </c>
      <c r="O129" s="179">
        <f t="shared" si="143"/>
        <v>8.4926882103650125E-2</v>
      </c>
      <c r="P129" s="140"/>
      <c r="Q129" s="2"/>
      <c r="R129" s="140"/>
      <c r="S129" s="140"/>
      <c r="T129" s="140"/>
      <c r="U129" s="140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</row>
    <row r="130" spans="1:31">
      <c r="A130" s="14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40"/>
      <c r="Q130" s="2"/>
      <c r="R130" s="140"/>
      <c r="S130" s="140"/>
      <c r="T130" s="140"/>
      <c r="U130" s="140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</row>
    <row r="131" spans="1:31">
      <c r="A131" s="226" t="s">
        <v>161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40"/>
      <c r="Q131" s="2"/>
      <c r="R131" s="140"/>
      <c r="S131" s="140"/>
      <c r="T131" s="140"/>
      <c r="U131" s="140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</row>
    <row r="132" spans="1:31">
      <c r="A132" s="148" t="s">
        <v>207</v>
      </c>
      <c r="B132" s="178">
        <f>B76/(B27)</f>
        <v>0.43343878760205695</v>
      </c>
      <c r="C132" s="178">
        <f t="shared" ref="C132:K132" si="145">C76/((B27+C27)/2)</f>
        <v>0.59057776324089439</v>
      </c>
      <c r="D132" s="178">
        <f t="shared" si="145"/>
        <v>0.42205079157333064</v>
      </c>
      <c r="E132" s="178">
        <f t="shared" si="145"/>
        <v>0.36985841132709385</v>
      </c>
      <c r="F132" s="178">
        <f t="shared" si="145"/>
        <v>0.36024809698336624</v>
      </c>
      <c r="G132" s="178">
        <f>G76/((F27+G27)/2)</f>
        <v>0.32911788677127024</v>
      </c>
      <c r="H132" s="178">
        <f t="shared" si="145"/>
        <v>0.39762650639292246</v>
      </c>
      <c r="I132" s="178">
        <f t="shared" si="145"/>
        <v>0.38782778187647443</v>
      </c>
      <c r="J132" s="178">
        <f t="shared" si="145"/>
        <v>0.35040704241810461</v>
      </c>
      <c r="K132" s="178">
        <f t="shared" si="145"/>
        <v>0.30360001362351419</v>
      </c>
      <c r="L132" s="178">
        <f>(L76/((K27+L27)/2))</f>
        <v>0.27761596041216446</v>
      </c>
      <c r="M132" s="178">
        <f>(M76/((L27+M27)/2))</f>
        <v>0.27163418823668778</v>
      </c>
      <c r="N132" s="178">
        <f>(N76/((M27+N27)/2))*2</f>
        <v>0.26673494352934485</v>
      </c>
      <c r="O132" s="178">
        <f t="shared" ref="O132:O133" si="146">AVERAGE(I132:M132)</f>
        <v>0.31821699731338909</v>
      </c>
      <c r="P132" s="140"/>
      <c r="Q132" s="2"/>
      <c r="R132" s="140"/>
      <c r="S132" s="140"/>
      <c r="T132" s="140"/>
      <c r="U132" s="140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</row>
    <row r="133" spans="1:31">
      <c r="A133" s="148" t="s">
        <v>208</v>
      </c>
      <c r="B133" s="178">
        <f>B76/B37</f>
        <v>0.3240038683147638</v>
      </c>
      <c r="C133" s="178">
        <f t="shared" ref="C133:K133" si="147">C76/((B37+C37)/2)</f>
        <v>0.43139396473383984</v>
      </c>
      <c r="D133" s="178">
        <f t="shared" si="147"/>
        <v>0.30472391578909108</v>
      </c>
      <c r="E133" s="178">
        <f t="shared" si="147"/>
        <v>0.27310019757767989</v>
      </c>
      <c r="F133" s="178">
        <f t="shared" si="147"/>
        <v>0.27335076092397609</v>
      </c>
      <c r="G133" s="178">
        <f>G76/((F37+G37)/2)</f>
        <v>0.25198776758409791</v>
      </c>
      <c r="H133" s="178">
        <f t="shared" si="147"/>
        <v>0.30862261505928196</v>
      </c>
      <c r="I133" s="178">
        <f t="shared" si="147"/>
        <v>0.30812314795048906</v>
      </c>
      <c r="J133" s="178">
        <f t="shared" si="147"/>
        <v>0.28047639832886451</v>
      </c>
      <c r="K133" s="178">
        <f t="shared" si="147"/>
        <v>0.24669969280159412</v>
      </c>
      <c r="L133" s="178">
        <f>(L76/((K37+L37)/2))</f>
        <v>0.22663121292697894</v>
      </c>
      <c r="M133" s="178">
        <f>(M76/((L37+M37)/2))</f>
        <v>0.22234073499466692</v>
      </c>
      <c r="N133" s="178">
        <f>(N76/((M37+N37)/2))*2</f>
        <v>0.22034734788841626</v>
      </c>
      <c r="O133" s="178">
        <f t="shared" si="146"/>
        <v>0.25685423740051871</v>
      </c>
      <c r="P133" s="140"/>
      <c r="Q133" s="2"/>
      <c r="R133" s="140"/>
      <c r="S133" s="140"/>
      <c r="T133" s="140"/>
      <c r="U133" s="140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</row>
    <row r="134" spans="1:31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78"/>
      <c r="P134" s="140"/>
      <c r="Q134" s="2"/>
      <c r="R134" s="140"/>
      <c r="S134" s="140"/>
      <c r="T134" s="140"/>
      <c r="U134" s="140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</row>
    <row r="135" spans="1:31">
      <c r="A135" s="186" t="s">
        <v>162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78"/>
      <c r="P135" s="140"/>
      <c r="Q135" s="2"/>
      <c r="R135" s="140"/>
      <c r="S135" s="140"/>
      <c r="T135" s="140"/>
      <c r="U135" s="140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</row>
    <row r="136" spans="1:31">
      <c r="A136" s="148" t="s">
        <v>155</v>
      </c>
      <c r="B136" s="141">
        <f t="shared" ref="B136:N136" si="148">B62/B$141</f>
        <v>0.43861989441197424</v>
      </c>
      <c r="C136" s="141">
        <f t="shared" si="148"/>
        <v>0.49268419381836021</v>
      </c>
      <c r="D136" s="141">
        <f t="shared" si="148"/>
        <v>0.4103615620388239</v>
      </c>
      <c r="E136" s="141">
        <f t="shared" si="148"/>
        <v>0.44375911648260058</v>
      </c>
      <c r="F136" s="141">
        <f t="shared" si="148"/>
        <v>0.45942688993203951</v>
      </c>
      <c r="G136" s="141">
        <f t="shared" si="148"/>
        <v>0.45541175185670602</v>
      </c>
      <c r="H136" s="141">
        <f t="shared" si="148"/>
        <v>0.49937741252645995</v>
      </c>
      <c r="I136" s="141">
        <f t="shared" si="148"/>
        <v>0.49175368400507463</v>
      </c>
      <c r="J136" s="141">
        <f t="shared" si="148"/>
        <v>0.51792006875805763</v>
      </c>
      <c r="K136" s="141">
        <f t="shared" si="148"/>
        <v>0.50889869181624581</v>
      </c>
      <c r="L136" s="141">
        <f t="shared" si="148"/>
        <v>0.53019253208868145</v>
      </c>
      <c r="M136" s="141">
        <f t="shared" ref="M136" si="149">M62/M$141</f>
        <v>0.5375970425138632</v>
      </c>
      <c r="N136" s="141">
        <f t="shared" si="148"/>
        <v>0.52039683640904677</v>
      </c>
      <c r="O136" s="179">
        <f t="shared" ref="O136:O138" si="150">AVERAGE(I136:M136)</f>
        <v>0.51727240383638462</v>
      </c>
      <c r="P136" s="140"/>
      <c r="Q136" s="2"/>
      <c r="R136" s="140"/>
      <c r="S136" s="140"/>
      <c r="T136" s="140"/>
      <c r="U136" s="140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</row>
    <row r="137" spans="1:31">
      <c r="A137" s="148" t="s">
        <v>59</v>
      </c>
      <c r="B137" s="141">
        <f t="shared" ref="B137:N137" si="151">B57/B$141</f>
        <v>2.4475168726047686E-2</v>
      </c>
      <c r="C137" s="141">
        <f t="shared" si="151"/>
        <v>8.0473867998037574E-2</v>
      </c>
      <c r="D137" s="141">
        <f t="shared" si="151"/>
        <v>6.4848450448405037E-2</v>
      </c>
      <c r="E137" s="141">
        <f t="shared" si="151"/>
        <v>6.2485239980551506E-2</v>
      </c>
      <c r="F137" s="141">
        <f t="shared" si="151"/>
        <v>1.3676171792895677E-2</v>
      </c>
      <c r="G137" s="141">
        <f t="shared" si="151"/>
        <v>1.2300677151594582E-2</v>
      </c>
      <c r="H137" s="141">
        <f t="shared" si="151"/>
        <v>1.0285145062881335E-2</v>
      </c>
      <c r="I137" s="141">
        <f t="shared" si="151"/>
        <v>4.0011710744608181E-3</v>
      </c>
      <c r="J137" s="141">
        <f t="shared" si="151"/>
        <v>3.5238504512247527E-3</v>
      </c>
      <c r="K137" s="141">
        <f t="shared" si="151"/>
        <v>3.1183449954365681E-3</v>
      </c>
      <c r="L137" s="141">
        <f t="shared" si="151"/>
        <v>2.9900816802800466E-3</v>
      </c>
      <c r="M137" s="141">
        <f t="shared" ref="M137" si="152">M57/M$141</f>
        <v>3.0314232902033272E-3</v>
      </c>
      <c r="N137" s="141">
        <f t="shared" si="151"/>
        <v>2.8444567781323715E-3</v>
      </c>
      <c r="O137" s="179">
        <f t="shared" si="150"/>
        <v>3.3329742983211029E-3</v>
      </c>
      <c r="P137" s="140"/>
      <c r="Q137" s="2"/>
      <c r="R137" s="140"/>
      <c r="S137" s="140"/>
      <c r="T137" s="140"/>
      <c r="U137" s="140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</row>
    <row r="138" spans="1:31">
      <c r="A138" s="148" t="s">
        <v>163</v>
      </c>
      <c r="B138" s="141">
        <f t="shared" ref="B138:N138" si="153">(B41+B49)/B$141</f>
        <v>0.53690493686197815</v>
      </c>
      <c r="C138" s="141">
        <f t="shared" si="153"/>
        <v>0.42684193818360217</v>
      </c>
      <c r="D138" s="141">
        <f t="shared" si="153"/>
        <v>0.52478998751277106</v>
      </c>
      <c r="E138" s="180">
        <f t="shared" si="153"/>
        <v>0.49375564353684792</v>
      </c>
      <c r="F138" s="180">
        <f t="shared" si="153"/>
        <v>0.52689693827506479</v>
      </c>
      <c r="G138" s="180">
        <f t="shared" si="153"/>
        <v>0.53228757099169943</v>
      </c>
      <c r="H138" s="180">
        <f t="shared" si="153"/>
        <v>0.49033744241065869</v>
      </c>
      <c r="I138" s="180">
        <f t="shared" si="153"/>
        <v>0.50424514492046457</v>
      </c>
      <c r="J138" s="180">
        <f t="shared" si="153"/>
        <v>0.47855608079071765</v>
      </c>
      <c r="K138" s="180">
        <f t="shared" si="153"/>
        <v>0.48798296318831763</v>
      </c>
      <c r="L138" s="180">
        <f t="shared" si="153"/>
        <v>0.46681738623103852</v>
      </c>
      <c r="M138" s="180">
        <f t="shared" ref="M138" si="154">(M41+M49)/M$141</f>
        <v>0.45937153419593346</v>
      </c>
      <c r="N138" s="180">
        <f t="shared" si="153"/>
        <v>0.47675870681282084</v>
      </c>
      <c r="O138" s="179">
        <f t="shared" si="150"/>
        <v>0.47939462186529436</v>
      </c>
      <c r="P138" s="140"/>
      <c r="Q138" s="2"/>
      <c r="R138" s="140"/>
      <c r="S138" s="140"/>
      <c r="T138" s="140"/>
      <c r="U138" s="140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</row>
    <row r="139" spans="1:31">
      <c r="A139" s="148"/>
      <c r="B139" s="141"/>
      <c r="C139" s="141"/>
      <c r="D139" s="141"/>
      <c r="E139" s="285"/>
      <c r="F139" s="285"/>
      <c r="G139" s="285">
        <f>SUM(G136:G138)</f>
        <v>1</v>
      </c>
      <c r="H139" s="285">
        <f t="shared" ref="H139:O139" si="155">SUM(H136:H138)</f>
        <v>1</v>
      </c>
      <c r="I139" s="285">
        <f t="shared" si="155"/>
        <v>1</v>
      </c>
      <c r="J139" s="285">
        <f t="shared" si="155"/>
        <v>1</v>
      </c>
      <c r="K139" s="285">
        <f t="shared" si="155"/>
        <v>1</v>
      </c>
      <c r="L139" s="285">
        <f t="shared" si="155"/>
        <v>1</v>
      </c>
      <c r="M139" s="285">
        <f t="shared" ref="M139" si="156">SUM(M136:M138)</f>
        <v>1</v>
      </c>
      <c r="N139" s="285">
        <f>SUM(N136:N138)</f>
        <v>1</v>
      </c>
      <c r="O139" s="286">
        <f t="shared" si="155"/>
        <v>1</v>
      </c>
      <c r="P139" s="285"/>
      <c r="Q139" s="2"/>
      <c r="R139" s="140"/>
      <c r="S139" s="140"/>
      <c r="T139" s="140"/>
      <c r="U139" s="140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</row>
    <row r="140" spans="1:31" ht="7.5" customHeight="1">
      <c r="A140" s="148"/>
      <c r="B140" s="141"/>
      <c r="C140" s="141"/>
      <c r="D140" s="141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179"/>
      <c r="P140" s="140"/>
      <c r="Q140" s="2"/>
      <c r="R140" s="140"/>
      <c r="S140" s="140"/>
      <c r="T140" s="140"/>
      <c r="U140" s="140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</row>
    <row r="141" spans="1:31">
      <c r="A141" s="148" t="s">
        <v>164</v>
      </c>
      <c r="B141" s="227">
        <f t="shared" ref="B141:L141" si="157">B41+B49+B57+B62</f>
        <v>8845.6999999999989</v>
      </c>
      <c r="C141" s="227">
        <f t="shared" si="157"/>
        <v>6930.2000000000007</v>
      </c>
      <c r="D141" s="227">
        <f t="shared" si="157"/>
        <v>7047.2</v>
      </c>
      <c r="E141" s="140">
        <f t="shared" si="157"/>
        <v>7198.5</v>
      </c>
      <c r="F141" s="140">
        <f t="shared" si="157"/>
        <v>7136.5</v>
      </c>
      <c r="G141" s="140">
        <f t="shared" si="157"/>
        <v>7324.8</v>
      </c>
      <c r="H141" s="140">
        <f t="shared" si="157"/>
        <v>8031</v>
      </c>
      <c r="I141" s="140">
        <f t="shared" si="157"/>
        <v>10247</v>
      </c>
      <c r="J141" s="140">
        <f t="shared" si="157"/>
        <v>11635</v>
      </c>
      <c r="K141" s="140">
        <f t="shared" si="157"/>
        <v>13148</v>
      </c>
      <c r="L141" s="140">
        <f t="shared" si="157"/>
        <v>13712</v>
      </c>
      <c r="M141" s="140">
        <f t="shared" ref="M141" si="158">M41+M49+M57+M62</f>
        <v>13525</v>
      </c>
      <c r="N141" s="140">
        <f>N41+N49+N57+N62</f>
        <v>14414</v>
      </c>
      <c r="O141" s="287">
        <f>AVERAGE(I141:M141)</f>
        <v>12453.4</v>
      </c>
      <c r="P141" s="140"/>
      <c r="Q141" s="2"/>
      <c r="R141" s="140"/>
      <c r="S141" s="140"/>
      <c r="T141" s="140"/>
      <c r="U141" s="140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</row>
    <row r="142" spans="1:31">
      <c r="A142" s="138"/>
      <c r="B142" s="140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81"/>
      <c r="P142" s="140"/>
      <c r="Q142" s="2"/>
      <c r="R142" s="140"/>
      <c r="S142" s="140"/>
      <c r="T142" s="140"/>
      <c r="U142" s="140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</row>
    <row r="143" spans="1:31">
      <c r="A143" s="186" t="s">
        <v>67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50"/>
      <c r="P143" s="140"/>
      <c r="Q143" s="2"/>
      <c r="R143" s="140"/>
      <c r="S143" s="140"/>
      <c r="T143" s="140"/>
      <c r="U143" s="140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</row>
    <row r="144" spans="1:31">
      <c r="A144" s="148" t="s">
        <v>68</v>
      </c>
      <c r="B144" s="148"/>
      <c r="C144" s="148"/>
      <c r="D144" s="148"/>
      <c r="E144" s="148"/>
      <c r="F144" s="148"/>
      <c r="G144" s="148"/>
      <c r="H144" s="149" t="s">
        <v>165</v>
      </c>
      <c r="I144" s="149"/>
      <c r="J144" s="149"/>
      <c r="K144" s="149"/>
      <c r="L144" s="280" t="s">
        <v>209</v>
      </c>
      <c r="M144" s="280" t="s">
        <v>209</v>
      </c>
      <c r="N144" s="280" t="s">
        <v>224</v>
      </c>
      <c r="O144" s="150"/>
      <c r="P144" s="140"/>
      <c r="Q144" s="2"/>
      <c r="R144" s="140"/>
      <c r="S144" s="140"/>
      <c r="T144" s="140"/>
      <c r="U144" s="140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</row>
    <row r="145" spans="1:31">
      <c r="A145" s="148" t="s">
        <v>70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50"/>
      <c r="P145" s="140"/>
      <c r="Q145" s="2"/>
      <c r="R145" s="140"/>
      <c r="S145" s="140"/>
      <c r="T145" s="140"/>
      <c r="U145" s="140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</row>
    <row r="146" spans="1:31">
      <c r="A146" s="148" t="s">
        <v>69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50"/>
      <c r="P146" s="175"/>
      <c r="Q146" s="2"/>
      <c r="R146" s="140"/>
      <c r="S146" s="140"/>
      <c r="T146" s="140"/>
      <c r="U146" s="140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</row>
    <row r="147" spans="1:31">
      <c r="A147" s="182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75"/>
      <c r="M147" s="175"/>
      <c r="N147" s="175"/>
      <c r="O147" s="175"/>
      <c r="P147" s="175"/>
      <c r="Q147" s="2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</row>
    <row r="148" spans="1:31">
      <c r="A148" s="182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75"/>
      <c r="M148" s="175"/>
      <c r="N148" s="175"/>
      <c r="O148" s="175"/>
      <c r="P148" s="175"/>
      <c r="Q148" s="2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</row>
    <row r="149" spans="1:31">
      <c r="A149" s="183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75"/>
      <c r="M149" s="175"/>
      <c r="N149" s="175"/>
      <c r="O149" s="175"/>
      <c r="P149" s="175"/>
      <c r="Q149" s="2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</row>
    <row r="150" spans="1:31">
      <c r="A150" s="182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75"/>
      <c r="M150" s="175"/>
      <c r="N150" s="175"/>
      <c r="O150" s="175"/>
      <c r="P150" s="175"/>
      <c r="Q150" s="2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</row>
    <row r="151" spans="1:31">
      <c r="A151" s="182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75"/>
      <c r="M151" s="175"/>
      <c r="N151" s="175"/>
      <c r="O151" s="175"/>
      <c r="P151" s="175"/>
      <c r="Q151" s="2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</row>
    <row r="152" spans="1:31" ht="7.5" customHeight="1">
      <c r="A152" s="183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75"/>
      <c r="M152" s="175"/>
      <c r="N152" s="175"/>
      <c r="O152" s="175"/>
      <c r="P152" s="175"/>
      <c r="Q152" s="2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</row>
    <row r="153" spans="1:31">
      <c r="A153" s="182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75"/>
      <c r="M153" s="175"/>
      <c r="N153" s="175"/>
      <c r="O153" s="175"/>
      <c r="P153" s="175"/>
      <c r="Q153" s="2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</row>
    <row r="154" spans="1:31">
      <c r="A154" s="182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75"/>
      <c r="M154" s="175"/>
      <c r="N154" s="175"/>
      <c r="O154" s="175"/>
      <c r="P154" s="175"/>
      <c r="Q154" s="2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</row>
    <row r="155" spans="1:31">
      <c r="Q155" s="2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</row>
    <row r="156" spans="1:31">
      <c r="Q156" s="2"/>
    </row>
    <row r="157" spans="1:31">
      <c r="Q157" s="2"/>
    </row>
    <row r="158" spans="1:31">
      <c r="Q158" s="2"/>
    </row>
    <row r="159" spans="1:31">
      <c r="Q159" s="2"/>
    </row>
    <row r="160" spans="1:31">
      <c r="Q160" s="2"/>
    </row>
    <row r="161" spans="17:17">
      <c r="Q161" s="2"/>
    </row>
    <row r="162" spans="17:17">
      <c r="Q162" s="2"/>
    </row>
    <row r="163" spans="17:17">
      <c r="Q163" s="2"/>
    </row>
    <row r="164" spans="17:17">
      <c r="Q164" s="2"/>
    </row>
    <row r="165" spans="17:17">
      <c r="Q165" s="2"/>
    </row>
    <row r="166" spans="17:17">
      <c r="Q166" s="2"/>
    </row>
    <row r="167" spans="17:17">
      <c r="Q167" s="2"/>
    </row>
  </sheetData>
  <sortState ref="Q101:AE101">
    <sortCondition sortBy="cellColor" ref="AE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4" max="26" man="1"/>
    <brk id="101" max="26" man="1"/>
  </rowBreaks>
  <colBreaks count="1" manualBreakCount="1">
    <brk id="15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34"/>
  <sheetViews>
    <sheetView showGridLines="0" zoomScaleNormal="100" workbookViewId="0">
      <selection activeCell="I31" sqref="I31:P31"/>
    </sheetView>
  </sheetViews>
  <sheetFormatPr defaultRowHeight="12.75"/>
  <cols>
    <col min="1" max="1" width="49.140625" style="32" customWidth="1"/>
    <col min="2" max="5" width="10.7109375" style="24" hidden="1" customWidth="1"/>
    <col min="6" max="6" width="10.7109375" style="33" hidden="1" customWidth="1"/>
    <col min="7" max="8" width="10.7109375" style="24" hidden="1" customWidth="1"/>
    <col min="9" max="15" width="10.7109375" style="24" customWidth="1"/>
    <col min="16" max="16384" width="9.140625" style="24"/>
  </cols>
  <sheetData>
    <row r="1" spans="1:15">
      <c r="O1" s="216" t="s">
        <v>115</v>
      </c>
    </row>
    <row r="2" spans="1:15">
      <c r="O2" s="54" t="s">
        <v>118</v>
      </c>
    </row>
    <row r="3" spans="1:15" ht="18.75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39"/>
      <c r="M3" s="39"/>
      <c r="N3" s="39"/>
      <c r="O3" s="56"/>
    </row>
    <row r="4" spans="1:15" ht="15.75">
      <c r="A4" s="50" t="s">
        <v>113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39"/>
      <c r="M4" s="39"/>
      <c r="N4" s="39"/>
      <c r="O4" s="39"/>
    </row>
    <row r="5" spans="1:15" s="32" customFormat="1">
      <c r="A5" s="51" t="str">
        <f>Historical!A6</f>
        <v>Fiscal Years Ended December 31, 2007-2011, Six Months Ended June 2012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43"/>
      <c r="M5" s="43"/>
      <c r="N5" s="43"/>
      <c r="O5" s="43"/>
    </row>
    <row r="6" spans="1:15">
      <c r="A6" s="228"/>
      <c r="B6" s="228"/>
      <c r="C6" s="228"/>
      <c r="D6" s="228"/>
      <c r="E6" s="228"/>
      <c r="F6" s="229"/>
      <c r="G6" s="228"/>
      <c r="H6" s="228"/>
      <c r="I6" s="230"/>
      <c r="J6" s="230"/>
      <c r="K6" s="230"/>
      <c r="L6" s="230"/>
      <c r="M6" s="230"/>
      <c r="N6" s="230"/>
      <c r="O6" s="231" t="s">
        <v>226</v>
      </c>
    </row>
    <row r="7" spans="1:15">
      <c r="A7" s="232"/>
      <c r="B7" s="303"/>
      <c r="C7" s="303"/>
      <c r="D7" s="303"/>
      <c r="E7" s="303"/>
      <c r="F7" s="303"/>
      <c r="G7" s="303"/>
      <c r="H7" s="194"/>
      <c r="I7" s="233"/>
      <c r="J7" s="233"/>
      <c r="K7" s="233"/>
      <c r="L7" s="233"/>
      <c r="M7" s="233"/>
      <c r="N7" s="34" t="str">
        <f>Historical!N8</f>
        <v>June</v>
      </c>
      <c r="O7" s="195" t="s">
        <v>4</v>
      </c>
    </row>
    <row r="8" spans="1:15">
      <c r="A8" s="232"/>
      <c r="B8" s="234">
        <f>Historical!B9</f>
        <v>2000</v>
      </c>
      <c r="C8" s="234">
        <f>Historical!C9</f>
        <v>2001</v>
      </c>
      <c r="D8" s="234">
        <f>Historical!D9</f>
        <v>2002</v>
      </c>
      <c r="E8" s="234">
        <f>Historical!E9</f>
        <v>2003</v>
      </c>
      <c r="F8" s="234">
        <f>Historical!F9</f>
        <v>2004</v>
      </c>
      <c r="G8" s="234">
        <f>Historical!G9</f>
        <v>2005</v>
      </c>
      <c r="H8" s="234">
        <f>Historical!H9</f>
        <v>2006</v>
      </c>
      <c r="I8" s="234">
        <f>Historical!I9</f>
        <v>2007</v>
      </c>
      <c r="J8" s="234">
        <f>Historical!J9</f>
        <v>2008</v>
      </c>
      <c r="K8" s="234">
        <f>Historical!K9</f>
        <v>2009</v>
      </c>
      <c r="L8" s="234">
        <f>Historical!L9</f>
        <v>2010</v>
      </c>
      <c r="M8" s="234">
        <f>Historical!M9</f>
        <v>2011</v>
      </c>
      <c r="N8" s="234">
        <f>Historical!N9</f>
        <v>2012</v>
      </c>
      <c r="O8" s="198" t="s">
        <v>23</v>
      </c>
    </row>
    <row r="9" spans="1:15" ht="7.5" customHeight="1">
      <c r="A9" s="23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289"/>
    </row>
    <row r="10" spans="1:15">
      <c r="A10" s="235" t="s">
        <v>73</v>
      </c>
      <c r="B10" s="61"/>
      <c r="C10" s="26"/>
      <c r="D10" s="26"/>
      <c r="E10" s="26"/>
      <c r="F10" s="26"/>
      <c r="G10" s="26"/>
      <c r="H10" s="62"/>
      <c r="I10" s="12"/>
      <c r="J10" s="12"/>
      <c r="K10" s="12"/>
      <c r="L10" s="12"/>
      <c r="M10" s="12"/>
      <c r="N10" s="12"/>
    </row>
    <row r="11" spans="1:15">
      <c r="A11" s="27" t="s">
        <v>74</v>
      </c>
      <c r="B11" s="61">
        <f>Historical!B97</f>
        <v>83.69999999999996</v>
      </c>
      <c r="C11" s="61">
        <f>Historical!C97</f>
        <v>-88.200000000000017</v>
      </c>
      <c r="D11" s="61">
        <f>Historical!D97</f>
        <v>327.29999999999995</v>
      </c>
      <c r="E11" s="61">
        <f>Historical!E97</f>
        <v>140.09999999999962</v>
      </c>
      <c r="F11" s="61">
        <f>Historical!F97</f>
        <v>248.09999999999968</v>
      </c>
      <c r="G11" s="61">
        <f>Historical!G97</f>
        <v>251.70000000000016</v>
      </c>
      <c r="H11" s="292">
        <f>Historical!H97</f>
        <v>360.69999999999959</v>
      </c>
      <c r="I11" s="292">
        <f>Historical!I97</f>
        <v>445</v>
      </c>
      <c r="J11" s="292">
        <f>Historical!J97</f>
        <v>465</v>
      </c>
      <c r="K11" s="292">
        <f>Historical!K97</f>
        <v>550</v>
      </c>
      <c r="L11" s="292">
        <f>Historical!L97</f>
        <v>566</v>
      </c>
      <c r="M11" s="292">
        <f>Historical!M97</f>
        <v>555</v>
      </c>
      <c r="N11" s="292">
        <f>Historical!N97</f>
        <v>281</v>
      </c>
      <c r="O11" s="200">
        <f>RATE(($M$8-$I$8),,-I11,M11)</f>
        <v>5.6776733397596833E-2</v>
      </c>
    </row>
    <row r="12" spans="1:15">
      <c r="A12" s="25" t="s">
        <v>75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5"/>
    </row>
    <row r="13" spans="1:15">
      <c r="A13" s="25" t="s">
        <v>76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5"/>
    </row>
    <row r="14" spans="1:15" hidden="1">
      <c r="A14" s="60" t="s">
        <v>77</v>
      </c>
      <c r="B14" s="28">
        <v>-1.1000000000000001</v>
      </c>
      <c r="C14" s="26">
        <v>0</v>
      </c>
      <c r="D14" s="26">
        <v>-146.69999999999999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/>
      <c r="L14" s="26"/>
      <c r="M14" s="26"/>
      <c r="N14" s="26"/>
      <c r="O14" s="5" t="e">
        <f>RATE(($L$8-$G$8+0.75),,-G14,L14)</f>
        <v>#NUM!</v>
      </c>
    </row>
    <row r="15" spans="1:15" hidden="1">
      <c r="A15" s="27" t="s">
        <v>79</v>
      </c>
      <c r="B15" s="63">
        <v>0</v>
      </c>
      <c r="C15" s="26">
        <v>0</v>
      </c>
      <c r="D15" s="26">
        <v>112.8</v>
      </c>
      <c r="E15" s="26">
        <v>1.9</v>
      </c>
      <c r="F15" s="26">
        <v>0.9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5" t="e">
        <f>RATE(($L$8-$G$8+0.75),,-G15,L15)</f>
        <v>#NUM!</v>
      </c>
    </row>
    <row r="16" spans="1:15">
      <c r="A16" s="27" t="s">
        <v>80</v>
      </c>
      <c r="B16" s="63">
        <v>0</v>
      </c>
      <c r="C16" s="26">
        <v>0</v>
      </c>
      <c r="D16" s="26">
        <v>-182.8</v>
      </c>
      <c r="E16" s="26">
        <v>-3.1</v>
      </c>
      <c r="F16" s="26">
        <v>-6.1</v>
      </c>
      <c r="G16" s="26">
        <v>-8.4</v>
      </c>
      <c r="H16" s="26">
        <v>-86.8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5">
        <v>0</v>
      </c>
    </row>
    <row r="17" spans="1:16">
      <c r="A17" s="27" t="s">
        <v>81</v>
      </c>
      <c r="B17" s="61">
        <v>456.3</v>
      </c>
      <c r="C17" s="26">
        <v>429</v>
      </c>
      <c r="D17" s="26">
        <v>403</v>
      </c>
      <c r="E17" s="26">
        <v>434.3</v>
      </c>
      <c r="F17" s="26">
        <v>428.8</v>
      </c>
      <c r="G17" s="26">
        <v>436.9</v>
      </c>
      <c r="H17" s="26">
        <v>448.3</v>
      </c>
      <c r="I17" s="26">
        <v>497</v>
      </c>
      <c r="J17" s="26">
        <v>490</v>
      </c>
      <c r="K17" s="26">
        <v>549</v>
      </c>
      <c r="L17" s="26">
        <v>561</v>
      </c>
      <c r="M17" s="26">
        <v>611</v>
      </c>
      <c r="N17" s="26">
        <v>317</v>
      </c>
      <c r="O17" s="5">
        <f>RATE(($M$8-$I$8),,-I17,M17)</f>
        <v>5.2982625766436121E-2</v>
      </c>
    </row>
    <row r="18" spans="1:16">
      <c r="A18" s="27" t="s">
        <v>82</v>
      </c>
      <c r="B18" s="64">
        <v>136.69999999999999</v>
      </c>
      <c r="C18" s="26">
        <v>-26.4</v>
      </c>
      <c r="D18" s="26">
        <v>60.9</v>
      </c>
      <c r="E18" s="26">
        <v>31.8</v>
      </c>
      <c r="F18" s="26">
        <v>80.5</v>
      </c>
      <c r="G18" s="26">
        <v>120</v>
      </c>
      <c r="H18" s="26">
        <v>13.9</v>
      </c>
      <c r="I18" s="26">
        <v>39</v>
      </c>
      <c r="J18" s="26">
        <v>308</v>
      </c>
      <c r="K18" s="26">
        <v>645</v>
      </c>
      <c r="L18" s="26">
        <v>710</v>
      </c>
      <c r="M18" s="26">
        <v>374</v>
      </c>
      <c r="N18" s="26">
        <v>170</v>
      </c>
      <c r="O18" s="5">
        <f t="shared" ref="O18:O28" si="0">RATE(($M$8-$I$8),,-I18,M18)</f>
        <v>0.75975313995041127</v>
      </c>
    </row>
    <row r="19" spans="1:16" hidden="1">
      <c r="A19" s="29" t="s">
        <v>83</v>
      </c>
      <c r="B19" s="64">
        <v>-1</v>
      </c>
      <c r="C19" s="26">
        <v>189.2</v>
      </c>
      <c r="D19" s="26">
        <v>-52.6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/>
      <c r="L19" s="26"/>
      <c r="M19" s="26"/>
      <c r="N19" s="26"/>
      <c r="O19" s="5" t="e">
        <f t="shared" si="0"/>
        <v>#NUM!</v>
      </c>
    </row>
    <row r="20" spans="1:16">
      <c r="A20" s="27" t="s">
        <v>84</v>
      </c>
      <c r="B20" s="61">
        <v>0</v>
      </c>
      <c r="C20" s="26">
        <v>-35.1</v>
      </c>
      <c r="D20" s="26">
        <v>-210.9</v>
      </c>
      <c r="E20" s="26">
        <v>146.80000000000001</v>
      </c>
      <c r="F20" s="26">
        <v>111.1</v>
      </c>
      <c r="G20" s="26">
        <v>66.7</v>
      </c>
      <c r="H20" s="26">
        <v>51.6</v>
      </c>
      <c r="I20" s="26">
        <v>-45</v>
      </c>
      <c r="J20" s="26">
        <v>-37</v>
      </c>
      <c r="K20" s="26">
        <v>5</v>
      </c>
      <c r="L20" s="26">
        <v>4</v>
      </c>
      <c r="M20" s="26">
        <v>-23</v>
      </c>
      <c r="N20" s="26">
        <v>-4</v>
      </c>
      <c r="O20" s="5">
        <f t="shared" si="0"/>
        <v>-0.15447037131497229</v>
      </c>
    </row>
    <row r="21" spans="1:16">
      <c r="A21" s="27" t="s">
        <v>85</v>
      </c>
      <c r="B21" s="64">
        <f>43.3-8.1-3.2-11.2-40.3+71</f>
        <v>51.5</v>
      </c>
      <c r="C21" s="26">
        <f>-3.9+16.4-137.5-39.4</f>
        <v>-164.4</v>
      </c>
      <c r="D21" s="26">
        <v>65</v>
      </c>
      <c r="E21" s="26">
        <v>3.4</v>
      </c>
      <c r="F21" s="26">
        <v>-6.5</v>
      </c>
      <c r="G21" s="26">
        <v>-27</v>
      </c>
      <c r="H21" s="26">
        <v>50</v>
      </c>
      <c r="I21" s="26">
        <v>3</v>
      </c>
      <c r="J21" s="26">
        <v>-10</v>
      </c>
      <c r="K21" s="26">
        <v>-32</v>
      </c>
      <c r="L21" s="26">
        <v>-58</v>
      </c>
      <c r="M21" s="26">
        <v>-25</v>
      </c>
      <c r="N21" s="26">
        <v>-18</v>
      </c>
      <c r="O21" s="5"/>
    </row>
    <row r="22" spans="1:16">
      <c r="A22" s="25" t="s">
        <v>86</v>
      </c>
      <c r="B22" s="6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"/>
    </row>
    <row r="23" spans="1:16">
      <c r="A23" s="27" t="s">
        <v>87</v>
      </c>
      <c r="B23" s="64">
        <v>-40.9</v>
      </c>
      <c r="C23" s="26">
        <v>-161.80000000000001</v>
      </c>
      <c r="D23" s="26">
        <v>165.2</v>
      </c>
      <c r="E23" s="26">
        <v>7.6</v>
      </c>
      <c r="F23" s="26">
        <v>-1.7</v>
      </c>
      <c r="G23" s="26">
        <v>-137.80000000000001</v>
      </c>
      <c r="H23" s="26">
        <v>71.099999999999994</v>
      </c>
      <c r="I23" s="26">
        <v>-81</v>
      </c>
      <c r="J23" s="26">
        <v>3</v>
      </c>
      <c r="K23" s="26">
        <v>-5</v>
      </c>
      <c r="L23" s="26">
        <v>-14</v>
      </c>
      <c r="M23" s="26">
        <v>-42</v>
      </c>
      <c r="N23" s="26">
        <v>54</v>
      </c>
      <c r="O23" s="5">
        <f t="shared" si="0"/>
        <v>-0.15142336832605632</v>
      </c>
    </row>
    <row r="24" spans="1:16">
      <c r="A24" s="27" t="s">
        <v>210</v>
      </c>
      <c r="B24" s="64"/>
      <c r="C24" s="26"/>
      <c r="D24" s="26"/>
      <c r="E24" s="26"/>
      <c r="F24" s="26"/>
      <c r="G24" s="26"/>
      <c r="H24" s="26"/>
      <c r="I24" s="26">
        <v>0</v>
      </c>
      <c r="J24" s="26">
        <v>-82</v>
      </c>
      <c r="K24" s="26">
        <v>57</v>
      </c>
      <c r="L24" s="26">
        <v>-102</v>
      </c>
      <c r="M24" s="26">
        <v>4</v>
      </c>
      <c r="N24" s="26">
        <v>13</v>
      </c>
      <c r="O24" s="5"/>
    </row>
    <row r="25" spans="1:16">
      <c r="A25" s="27" t="s">
        <v>88</v>
      </c>
      <c r="B25" s="64">
        <v>3.9</v>
      </c>
      <c r="C25" s="26">
        <v>-9.3000000000000007</v>
      </c>
      <c r="D25" s="26">
        <v>7</v>
      </c>
      <c r="E25" s="26">
        <v>-17.8</v>
      </c>
      <c r="F25" s="26">
        <v>14.1</v>
      </c>
      <c r="G25" s="26">
        <v>-16.2</v>
      </c>
      <c r="H25" s="26">
        <v>-38.9</v>
      </c>
      <c r="I25" s="26">
        <v>-48</v>
      </c>
      <c r="J25" s="26">
        <v>-52</v>
      </c>
      <c r="K25" s="26">
        <v>-39</v>
      </c>
      <c r="L25" s="26">
        <v>-26</v>
      </c>
      <c r="M25" s="26">
        <v>-59</v>
      </c>
      <c r="N25" s="26">
        <v>-37</v>
      </c>
      <c r="O25" s="5">
        <f t="shared" si="0"/>
        <v>5.2937743318270815E-2</v>
      </c>
    </row>
    <row r="26" spans="1:16">
      <c r="A26" s="293" t="s">
        <v>228</v>
      </c>
      <c r="B26" s="26">
        <v>0</v>
      </c>
      <c r="C26" s="26">
        <v>0</v>
      </c>
      <c r="D26" s="26">
        <v>-11.6</v>
      </c>
      <c r="E26" s="26">
        <v>32.5</v>
      </c>
      <c r="F26" s="26">
        <v>-36.799999999999997</v>
      </c>
      <c r="G26" s="26">
        <v>-32.799999999999997</v>
      </c>
      <c r="H26" s="26">
        <f>3.6+32.6</f>
        <v>36.200000000000003</v>
      </c>
      <c r="I26" s="26">
        <v>21</v>
      </c>
      <c r="J26" s="26">
        <v>-20</v>
      </c>
      <c r="K26" s="26">
        <v>-206</v>
      </c>
      <c r="L26" s="26">
        <v>-96</v>
      </c>
      <c r="M26" s="26">
        <v>275</v>
      </c>
      <c r="N26" s="26">
        <v>130</v>
      </c>
      <c r="O26" s="5">
        <f t="shared" si="0"/>
        <v>0.90229711724679007</v>
      </c>
    </row>
    <row r="27" spans="1:16">
      <c r="A27" s="46" t="s">
        <v>89</v>
      </c>
      <c r="B27" s="64">
        <v>66.3</v>
      </c>
      <c r="C27" s="26">
        <v>543.79999999999995</v>
      </c>
      <c r="D27" s="26">
        <v>-151</v>
      </c>
      <c r="E27" s="26">
        <v>-97.1</v>
      </c>
      <c r="F27" s="26">
        <v>-3.3</v>
      </c>
      <c r="G27" s="26">
        <v>84.1</v>
      </c>
      <c r="H27" s="26">
        <v>-13.4</v>
      </c>
      <c r="I27" s="26">
        <v>0</v>
      </c>
      <c r="J27" s="26">
        <v>-73</v>
      </c>
      <c r="K27" s="26">
        <v>-24</v>
      </c>
      <c r="L27" s="26">
        <v>-135</v>
      </c>
      <c r="M27" s="26">
        <v>-34</v>
      </c>
      <c r="N27" s="26">
        <v>-24</v>
      </c>
      <c r="O27" s="5"/>
    </row>
    <row r="28" spans="1:16">
      <c r="A28" s="46" t="s">
        <v>90</v>
      </c>
      <c r="B28" s="26">
        <v>0</v>
      </c>
      <c r="C28" s="26">
        <v>-32.1</v>
      </c>
      <c r="D28" s="26">
        <v>-43</v>
      </c>
      <c r="E28" s="26">
        <v>1.2</v>
      </c>
      <c r="F28" s="26">
        <v>2.8</v>
      </c>
      <c r="G28" s="26">
        <v>-26.1</v>
      </c>
      <c r="H28" s="26">
        <v>1.9</v>
      </c>
      <c r="I28" s="26">
        <v>-7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5">
        <f t="shared" si="0"/>
        <v>-0.99999959959343843</v>
      </c>
    </row>
    <row r="29" spans="1:16" ht="7.5" customHeight="1">
      <c r="A29" s="27"/>
      <c r="B29" s="6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5"/>
    </row>
    <row r="30" spans="1:16">
      <c r="A30" s="236" t="s">
        <v>91</v>
      </c>
      <c r="B30" s="237">
        <f t="shared" ref="B30:K30" si="1">SUM(B11:B29)</f>
        <v>755.39999999999986</v>
      </c>
      <c r="C30" s="237">
        <f t="shared" si="1"/>
        <v>644.69999999999982</v>
      </c>
      <c r="D30" s="237">
        <f t="shared" si="1"/>
        <v>342.5999999999998</v>
      </c>
      <c r="E30" s="237">
        <f t="shared" si="1"/>
        <v>681.59999999999957</v>
      </c>
      <c r="F30" s="237">
        <f t="shared" si="1"/>
        <v>831.89999999999975</v>
      </c>
      <c r="G30" s="237">
        <f t="shared" si="1"/>
        <v>711.10000000000014</v>
      </c>
      <c r="H30" s="237">
        <f t="shared" si="1"/>
        <v>894.59999999999968</v>
      </c>
      <c r="I30" s="237">
        <f t="shared" si="1"/>
        <v>824</v>
      </c>
      <c r="J30" s="237">
        <f t="shared" si="1"/>
        <v>992</v>
      </c>
      <c r="K30" s="237">
        <f t="shared" si="1"/>
        <v>1500</v>
      </c>
      <c r="L30" s="237">
        <f>SUM(L10:L29)</f>
        <v>1410</v>
      </c>
      <c r="M30" s="237">
        <f>SUM(M10:M29)</f>
        <v>1636</v>
      </c>
      <c r="N30" s="237">
        <f>SUM(N10:N29)</f>
        <v>882</v>
      </c>
      <c r="O30" s="203">
        <f>RATE(($M$8-$I$8),,-I30,M30)</f>
        <v>0.18703635977372104</v>
      </c>
    </row>
    <row r="31" spans="1:16">
      <c r="A31" s="27"/>
      <c r="B31" s="64"/>
      <c r="C31" s="26"/>
      <c r="D31" s="26"/>
      <c r="E31" s="26"/>
      <c r="F31" s="26"/>
      <c r="G31" s="26"/>
      <c r="H31" s="26"/>
      <c r="I31" s="301"/>
      <c r="J31" s="301"/>
      <c r="K31" s="301"/>
      <c r="L31" s="301"/>
      <c r="M31" s="301"/>
      <c r="N31" s="301"/>
      <c r="O31" s="5"/>
      <c r="P31" s="302"/>
    </row>
    <row r="32" spans="1:16">
      <c r="A32" s="235" t="s">
        <v>92</v>
      </c>
      <c r="B32" s="6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5"/>
    </row>
    <row r="33" spans="1:15" hidden="1">
      <c r="A33" s="69" t="s">
        <v>151</v>
      </c>
      <c r="B33" s="28">
        <v>-2.6</v>
      </c>
      <c r="C33" s="28">
        <v>-361.3</v>
      </c>
      <c r="D33" s="28">
        <v>-358.2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/>
      <c r="L33" s="26"/>
      <c r="M33" s="26"/>
      <c r="N33" s="26"/>
      <c r="O33" s="5">
        <f>RATE(($K$8-$F$8+0.75),,-B33,J33)</f>
        <v>-0.99999935422939301</v>
      </c>
    </row>
    <row r="34" spans="1:15">
      <c r="A34" s="27" t="s">
        <v>94</v>
      </c>
      <c r="B34" s="28">
        <v>-574</v>
      </c>
      <c r="C34" s="26">
        <v>-485.7</v>
      </c>
      <c r="D34" s="26">
        <v>-505.3</v>
      </c>
      <c r="E34" s="26">
        <v>-550</v>
      </c>
      <c r="F34" s="26">
        <v>-690.4</v>
      </c>
      <c r="G34" s="26">
        <v>-851.6</v>
      </c>
      <c r="H34" s="26">
        <v>-1049</v>
      </c>
      <c r="I34" s="26">
        <v>-1519</v>
      </c>
      <c r="J34" s="26">
        <v>-1789</v>
      </c>
      <c r="K34" s="26">
        <v>-2328</v>
      </c>
      <c r="L34" s="26">
        <v>-1607</v>
      </c>
      <c r="M34" s="26">
        <v>-1506</v>
      </c>
      <c r="N34" s="26">
        <v>-721</v>
      </c>
      <c r="O34" s="5">
        <f>RATE(($M$8-$I$8),,-I34,M34)</f>
        <v>-2.1464665923700038E-3</v>
      </c>
    </row>
    <row r="35" spans="1:15">
      <c r="A35" s="27" t="s">
        <v>95</v>
      </c>
      <c r="B35" s="61">
        <v>169.3</v>
      </c>
      <c r="C35" s="26">
        <v>1010</v>
      </c>
      <c r="D35" s="26">
        <v>83.2</v>
      </c>
      <c r="E35" s="26">
        <v>16.3</v>
      </c>
      <c r="F35" s="26">
        <v>3.3</v>
      </c>
      <c r="G35" s="26">
        <v>7.1</v>
      </c>
      <c r="H35" s="26">
        <v>1.3</v>
      </c>
      <c r="I35" s="26">
        <v>9</v>
      </c>
      <c r="J35" s="26">
        <v>-308</v>
      </c>
      <c r="K35" s="26">
        <v>0</v>
      </c>
      <c r="L35" s="26">
        <v>0</v>
      </c>
      <c r="M35" s="26">
        <v>0</v>
      </c>
      <c r="N35" s="26">
        <v>0</v>
      </c>
      <c r="O35" s="5">
        <f t="shared" ref="O35:O38" si="2">RATE(($M$8-$I$8),,-I35,M35)</f>
        <v>-0.99999959914231695</v>
      </c>
    </row>
    <row r="36" spans="1:15" hidden="1">
      <c r="A36" s="29" t="s">
        <v>96</v>
      </c>
      <c r="B36" s="61">
        <v>47.8</v>
      </c>
      <c r="C36" s="26">
        <v>48.5</v>
      </c>
      <c r="D36" s="26">
        <v>36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/>
      <c r="M36" s="26"/>
      <c r="N36" s="26"/>
      <c r="O36" s="5" t="e">
        <f t="shared" si="2"/>
        <v>#NUM!</v>
      </c>
    </row>
    <row r="37" spans="1:15">
      <c r="A37" s="27" t="s">
        <v>97</v>
      </c>
      <c r="B37" s="61">
        <v>125.9</v>
      </c>
      <c r="C37" s="26">
        <v>119.9</v>
      </c>
      <c r="D37" s="26">
        <v>120.9</v>
      </c>
      <c r="E37" s="26">
        <v>132.9</v>
      </c>
      <c r="F37" s="26">
        <v>95.8</v>
      </c>
      <c r="G37" s="26">
        <v>49.1</v>
      </c>
      <c r="H37" s="26">
        <v>123.4</v>
      </c>
      <c r="I37" s="26">
        <v>30</v>
      </c>
      <c r="J37" s="26">
        <v>67</v>
      </c>
      <c r="K37" s="26">
        <v>36</v>
      </c>
      <c r="L37" s="26">
        <v>0</v>
      </c>
      <c r="M37" s="26">
        <v>0</v>
      </c>
      <c r="N37" s="26">
        <v>0</v>
      </c>
      <c r="O37" s="5">
        <f t="shared" si="2"/>
        <v>-0.99999959914231695</v>
      </c>
    </row>
    <row r="38" spans="1:15">
      <c r="A38" s="27" t="s">
        <v>98</v>
      </c>
      <c r="B38" s="61">
        <v>-130.4</v>
      </c>
      <c r="C38" s="26">
        <v>-114.5</v>
      </c>
      <c r="D38" s="26">
        <v>-152</v>
      </c>
      <c r="E38" s="26">
        <v>-134.30000000000001</v>
      </c>
      <c r="F38" s="26">
        <v>-89.4</v>
      </c>
      <c r="G38" s="26">
        <v>-44.7</v>
      </c>
      <c r="H38" s="26">
        <v>-84.9</v>
      </c>
      <c r="I38" s="26">
        <v>-25</v>
      </c>
      <c r="J38" s="26">
        <v>-52</v>
      </c>
      <c r="K38" s="26">
        <v>-21</v>
      </c>
      <c r="L38" s="26">
        <v>0</v>
      </c>
      <c r="M38" s="26">
        <v>0</v>
      </c>
      <c r="N38" s="26">
        <v>0</v>
      </c>
      <c r="O38" s="5">
        <f t="shared" si="2"/>
        <v>-0.99999959959343843</v>
      </c>
    </row>
    <row r="39" spans="1:15">
      <c r="A39" s="27" t="s">
        <v>99</v>
      </c>
      <c r="B39" s="61">
        <v>10.3</v>
      </c>
      <c r="C39" s="26">
        <v>14.9</v>
      </c>
      <c r="D39" s="26">
        <f>17.1+189.9</f>
        <v>207</v>
      </c>
      <c r="E39" s="26">
        <v>10</v>
      </c>
      <c r="F39" s="26">
        <v>-22.8</v>
      </c>
      <c r="G39" s="26">
        <v>-6.6</v>
      </c>
      <c r="H39" s="26">
        <v>-14.9</v>
      </c>
      <c r="I39" s="26">
        <v>8</v>
      </c>
      <c r="J39" s="26">
        <v>6</v>
      </c>
      <c r="K39" s="26">
        <v>5</v>
      </c>
      <c r="L39" s="26">
        <v>-6</v>
      </c>
      <c r="M39" s="26">
        <v>-23</v>
      </c>
      <c r="N39" s="26">
        <v>-13</v>
      </c>
      <c r="O39" s="5"/>
    </row>
    <row r="40" spans="1:15" ht="7.5" customHeight="1">
      <c r="A40" s="27"/>
      <c r="B40" s="6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5"/>
    </row>
    <row r="41" spans="1:15">
      <c r="A41" s="236" t="s">
        <v>100</v>
      </c>
      <c r="B41" s="237">
        <v>-353.7</v>
      </c>
      <c r="C41" s="238">
        <v>231.8</v>
      </c>
      <c r="D41" s="238">
        <v>-568.4</v>
      </c>
      <c r="E41" s="238">
        <v>-525.1</v>
      </c>
      <c r="F41" s="238">
        <v>-703.5</v>
      </c>
      <c r="G41" s="238">
        <v>-846.7</v>
      </c>
      <c r="H41" s="238">
        <f t="shared" ref="H41:N41" si="3">SUM(H32:H40)</f>
        <v>-1024.1000000000001</v>
      </c>
      <c r="I41" s="238">
        <f t="shared" si="3"/>
        <v>-1497</v>
      </c>
      <c r="J41" s="238">
        <f t="shared" si="3"/>
        <v>-2076</v>
      </c>
      <c r="K41" s="238">
        <f t="shared" si="3"/>
        <v>-2308</v>
      </c>
      <c r="L41" s="238">
        <f t="shared" si="3"/>
        <v>-1613</v>
      </c>
      <c r="M41" s="238">
        <f t="shared" ref="M41" si="4">SUM(M32:M40)</f>
        <v>-1529</v>
      </c>
      <c r="N41" s="238">
        <f t="shared" si="3"/>
        <v>-734</v>
      </c>
      <c r="O41" s="203">
        <f>RATE(($M$8-$I$8),,-I41,M41)</f>
        <v>5.3017099665981981E-3</v>
      </c>
    </row>
    <row r="42" spans="1:15">
      <c r="A42" s="27"/>
      <c r="B42" s="6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5"/>
    </row>
    <row r="43" spans="1:15">
      <c r="A43" s="235" t="s">
        <v>101</v>
      </c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5"/>
    </row>
    <row r="44" spans="1:15">
      <c r="A44" s="27" t="s">
        <v>102</v>
      </c>
      <c r="B44" s="61">
        <v>-88.1</v>
      </c>
      <c r="C44" s="26">
        <v>131.5</v>
      </c>
      <c r="D44" s="26">
        <v>-64</v>
      </c>
      <c r="E44" s="26">
        <v>-152.5</v>
      </c>
      <c r="F44" s="26">
        <v>99.9</v>
      </c>
      <c r="G44" s="26">
        <v>343.9</v>
      </c>
      <c r="H44" s="26">
        <v>-284.39999999999998</v>
      </c>
      <c r="I44" s="26">
        <v>-397</v>
      </c>
      <c r="J44" s="26">
        <v>85</v>
      </c>
      <c r="K44" s="26">
        <v>-85</v>
      </c>
      <c r="L44" s="26">
        <v>36</v>
      </c>
      <c r="M44" s="26">
        <v>652</v>
      </c>
      <c r="N44" s="26">
        <v>-688</v>
      </c>
      <c r="O44" s="5"/>
    </row>
    <row r="45" spans="1:15">
      <c r="A45" s="27" t="s">
        <v>103</v>
      </c>
      <c r="B45" s="61">
        <v>1812</v>
      </c>
      <c r="C45" s="26">
        <v>1114</v>
      </c>
      <c r="D45" s="26">
        <v>791.1</v>
      </c>
      <c r="E45" s="26">
        <v>0</v>
      </c>
      <c r="F45" s="26">
        <v>0</v>
      </c>
      <c r="G45" s="26">
        <v>395.2</v>
      </c>
      <c r="H45" s="26">
        <v>296</v>
      </c>
      <c r="I45" s="26">
        <v>1193</v>
      </c>
      <c r="J45" s="26">
        <f>797+216</f>
        <v>1013</v>
      </c>
      <c r="K45" s="26">
        <v>992</v>
      </c>
      <c r="L45" s="26">
        <v>0</v>
      </c>
      <c r="M45" s="26">
        <v>399</v>
      </c>
      <c r="N45" s="26">
        <v>749</v>
      </c>
      <c r="O45" s="5">
        <f t="shared" ref="O45:O51" si="5">RATE(($M$8-$I$8),,-I45,M45)</f>
        <v>-0.23952820187051502</v>
      </c>
    </row>
    <row r="46" spans="1:15">
      <c r="A46" s="46" t="s">
        <v>150</v>
      </c>
      <c r="B46" s="26">
        <v>0</v>
      </c>
      <c r="C46" s="26">
        <v>0</v>
      </c>
      <c r="D46" s="26">
        <v>0</v>
      </c>
      <c r="E46" s="26">
        <v>150</v>
      </c>
      <c r="F46" s="26">
        <v>0</v>
      </c>
      <c r="G46" s="26">
        <v>0</v>
      </c>
      <c r="H46" s="26">
        <v>484.7</v>
      </c>
      <c r="I46" s="26">
        <v>200</v>
      </c>
      <c r="J46" s="26">
        <v>450</v>
      </c>
      <c r="K46" s="26">
        <v>125</v>
      </c>
      <c r="L46" s="26">
        <v>100</v>
      </c>
      <c r="M46" s="26">
        <v>0</v>
      </c>
      <c r="N46" s="26">
        <v>0</v>
      </c>
      <c r="O46" s="5">
        <f t="shared" si="5"/>
        <v>-0.99999959914231695</v>
      </c>
    </row>
    <row r="47" spans="1:15">
      <c r="A47" s="27" t="s">
        <v>105</v>
      </c>
      <c r="B47" s="61">
        <v>-269.5</v>
      </c>
      <c r="C47" s="26">
        <v>-347.7</v>
      </c>
      <c r="D47" s="26">
        <v>-310.3</v>
      </c>
      <c r="E47" s="26">
        <v>-7.3</v>
      </c>
      <c r="F47" s="26">
        <v>-165.1</v>
      </c>
      <c r="G47" s="26">
        <v>-195.4</v>
      </c>
      <c r="H47" s="26">
        <v>-177.1</v>
      </c>
      <c r="I47" s="26">
        <v>-2</v>
      </c>
      <c r="J47" s="26">
        <v>-2</v>
      </c>
      <c r="K47" s="26">
        <v>-2</v>
      </c>
      <c r="L47" s="26">
        <v>-2</v>
      </c>
      <c r="M47" s="26">
        <v>-2</v>
      </c>
      <c r="N47" s="26">
        <v>-1</v>
      </c>
      <c r="O47" s="5">
        <f t="shared" si="5"/>
        <v>4.0776591742538933E-12</v>
      </c>
    </row>
    <row r="48" spans="1:15">
      <c r="A48" s="27" t="s">
        <v>221</v>
      </c>
      <c r="B48" s="61"/>
      <c r="C48" s="26"/>
      <c r="D48" s="26"/>
      <c r="E48" s="26"/>
      <c r="F48" s="26"/>
      <c r="G48" s="26"/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-550</v>
      </c>
      <c r="N48" s="26">
        <v>-50</v>
      </c>
      <c r="O48" s="5"/>
    </row>
    <row r="49" spans="1:16">
      <c r="A49" s="27" t="s">
        <v>106</v>
      </c>
      <c r="B49" s="64">
        <v>-2099</v>
      </c>
      <c r="C49" s="26">
        <v>-1787</v>
      </c>
      <c r="D49" s="26">
        <v>-59</v>
      </c>
      <c r="E49" s="26">
        <v>-144.6</v>
      </c>
      <c r="F49" s="26">
        <v>-194.1</v>
      </c>
      <c r="G49" s="26">
        <v>-259.8</v>
      </c>
      <c r="H49" s="26">
        <v>-269.7</v>
      </c>
      <c r="I49" s="26">
        <v>-127</v>
      </c>
      <c r="J49" s="26">
        <v>-413</v>
      </c>
      <c r="K49" s="26">
        <v>-144</v>
      </c>
      <c r="L49" s="26">
        <v>-16</v>
      </c>
      <c r="M49" s="26">
        <v>-588</v>
      </c>
      <c r="N49" s="26">
        <v>-90</v>
      </c>
      <c r="O49" s="5">
        <f t="shared" si="5"/>
        <v>0.46687599415803371</v>
      </c>
    </row>
    <row r="50" spans="1:16" hidden="1">
      <c r="A50" s="27" t="s">
        <v>107</v>
      </c>
      <c r="B50" s="26">
        <v>0</v>
      </c>
      <c r="C50" s="26">
        <v>0</v>
      </c>
      <c r="D50" s="26">
        <v>0</v>
      </c>
      <c r="E50" s="26">
        <v>0</v>
      </c>
      <c r="F50" s="26">
        <v>-352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5" t="e">
        <f t="shared" si="5"/>
        <v>#NUM!</v>
      </c>
    </row>
    <row r="51" spans="1:16">
      <c r="A51" s="27" t="s">
        <v>108</v>
      </c>
      <c r="B51" s="61">
        <v>-26.1</v>
      </c>
      <c r="C51" s="26">
        <v>0</v>
      </c>
      <c r="D51" s="26">
        <v>0</v>
      </c>
      <c r="E51" s="26">
        <v>-7.5</v>
      </c>
      <c r="F51" s="26">
        <v>-7.5</v>
      </c>
      <c r="G51" s="26">
        <v>-7.5</v>
      </c>
      <c r="H51" s="26">
        <v>-7.5</v>
      </c>
      <c r="I51" s="26">
        <v>-38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5">
        <f t="shared" si="5"/>
        <v>-0.99999959959343843</v>
      </c>
    </row>
    <row r="52" spans="1:16">
      <c r="A52" s="27" t="s">
        <v>99</v>
      </c>
      <c r="B52" s="61">
        <v>7</v>
      </c>
      <c r="C52" s="26">
        <v>-2.1</v>
      </c>
      <c r="D52" s="26">
        <v>-13.5</v>
      </c>
      <c r="E52" s="26">
        <v>0</v>
      </c>
      <c r="F52" s="26">
        <v>-0.3</v>
      </c>
      <c r="G52" s="26">
        <v>0</v>
      </c>
      <c r="H52" s="26">
        <v>7.8</v>
      </c>
      <c r="I52" s="26">
        <v>13</v>
      </c>
      <c r="J52" s="26">
        <f>-2-216</f>
        <v>-218</v>
      </c>
      <c r="K52" s="26">
        <v>-20</v>
      </c>
      <c r="L52" s="26">
        <f>-1</f>
        <v>-1</v>
      </c>
      <c r="M52" s="26">
        <v>-2</v>
      </c>
      <c r="N52" s="26">
        <v>-8</v>
      </c>
      <c r="O52" s="5"/>
    </row>
    <row r="53" spans="1:16" ht="7.5" customHeight="1">
      <c r="A53" s="27"/>
      <c r="B53" s="6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5"/>
    </row>
    <row r="54" spans="1:16">
      <c r="A54" s="236" t="s">
        <v>109</v>
      </c>
      <c r="B54" s="239">
        <v>-663.7</v>
      </c>
      <c r="C54" s="238">
        <v>-891.3</v>
      </c>
      <c r="D54" s="238">
        <v>244.3</v>
      </c>
      <c r="E54" s="238">
        <v>-161.9</v>
      </c>
      <c r="F54" s="238">
        <v>-222.4</v>
      </c>
      <c r="G54" s="238">
        <v>276.39999999999998</v>
      </c>
      <c r="H54" s="238">
        <f t="shared" ref="H54:N54" si="6">SUM(H43:H53)</f>
        <v>49.800000000000054</v>
      </c>
      <c r="I54" s="238">
        <f t="shared" si="6"/>
        <v>842</v>
      </c>
      <c r="J54" s="238">
        <f t="shared" si="6"/>
        <v>915</v>
      </c>
      <c r="K54" s="238">
        <f t="shared" si="6"/>
        <v>866</v>
      </c>
      <c r="L54" s="238">
        <f t="shared" si="6"/>
        <v>117</v>
      </c>
      <c r="M54" s="238">
        <f t="shared" ref="M54" si="7">SUM(M43:M53)</f>
        <v>-91</v>
      </c>
      <c r="N54" s="238">
        <f t="shared" si="6"/>
        <v>-88</v>
      </c>
      <c r="O54" s="203"/>
    </row>
    <row r="55" spans="1:16">
      <c r="A55" s="236" t="s">
        <v>110</v>
      </c>
      <c r="B55" s="237">
        <v>-262</v>
      </c>
      <c r="C55" s="238">
        <v>-14.800000000000182</v>
      </c>
      <c r="D55" s="238">
        <v>18.500000000000057</v>
      </c>
      <c r="E55" s="238">
        <v>-5.4000000000001194</v>
      </c>
      <c r="F55" s="238">
        <v>-94.000000000000284</v>
      </c>
      <c r="G55" s="238">
        <v>140.80000000000001</v>
      </c>
      <c r="H55" s="238">
        <v>-79.7</v>
      </c>
      <c r="I55" s="238">
        <f>I30+I41+I54</f>
        <v>169</v>
      </c>
      <c r="J55" s="238">
        <f>J30+J41+J54</f>
        <v>-169</v>
      </c>
      <c r="K55" s="238">
        <f>K30+K41+K54</f>
        <v>58</v>
      </c>
      <c r="L55" s="238">
        <f>L57-L56</f>
        <v>-86</v>
      </c>
      <c r="M55" s="238">
        <f>M57-M56</f>
        <v>16</v>
      </c>
      <c r="N55" s="238">
        <v>60</v>
      </c>
      <c r="O55" s="203">
        <f t="shared" ref="O55:O57" si="8">RATE(($M$8-$I$8),,-I55,M55)</f>
        <v>-0.44529980377470879</v>
      </c>
      <c r="P55" s="242"/>
    </row>
    <row r="56" spans="1:16">
      <c r="A56" s="30" t="s">
        <v>111</v>
      </c>
      <c r="B56" s="65">
        <v>416.2</v>
      </c>
      <c r="C56" s="31">
        <v>154.19999999999999</v>
      </c>
      <c r="D56" s="31">
        <v>139.4</v>
      </c>
      <c r="E56" s="31">
        <v>157.9</v>
      </c>
      <c r="F56" s="31">
        <v>152.5</v>
      </c>
      <c r="G56" s="31">
        <v>58.499999999999602</v>
      </c>
      <c r="H56" s="31">
        <f>G57</f>
        <v>199.3</v>
      </c>
      <c r="I56" s="31">
        <v>59</v>
      </c>
      <c r="J56" s="31">
        <v>228</v>
      </c>
      <c r="K56" s="31">
        <v>59</v>
      </c>
      <c r="L56" s="31">
        <f>Historical!K12:K12</f>
        <v>117</v>
      </c>
      <c r="M56" s="31">
        <f>Historical!L12:L12</f>
        <v>31</v>
      </c>
      <c r="N56" s="31">
        <v>47</v>
      </c>
      <c r="O56" s="97">
        <f t="shared" si="8"/>
        <v>-0.14861220410750456</v>
      </c>
    </row>
    <row r="57" spans="1:16">
      <c r="A57" s="30" t="s">
        <v>112</v>
      </c>
      <c r="B57" s="66">
        <f>B55+B56</f>
        <v>154.19999999999999</v>
      </c>
      <c r="C57" s="31">
        <v>139.4</v>
      </c>
      <c r="D57" s="31">
        <v>157.9</v>
      </c>
      <c r="E57" s="31">
        <v>152.5</v>
      </c>
      <c r="F57" s="31">
        <v>58.499999999999602</v>
      </c>
      <c r="G57" s="31">
        <v>199.3</v>
      </c>
      <c r="H57" s="31">
        <f>H55+H56</f>
        <v>119.60000000000001</v>
      </c>
      <c r="I57" s="31">
        <f>I55+I56</f>
        <v>228</v>
      </c>
      <c r="J57" s="31">
        <f>J55+J56</f>
        <v>59</v>
      </c>
      <c r="K57" s="31">
        <f>K55+K56</f>
        <v>117</v>
      </c>
      <c r="L57" s="31">
        <f>Historical!L12</f>
        <v>31</v>
      </c>
      <c r="M57" s="31">
        <f>Historical!M12</f>
        <v>47</v>
      </c>
      <c r="N57" s="31">
        <f>Historical!N12</f>
        <v>107</v>
      </c>
      <c r="O57" s="97">
        <f t="shared" si="8"/>
        <v>-0.32618487895068132</v>
      </c>
    </row>
    <row r="58" spans="1:16">
      <c r="B58" s="67"/>
      <c r="C58" s="68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281"/>
    </row>
    <row r="60" spans="1:16">
      <c r="O60" s="53" t="s">
        <v>115</v>
      </c>
    </row>
    <row r="61" spans="1:16">
      <c r="O61" s="54" t="s">
        <v>117</v>
      </c>
    </row>
    <row r="62" spans="1:16" ht="18.75">
      <c r="A62" s="48" t="str">
        <f>A3</f>
        <v>PacifiCorp</v>
      </c>
      <c r="B62" s="49"/>
      <c r="C62" s="49"/>
      <c r="D62" s="49"/>
      <c r="E62" s="49"/>
      <c r="F62" s="49"/>
      <c r="G62" s="47"/>
      <c r="H62" s="47"/>
      <c r="I62" s="47"/>
      <c r="J62" s="47"/>
      <c r="K62" s="47"/>
      <c r="L62" s="47"/>
      <c r="M62" s="47"/>
      <c r="N62" s="47"/>
      <c r="O62" s="39"/>
    </row>
    <row r="63" spans="1:16" s="37" customFormat="1" ht="15.75">
      <c r="A63" s="50" t="s">
        <v>114</v>
      </c>
      <c r="B63" s="42"/>
      <c r="C63" s="42"/>
      <c r="D63" s="42"/>
      <c r="E63" s="42"/>
      <c r="F63" s="42"/>
      <c r="G63" s="42"/>
      <c r="H63" s="56"/>
      <c r="I63" s="56"/>
      <c r="J63" s="56"/>
      <c r="K63" s="56"/>
      <c r="L63" s="56"/>
      <c r="M63" s="56"/>
      <c r="N63" s="56"/>
      <c r="O63" s="56"/>
    </row>
    <row r="64" spans="1:16" s="37" customFormat="1" ht="15.75">
      <c r="A64" s="51" t="str">
        <f>A5</f>
        <v>Fiscal Years Ended December 31, 2007-2011, Six Months Ended June 2012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56"/>
      <c r="M64" s="56"/>
      <c r="N64" s="56"/>
      <c r="O64" s="56"/>
    </row>
    <row r="65" spans="1:22">
      <c r="A65" s="44"/>
      <c r="B65" s="240"/>
      <c r="C65" s="240"/>
      <c r="D65" s="240"/>
      <c r="E65" s="240"/>
      <c r="F65" s="240"/>
      <c r="G65" s="240"/>
      <c r="H65" s="194"/>
      <c r="I65" s="241"/>
      <c r="J65" s="241"/>
      <c r="K65" s="241"/>
      <c r="L65" s="241"/>
      <c r="M65" s="241"/>
      <c r="N65" s="241" t="str">
        <f>N7</f>
        <v>June</v>
      </c>
      <c r="O65" s="231" t="str">
        <f>O6</f>
        <v>2007-2011</v>
      </c>
    </row>
    <row r="66" spans="1:22">
      <c r="A66" s="242"/>
      <c r="B66" s="234">
        <f>B8</f>
        <v>2000</v>
      </c>
      <c r="C66" s="234">
        <f t="shared" ref="C66:H66" si="9">C8</f>
        <v>2001</v>
      </c>
      <c r="D66" s="234">
        <f t="shared" si="9"/>
        <v>2002</v>
      </c>
      <c r="E66" s="234">
        <f t="shared" si="9"/>
        <v>2003</v>
      </c>
      <c r="F66" s="234">
        <f t="shared" si="9"/>
        <v>2004</v>
      </c>
      <c r="G66" s="234">
        <f t="shared" si="9"/>
        <v>2005</v>
      </c>
      <c r="H66" s="234">
        <f t="shared" si="9"/>
        <v>2006</v>
      </c>
      <c r="I66" s="197">
        <f>I8</f>
        <v>2007</v>
      </c>
      <c r="J66" s="197">
        <f>J8</f>
        <v>2008</v>
      </c>
      <c r="K66" s="197">
        <f>K8</f>
        <v>2009</v>
      </c>
      <c r="L66" s="197">
        <f>L8</f>
        <v>2010</v>
      </c>
      <c r="M66" s="197">
        <f>M8</f>
        <v>2011</v>
      </c>
      <c r="N66" s="197">
        <f>N8</f>
        <v>2012</v>
      </c>
      <c r="O66" s="243" t="s">
        <v>38</v>
      </c>
    </row>
    <row r="67" spans="1:22" ht="7.5" customHeight="1">
      <c r="B67" s="34"/>
      <c r="C67" s="35"/>
      <c r="D67" s="35"/>
      <c r="E67" s="35"/>
      <c r="F67" s="35"/>
      <c r="G67" s="35"/>
      <c r="H67" s="12"/>
      <c r="I67" s="12"/>
      <c r="J67" s="12"/>
      <c r="K67" s="12"/>
      <c r="L67" s="12"/>
      <c r="M67" s="12"/>
      <c r="N67" s="12"/>
    </row>
    <row r="68" spans="1:22">
      <c r="A68" s="36" t="s">
        <v>45</v>
      </c>
      <c r="B68" s="245">
        <f>Historical!B76</f>
        <v>3986.9</v>
      </c>
      <c r="C68" s="245">
        <f>Historical!C76</f>
        <v>5055.7</v>
      </c>
      <c r="D68" s="245">
        <f>Historical!D76</f>
        <v>3353.7</v>
      </c>
      <c r="E68" s="245">
        <f>Historical!E76</f>
        <v>3082.4</v>
      </c>
      <c r="F68" s="245">
        <f>Historical!F76</f>
        <v>3194.5</v>
      </c>
      <c r="G68" s="245">
        <f>Historical!G76</f>
        <v>3048.8</v>
      </c>
      <c r="H68" s="245">
        <f>Historical!H76</f>
        <v>3896.7</v>
      </c>
      <c r="I68" s="245">
        <f>Historical!I76</f>
        <v>4258</v>
      </c>
      <c r="J68" s="245">
        <f>Historical!J76</f>
        <v>4498</v>
      </c>
      <c r="K68" s="245">
        <f>Historical!K76</f>
        <v>4457</v>
      </c>
      <c r="L68" s="245">
        <f>Historical!L76</f>
        <v>4432</v>
      </c>
      <c r="M68" s="245">
        <f>Historical!M76</f>
        <v>4586</v>
      </c>
      <c r="N68" s="245">
        <f>Historical!N76</f>
        <v>2344</v>
      </c>
      <c r="O68" s="258">
        <f>SUM(I68:M68)/SUM($I$68:$M$68)</f>
        <v>1</v>
      </c>
      <c r="P68" s="37"/>
      <c r="Q68" s="37"/>
      <c r="R68" s="37"/>
      <c r="S68" s="37"/>
      <c r="T68" s="37"/>
      <c r="U68" s="37"/>
      <c r="V68" s="37"/>
    </row>
    <row r="69" spans="1:22" ht="7.5" customHeight="1">
      <c r="A69" s="36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7"/>
      <c r="P69" s="37"/>
      <c r="Q69" s="37"/>
      <c r="R69" s="37"/>
      <c r="S69" s="37"/>
      <c r="T69" s="37"/>
      <c r="U69" s="37"/>
      <c r="V69" s="37"/>
    </row>
    <row r="70" spans="1:22">
      <c r="A70" s="235" t="s">
        <v>73</v>
      </c>
      <c r="B70" s="37"/>
      <c r="C70" s="37"/>
      <c r="D70" s="37"/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>
      <c r="A71" s="27" t="s">
        <v>74</v>
      </c>
      <c r="B71" s="57">
        <f t="shared" ref="B71:L71" si="10">(B11/B$68)</f>
        <v>2.0993754546138593E-2</v>
      </c>
      <c r="C71" s="57">
        <f t="shared" si="10"/>
        <v>-1.744565539885674E-2</v>
      </c>
      <c r="D71" s="57">
        <f t="shared" si="10"/>
        <v>9.759370247786027E-2</v>
      </c>
      <c r="E71" s="57">
        <f t="shared" si="10"/>
        <v>4.5451596158837149E-2</v>
      </c>
      <c r="F71" s="57">
        <f t="shared" si="10"/>
        <v>7.7664736265456155E-2</v>
      </c>
      <c r="G71" s="57">
        <f t="shared" si="10"/>
        <v>8.2557071634741588E-2</v>
      </c>
      <c r="H71" s="57">
        <f t="shared" si="10"/>
        <v>9.2565504144532448E-2</v>
      </c>
      <c r="I71" s="57">
        <f t="shared" si="10"/>
        <v>0.1045091592296853</v>
      </c>
      <c r="J71" s="57">
        <f t="shared" si="10"/>
        <v>0.10337927967985772</v>
      </c>
      <c r="K71" s="57">
        <f t="shared" si="10"/>
        <v>0.12340139107022662</v>
      </c>
      <c r="L71" s="57">
        <f t="shared" si="10"/>
        <v>0.12770758122743683</v>
      </c>
      <c r="M71" s="57">
        <f t="shared" ref="M71" si="11">(M11/M$68)</f>
        <v>0.12102049716528565</v>
      </c>
      <c r="N71" s="57">
        <f>(N11/N$68)</f>
        <v>0.11988054607508532</v>
      </c>
      <c r="O71" s="58">
        <f>SUM(I11:M11)/SUM($I$68:$M$68)</f>
        <v>0.11609914083936845</v>
      </c>
      <c r="P71" s="37"/>
      <c r="Q71" s="37"/>
      <c r="R71" s="37"/>
      <c r="S71" s="37"/>
      <c r="T71" s="37"/>
      <c r="U71" s="37"/>
      <c r="V71" s="37"/>
    </row>
    <row r="72" spans="1:22">
      <c r="A72" s="25" t="s">
        <v>75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  <c r="P72" s="37"/>
      <c r="Q72" s="37"/>
      <c r="R72" s="37"/>
      <c r="S72" s="37"/>
      <c r="T72" s="37"/>
      <c r="U72" s="37"/>
      <c r="V72" s="37"/>
    </row>
    <row r="73" spans="1:22">
      <c r="A73" s="25" t="s">
        <v>76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8"/>
      <c r="P73" s="37"/>
      <c r="Q73" s="37"/>
      <c r="R73" s="37"/>
      <c r="S73" s="37"/>
      <c r="T73" s="37"/>
      <c r="U73" s="37"/>
      <c r="V73" s="37"/>
    </row>
    <row r="74" spans="1:22" hidden="1">
      <c r="A74" s="29" t="s">
        <v>77</v>
      </c>
      <c r="B74" s="57">
        <f>(B14/B$68)</f>
        <v>-2.7590358423838069E-4</v>
      </c>
      <c r="C74" s="59" t="s">
        <v>78</v>
      </c>
      <c r="D74" s="57">
        <f t="shared" ref="D74:D80" si="12">(D14/D$68)</f>
        <v>-4.3742731908041864E-2</v>
      </c>
      <c r="E74" s="59" t="s">
        <v>78</v>
      </c>
      <c r="F74" s="59" t="s">
        <v>78</v>
      </c>
      <c r="G74" s="59" t="s">
        <v>78</v>
      </c>
      <c r="H74" s="59" t="s">
        <v>78</v>
      </c>
      <c r="I74" s="59" t="s">
        <v>78</v>
      </c>
      <c r="J74" s="59"/>
      <c r="K74" s="59"/>
      <c r="L74" s="59"/>
      <c r="M74" s="59"/>
      <c r="N74" s="59"/>
      <c r="O74" s="58">
        <f t="shared" ref="O74:O75" si="13">SUM(H14:L14)/SUM($H$68:$L$68)</f>
        <v>0</v>
      </c>
      <c r="P74" s="37"/>
      <c r="Q74" s="37"/>
      <c r="R74" s="37"/>
      <c r="S74" s="37"/>
      <c r="T74" s="37"/>
      <c r="U74" s="37"/>
      <c r="V74" s="37"/>
    </row>
    <row r="75" spans="1:22" hidden="1">
      <c r="A75" s="27" t="s">
        <v>79</v>
      </c>
      <c r="B75" s="59" t="s">
        <v>78</v>
      </c>
      <c r="C75" s="59" t="s">
        <v>78</v>
      </c>
      <c r="D75" s="57">
        <f t="shared" si="12"/>
        <v>3.3634493246265322E-2</v>
      </c>
      <c r="E75" s="57">
        <f t="shared" ref="E75:F78" si="14">(E15/E$68)</f>
        <v>6.16402803010641E-4</v>
      </c>
      <c r="F75" s="57">
        <f t="shared" si="14"/>
        <v>2.8173423070903115E-4</v>
      </c>
      <c r="G75" s="57" t="s">
        <v>78</v>
      </c>
      <c r="H75" s="59" t="s">
        <v>78</v>
      </c>
      <c r="I75" s="59" t="s">
        <v>78</v>
      </c>
      <c r="J75" s="59"/>
      <c r="K75" s="59"/>
      <c r="L75" s="59"/>
      <c r="M75" s="59"/>
      <c r="N75" s="59"/>
      <c r="O75" s="58">
        <f t="shared" si="13"/>
        <v>0</v>
      </c>
      <c r="P75" s="37"/>
      <c r="Q75" s="37"/>
      <c r="R75" s="37"/>
      <c r="S75" s="37"/>
      <c r="T75" s="37"/>
      <c r="U75" s="37"/>
      <c r="V75" s="37"/>
    </row>
    <row r="76" spans="1:22">
      <c r="A76" s="27" t="s">
        <v>80</v>
      </c>
      <c r="B76" s="59" t="s">
        <v>78</v>
      </c>
      <c r="C76" s="59" t="s">
        <v>78</v>
      </c>
      <c r="D76" s="57">
        <f t="shared" si="12"/>
        <v>-5.4506962459373233E-2</v>
      </c>
      <c r="E76" s="57">
        <f t="shared" si="14"/>
        <v>-1.0057098364910459E-3</v>
      </c>
      <c r="F76" s="57">
        <f t="shared" si="14"/>
        <v>-1.9095320081389889E-3</v>
      </c>
      <c r="G76" s="57">
        <f t="shared" ref="G76:N78" si="15">(G16/G$68)</f>
        <v>-2.7551823668328524E-3</v>
      </c>
      <c r="H76" s="57">
        <f t="shared" si="15"/>
        <v>-2.2275258552108195E-2</v>
      </c>
      <c r="I76" s="57">
        <f t="shared" si="15"/>
        <v>0</v>
      </c>
      <c r="J76" s="57">
        <f t="shared" si="15"/>
        <v>0</v>
      </c>
      <c r="K76" s="57">
        <f t="shared" si="15"/>
        <v>0</v>
      </c>
      <c r="L76" s="57">
        <f t="shared" si="15"/>
        <v>0</v>
      </c>
      <c r="M76" s="57">
        <f t="shared" ref="M76" si="16">(M16/M$68)</f>
        <v>0</v>
      </c>
      <c r="N76" s="57">
        <f t="shared" si="15"/>
        <v>0</v>
      </c>
      <c r="O76" s="58">
        <f>SUM(I16:M16)/SUM($I$68:$M$68)</f>
        <v>0</v>
      </c>
      <c r="P76" s="37"/>
      <c r="Q76" s="37"/>
      <c r="R76" s="37"/>
      <c r="S76" s="37"/>
      <c r="T76" s="37"/>
      <c r="U76" s="37"/>
      <c r="V76" s="37"/>
    </row>
    <row r="77" spans="1:22">
      <c r="A77" s="27" t="s">
        <v>81</v>
      </c>
      <c r="B77" s="57">
        <f t="shared" ref="B77:C79" si="17">(B17/B$68)</f>
        <v>0.11444982317088465</v>
      </c>
      <c r="C77" s="57">
        <f t="shared" si="17"/>
        <v>8.48547184366161E-2</v>
      </c>
      <c r="D77" s="57">
        <f t="shared" si="12"/>
        <v>0.1201657870411784</v>
      </c>
      <c r="E77" s="57">
        <f t="shared" si="14"/>
        <v>0.14089670386711653</v>
      </c>
      <c r="F77" s="57">
        <f t="shared" si="14"/>
        <v>0.13423070903114728</v>
      </c>
      <c r="G77" s="57">
        <f t="shared" si="15"/>
        <v>0.14330228286538965</v>
      </c>
      <c r="H77" s="57">
        <f t="shared" si="15"/>
        <v>0.11504606461878</v>
      </c>
      <c r="I77" s="57">
        <f t="shared" si="15"/>
        <v>0.11672146547674965</v>
      </c>
      <c r="J77" s="57">
        <f t="shared" si="15"/>
        <v>0.10893730546909737</v>
      </c>
      <c r="K77" s="57">
        <f t="shared" si="15"/>
        <v>0.12317702490464438</v>
      </c>
      <c r="L77" s="57">
        <f t="shared" si="15"/>
        <v>0.12657942238267147</v>
      </c>
      <c r="M77" s="57">
        <f t="shared" ref="M77" si="18">(M17/M$68)</f>
        <v>0.13323157435673791</v>
      </c>
      <c r="N77" s="57">
        <f t="shared" si="15"/>
        <v>0.13523890784982937</v>
      </c>
      <c r="O77" s="58">
        <f t="shared" ref="O77:O88" si="19">SUM(I17:M17)/SUM($I$68:$M$68)</f>
        <v>0.12181188430569925</v>
      </c>
      <c r="P77" s="37"/>
      <c r="Q77" s="37"/>
      <c r="R77" s="37"/>
      <c r="S77" s="37"/>
      <c r="T77" s="37"/>
      <c r="U77" s="37"/>
      <c r="V77" s="37"/>
    </row>
    <row r="78" spans="1:22">
      <c r="A78" s="27" t="s">
        <v>82</v>
      </c>
      <c r="B78" s="57">
        <f t="shared" si="17"/>
        <v>3.4287290877624214E-2</v>
      </c>
      <c r="C78" s="57">
        <f t="shared" si="17"/>
        <v>-5.2218288268686824E-3</v>
      </c>
      <c r="D78" s="57">
        <f t="shared" si="12"/>
        <v>1.8159048215403883E-2</v>
      </c>
      <c r="E78" s="57">
        <f t="shared" si="14"/>
        <v>1.0316636387230729E-2</v>
      </c>
      <c r="F78" s="57">
        <f t="shared" si="14"/>
        <v>2.5199561746752232E-2</v>
      </c>
      <c r="G78" s="57">
        <f t="shared" si="15"/>
        <v>3.9359748097612175E-2</v>
      </c>
      <c r="H78" s="57">
        <f t="shared" si="15"/>
        <v>3.5671208971694E-3</v>
      </c>
      <c r="I78" s="57">
        <f t="shared" si="15"/>
        <v>9.1592296852982622E-3</v>
      </c>
      <c r="J78" s="57">
        <f t="shared" si="15"/>
        <v>6.8474877723432637E-2</v>
      </c>
      <c r="K78" s="57">
        <f t="shared" si="15"/>
        <v>0.14471617680053847</v>
      </c>
      <c r="L78" s="57">
        <f t="shared" si="15"/>
        <v>0.1601985559566787</v>
      </c>
      <c r="M78" s="57">
        <f t="shared" ref="M78" si="20">(M18/M$68)</f>
        <v>8.1552551242913218E-2</v>
      </c>
      <c r="N78" s="57">
        <f t="shared" si="15"/>
        <v>7.252559726962457E-2</v>
      </c>
      <c r="O78" s="58">
        <f t="shared" si="19"/>
        <v>9.3383113670100312E-2</v>
      </c>
      <c r="P78" s="37"/>
      <c r="Q78" s="37"/>
      <c r="R78" s="37"/>
      <c r="S78" s="37"/>
      <c r="T78" s="37"/>
      <c r="U78" s="37"/>
      <c r="V78" s="37"/>
    </row>
    <row r="79" spans="1:22" hidden="1">
      <c r="A79" s="29" t="s">
        <v>83</v>
      </c>
      <c r="B79" s="57">
        <f t="shared" si="17"/>
        <v>-2.5082144021670974E-4</v>
      </c>
      <c r="C79" s="57">
        <f t="shared" si="17"/>
        <v>3.7423106592558895E-2</v>
      </c>
      <c r="D79" s="57">
        <f t="shared" si="12"/>
        <v>-1.5684169722992518E-2</v>
      </c>
      <c r="E79" s="59" t="s">
        <v>78</v>
      </c>
      <c r="F79" s="59" t="s">
        <v>78</v>
      </c>
      <c r="G79" s="59" t="s">
        <v>78</v>
      </c>
      <c r="H79" s="59" t="s">
        <v>78</v>
      </c>
      <c r="I79" s="59" t="s">
        <v>78</v>
      </c>
      <c r="J79" s="59"/>
      <c r="K79" s="59"/>
      <c r="L79" s="59"/>
      <c r="M79" s="59"/>
      <c r="N79" s="59"/>
      <c r="O79" s="58">
        <f t="shared" si="19"/>
        <v>0</v>
      </c>
      <c r="P79" s="37"/>
      <c r="Q79" s="37"/>
      <c r="R79" s="37"/>
      <c r="S79" s="37"/>
      <c r="T79" s="37"/>
      <c r="U79" s="37"/>
      <c r="V79" s="37"/>
    </row>
    <row r="80" spans="1:22">
      <c r="A80" s="27" t="s">
        <v>84</v>
      </c>
      <c r="B80" s="59" t="s">
        <v>78</v>
      </c>
      <c r="C80" s="57">
        <f>(C20/C$68)</f>
        <v>-6.9426587811776816E-3</v>
      </c>
      <c r="D80" s="57">
        <f t="shared" si="12"/>
        <v>-6.2885767957777977E-2</v>
      </c>
      <c r="E80" s="57">
        <f t="shared" ref="E80:N80" si="21">(E20/E$68)</f>
        <v>4.762522709576953E-2</v>
      </c>
      <c r="F80" s="57">
        <f t="shared" si="21"/>
        <v>3.477852559085929E-2</v>
      </c>
      <c r="G80" s="57">
        <f t="shared" si="21"/>
        <v>2.1877459984256102E-2</v>
      </c>
      <c r="H80" s="57">
        <f t="shared" si="21"/>
        <v>1.324197397798137E-2</v>
      </c>
      <c r="I80" s="57">
        <f t="shared" si="21"/>
        <v>-1.0568341944574918E-2</v>
      </c>
      <c r="J80" s="57">
        <f t="shared" si="21"/>
        <v>-8.2258781680747007E-3</v>
      </c>
      <c r="K80" s="57">
        <f t="shared" si="21"/>
        <v>1.121830827911151E-3</v>
      </c>
      <c r="L80" s="57">
        <f t="shared" si="21"/>
        <v>9.025270758122744E-4</v>
      </c>
      <c r="M80" s="57">
        <f t="shared" ref="M80" si="22">(M20/M$68)</f>
        <v>-5.0152638464893151E-3</v>
      </c>
      <c r="N80" s="57">
        <f t="shared" si="21"/>
        <v>-1.7064846416382253E-3</v>
      </c>
      <c r="O80" s="58">
        <f t="shared" si="19"/>
        <v>-4.3182942737618642E-3</v>
      </c>
      <c r="P80" s="37"/>
      <c r="Q80" s="37"/>
      <c r="R80" s="37"/>
      <c r="S80" s="37"/>
      <c r="T80" s="37"/>
      <c r="U80" s="37"/>
      <c r="V80" s="37"/>
    </row>
    <row r="81" spans="1:22">
      <c r="A81" s="27" t="s">
        <v>85</v>
      </c>
      <c r="B81" s="57">
        <f>(B21/B$68)</f>
        <v>1.291730417116055E-2</v>
      </c>
      <c r="C81" s="59" t="s">
        <v>78</v>
      </c>
      <c r="D81" s="59" t="s">
        <v>78</v>
      </c>
      <c r="E81" s="57">
        <f t="shared" ref="E81:N81" si="23">(E21/E$68)</f>
        <v>1.103036594861147E-3</v>
      </c>
      <c r="F81" s="57">
        <f t="shared" si="23"/>
        <v>-2.0347472217874473E-3</v>
      </c>
      <c r="G81" s="57">
        <f t="shared" si="23"/>
        <v>-8.8559433219627393E-3</v>
      </c>
      <c r="H81" s="57">
        <f t="shared" si="23"/>
        <v>1.2831370133702877E-2</v>
      </c>
      <c r="I81" s="57">
        <f t="shared" si="23"/>
        <v>7.045561296383278E-4</v>
      </c>
      <c r="J81" s="57">
        <f t="shared" si="23"/>
        <v>-2.2232103156958646E-3</v>
      </c>
      <c r="K81" s="57">
        <f t="shared" si="23"/>
        <v>-7.1797172986313666E-3</v>
      </c>
      <c r="L81" s="57">
        <f t="shared" si="23"/>
        <v>-1.3086642599277979E-2</v>
      </c>
      <c r="M81" s="57">
        <f t="shared" ref="M81" si="24">(M21/M$68)</f>
        <v>-5.451373746184038E-3</v>
      </c>
      <c r="N81" s="57">
        <f t="shared" si="23"/>
        <v>-7.6791808873720134E-3</v>
      </c>
      <c r="O81" s="58">
        <f t="shared" si="19"/>
        <v>-5.4878323062390356E-3</v>
      </c>
      <c r="P81" s="37"/>
      <c r="Q81" s="37"/>
      <c r="R81" s="37"/>
      <c r="S81" s="37"/>
      <c r="T81" s="37"/>
      <c r="U81" s="37"/>
      <c r="V81" s="37"/>
    </row>
    <row r="82" spans="1:22">
      <c r="A82" s="25" t="s">
        <v>86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8"/>
      <c r="P82" s="37"/>
      <c r="Q82" s="37"/>
      <c r="R82" s="37"/>
      <c r="S82" s="37"/>
      <c r="T82" s="37"/>
      <c r="U82" s="37"/>
      <c r="V82" s="37"/>
    </row>
    <row r="83" spans="1:22">
      <c r="A83" s="27" t="str">
        <f t="shared" ref="A83:A88" si="25">A23</f>
        <v xml:space="preserve">      Accounts receivable, prepayments and other current assets</v>
      </c>
      <c r="B83" s="57">
        <f t="shared" ref="B83:L83" si="26">(B23/B$68)</f>
        <v>-1.0258596904863427E-2</v>
      </c>
      <c r="C83" s="57">
        <f t="shared" si="26"/>
        <v>-3.2003481219217915E-2</v>
      </c>
      <c r="D83" s="57">
        <f t="shared" si="26"/>
        <v>4.9259027342934671E-2</v>
      </c>
      <c r="E83" s="57">
        <f t="shared" si="26"/>
        <v>2.465611212042564E-3</v>
      </c>
      <c r="F83" s="57">
        <f t="shared" si="26"/>
        <v>-5.321646580059477E-4</v>
      </c>
      <c r="G83" s="57">
        <f t="shared" si="26"/>
        <v>-4.5198110732091318E-2</v>
      </c>
      <c r="H83" s="57">
        <f t="shared" si="26"/>
        <v>1.8246208330125489E-2</v>
      </c>
      <c r="I83" s="57">
        <f t="shared" si="26"/>
        <v>-1.9023015500234851E-2</v>
      </c>
      <c r="J83" s="57">
        <f t="shared" si="26"/>
        <v>6.6696309470875941E-4</v>
      </c>
      <c r="K83" s="57">
        <f t="shared" si="26"/>
        <v>-1.121830827911151E-3</v>
      </c>
      <c r="L83" s="57">
        <f t="shared" si="26"/>
        <v>-3.1588447653429601E-3</v>
      </c>
      <c r="M83" s="57">
        <f t="shared" ref="M83" si="27">(M23/M$68)</f>
        <v>-9.1583078935891845E-3</v>
      </c>
      <c r="N83" s="57">
        <f t="shared" ref="N83:N88" si="28">(N23/N$68)</f>
        <v>2.303754266211604E-2</v>
      </c>
      <c r="O83" s="58">
        <f t="shared" si="19"/>
        <v>-6.2525302505510322E-3</v>
      </c>
      <c r="P83" s="37"/>
      <c r="Q83" s="37"/>
      <c r="R83" s="37"/>
      <c r="S83" s="37"/>
      <c r="T83" s="37"/>
      <c r="U83" s="37"/>
      <c r="V83" s="37"/>
    </row>
    <row r="84" spans="1:22">
      <c r="A84" s="27" t="str">
        <f t="shared" si="25"/>
        <v xml:space="preserve">      Derivative Collateral, net</v>
      </c>
      <c r="B84" s="57">
        <f>(B25/B$68)</f>
        <v>9.782036168451678E-4</v>
      </c>
      <c r="C84" s="57">
        <f>(C25/C$68)</f>
        <v>-1.8395078821923771E-3</v>
      </c>
      <c r="D84" s="57">
        <f>(D25/D$68)</f>
        <v>2.0872469213107912E-3</v>
      </c>
      <c r="E84" s="57">
        <f>(E25/E$68)</f>
        <v>-5.7747209966260054E-3</v>
      </c>
      <c r="F84" s="57">
        <f>(F25/F$68)</f>
        <v>4.413836281108155E-3</v>
      </c>
      <c r="G84" s="57">
        <f t="shared" ref="G84:L88" si="29">(G24/G$68)</f>
        <v>0</v>
      </c>
      <c r="H84" s="57">
        <f t="shared" si="29"/>
        <v>0</v>
      </c>
      <c r="I84" s="57">
        <f t="shared" si="29"/>
        <v>0</v>
      </c>
      <c r="J84" s="57">
        <f t="shared" si="29"/>
        <v>-1.823032458870609E-2</v>
      </c>
      <c r="K84" s="57">
        <f t="shared" si="29"/>
        <v>1.2788871438187121E-2</v>
      </c>
      <c r="L84" s="57">
        <f t="shared" si="29"/>
        <v>-2.3014440433212997E-2</v>
      </c>
      <c r="M84" s="57">
        <f t="shared" ref="M84" si="30">(M24/M$68)</f>
        <v>8.7221979938944616E-4</v>
      </c>
      <c r="N84" s="57">
        <f t="shared" si="28"/>
        <v>5.5460750853242322E-3</v>
      </c>
      <c r="O84" s="58">
        <f t="shared" si="19"/>
        <v>-5.5328145382573879E-3</v>
      </c>
      <c r="P84" s="37"/>
      <c r="Q84" s="37"/>
      <c r="R84" s="37"/>
      <c r="S84" s="37"/>
      <c r="T84" s="37"/>
      <c r="U84" s="37"/>
      <c r="V84" s="37"/>
    </row>
    <row r="85" spans="1:22">
      <c r="A85" s="27" t="str">
        <f t="shared" si="25"/>
        <v xml:space="preserve">      Inventories</v>
      </c>
      <c r="B85" s="59" t="s">
        <v>78</v>
      </c>
      <c r="C85" s="59" t="s">
        <v>78</v>
      </c>
      <c r="D85" s="57">
        <f t="shared" ref="D85:F86" si="31">(D26/D$68)</f>
        <v>-3.4588663267435967E-3</v>
      </c>
      <c r="E85" s="57">
        <f t="shared" si="31"/>
        <v>1.0543732156760965E-2</v>
      </c>
      <c r="F85" s="57">
        <f t="shared" si="31"/>
        <v>-1.1519799655658162E-2</v>
      </c>
      <c r="G85" s="57">
        <f t="shared" si="29"/>
        <v>-5.3135659931776427E-3</v>
      </c>
      <c r="H85" s="57">
        <f t="shared" si="29"/>
        <v>-9.982805964020838E-3</v>
      </c>
      <c r="I85" s="57">
        <f t="shared" si="29"/>
        <v>-1.1272898074213245E-2</v>
      </c>
      <c r="J85" s="57">
        <f t="shared" si="29"/>
        <v>-1.1560693641618497E-2</v>
      </c>
      <c r="K85" s="57">
        <f t="shared" si="29"/>
        <v>-8.7502804577069774E-3</v>
      </c>
      <c r="L85" s="57">
        <f t="shared" si="29"/>
        <v>-5.8664259927797835E-3</v>
      </c>
      <c r="M85" s="57">
        <f t="shared" ref="M85" si="32">(M25/M$68)</f>
        <v>-1.286524204099433E-2</v>
      </c>
      <c r="N85" s="57">
        <f t="shared" si="28"/>
        <v>-1.5784982935153583E-2</v>
      </c>
      <c r="O85" s="58">
        <f t="shared" si="19"/>
        <v>-1.0076019972111017E-2</v>
      </c>
      <c r="P85" s="37"/>
      <c r="Q85" s="37"/>
      <c r="R85" s="37"/>
      <c r="S85" s="37"/>
      <c r="T85" s="37"/>
      <c r="U85" s="37"/>
      <c r="V85" s="37"/>
    </row>
    <row r="86" spans="1:22">
      <c r="A86" s="27" t="str">
        <f t="shared" si="25"/>
        <v xml:space="preserve">      Income Taxes Payable, net</v>
      </c>
      <c r="B86" s="57">
        <f>(B27/B$68)</f>
        <v>1.6629461486367854E-2</v>
      </c>
      <c r="C86" s="57">
        <f>(C27/C$68)</f>
        <v>0.10756176197163597</v>
      </c>
      <c r="D86" s="57">
        <f t="shared" si="31"/>
        <v>-4.5024897873989923E-2</v>
      </c>
      <c r="E86" s="57">
        <f t="shared" si="31"/>
        <v>-3.1501427459122759E-2</v>
      </c>
      <c r="F86" s="57">
        <f t="shared" si="31"/>
        <v>-1.0330255125997809E-3</v>
      </c>
      <c r="G86" s="57">
        <f t="shared" si="29"/>
        <v>-1.075833114668066E-2</v>
      </c>
      <c r="H86" s="57">
        <f t="shared" si="29"/>
        <v>9.2899119768008846E-3</v>
      </c>
      <c r="I86" s="57">
        <f t="shared" si="29"/>
        <v>4.9318929074682952E-3</v>
      </c>
      <c r="J86" s="57">
        <f t="shared" si="29"/>
        <v>-4.4464206313917292E-3</v>
      </c>
      <c r="K86" s="57">
        <f t="shared" si="29"/>
        <v>-4.6219430109939424E-2</v>
      </c>
      <c r="L86" s="57">
        <f t="shared" si="29"/>
        <v>-2.1660649819494584E-2</v>
      </c>
      <c r="M86" s="57">
        <f t="shared" ref="M86" si="33">(M26/M$68)</f>
        <v>5.9965111208024426E-2</v>
      </c>
      <c r="N86" s="57">
        <f t="shared" si="28"/>
        <v>5.546075085324232E-2</v>
      </c>
      <c r="O86" s="58">
        <f t="shared" si="19"/>
        <v>-1.1695380324771715E-3</v>
      </c>
      <c r="P86" s="37"/>
      <c r="Q86" s="37"/>
      <c r="R86" s="37"/>
      <c r="S86" s="37"/>
      <c r="T86" s="37"/>
      <c r="U86" s="37"/>
      <c r="V86" s="37"/>
    </row>
    <row r="87" spans="1:22">
      <c r="A87" s="27" t="str">
        <f t="shared" si="25"/>
        <v xml:space="preserve">      Accounts payable and accrued liabilities</v>
      </c>
      <c r="B87" s="57"/>
      <c r="C87" s="57"/>
      <c r="D87" s="57"/>
      <c r="E87" s="57"/>
      <c r="F87" s="57"/>
      <c r="G87" s="57">
        <f t="shared" si="29"/>
        <v>2.7584623458409861E-2</v>
      </c>
      <c r="H87" s="57">
        <f t="shared" si="29"/>
        <v>-3.438807195832371E-3</v>
      </c>
      <c r="I87" s="57">
        <f t="shared" si="29"/>
        <v>0</v>
      </c>
      <c r="J87" s="57">
        <f t="shared" si="29"/>
        <v>-1.6229435304579813E-2</v>
      </c>
      <c r="K87" s="57">
        <f t="shared" si="29"/>
        <v>-5.3847879739735245E-3</v>
      </c>
      <c r="L87" s="57">
        <f t="shared" si="29"/>
        <v>-3.0460288808664259E-2</v>
      </c>
      <c r="M87" s="57">
        <f t="shared" ref="M87" si="34">(M27/M$68)</f>
        <v>-7.4138682948102922E-3</v>
      </c>
      <c r="N87" s="57">
        <f t="shared" si="28"/>
        <v>-1.0238907849829351E-2</v>
      </c>
      <c r="O87" s="58">
        <f t="shared" si="19"/>
        <v>-1.1965273716881832E-2</v>
      </c>
      <c r="P87" s="37"/>
      <c r="Q87" s="37"/>
      <c r="R87" s="37"/>
      <c r="S87" s="37"/>
      <c r="T87" s="37"/>
      <c r="U87" s="37"/>
      <c r="V87" s="37"/>
    </row>
    <row r="88" spans="1:22">
      <c r="A88" s="27" t="str">
        <f t="shared" si="25"/>
        <v xml:space="preserve">      Other</v>
      </c>
      <c r="B88" s="59" t="s">
        <v>78</v>
      </c>
      <c r="C88" s="57">
        <f>(C28/C$68)</f>
        <v>-6.3492691417607857E-3</v>
      </c>
      <c r="D88" s="57">
        <f>(D28/D$68)</f>
        <v>-1.2821659659480575E-2</v>
      </c>
      <c r="E88" s="57">
        <f>(E28/E$68)</f>
        <v>3.8930703348040484E-4</v>
      </c>
      <c r="F88" s="57">
        <f>(F28/F$68)</f>
        <v>8.7650649553920796E-4</v>
      </c>
      <c r="G88" s="57">
        <f t="shared" si="29"/>
        <v>-8.5607452112306474E-3</v>
      </c>
      <c r="H88" s="57">
        <f t="shared" si="29"/>
        <v>4.8759206508070934E-4</v>
      </c>
      <c r="I88" s="57">
        <f t="shared" si="29"/>
        <v>-1.6439643024894317E-3</v>
      </c>
      <c r="J88" s="57">
        <f t="shared" si="29"/>
        <v>0</v>
      </c>
      <c r="K88" s="57">
        <f t="shared" si="29"/>
        <v>0</v>
      </c>
      <c r="L88" s="57">
        <f t="shared" si="29"/>
        <v>0</v>
      </c>
      <c r="M88" s="57">
        <f t="shared" ref="M88" si="35">(M28/M$68)</f>
        <v>0</v>
      </c>
      <c r="N88" s="57">
        <f t="shared" si="28"/>
        <v>0</v>
      </c>
      <c r="O88" s="58">
        <f t="shared" si="19"/>
        <v>-3.1487562412846928E-4</v>
      </c>
      <c r="P88" s="37"/>
      <c r="Q88" s="37"/>
      <c r="R88" s="37"/>
      <c r="S88" s="37"/>
      <c r="T88" s="37"/>
      <c r="U88" s="37"/>
      <c r="V88" s="37"/>
    </row>
    <row r="89" spans="1:22" ht="7.5" customHeight="1">
      <c r="A89" s="2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  <c r="P89" s="37"/>
      <c r="Q89" s="37"/>
      <c r="R89" s="37"/>
      <c r="S89" s="37"/>
      <c r="T89" s="37"/>
      <c r="U89" s="37"/>
      <c r="V89" s="37"/>
    </row>
    <row r="90" spans="1:22">
      <c r="A90" s="236" t="s">
        <v>91</v>
      </c>
      <c r="B90" s="244">
        <f t="shared" ref="B90:L90" si="36">(B30/B$68)</f>
        <v>0.18947051593970249</v>
      </c>
      <c r="C90" s="244">
        <f t="shared" si="36"/>
        <v>0.12751943351069087</v>
      </c>
      <c r="D90" s="244">
        <f t="shared" si="36"/>
        <v>0.10215582789158238</v>
      </c>
      <c r="E90" s="244">
        <f t="shared" si="36"/>
        <v>0.22112639501686981</v>
      </c>
      <c r="F90" s="244">
        <f t="shared" si="36"/>
        <v>0.26041634058538105</v>
      </c>
      <c r="G90" s="244">
        <f t="shared" si="36"/>
        <v>0.2332393072684335</v>
      </c>
      <c r="H90" s="244">
        <f t="shared" si="36"/>
        <v>0.22957887443221181</v>
      </c>
      <c r="I90" s="244">
        <f t="shared" si="36"/>
        <v>0.19351808360732739</v>
      </c>
      <c r="J90" s="244">
        <f t="shared" si="36"/>
        <v>0.22054246331702979</v>
      </c>
      <c r="K90" s="244">
        <f t="shared" si="36"/>
        <v>0.33654924837334532</v>
      </c>
      <c r="L90" s="244">
        <f t="shared" si="36"/>
        <v>0.31814079422382674</v>
      </c>
      <c r="M90" s="244">
        <f t="shared" ref="M90" si="37">(M30/M$68)</f>
        <v>0.35673789795028349</v>
      </c>
      <c r="N90" s="244">
        <f>(N30/N$68)</f>
        <v>0.37627986348122866</v>
      </c>
      <c r="O90" s="288">
        <f>SUM(I30:M30)/SUM($I$68:$M$68)</f>
        <v>0.28617696010076021</v>
      </c>
      <c r="P90" s="37"/>
      <c r="Q90" s="37"/>
      <c r="R90" s="37"/>
      <c r="S90" s="37"/>
      <c r="T90" s="37"/>
      <c r="U90" s="37"/>
      <c r="V90" s="37"/>
    </row>
    <row r="91" spans="1:22">
      <c r="A91" s="27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58"/>
      <c r="P91" s="37"/>
      <c r="Q91" s="37"/>
      <c r="R91" s="37"/>
      <c r="S91" s="37"/>
      <c r="T91" s="37"/>
      <c r="U91" s="37"/>
      <c r="V91" s="37"/>
    </row>
    <row r="92" spans="1:22">
      <c r="A92" s="235" t="s">
        <v>92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8"/>
      <c r="P92" s="37"/>
      <c r="Q92" s="37"/>
      <c r="R92" s="37"/>
      <c r="S92" s="37"/>
      <c r="T92" s="37"/>
      <c r="U92" s="37"/>
      <c r="V92" s="37"/>
    </row>
    <row r="93" spans="1:22" hidden="1">
      <c r="A93" s="25" t="s">
        <v>93</v>
      </c>
      <c r="B93" s="57">
        <f t="shared" ref="B93:D99" si="38">(B33/B$68)</f>
        <v>-6.5213574456344527E-4</v>
      </c>
      <c r="C93" s="57">
        <f t="shared" si="38"/>
        <v>-7.1463892240441487E-2</v>
      </c>
      <c r="D93" s="57">
        <f t="shared" si="38"/>
        <v>-0.10680740674478933</v>
      </c>
      <c r="E93" s="59" t="s">
        <v>78</v>
      </c>
      <c r="F93" s="59" t="s">
        <v>78</v>
      </c>
      <c r="G93" s="59" t="s">
        <v>78</v>
      </c>
      <c r="H93" s="59" t="s">
        <v>78</v>
      </c>
      <c r="I93" s="59" t="s">
        <v>78</v>
      </c>
      <c r="J93" s="59"/>
      <c r="K93" s="59"/>
      <c r="L93" s="59"/>
      <c r="M93" s="59"/>
      <c r="N93" s="59"/>
      <c r="O93" s="58"/>
      <c r="P93" s="37"/>
      <c r="Q93" s="37"/>
      <c r="R93" s="37"/>
      <c r="S93" s="37"/>
      <c r="T93" s="37"/>
      <c r="U93" s="37"/>
      <c r="V93" s="37"/>
    </row>
    <row r="94" spans="1:22">
      <c r="A94" s="27" t="s">
        <v>94</v>
      </c>
      <c r="B94" s="57">
        <f t="shared" si="38"/>
        <v>-0.14397150668439138</v>
      </c>
      <c r="C94" s="57">
        <f t="shared" si="38"/>
        <v>-9.6069782621595434E-2</v>
      </c>
      <c r="D94" s="57">
        <f t="shared" si="38"/>
        <v>-0.15066940990547753</v>
      </c>
      <c r="E94" s="57">
        <f t="shared" ref="E94:N94" si="39">(E34/E$68)</f>
        <v>-0.17843239034518557</v>
      </c>
      <c r="F94" s="57">
        <f t="shared" si="39"/>
        <v>-0.21612145875723901</v>
      </c>
      <c r="G94" s="57">
        <f t="shared" si="39"/>
        <v>-0.27932301233272105</v>
      </c>
      <c r="H94" s="57">
        <f t="shared" si="39"/>
        <v>-0.26920214540508636</v>
      </c>
      <c r="I94" s="57">
        <f t="shared" si="39"/>
        <v>-0.35674025364020667</v>
      </c>
      <c r="J94" s="57">
        <f t="shared" si="39"/>
        <v>-0.3977323254779902</v>
      </c>
      <c r="K94" s="57">
        <f t="shared" si="39"/>
        <v>-0.52232443347543189</v>
      </c>
      <c r="L94" s="57">
        <f t="shared" si="39"/>
        <v>-0.36259025270758122</v>
      </c>
      <c r="M94" s="57">
        <f t="shared" ref="M94" si="40">(M34/M$68)</f>
        <v>-0.32839075447012644</v>
      </c>
      <c r="N94" s="57">
        <f t="shared" si="39"/>
        <v>-0.3075938566552901</v>
      </c>
      <c r="O94" s="58">
        <f t="shared" ref="O94:O99" si="41">SUM(I34:M34)/SUM($I$68:$M$68)</f>
        <v>-0.39354954792856822</v>
      </c>
      <c r="P94" s="37"/>
      <c r="Q94" s="37"/>
      <c r="R94" s="37"/>
      <c r="S94" s="37"/>
      <c r="T94" s="37"/>
      <c r="U94" s="37"/>
      <c r="V94" s="37"/>
    </row>
    <row r="95" spans="1:22">
      <c r="A95" s="27" t="s">
        <v>95</v>
      </c>
      <c r="B95" s="57">
        <f t="shared" si="38"/>
        <v>4.2464069828688958E-2</v>
      </c>
      <c r="C95" s="57">
        <f t="shared" si="38"/>
        <v>0.19977451193702159</v>
      </c>
      <c r="D95" s="57">
        <f t="shared" si="38"/>
        <v>2.4808420550436833E-2</v>
      </c>
      <c r="E95" s="57">
        <f t="shared" ref="E95:N95" si="42">(E35/E$68)</f>
        <v>5.2880872047754999E-3</v>
      </c>
      <c r="F95" s="57">
        <f t="shared" si="42"/>
        <v>1.0330255125997809E-3</v>
      </c>
      <c r="G95" s="57">
        <f t="shared" si="42"/>
        <v>2.3287850957753866E-3</v>
      </c>
      <c r="H95" s="57">
        <f t="shared" si="42"/>
        <v>3.3361562347627484E-4</v>
      </c>
      <c r="I95" s="57">
        <f t="shared" si="42"/>
        <v>2.1136683889149835E-3</v>
      </c>
      <c r="J95" s="57">
        <f t="shared" si="42"/>
        <v>-6.8474877723432637E-2</v>
      </c>
      <c r="K95" s="57">
        <f t="shared" si="42"/>
        <v>0</v>
      </c>
      <c r="L95" s="57">
        <f t="shared" si="42"/>
        <v>0</v>
      </c>
      <c r="M95" s="57">
        <f t="shared" ref="M95" si="43">(M35/M$68)</f>
        <v>0</v>
      </c>
      <c r="N95" s="57">
        <f t="shared" si="42"/>
        <v>0</v>
      </c>
      <c r="O95" s="58">
        <f t="shared" si="41"/>
        <v>-1.3449687373487472E-2</v>
      </c>
      <c r="P95" s="37"/>
      <c r="Q95" s="37"/>
      <c r="R95" s="37"/>
      <c r="S95" s="37"/>
      <c r="T95" s="37"/>
      <c r="U95" s="37"/>
      <c r="V95" s="37"/>
    </row>
    <row r="96" spans="1:22">
      <c r="A96" s="29" t="s">
        <v>96</v>
      </c>
      <c r="B96" s="57">
        <f t="shared" si="38"/>
        <v>1.1989264842358724E-2</v>
      </c>
      <c r="C96" s="57">
        <f t="shared" si="38"/>
        <v>9.5931325039064815E-3</v>
      </c>
      <c r="D96" s="57">
        <f t="shared" si="38"/>
        <v>1.0734412738169783E-2</v>
      </c>
      <c r="E96" s="59" t="s">
        <v>78</v>
      </c>
      <c r="F96" s="59" t="s">
        <v>78</v>
      </c>
      <c r="G96" s="57">
        <f t="shared" ref="G96:N99" si="44">(G36/G$68)</f>
        <v>0</v>
      </c>
      <c r="H96" s="57">
        <f t="shared" si="44"/>
        <v>0</v>
      </c>
      <c r="I96" s="57">
        <f t="shared" si="44"/>
        <v>0</v>
      </c>
      <c r="J96" s="57">
        <f t="shared" si="44"/>
        <v>0</v>
      </c>
      <c r="K96" s="57">
        <f t="shared" si="44"/>
        <v>0</v>
      </c>
      <c r="L96" s="57">
        <f t="shared" si="44"/>
        <v>0</v>
      </c>
      <c r="M96" s="57">
        <f t="shared" ref="M96" si="45">(M36/M$68)</f>
        <v>0</v>
      </c>
      <c r="N96" s="57">
        <f t="shared" si="44"/>
        <v>0</v>
      </c>
      <c r="O96" s="58">
        <f t="shared" si="41"/>
        <v>0</v>
      </c>
      <c r="P96" s="37"/>
      <c r="Q96" s="37"/>
      <c r="R96" s="37"/>
      <c r="S96" s="37"/>
      <c r="T96" s="37"/>
      <c r="U96" s="37"/>
      <c r="V96" s="37"/>
    </row>
    <row r="97" spans="1:22">
      <c r="A97" s="27" t="s">
        <v>97</v>
      </c>
      <c r="B97" s="57">
        <f t="shared" si="38"/>
        <v>3.1578419323283757E-2</v>
      </c>
      <c r="C97" s="57">
        <f t="shared" si="38"/>
        <v>2.3715805922028602E-2</v>
      </c>
      <c r="D97" s="57">
        <f t="shared" si="38"/>
        <v>3.6049736112353521E-2</v>
      </c>
      <c r="E97" s="57">
        <f t="shared" ref="E97:F99" si="46">(E37/E$68)</f>
        <v>4.311575395795484E-2</v>
      </c>
      <c r="F97" s="57">
        <f t="shared" si="46"/>
        <v>2.9989043668805761E-2</v>
      </c>
      <c r="G97" s="57">
        <f t="shared" si="44"/>
        <v>1.6104696929939648E-2</v>
      </c>
      <c r="H97" s="57">
        <f t="shared" si="44"/>
        <v>3.1667821489978702E-2</v>
      </c>
      <c r="I97" s="57">
        <f t="shared" si="44"/>
        <v>7.0455612963832787E-3</v>
      </c>
      <c r="J97" s="57">
        <f t="shared" si="44"/>
        <v>1.4895509115162294E-2</v>
      </c>
      <c r="K97" s="57">
        <f t="shared" si="44"/>
        <v>8.077181960960288E-3</v>
      </c>
      <c r="L97" s="57">
        <f t="shared" si="44"/>
        <v>0</v>
      </c>
      <c r="M97" s="57">
        <f t="shared" ref="M97" si="47">(M37/M$68)</f>
        <v>0</v>
      </c>
      <c r="N97" s="57">
        <f t="shared" si="44"/>
        <v>0</v>
      </c>
      <c r="O97" s="58">
        <f t="shared" si="41"/>
        <v>5.982636858440916E-3</v>
      </c>
      <c r="P97" s="37"/>
      <c r="Q97" s="37"/>
      <c r="R97" s="37"/>
      <c r="S97" s="37"/>
      <c r="T97" s="37"/>
      <c r="U97" s="37"/>
      <c r="V97" s="37"/>
    </row>
    <row r="98" spans="1:22">
      <c r="A98" s="27" t="s">
        <v>98</v>
      </c>
      <c r="B98" s="57">
        <f t="shared" si="38"/>
        <v>-3.2707115804258946E-2</v>
      </c>
      <c r="C98" s="57">
        <f t="shared" si="38"/>
        <v>-2.2647704571078189E-2</v>
      </c>
      <c r="D98" s="57">
        <f t="shared" si="38"/>
        <v>-4.5323076005605749E-2</v>
      </c>
      <c r="E98" s="57">
        <f t="shared" si="46"/>
        <v>-4.3569945497015317E-2</v>
      </c>
      <c r="F98" s="57">
        <f t="shared" si="46"/>
        <v>-2.7985600250430429E-2</v>
      </c>
      <c r="G98" s="57">
        <f t="shared" si="44"/>
        <v>-1.4661506166360536E-2</v>
      </c>
      <c r="H98" s="57">
        <f t="shared" si="44"/>
        <v>-2.1787666487027488E-2</v>
      </c>
      <c r="I98" s="57">
        <f t="shared" si="44"/>
        <v>-5.8713010803193985E-3</v>
      </c>
      <c r="J98" s="57">
        <f t="shared" si="44"/>
        <v>-1.1560693641618497E-2</v>
      </c>
      <c r="K98" s="57">
        <f t="shared" si="44"/>
        <v>-4.7116894772268342E-3</v>
      </c>
      <c r="L98" s="57">
        <f t="shared" si="44"/>
        <v>0</v>
      </c>
      <c r="M98" s="57">
        <f t="shared" ref="M98" si="48">(M38/M$68)</f>
        <v>0</v>
      </c>
      <c r="N98" s="57">
        <f t="shared" si="44"/>
        <v>0</v>
      </c>
      <c r="O98" s="58">
        <f t="shared" si="41"/>
        <v>-4.4082587377985696E-3</v>
      </c>
      <c r="P98" s="37"/>
      <c r="Q98" s="37"/>
      <c r="R98" s="37"/>
      <c r="S98" s="37"/>
      <c r="T98" s="37"/>
      <c r="U98" s="37"/>
      <c r="V98" s="37"/>
    </row>
    <row r="99" spans="1:22">
      <c r="A99" s="27" t="s">
        <v>99</v>
      </c>
      <c r="B99" s="57">
        <f t="shared" si="38"/>
        <v>2.5834608342321101E-3</v>
      </c>
      <c r="C99" s="57">
        <f t="shared" si="38"/>
        <v>2.9471685424372492E-3</v>
      </c>
      <c r="D99" s="57">
        <f t="shared" si="38"/>
        <v>6.1722873244476256E-2</v>
      </c>
      <c r="E99" s="57">
        <f t="shared" si="46"/>
        <v>3.2442252790033741E-3</v>
      </c>
      <c r="F99" s="57">
        <f t="shared" si="46"/>
        <v>-7.1372671779621226E-3</v>
      </c>
      <c r="G99" s="57">
        <f t="shared" si="44"/>
        <v>-2.1647861453686695E-3</v>
      </c>
      <c r="H99" s="57">
        <f t="shared" si="44"/>
        <v>-3.8237482998434574E-3</v>
      </c>
      <c r="I99" s="57">
        <f t="shared" si="44"/>
        <v>1.8788163457022077E-3</v>
      </c>
      <c r="J99" s="57">
        <f t="shared" si="44"/>
        <v>1.3339261894175188E-3</v>
      </c>
      <c r="K99" s="57">
        <f t="shared" si="44"/>
        <v>1.121830827911151E-3</v>
      </c>
      <c r="L99" s="57">
        <f t="shared" si="44"/>
        <v>-1.3537906137184115E-3</v>
      </c>
      <c r="M99" s="57">
        <f t="shared" ref="M99" si="49">(M39/M$68)</f>
        <v>-5.0152638464893151E-3</v>
      </c>
      <c r="N99" s="57">
        <f t="shared" si="44"/>
        <v>-5.5460750853242322E-3</v>
      </c>
      <c r="O99" s="58">
        <f t="shared" si="41"/>
        <v>-4.4982232018352748E-4</v>
      </c>
      <c r="P99" s="37"/>
      <c r="Q99" s="37"/>
      <c r="R99" s="37"/>
      <c r="S99" s="37"/>
      <c r="T99" s="37"/>
      <c r="U99" s="37"/>
      <c r="V99" s="37"/>
    </row>
    <row r="100" spans="1:22" ht="7.5" customHeight="1">
      <c r="A100" s="2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8"/>
      <c r="P100" s="37"/>
      <c r="Q100" s="37"/>
      <c r="R100" s="37"/>
      <c r="S100" s="37"/>
      <c r="T100" s="37"/>
      <c r="U100" s="37"/>
      <c r="V100" s="37"/>
    </row>
    <row r="101" spans="1:22">
      <c r="A101" s="236" t="s">
        <v>100</v>
      </c>
      <c r="B101" s="244">
        <f t="shared" ref="B101:L101" si="50">(B41/B$68)</f>
        <v>-8.8715543404650224E-2</v>
      </c>
      <c r="C101" s="244">
        <f t="shared" si="50"/>
        <v>4.584923947227882E-2</v>
      </c>
      <c r="D101" s="244">
        <f t="shared" si="50"/>
        <v>-0.16948445001043624</v>
      </c>
      <c r="E101" s="244">
        <f t="shared" si="50"/>
        <v>-0.17035426940046716</v>
      </c>
      <c r="F101" s="244">
        <f t="shared" si="50"/>
        <v>-0.22022225700422601</v>
      </c>
      <c r="G101" s="244">
        <f t="shared" si="50"/>
        <v>-0.27771582261873523</v>
      </c>
      <c r="H101" s="244">
        <f t="shared" si="50"/>
        <v>-0.26281212307850238</v>
      </c>
      <c r="I101" s="244">
        <f t="shared" si="50"/>
        <v>-0.35157350868952558</v>
      </c>
      <c r="J101" s="244">
        <f t="shared" si="50"/>
        <v>-0.46153846153846156</v>
      </c>
      <c r="K101" s="244">
        <f t="shared" si="50"/>
        <v>-0.51783711016378731</v>
      </c>
      <c r="L101" s="244">
        <f t="shared" si="50"/>
        <v>-0.36394404332129965</v>
      </c>
      <c r="M101" s="244">
        <f t="shared" ref="M101" si="51">(M41/M$68)</f>
        <v>-0.33340601831661576</v>
      </c>
      <c r="N101" s="244">
        <f>(N41/N$68)</f>
        <v>-0.31313993174061433</v>
      </c>
      <c r="O101" s="288">
        <f>SUM(I41:M41)/SUM($I$68:$M$68)</f>
        <v>-0.40587467950159689</v>
      </c>
      <c r="P101" s="37"/>
      <c r="Q101" s="37"/>
      <c r="R101" s="37"/>
      <c r="S101" s="37"/>
      <c r="T101" s="37"/>
      <c r="U101" s="37"/>
      <c r="V101" s="37"/>
    </row>
    <row r="102" spans="1:22">
      <c r="A102" s="27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58"/>
      <c r="P102" s="37"/>
      <c r="Q102" s="37"/>
      <c r="R102" s="37"/>
      <c r="S102" s="37"/>
      <c r="T102" s="37"/>
      <c r="U102" s="37"/>
      <c r="V102" s="37"/>
    </row>
    <row r="103" spans="1:22">
      <c r="A103" s="25" t="s">
        <v>101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8"/>
      <c r="P103" s="37"/>
      <c r="Q103" s="37"/>
      <c r="R103" s="37"/>
      <c r="S103" s="37"/>
      <c r="T103" s="37"/>
      <c r="U103" s="37"/>
      <c r="V103" s="37"/>
    </row>
    <row r="104" spans="1:22">
      <c r="A104" s="27" t="s">
        <v>102</v>
      </c>
      <c r="B104" s="57">
        <f t="shared" ref="B104:L104" si="52">(B44/B$68)</f>
        <v>-2.2097368883092126E-2</v>
      </c>
      <c r="C104" s="57">
        <f t="shared" si="52"/>
        <v>2.6010245861107267E-2</v>
      </c>
      <c r="D104" s="57">
        <f t="shared" si="52"/>
        <v>-1.9083400423412947E-2</v>
      </c>
      <c r="E104" s="57">
        <f t="shared" si="52"/>
        <v>-4.9474435504801455E-2</v>
      </c>
      <c r="F104" s="57">
        <f t="shared" si="52"/>
        <v>3.1272499608702459E-2</v>
      </c>
      <c r="G104" s="57">
        <f t="shared" si="52"/>
        <v>0.11279847808974021</v>
      </c>
      <c r="H104" s="57">
        <f t="shared" si="52"/>
        <v>-7.2984833320501957E-2</v>
      </c>
      <c r="I104" s="57">
        <f t="shared" si="52"/>
        <v>-9.3236261155472053E-2</v>
      </c>
      <c r="J104" s="57">
        <f t="shared" si="52"/>
        <v>1.8897287683414851E-2</v>
      </c>
      <c r="K104" s="57">
        <f t="shared" si="52"/>
        <v>-1.9071124074489566E-2</v>
      </c>
      <c r="L104" s="57">
        <f t="shared" si="52"/>
        <v>8.1227436823104685E-3</v>
      </c>
      <c r="M104" s="57">
        <f t="shared" ref="M104" si="53">(M44/M$68)</f>
        <v>0.14217182730047973</v>
      </c>
      <c r="N104" s="57">
        <f>(N44/N$68)</f>
        <v>-0.29351535836177473</v>
      </c>
      <c r="O104" s="58">
        <f t="shared" ref="O104:O107" si="54">SUM(I44:M44)/SUM($I$68:$M$68)</f>
        <v>1.308982951734065E-2</v>
      </c>
      <c r="P104" s="37"/>
      <c r="Q104" s="37"/>
      <c r="R104" s="37"/>
      <c r="S104" s="37"/>
      <c r="T104" s="37"/>
      <c r="U104" s="37"/>
      <c r="V104" s="37"/>
    </row>
    <row r="105" spans="1:22">
      <c r="A105" s="27" t="s">
        <v>103</v>
      </c>
      <c r="B105" s="57">
        <f>(B45/B$68)</f>
        <v>0.45448844967267799</v>
      </c>
      <c r="C105" s="57">
        <f>(C45/C$68)</f>
        <v>0.22034535277014064</v>
      </c>
      <c r="D105" s="57">
        <f>(D45/D$68)</f>
        <v>0.23588871992128099</v>
      </c>
      <c r="E105" s="59" t="s">
        <v>78</v>
      </c>
      <c r="F105" s="57">
        <f t="shared" ref="F105:L105" si="55">(F45/F$68)</f>
        <v>0</v>
      </c>
      <c r="G105" s="57">
        <f t="shared" si="55"/>
        <v>0.12962477040146941</v>
      </c>
      <c r="H105" s="57">
        <f t="shared" si="55"/>
        <v>7.5961711191521036E-2</v>
      </c>
      <c r="I105" s="57">
        <f t="shared" si="55"/>
        <v>0.28017848755284169</v>
      </c>
      <c r="J105" s="57">
        <f t="shared" si="55"/>
        <v>0.22521120497999111</v>
      </c>
      <c r="K105" s="57">
        <f t="shared" si="55"/>
        <v>0.22257123625757236</v>
      </c>
      <c r="L105" s="57">
        <f t="shared" si="55"/>
        <v>0</v>
      </c>
      <c r="M105" s="57">
        <f t="shared" ref="M105" si="56">(M45/M$68)</f>
        <v>8.7003924989097259E-2</v>
      </c>
      <c r="N105" s="57">
        <f>(N45/N$68)</f>
        <v>0.31953924914675769</v>
      </c>
      <c r="O105" s="58">
        <f t="shared" si="54"/>
        <v>0.16180108857001485</v>
      </c>
      <c r="P105" s="37"/>
      <c r="Q105" s="37"/>
      <c r="R105" s="37"/>
      <c r="S105" s="37"/>
      <c r="T105" s="37"/>
      <c r="U105" s="37"/>
      <c r="V105" s="37"/>
    </row>
    <row r="106" spans="1:22">
      <c r="A106" s="27" t="s">
        <v>104</v>
      </c>
      <c r="B106" s="59" t="s">
        <v>78</v>
      </c>
      <c r="C106" s="59" t="s">
        <v>78</v>
      </c>
      <c r="D106" s="59" t="s">
        <v>78</v>
      </c>
      <c r="E106" s="57">
        <f>(E46/E$68)</f>
        <v>4.8663379185050606E-2</v>
      </c>
      <c r="F106" s="57">
        <f t="shared" ref="F106:L106" si="57">(F46/$H$68)</f>
        <v>0</v>
      </c>
      <c r="G106" s="57">
        <f t="shared" si="57"/>
        <v>0</v>
      </c>
      <c r="H106" s="57">
        <f t="shared" si="57"/>
        <v>0.12438730207611569</v>
      </c>
      <c r="I106" s="57">
        <f t="shared" si="57"/>
        <v>5.1325480534811507E-2</v>
      </c>
      <c r="J106" s="57">
        <f t="shared" si="57"/>
        <v>0.11548233120332589</v>
      </c>
      <c r="K106" s="57">
        <f t="shared" si="57"/>
        <v>3.2078425334257192E-2</v>
      </c>
      <c r="L106" s="57">
        <f t="shared" si="57"/>
        <v>2.5662740267405754E-2</v>
      </c>
      <c r="M106" s="57">
        <f t="shared" ref="M106" si="58">(M46/$H$68)</f>
        <v>0</v>
      </c>
      <c r="N106" s="57">
        <f>(N46/$H$68)</f>
        <v>0</v>
      </c>
      <c r="O106" s="58">
        <f t="shared" si="54"/>
        <v>3.9359453016058657E-2</v>
      </c>
      <c r="P106" s="37"/>
      <c r="Q106" s="37"/>
      <c r="R106" s="37"/>
      <c r="S106" s="37"/>
      <c r="T106" s="37"/>
      <c r="U106" s="37"/>
      <c r="V106" s="37"/>
    </row>
    <row r="107" spans="1:22">
      <c r="A107" s="27" t="s">
        <v>105</v>
      </c>
      <c r="B107" s="57">
        <f>(B47/B$68)</f>
        <v>-6.7596378138403274E-2</v>
      </c>
      <c r="C107" s="57">
        <f>(C47/C$68)</f>
        <v>-6.877385920841822E-2</v>
      </c>
      <c r="D107" s="57">
        <f>(D47/D$68)</f>
        <v>-9.2524674240391222E-2</v>
      </c>
      <c r="E107" s="57">
        <f>(E47/E$68)</f>
        <v>-2.3682844536724629E-3</v>
      </c>
      <c r="F107" s="57">
        <f t="shared" ref="F107:N108" si="59">(F47/F$68)</f>
        <v>-5.1682579433401155E-2</v>
      </c>
      <c r="G107" s="57">
        <f t="shared" si="59"/>
        <v>-6.4090789818945157E-2</v>
      </c>
      <c r="H107" s="57">
        <f t="shared" si="59"/>
        <v>-4.5448713013575587E-2</v>
      </c>
      <c r="I107" s="57">
        <f t="shared" si="59"/>
        <v>-4.6970408642555192E-4</v>
      </c>
      <c r="J107" s="57">
        <f t="shared" si="59"/>
        <v>-4.4464206313917296E-4</v>
      </c>
      <c r="K107" s="57">
        <f t="shared" si="59"/>
        <v>-4.4873233116446041E-4</v>
      </c>
      <c r="L107" s="57">
        <f t="shared" si="59"/>
        <v>-4.512635379061372E-4</v>
      </c>
      <c r="M107" s="57">
        <f t="shared" ref="M107:M108" si="60">(M47/M$68)</f>
        <v>-4.3610989969472308E-4</v>
      </c>
      <c r="N107" s="57">
        <f t="shared" si="59"/>
        <v>-4.2662116040955632E-4</v>
      </c>
      <c r="O107" s="58">
        <f t="shared" si="54"/>
        <v>-4.4982232018352748E-4</v>
      </c>
      <c r="P107" s="37"/>
      <c r="Q107" s="37"/>
      <c r="R107" s="37"/>
      <c r="S107" s="37"/>
      <c r="T107" s="37"/>
      <c r="U107" s="37"/>
      <c r="V107" s="37"/>
    </row>
    <row r="108" spans="1:22">
      <c r="A108" s="27" t="str">
        <f>A48</f>
        <v xml:space="preserve">     Common Stock Dividends paid</v>
      </c>
      <c r="B108" s="57"/>
      <c r="C108" s="57"/>
      <c r="D108" s="57"/>
      <c r="E108" s="57"/>
      <c r="F108" s="57"/>
      <c r="G108" s="57"/>
      <c r="H108" s="57"/>
      <c r="I108" s="57">
        <f t="shared" si="59"/>
        <v>0</v>
      </c>
      <c r="J108" s="57">
        <f t="shared" si="59"/>
        <v>0</v>
      </c>
      <c r="K108" s="57">
        <f t="shared" si="59"/>
        <v>0</v>
      </c>
      <c r="L108" s="57">
        <f t="shared" si="59"/>
        <v>0</v>
      </c>
      <c r="M108" s="57">
        <f t="shared" si="60"/>
        <v>-0.11993022241604885</v>
      </c>
      <c r="N108" s="57">
        <f t="shared" si="59"/>
        <v>-2.1331058020477817E-2</v>
      </c>
      <c r="O108" s="58">
        <f t="shared" ref="O108:O112" si="61">SUM(I48:M48)/SUM($I$68:$M$68)</f>
        <v>-2.4740227610094014E-2</v>
      </c>
      <c r="P108" s="37"/>
      <c r="Q108" s="37"/>
      <c r="R108" s="37"/>
      <c r="S108" s="37"/>
      <c r="T108" s="37"/>
      <c r="U108" s="37"/>
      <c r="V108" s="37"/>
    </row>
    <row r="109" spans="1:22">
      <c r="A109" s="27" t="s">
        <v>106</v>
      </c>
      <c r="B109" s="57">
        <f t="shared" ref="B109:N109" si="62">(B49/B$68)</f>
        <v>-0.52647420301487369</v>
      </c>
      <c r="C109" s="57">
        <f t="shared" si="62"/>
        <v>-0.35346242854599758</v>
      </c>
      <c r="D109" s="57">
        <f t="shared" si="62"/>
        <v>-1.7592509765333813E-2</v>
      </c>
      <c r="E109" s="57">
        <f t="shared" si="62"/>
        <v>-4.6911497534388787E-2</v>
      </c>
      <c r="F109" s="57">
        <f t="shared" si="62"/>
        <v>-6.076068242291438E-2</v>
      </c>
      <c r="G109" s="57">
        <f t="shared" si="62"/>
        <v>-8.5213854631330355E-2</v>
      </c>
      <c r="H109" s="57">
        <f t="shared" si="62"/>
        <v>-6.9212410501193311E-2</v>
      </c>
      <c r="I109" s="57">
        <f t="shared" si="62"/>
        <v>-2.9826209488022545E-2</v>
      </c>
      <c r="J109" s="57">
        <f t="shared" si="62"/>
        <v>-9.1818586038239211E-2</v>
      </c>
      <c r="K109" s="57">
        <f t="shared" si="62"/>
        <v>-3.2308727843841152E-2</v>
      </c>
      <c r="L109" s="57">
        <f t="shared" si="62"/>
        <v>-3.6101083032490976E-3</v>
      </c>
      <c r="M109" s="57">
        <f t="shared" ref="M109" si="63">(M49/M$68)</f>
        <v>-0.12821631051024859</v>
      </c>
      <c r="N109" s="57">
        <f t="shared" si="62"/>
        <v>-3.839590443686007E-2</v>
      </c>
      <c r="O109" s="58">
        <f t="shared" si="61"/>
        <v>-5.7937114839638343E-2</v>
      </c>
      <c r="P109" s="37"/>
      <c r="Q109" s="37"/>
      <c r="R109" s="37"/>
      <c r="S109" s="37"/>
      <c r="T109" s="37"/>
      <c r="U109" s="37"/>
      <c r="V109" s="37"/>
    </row>
    <row r="110" spans="1:22" hidden="1">
      <c r="A110" s="27" t="s">
        <v>107</v>
      </c>
      <c r="B110" s="59" t="s">
        <v>78</v>
      </c>
      <c r="C110" s="59" t="s">
        <v>78</v>
      </c>
      <c r="D110" s="59" t="s">
        <v>78</v>
      </c>
      <c r="E110" s="59" t="s">
        <v>78</v>
      </c>
      <c r="F110" s="57">
        <f t="shared" ref="F110:N112" si="64">(F50/F$68)</f>
        <v>-0.11018938801064329</v>
      </c>
      <c r="G110" s="57">
        <f t="shared" si="64"/>
        <v>0</v>
      </c>
      <c r="H110" s="57">
        <f t="shared" si="64"/>
        <v>0</v>
      </c>
      <c r="I110" s="57">
        <f t="shared" si="64"/>
        <v>0</v>
      </c>
      <c r="J110" s="57">
        <f t="shared" si="64"/>
        <v>0</v>
      </c>
      <c r="K110" s="57">
        <f t="shared" si="64"/>
        <v>0</v>
      </c>
      <c r="L110" s="57">
        <f t="shared" si="64"/>
        <v>0</v>
      </c>
      <c r="M110" s="57">
        <f t="shared" ref="M110" si="65">(M50/M$68)</f>
        <v>0</v>
      </c>
      <c r="N110" s="57">
        <f t="shared" si="64"/>
        <v>0</v>
      </c>
      <c r="O110" s="58">
        <f t="shared" si="61"/>
        <v>0</v>
      </c>
      <c r="P110" s="37"/>
      <c r="Q110" s="37"/>
      <c r="R110" s="37"/>
      <c r="S110" s="37"/>
      <c r="T110" s="37"/>
      <c r="U110" s="37"/>
      <c r="V110" s="37"/>
    </row>
    <row r="111" spans="1:22">
      <c r="A111" s="27" t="s">
        <v>108</v>
      </c>
      <c r="B111" s="57">
        <f>(B51/B$68)</f>
        <v>-6.5464395896561237E-3</v>
      </c>
      <c r="C111" s="59" t="s">
        <v>78</v>
      </c>
      <c r="D111" s="59" t="s">
        <v>78</v>
      </c>
      <c r="E111" s="57">
        <f>(E51/E$68)</f>
        <v>-2.4331689592525306E-3</v>
      </c>
      <c r="F111" s="57">
        <f t="shared" si="64"/>
        <v>-2.3477852559085927E-3</v>
      </c>
      <c r="G111" s="57">
        <f t="shared" si="64"/>
        <v>-2.459984256100761E-3</v>
      </c>
      <c r="H111" s="57">
        <f t="shared" si="64"/>
        <v>-1.9247055200554315E-3</v>
      </c>
      <c r="I111" s="57">
        <f t="shared" si="64"/>
        <v>-8.9243776420854862E-3</v>
      </c>
      <c r="J111" s="57">
        <f t="shared" si="64"/>
        <v>0</v>
      </c>
      <c r="K111" s="57">
        <f t="shared" si="64"/>
        <v>0</v>
      </c>
      <c r="L111" s="57">
        <f t="shared" si="64"/>
        <v>0</v>
      </c>
      <c r="M111" s="57">
        <f t="shared" ref="M111" si="66">(M51/M$68)</f>
        <v>0</v>
      </c>
      <c r="N111" s="57">
        <f t="shared" si="64"/>
        <v>0</v>
      </c>
      <c r="O111" s="58">
        <f t="shared" si="61"/>
        <v>-1.7093248166974045E-3</v>
      </c>
      <c r="P111" s="37"/>
      <c r="Q111" s="37"/>
      <c r="R111" s="37"/>
      <c r="S111" s="37"/>
      <c r="T111" s="37"/>
      <c r="U111" s="37"/>
      <c r="V111" s="37"/>
    </row>
    <row r="112" spans="1:22">
      <c r="A112" s="27" t="s">
        <v>99</v>
      </c>
      <c r="B112" s="57">
        <f>(B52/B$68)</f>
        <v>1.755750081516968E-3</v>
      </c>
      <c r="C112" s="57">
        <f>(C52/C$68)</f>
        <v>-4.153727475918271E-4</v>
      </c>
      <c r="D112" s="57">
        <f>(D52/D$68)</f>
        <v>-4.0254047768136687E-3</v>
      </c>
      <c r="E112" s="59" t="s">
        <v>78</v>
      </c>
      <c r="F112" s="57">
        <f t="shared" si="64"/>
        <v>-9.3911410236343718E-5</v>
      </c>
      <c r="G112" s="57">
        <f t="shared" si="64"/>
        <v>0</v>
      </c>
      <c r="H112" s="57">
        <f t="shared" si="64"/>
        <v>2.0016937408576488E-3</v>
      </c>
      <c r="I112" s="57">
        <f t="shared" si="64"/>
        <v>3.0530765617660873E-3</v>
      </c>
      <c r="J112" s="57">
        <f t="shared" si="64"/>
        <v>-4.8465984882169855E-2</v>
      </c>
      <c r="K112" s="57">
        <f t="shared" si="64"/>
        <v>-4.4873233116446039E-3</v>
      </c>
      <c r="L112" s="57">
        <f t="shared" si="64"/>
        <v>-2.256317689530686E-4</v>
      </c>
      <c r="M112" s="57">
        <f t="shared" ref="M112" si="67">(M52/M$68)</f>
        <v>-4.3610989969472308E-4</v>
      </c>
      <c r="N112" s="57">
        <f t="shared" si="64"/>
        <v>-3.4129692832764505E-3</v>
      </c>
      <c r="O112" s="58">
        <f t="shared" si="61"/>
        <v>-1.0255948900184428E-2</v>
      </c>
      <c r="P112" s="37"/>
      <c r="Q112" s="37"/>
      <c r="R112" s="37"/>
      <c r="S112" s="37"/>
      <c r="T112" s="37"/>
      <c r="U112" s="37"/>
      <c r="V112" s="37"/>
    </row>
    <row r="113" spans="1:22" ht="7.5" customHeight="1">
      <c r="A113" s="2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8"/>
      <c r="P113" s="37"/>
      <c r="Q113" s="37"/>
      <c r="R113" s="37"/>
      <c r="S113" s="37"/>
      <c r="T113" s="37"/>
      <c r="U113" s="37"/>
      <c r="V113" s="37"/>
    </row>
    <row r="114" spans="1:22">
      <c r="A114" s="236" t="s">
        <v>109</v>
      </c>
      <c r="B114" s="244">
        <f t="shared" ref="B114:L114" si="68">(B54/B$68)</f>
        <v>-0.16647018987183027</v>
      </c>
      <c r="C114" s="244">
        <f t="shared" si="68"/>
        <v>-0.17629606187075975</v>
      </c>
      <c r="D114" s="244">
        <f t="shared" si="68"/>
        <v>7.2844917553746613E-2</v>
      </c>
      <c r="E114" s="244">
        <f t="shared" si="68"/>
        <v>-5.2524007267064625E-2</v>
      </c>
      <c r="F114" s="244">
        <f t="shared" si="68"/>
        <v>-6.9619658788542815E-2</v>
      </c>
      <c r="G114" s="244">
        <f t="shared" si="68"/>
        <v>9.0658619784833361E-2</v>
      </c>
      <c r="H114" s="244">
        <f t="shared" si="68"/>
        <v>1.2780044653168079E-2</v>
      </c>
      <c r="I114" s="244">
        <f t="shared" si="68"/>
        <v>0.19774542038515736</v>
      </c>
      <c r="J114" s="244">
        <f t="shared" si="68"/>
        <v>0.20342374388617163</v>
      </c>
      <c r="K114" s="244">
        <f t="shared" si="68"/>
        <v>0.19430109939421136</v>
      </c>
      <c r="L114" s="244">
        <f t="shared" si="68"/>
        <v>2.6398916967509026E-2</v>
      </c>
      <c r="M114" s="244">
        <f t="shared" ref="M114" si="69">(M54/M$68)</f>
        <v>-1.9843000436109901E-2</v>
      </c>
      <c r="N114" s="244">
        <f>(N54/N$68)</f>
        <v>-3.7542662116040959E-2</v>
      </c>
      <c r="O114" s="288">
        <f>SUM(I54:M54)/SUM($I$68:$M$68)</f>
        <v>0.11915793261661643</v>
      </c>
      <c r="P114" s="37"/>
      <c r="Q114" s="37"/>
      <c r="R114" s="37"/>
      <c r="S114" s="37"/>
      <c r="T114" s="37"/>
      <c r="U114" s="37"/>
      <c r="V114" s="37"/>
    </row>
    <row r="115" spans="1:22">
      <c r="A115" s="236" t="s">
        <v>110</v>
      </c>
      <c r="B115" s="244">
        <f t="shared" ref="B115:L115" si="70">(B55/B$68)</f>
        <v>-6.5715217336777945E-2</v>
      </c>
      <c r="C115" s="244">
        <f t="shared" si="70"/>
        <v>-2.9273888877900554E-3</v>
      </c>
      <c r="D115" s="244">
        <f t="shared" si="70"/>
        <v>5.5162954348928223E-3</v>
      </c>
      <c r="E115" s="244">
        <f t="shared" si="70"/>
        <v>-1.7518816506618606E-3</v>
      </c>
      <c r="F115" s="244">
        <f t="shared" si="70"/>
        <v>-2.9425575207387786E-2</v>
      </c>
      <c r="G115" s="244">
        <f t="shared" si="70"/>
        <v>4.6182104434531621E-2</v>
      </c>
      <c r="H115" s="244">
        <f t="shared" si="70"/>
        <v>-2.0453203993122386E-2</v>
      </c>
      <c r="I115" s="244">
        <f t="shared" si="70"/>
        <v>3.9689995302959136E-2</v>
      </c>
      <c r="J115" s="244">
        <f t="shared" si="70"/>
        <v>-3.7572254335260118E-2</v>
      </c>
      <c r="K115" s="244">
        <f t="shared" si="70"/>
        <v>1.3013237603769351E-2</v>
      </c>
      <c r="L115" s="244">
        <f t="shared" si="70"/>
        <v>-1.9404332129963901E-2</v>
      </c>
      <c r="M115" s="244">
        <f t="shared" ref="M115" si="71">(M55/M$68)</f>
        <v>3.4888791975577847E-3</v>
      </c>
      <c r="N115" s="244">
        <f>(N55/N$68)</f>
        <v>2.5597269624573378E-2</v>
      </c>
      <c r="O115" s="288">
        <f t="shared" ref="O115:O117" si="72">SUM(I55:M55)/SUM($I$68:$M$68)</f>
        <v>-5.3978678422023302E-4</v>
      </c>
      <c r="P115" s="37"/>
      <c r="Q115" s="37"/>
      <c r="R115" s="37"/>
      <c r="S115" s="37"/>
      <c r="T115" s="37"/>
      <c r="U115" s="37"/>
      <c r="V115" s="37"/>
    </row>
    <row r="116" spans="1:22">
      <c r="A116" s="30" t="s">
        <v>111</v>
      </c>
      <c r="B116" s="70">
        <f t="shared" ref="B116:L116" si="73">(B56/B$68)</f>
        <v>0.10439188341819458</v>
      </c>
      <c r="C116" s="70">
        <f t="shared" si="73"/>
        <v>3.0500227466028443E-2</v>
      </c>
      <c r="D116" s="70">
        <f t="shared" si="73"/>
        <v>4.1566031547246328E-2</v>
      </c>
      <c r="E116" s="70">
        <f t="shared" si="73"/>
        <v>5.1226317155463275E-2</v>
      </c>
      <c r="F116" s="70">
        <f t="shared" si="73"/>
        <v>4.7738300203474721E-2</v>
      </c>
      <c r="G116" s="70">
        <f t="shared" si="73"/>
        <v>1.9187877197585804E-2</v>
      </c>
      <c r="H116" s="70">
        <f t="shared" si="73"/>
        <v>5.1145841352939675E-2</v>
      </c>
      <c r="I116" s="70">
        <f t="shared" si="73"/>
        <v>1.3856270549553781E-2</v>
      </c>
      <c r="J116" s="70">
        <f t="shared" si="73"/>
        <v>5.0689195197865716E-2</v>
      </c>
      <c r="K116" s="70">
        <f t="shared" si="73"/>
        <v>1.3237603769351581E-2</v>
      </c>
      <c r="L116" s="70">
        <f t="shared" si="73"/>
        <v>2.6398916967509026E-2</v>
      </c>
      <c r="M116" s="70">
        <f t="shared" ref="M116" si="74">(M56/M$68)</f>
        <v>6.7597034452682074E-3</v>
      </c>
      <c r="N116" s="70">
        <f>(N56/N$68)</f>
        <v>2.0051194539249147E-2</v>
      </c>
      <c r="O116" s="294">
        <f t="shared" si="72"/>
        <v>2.2221222617066258E-2</v>
      </c>
      <c r="P116" s="37"/>
      <c r="Q116" s="37"/>
      <c r="R116" s="37"/>
      <c r="S116" s="37"/>
      <c r="T116" s="37"/>
      <c r="U116" s="37"/>
      <c r="V116" s="37"/>
    </row>
    <row r="117" spans="1:22">
      <c r="A117" s="30" t="s">
        <v>112</v>
      </c>
      <c r="B117" s="70">
        <f t="shared" ref="B117:L117" si="75">(B57/B$68)</f>
        <v>3.8676666081416636E-2</v>
      </c>
      <c r="C117" s="70">
        <f t="shared" si="75"/>
        <v>2.7572838578238425E-2</v>
      </c>
      <c r="D117" s="70">
        <f t="shared" si="75"/>
        <v>4.7082326982139135E-2</v>
      </c>
      <c r="E117" s="70">
        <f t="shared" si="75"/>
        <v>4.9474435504801455E-2</v>
      </c>
      <c r="F117" s="70">
        <f t="shared" si="75"/>
        <v>1.8312724996086899E-2</v>
      </c>
      <c r="G117" s="70">
        <f t="shared" si="75"/>
        <v>6.536998163211756E-2</v>
      </c>
      <c r="H117" s="70">
        <f t="shared" si="75"/>
        <v>3.0692637359817285E-2</v>
      </c>
      <c r="I117" s="70">
        <f t="shared" si="75"/>
        <v>5.3546265852512917E-2</v>
      </c>
      <c r="J117" s="70">
        <f t="shared" si="75"/>
        <v>1.3116940862605602E-2</v>
      </c>
      <c r="K117" s="70">
        <f t="shared" si="75"/>
        <v>2.6250841373120934E-2</v>
      </c>
      <c r="L117" s="70">
        <f t="shared" si="75"/>
        <v>6.994584837545126E-3</v>
      </c>
      <c r="M117" s="70">
        <f t="shared" ref="M117" si="76">(M57/M$68)</f>
        <v>1.0248582642825993E-2</v>
      </c>
      <c r="N117" s="70">
        <f>(N57/N$68)</f>
        <v>4.5648464163822525E-2</v>
      </c>
      <c r="O117" s="294">
        <f t="shared" si="72"/>
        <v>2.1681435832846027E-2</v>
      </c>
      <c r="P117" s="37"/>
      <c r="Q117" s="37"/>
      <c r="R117" s="37"/>
      <c r="S117" s="37"/>
      <c r="T117" s="37"/>
      <c r="U117" s="37"/>
      <c r="V117" s="37"/>
    </row>
    <row r="118" spans="1:22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58"/>
      <c r="P118" s="37"/>
      <c r="Q118" s="37"/>
      <c r="R118" s="37"/>
      <c r="S118" s="37"/>
      <c r="T118" s="37"/>
      <c r="U118" s="37"/>
      <c r="V118" s="37"/>
    </row>
    <row r="119" spans="1:22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37"/>
      <c r="P119" s="37"/>
      <c r="Q119" s="37"/>
      <c r="R119" s="37"/>
      <c r="S119" s="37"/>
      <c r="T119" s="37"/>
      <c r="U119" s="37"/>
      <c r="V119" s="37"/>
    </row>
    <row r="120" spans="1:22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37"/>
      <c r="P120" s="37"/>
      <c r="Q120" s="37"/>
      <c r="R120" s="37"/>
      <c r="S120" s="37"/>
      <c r="T120" s="37"/>
      <c r="U120" s="37"/>
      <c r="V120" s="37"/>
    </row>
    <row r="121" spans="1:22">
      <c r="B121" s="37"/>
      <c r="C121" s="37"/>
      <c r="D121" s="37"/>
      <c r="E121" s="37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>
      <c r="B122" s="37"/>
      <c r="C122" s="37"/>
      <c r="D122" s="37"/>
      <c r="E122" s="37"/>
      <c r="F122" s="38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2:22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2:22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2:22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2:22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2:22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2:22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2:22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2:22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2:22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2:22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2:22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2:22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2:22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2:22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2:22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2:22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2:22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2:22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2:22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2:22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2:22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2:22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2:22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2:22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2:22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2:22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2:22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2:22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2:22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2:22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2:22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2:22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2:22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2:22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2:22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2:22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2:22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2:22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2:22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2:22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2:22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2:22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2:22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2:22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2:22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2:22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2:22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2:22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2:22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2:22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2:22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2:22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2:22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2:22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2:22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2:22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2:22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2:22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2:22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2:22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2:22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2:22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2:22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2:22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2:22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2:22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2:22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2:22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2:22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2:22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2:22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2:22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2:22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2:22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2:22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2:22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2:22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2:22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2:22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2:22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2:22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2:22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2:22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2:22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2:22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2:22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2:22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2:22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2:22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2:22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2:22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2:22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2:22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2:22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2:22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2:22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2:22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2:22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2:22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2:22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2:22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2:22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2:22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2:22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2:22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2:22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</sheetData>
  <mergeCells count="1">
    <mergeCell ref="B7:G7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Z202"/>
  <sheetViews>
    <sheetView showGridLines="0" topLeftCell="A112" zoomScaleNormal="100" workbookViewId="0">
      <selection activeCell="J106" sqref="J106"/>
    </sheetView>
  </sheetViews>
  <sheetFormatPr defaultColWidth="13.7109375" defaultRowHeight="12.75"/>
  <cols>
    <col min="1" max="1" width="30.28515625" style="52" customWidth="1"/>
    <col min="2" max="10" width="10.7109375" customWidth="1"/>
    <col min="11" max="11" width="12.5703125" style="1" customWidth="1"/>
    <col min="12" max="12" width="13.7109375" customWidth="1"/>
    <col min="13" max="13" width="13.7109375" style="52" customWidth="1"/>
    <col min="14" max="14" width="29.28515625" style="52" customWidth="1"/>
    <col min="15" max="18" width="13.7109375" style="52" customWidth="1"/>
    <col min="19" max="26" width="12.7109375" style="52" customWidth="1"/>
    <col min="27" max="52" width="13.7109375" style="52" customWidth="1"/>
  </cols>
  <sheetData>
    <row r="2" spans="1:25">
      <c r="K2" s="283" t="s">
        <v>218</v>
      </c>
      <c r="X2" s="283" t="s">
        <v>218</v>
      </c>
    </row>
    <row r="3" spans="1:25">
      <c r="K3" s="284" t="s">
        <v>211</v>
      </c>
      <c r="X3" s="284" t="s">
        <v>214</v>
      </c>
    </row>
    <row r="4" spans="1:25" ht="15.75">
      <c r="A4" s="218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82"/>
      <c r="N4" s="105" t="str">
        <f>A4</f>
        <v>PacifiCorp</v>
      </c>
      <c r="O4" s="106"/>
      <c r="P4" s="10"/>
      <c r="Q4" s="12"/>
      <c r="R4" s="12"/>
      <c r="S4" s="12"/>
      <c r="T4" s="12"/>
      <c r="U4" s="12"/>
      <c r="V4" s="12"/>
      <c r="W4" s="12"/>
      <c r="X4" s="13"/>
      <c r="Y4" s="2"/>
    </row>
    <row r="5" spans="1:25">
      <c r="A5" s="262" t="s">
        <v>123</v>
      </c>
      <c r="B5" s="10"/>
      <c r="C5" s="10"/>
      <c r="D5" s="10"/>
      <c r="E5" s="10"/>
      <c r="F5" s="10"/>
      <c r="G5" s="10"/>
      <c r="H5" s="10"/>
      <c r="I5" s="10"/>
      <c r="J5" s="10"/>
      <c r="K5" s="73"/>
      <c r="N5" s="107" t="s">
        <v>181</v>
      </c>
      <c r="O5" s="106"/>
      <c r="P5" s="12"/>
      <c r="Q5" s="10"/>
      <c r="R5" s="12"/>
      <c r="S5" s="12"/>
      <c r="T5" s="12"/>
      <c r="U5" s="12"/>
      <c r="V5" s="12"/>
      <c r="W5" s="12"/>
      <c r="X5" s="13"/>
      <c r="Y5" s="2"/>
    </row>
    <row r="6" spans="1:25">
      <c r="A6" s="137">
        <f ca="1">NOW()</f>
        <v>41169.592767361108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N6" s="111"/>
      <c r="O6" s="19"/>
      <c r="P6" s="2"/>
      <c r="Q6" s="2"/>
      <c r="R6" s="2"/>
      <c r="S6" s="2"/>
      <c r="T6" s="2"/>
      <c r="U6" s="2"/>
      <c r="V6" s="2"/>
      <c r="W6" s="2"/>
      <c r="X6" s="5"/>
      <c r="Y6" s="2"/>
    </row>
    <row r="7" spans="1:25">
      <c r="B7" s="2"/>
      <c r="C7" s="2"/>
      <c r="D7" s="2"/>
      <c r="E7" s="2"/>
      <c r="F7" s="2"/>
      <c r="G7" s="2"/>
      <c r="H7" s="2"/>
      <c r="I7" s="2"/>
      <c r="J7" s="2"/>
      <c r="K7" s="5"/>
      <c r="L7" s="2"/>
      <c r="N7" s="111"/>
      <c r="O7" s="19"/>
      <c r="P7" s="2"/>
      <c r="Q7" s="2"/>
      <c r="R7" s="2"/>
      <c r="S7" s="2"/>
      <c r="T7" s="2"/>
      <c r="U7" s="2"/>
      <c r="V7" s="2"/>
      <c r="W7" s="2"/>
      <c r="X7" s="5"/>
      <c r="Y7" s="2"/>
    </row>
    <row r="8" spans="1:25">
      <c r="B8" s="74" t="s">
        <v>124</v>
      </c>
      <c r="C8" s="14" t="s">
        <v>125</v>
      </c>
      <c r="D8" s="14" t="s">
        <v>125</v>
      </c>
      <c r="E8" s="14" t="s">
        <v>125</v>
      </c>
      <c r="F8" s="14" t="s">
        <v>125</v>
      </c>
      <c r="G8" s="14" t="s">
        <v>125</v>
      </c>
      <c r="H8" s="14" t="s">
        <v>125</v>
      </c>
      <c r="I8" s="14" t="s">
        <v>125</v>
      </c>
      <c r="J8" s="14" t="s">
        <v>125</v>
      </c>
      <c r="K8" s="15" t="s">
        <v>4</v>
      </c>
      <c r="L8" s="2"/>
      <c r="O8" s="74" t="s">
        <v>124</v>
      </c>
      <c r="P8" s="14" t="s">
        <v>125</v>
      </c>
      <c r="Q8" s="14" t="s">
        <v>125</v>
      </c>
      <c r="R8" s="14" t="s">
        <v>125</v>
      </c>
      <c r="S8" s="14" t="s">
        <v>125</v>
      </c>
      <c r="T8" s="14" t="s">
        <v>125</v>
      </c>
      <c r="U8" s="14" t="s">
        <v>125</v>
      </c>
      <c r="V8" s="14" t="s">
        <v>125</v>
      </c>
      <c r="W8" s="14" t="s">
        <v>125</v>
      </c>
      <c r="X8" s="15" t="s">
        <v>126</v>
      </c>
      <c r="Y8" s="2"/>
    </row>
    <row r="9" spans="1:25">
      <c r="A9" s="263" t="s">
        <v>0</v>
      </c>
      <c r="B9" s="75">
        <v>2011</v>
      </c>
      <c r="C9" s="4">
        <f t="shared" ref="C9:J9" si="0">B9+1</f>
        <v>2012</v>
      </c>
      <c r="D9" s="4">
        <f t="shared" si="0"/>
        <v>2013</v>
      </c>
      <c r="E9" s="4">
        <f t="shared" si="0"/>
        <v>2014</v>
      </c>
      <c r="F9" s="4">
        <f t="shared" si="0"/>
        <v>2015</v>
      </c>
      <c r="G9" s="4">
        <f t="shared" si="0"/>
        <v>2016</v>
      </c>
      <c r="H9" s="4">
        <f t="shared" si="0"/>
        <v>2017</v>
      </c>
      <c r="I9" s="4">
        <f t="shared" si="0"/>
        <v>2018</v>
      </c>
      <c r="J9" s="4">
        <f t="shared" si="0"/>
        <v>2019</v>
      </c>
      <c r="K9" s="16" t="s">
        <v>23</v>
      </c>
      <c r="L9" s="2"/>
      <c r="O9" s="88">
        <f t="shared" ref="O9:W9" si="1">B9</f>
        <v>2011</v>
      </c>
      <c r="P9" s="4">
        <f t="shared" si="1"/>
        <v>2012</v>
      </c>
      <c r="Q9" s="4">
        <f t="shared" si="1"/>
        <v>2013</v>
      </c>
      <c r="R9" s="4">
        <f t="shared" si="1"/>
        <v>2014</v>
      </c>
      <c r="S9" s="4">
        <f t="shared" si="1"/>
        <v>2015</v>
      </c>
      <c r="T9" s="4">
        <f t="shared" si="1"/>
        <v>2016</v>
      </c>
      <c r="U9" s="4">
        <f t="shared" si="1"/>
        <v>2017</v>
      </c>
      <c r="V9" s="4">
        <f t="shared" si="1"/>
        <v>2018</v>
      </c>
      <c r="W9" s="4">
        <f t="shared" si="1"/>
        <v>2019</v>
      </c>
      <c r="X9" s="16" t="s">
        <v>127</v>
      </c>
      <c r="Y9" s="2"/>
    </row>
    <row r="10" spans="1:25" ht="7.5" customHeight="1">
      <c r="A10" s="111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O10" s="85"/>
      <c r="P10" s="2"/>
      <c r="Q10" s="2"/>
      <c r="R10" s="2"/>
      <c r="S10" s="2"/>
      <c r="T10" s="2"/>
      <c r="U10" s="2"/>
      <c r="V10" s="2"/>
      <c r="W10" s="2"/>
      <c r="X10" s="5"/>
      <c r="Y10" s="2"/>
    </row>
    <row r="11" spans="1:25">
      <c r="A11" s="193" t="str">
        <f>Historical!A11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N11" s="193" t="str">
        <f t="shared" ref="N11:N17" si="2">A11</f>
        <v>Current Assets:</v>
      </c>
      <c r="O11" s="77"/>
      <c r="P11" s="5"/>
      <c r="Q11" s="5"/>
      <c r="R11" s="5"/>
      <c r="S11" s="5"/>
      <c r="T11" s="5"/>
      <c r="U11" s="2"/>
      <c r="V11" s="2"/>
      <c r="W11" s="2"/>
      <c r="X11" s="5"/>
      <c r="Y11" s="2"/>
    </row>
    <row r="12" spans="1:25">
      <c r="A12" s="52" t="str">
        <f>Historical!A12</f>
        <v>Cash &amp; Equivalents</v>
      </c>
      <c r="B12" s="77">
        <f>Historical!M12</f>
        <v>47</v>
      </c>
      <c r="C12" s="2">
        <f>Assumptions!$C$14*Forecast!C80</f>
        <v>66.348033067266456</v>
      </c>
      <c r="D12" s="2">
        <f>Assumptions!$C$14*Forecast!D80</f>
        <v>68.917381539782468</v>
      </c>
      <c r="E12" s="2">
        <f>Assumptions!$C$14*Forecast!E80</f>
        <v>71.58622884094541</v>
      </c>
      <c r="F12" s="2">
        <f>Assumptions!$C$14*Forecast!F80</f>
        <v>74.358428094225289</v>
      </c>
      <c r="G12" s="2">
        <f>Assumptions!$C$14*Forecast!G80</f>
        <v>77.23798163651179</v>
      </c>
      <c r="H12" s="2">
        <f>Assumptions!$C$14*Forecast!H80</f>
        <v>79.362026131515876</v>
      </c>
      <c r="I12" s="2">
        <f>Assumptions!$C$14*Forecast!I80</f>
        <v>81.54448185013257</v>
      </c>
      <c r="J12" s="2">
        <f>Assumptions!$C$14*Forecast!J80</f>
        <v>83.78695510101123</v>
      </c>
      <c r="K12" s="5">
        <f>RATE(8,,-B12,J12)</f>
        <v>7.4941472408189005E-2</v>
      </c>
      <c r="L12" s="2"/>
      <c r="N12" s="52" t="str">
        <f t="shared" si="2"/>
        <v>Cash &amp; Equivalents</v>
      </c>
      <c r="O12" s="90">
        <f t="shared" ref="O12:W17" si="3">B12/B$38</f>
        <v>2.2268549227707759E-3</v>
      </c>
      <c r="P12" s="95">
        <f t="shared" ca="1" si="3"/>
        <v>3.0296283763645055E-3</v>
      </c>
      <c r="Q12" s="18">
        <f t="shared" ca="1" si="3"/>
        <v>3.0347738106955781E-3</v>
      </c>
      <c r="R12" s="18">
        <f t="shared" ca="1" si="3"/>
        <v>3.1126340433023768E-3</v>
      </c>
      <c r="S12" s="18">
        <f t="shared" ca="1" si="3"/>
        <v>3.1219072479039957E-3</v>
      </c>
      <c r="T12" s="18">
        <f t="shared" ca="1" si="3"/>
        <v>3.1309347093377428E-3</v>
      </c>
      <c r="U12" s="18">
        <f t="shared" ca="1" si="3"/>
        <v>3.1069547557125415E-3</v>
      </c>
      <c r="V12" s="18">
        <f t="shared" ca="1" si="3"/>
        <v>3.0828976358548829E-3</v>
      </c>
      <c r="W12" s="18">
        <f t="shared" ca="1" si="3"/>
        <v>3.0587745351146074E-3</v>
      </c>
      <c r="X12" s="18">
        <f t="shared" ref="X12:X17" ca="1" si="4">SUM(C12:J12)/SUM($C$38:$J$38)</f>
        <v>3.0854163030335346E-3</v>
      </c>
      <c r="Y12" s="2"/>
    </row>
    <row r="13" spans="1:25">
      <c r="A13" s="52" t="s">
        <v>140</v>
      </c>
      <c r="B13" s="77">
        <v>0</v>
      </c>
      <c r="C13" s="2">
        <f t="shared" ref="C13:J13" ca="1" si="5">C67</f>
        <v>0</v>
      </c>
      <c r="D13" s="2">
        <f t="shared" ca="1" si="5"/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ca="1" si="5"/>
        <v>0</v>
      </c>
      <c r="J13" s="2">
        <f t="shared" ca="1" si="5"/>
        <v>0</v>
      </c>
      <c r="K13" s="5"/>
      <c r="N13" s="52" t="str">
        <f t="shared" si="2"/>
        <v>Surplus Cash</v>
      </c>
      <c r="O13" s="90">
        <f t="shared" si="3"/>
        <v>0</v>
      </c>
      <c r="P13" s="95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3"/>
        <v>0</v>
      </c>
      <c r="V13" s="18">
        <f t="shared" ca="1" si="3"/>
        <v>0</v>
      </c>
      <c r="W13" s="18">
        <f t="shared" ca="1" si="3"/>
        <v>0</v>
      </c>
      <c r="X13" s="18">
        <f t="shared" ca="1" si="4"/>
        <v>0</v>
      </c>
      <c r="Y13" s="2"/>
    </row>
    <row r="14" spans="1:25">
      <c r="A14" s="52" t="str">
        <f>Historical!A13</f>
        <v>Accounts Receivable</v>
      </c>
      <c r="B14" s="77">
        <f>Historical!M13</f>
        <v>653</v>
      </c>
      <c r="C14" s="2">
        <f>Assumptions!$C$16*Forecast!C80</f>
        <v>651.8959710293891</v>
      </c>
      <c r="D14" s="2">
        <f>Assumptions!$C$16*Forecast!D80</f>
        <v>677.14084777962478</v>
      </c>
      <c r="E14" s="2">
        <f>Assumptions!$C$16*Forecast!E80</f>
        <v>703.36334033124092</v>
      </c>
      <c r="F14" s="2">
        <f>Assumptions!$C$16*Forecast!F80</f>
        <v>730.60130716398237</v>
      </c>
      <c r="G14" s="2">
        <f>Assumptions!$C$16*Forecast!G80</f>
        <v>758.89407283914306</v>
      </c>
      <c r="H14" s="2">
        <f>Assumptions!$C$16*Forecast!H80</f>
        <v>779.76365984221957</v>
      </c>
      <c r="I14" s="2">
        <f>Assumptions!$C$16*Forecast!I80</f>
        <v>801.20716048788074</v>
      </c>
      <c r="J14" s="2">
        <f>Assumptions!$C$16*Forecast!J80</f>
        <v>823.2403574012975</v>
      </c>
      <c r="K14" s="5">
        <f>RATE(8,,-B14,J14)</f>
        <v>2.9382270433037216E-2</v>
      </c>
      <c r="L14" s="2"/>
      <c r="N14" s="52" t="str">
        <f t="shared" si="2"/>
        <v>Accounts Receivable</v>
      </c>
      <c r="O14" s="90">
        <f t="shared" si="3"/>
        <v>3.0939069458921633E-2</v>
      </c>
      <c r="P14" s="95">
        <f t="shared" ca="1" si="3"/>
        <v>2.9767310965586411E-2</v>
      </c>
      <c r="Q14" s="18">
        <f t="shared" ca="1" si="3"/>
        <v>2.9817866916600391E-2</v>
      </c>
      <c r="R14" s="18">
        <f t="shared" ca="1" si="3"/>
        <v>3.0582874854187987E-2</v>
      </c>
      <c r="S14" s="18">
        <f t="shared" ca="1" si="3"/>
        <v>3.067398779964935E-2</v>
      </c>
      <c r="T14" s="18">
        <f t="shared" ca="1" si="3"/>
        <v>3.0762686220163444E-2</v>
      </c>
      <c r="U14" s="18">
        <f t="shared" ca="1" si="3"/>
        <v>3.0527073581309599E-2</v>
      </c>
      <c r="V14" s="18">
        <f t="shared" ca="1" si="3"/>
        <v>3.0290702753347321E-2</v>
      </c>
      <c r="W14" s="18">
        <f t="shared" ca="1" si="3"/>
        <v>3.0053683636814075E-2</v>
      </c>
      <c r="X14" s="18">
        <f t="shared" ca="1" si="4"/>
        <v>3.0315449666107528E-2</v>
      </c>
      <c r="Y14" s="2"/>
    </row>
    <row r="15" spans="1:25">
      <c r="A15" s="52" t="str">
        <f>Historical!A14</f>
        <v>Material, Supplies, Fuel</v>
      </c>
      <c r="B15" s="77">
        <f>Historical!M14</f>
        <v>433</v>
      </c>
      <c r="C15" s="2">
        <f>(1+Assumptions!$C$17)*Forecast!B15</f>
        <v>444.90750000000003</v>
      </c>
      <c r="D15" s="2">
        <f>(1+Assumptions!$C$17)*Forecast!C15</f>
        <v>457.14245625000007</v>
      </c>
      <c r="E15" s="2">
        <f>(1+Assumptions!$C$17)*Forecast!D15</f>
        <v>469.71387379687508</v>
      </c>
      <c r="F15" s="2">
        <f>(1+Assumptions!$C$17)*Forecast!E15</f>
        <v>482.6310053262892</v>
      </c>
      <c r="G15" s="2">
        <f>(1+Assumptions!$C$17)*Forecast!F15</f>
        <v>495.90335797276219</v>
      </c>
      <c r="H15" s="2">
        <f>(1+Assumptions!$C$17)*Forecast!G15</f>
        <v>509.5407003170132</v>
      </c>
      <c r="I15" s="2">
        <f>(1+Assumptions!$C$17)*Forecast!H15</f>
        <v>523.55306957573112</v>
      </c>
      <c r="J15" s="2">
        <f>(1+Assumptions!$C$17)*Forecast!I15</f>
        <v>537.95077898906379</v>
      </c>
      <c r="K15" s="5">
        <f>RATE(8,,-B15,J15)</f>
        <v>2.7500000000006058E-2</v>
      </c>
      <c r="L15" s="2"/>
      <c r="N15" s="52" t="str">
        <f t="shared" si="2"/>
        <v>Material, Supplies, Fuel</v>
      </c>
      <c r="O15" s="90">
        <f t="shared" si="3"/>
        <v>2.0515493224675448E-2</v>
      </c>
      <c r="P15" s="95">
        <f t="shared" ca="1" si="3"/>
        <v>2.0315664602910361E-2</v>
      </c>
      <c r="Q15" s="18">
        <f t="shared" ca="1" si="3"/>
        <v>2.013024759484976E-2</v>
      </c>
      <c r="R15" s="18">
        <f t="shared" ca="1" si="3"/>
        <v>2.0423584505897839E-2</v>
      </c>
      <c r="S15" s="18">
        <f t="shared" ca="1" si="3"/>
        <v>2.026305924167791E-2</v>
      </c>
      <c r="T15" s="18">
        <f t="shared" ca="1" si="3"/>
        <v>2.010204051241157E-2</v>
      </c>
      <c r="U15" s="18">
        <f t="shared" ca="1" si="3"/>
        <v>1.9948078183583091E-2</v>
      </c>
      <c r="V15" s="18">
        <f t="shared" ca="1" si="3"/>
        <v>1.9793620412059364E-2</v>
      </c>
      <c r="W15" s="18">
        <f t="shared" ca="1" si="3"/>
        <v>1.9638739012929653E-2</v>
      </c>
      <c r="X15" s="18">
        <f t="shared" ca="1" si="4"/>
        <v>2.0059927065952783E-2</v>
      </c>
      <c r="Y15" s="2"/>
    </row>
    <row r="16" spans="1:25">
      <c r="A16" s="52" t="str">
        <f>Historical!A15</f>
        <v>Other Current Assets</v>
      </c>
      <c r="B16" s="77">
        <f>Historical!M15</f>
        <v>350</v>
      </c>
      <c r="C16" s="3">
        <f ca="1">Assumptions!$C$18*Forecast!C38</f>
        <v>524.6423900020726</v>
      </c>
      <c r="D16" s="3">
        <f ca="1">C16*(1+Assumptions!$C$35)</f>
        <v>533.95943673649595</v>
      </c>
      <c r="E16" s="3">
        <f ca="1">D16*(1+Assumptions!$C$35)</f>
        <v>543.44194352810428</v>
      </c>
      <c r="F16" s="3">
        <f ca="1">E16*(1+Assumptions!$C$35)</f>
        <v>553.09284875762103</v>
      </c>
      <c r="G16" s="3">
        <f ca="1">F16*(1+Assumptions!$C$35)</f>
        <v>562.91514298803907</v>
      </c>
      <c r="H16" s="3">
        <f ca="1">G16*(1+Assumptions!$C$35)</f>
        <v>572.91186989131779</v>
      </c>
      <c r="I16" s="3">
        <f ca="1">H16*(1+Assumptions!$C$35)</f>
        <v>583.08612719153746</v>
      </c>
      <c r="J16" s="3">
        <f ca="1">I16*(1+Assumptions!$C$35)</f>
        <v>593.44106762480283</v>
      </c>
      <c r="K16" s="5">
        <f ca="1">RATE(8,,-B16,J16)</f>
        <v>6.822735253417353E-2</v>
      </c>
      <c r="L16" s="2"/>
      <c r="N16" s="52" t="str">
        <f t="shared" si="2"/>
        <v>Other Current Assets</v>
      </c>
      <c r="O16" s="90">
        <f t="shared" si="3"/>
        <v>1.6582962190846207E-2</v>
      </c>
      <c r="P16" s="95">
        <f t="shared" ca="1" si="3"/>
        <v>2.3956572617344948E-2</v>
      </c>
      <c r="Q16" s="18">
        <f t="shared" ca="1" si="3"/>
        <v>2.351287989150139E-2</v>
      </c>
      <c r="R16" s="18">
        <f t="shared" ca="1" si="3"/>
        <v>2.3629347730306362E-2</v>
      </c>
      <c r="S16" s="18">
        <f t="shared" ca="1" si="3"/>
        <v>2.3221370025631058E-2</v>
      </c>
      <c r="T16" s="18">
        <f t="shared" ca="1" si="3"/>
        <v>2.2818444012264658E-2</v>
      </c>
      <c r="U16" s="18">
        <f t="shared" ca="1" si="3"/>
        <v>2.2429004720887848E-2</v>
      </c>
      <c r="V16" s="18">
        <f t="shared" ca="1" si="3"/>
        <v>2.2044346867299985E-2</v>
      </c>
      <c r="W16" s="18">
        <f t="shared" ca="1" si="3"/>
        <v>2.1664499247569202E-2</v>
      </c>
      <c r="X16" s="18">
        <f t="shared" ca="1" si="4"/>
        <v>2.285378913369453E-2</v>
      </c>
      <c r="Y16" s="2"/>
    </row>
    <row r="17" spans="1:25">
      <c r="A17" s="193" t="str">
        <f>Historical!A16</f>
        <v>Total Current Assets</v>
      </c>
      <c r="B17" s="267">
        <f>SUM(B12:B16)</f>
        <v>1483</v>
      </c>
      <c r="C17" s="2">
        <f t="shared" ref="C17:J17" ca="1" si="6">SUM(C11:C16)</f>
        <v>1687.7938940987283</v>
      </c>
      <c r="D17" s="2">
        <f t="shared" ca="1" si="6"/>
        <v>1737.1601223059033</v>
      </c>
      <c r="E17" s="2">
        <f t="shared" ca="1" si="6"/>
        <v>1788.1053864971657</v>
      </c>
      <c r="F17" s="2">
        <f t="shared" ca="1" si="6"/>
        <v>1840.683589342118</v>
      </c>
      <c r="G17" s="2">
        <f t="shared" ca="1" si="6"/>
        <v>1894.9505554364559</v>
      </c>
      <c r="H17" s="2">
        <f t="shared" ca="1" si="6"/>
        <v>1941.5782561820665</v>
      </c>
      <c r="I17" s="2">
        <f t="shared" ca="1" si="6"/>
        <v>1989.3908391052819</v>
      </c>
      <c r="J17" s="2">
        <f t="shared" ca="1" si="6"/>
        <v>2038.4191591161755</v>
      </c>
      <c r="K17" s="17">
        <f ca="1">RATE(8,,-B17,J17)</f>
        <v>4.0564589413581417E-2</v>
      </c>
      <c r="L17" s="2"/>
      <c r="N17" s="52" t="str">
        <f t="shared" si="2"/>
        <v>Total Current Assets</v>
      </c>
      <c r="O17" s="91">
        <f t="shared" si="3"/>
        <v>7.026437979721406E-2</v>
      </c>
      <c r="P17" s="93">
        <f t="shared" ca="1" si="3"/>
        <v>7.7069176562206229E-2</v>
      </c>
      <c r="Q17" s="17">
        <f t="shared" ca="1" si="3"/>
        <v>7.649576821364712E-2</v>
      </c>
      <c r="R17" s="17">
        <f t="shared" ca="1" si="3"/>
        <v>7.7748441133694571E-2</v>
      </c>
      <c r="S17" s="17">
        <f t="shared" ca="1" si="3"/>
        <v>7.7280324314862314E-2</v>
      </c>
      <c r="T17" s="17">
        <f t="shared" ca="1" si="3"/>
        <v>7.6814105454177412E-2</v>
      </c>
      <c r="U17" s="17">
        <f t="shared" ca="1" si="3"/>
        <v>7.6011111241493082E-2</v>
      </c>
      <c r="V17" s="17">
        <f t="shared" ca="1" si="3"/>
        <v>7.5211567668561546E-2</v>
      </c>
      <c r="W17" s="17">
        <f t="shared" ca="1" si="3"/>
        <v>7.4415696432427542E-2</v>
      </c>
      <c r="X17" s="17">
        <f t="shared" ca="1" si="4"/>
        <v>7.6314582168788378E-2</v>
      </c>
      <c r="Y17" s="2"/>
    </row>
    <row r="18" spans="1:25" ht="7.5" customHeight="1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O18" s="90"/>
      <c r="P18" s="95"/>
      <c r="Q18" s="18"/>
      <c r="R18" s="18"/>
      <c r="S18" s="18"/>
      <c r="T18" s="18"/>
      <c r="U18" s="18"/>
      <c r="V18" s="18"/>
      <c r="W18" s="18"/>
      <c r="X18" s="18"/>
      <c r="Y18" s="2"/>
    </row>
    <row r="19" spans="1:25">
      <c r="A19" s="193" t="str">
        <f>Historical!A18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N19" s="193" t="str">
        <f t="shared" ref="N19:N24" si="7">A19</f>
        <v>Plant &amp; Equipment:</v>
      </c>
      <c r="O19" s="90"/>
      <c r="P19" s="95"/>
      <c r="Q19" s="18"/>
      <c r="R19" s="18"/>
      <c r="S19" s="18"/>
      <c r="T19" s="18"/>
      <c r="U19" s="18"/>
      <c r="V19" s="18"/>
      <c r="W19" s="18"/>
      <c r="X19" s="18"/>
      <c r="Y19" s="2"/>
    </row>
    <row r="20" spans="1:25">
      <c r="A20" s="52" t="str">
        <f>Historical!A19</f>
        <v>Plant in Service</v>
      </c>
      <c r="B20" s="77">
        <f>Historical!M19</f>
        <v>23055</v>
      </c>
      <c r="C20" s="2">
        <f>B20+1100</f>
        <v>24155</v>
      </c>
      <c r="D20" s="2">
        <f>C20+1100</f>
        <v>25255</v>
      </c>
      <c r="E20" s="2">
        <f>D20+1100</f>
        <v>26355</v>
      </c>
      <c r="F20" s="2">
        <f>E20*(1+Assumptions!$C$22/2)</f>
        <v>27394.982403367307</v>
      </c>
      <c r="G20" s="2">
        <f>F20*(1+Assumptions!$C$22/2)</f>
        <v>28476.003068897906</v>
      </c>
      <c r="H20" s="2">
        <f>G20*(1+Assumptions!$C$22/2)</f>
        <v>29599.681388377594</v>
      </c>
      <c r="I20" s="2">
        <f>H20*(1+Assumptions!$C$22/2)</f>
        <v>30767.70065565862</v>
      </c>
      <c r="J20" s="2">
        <f>I20*(1+Assumptions!$C$22/2)</f>
        <v>31981.810588269422</v>
      </c>
      <c r="K20" s="5">
        <f>RATE(8,,-B20,J20)</f>
        <v>4.1758949432679167E-2</v>
      </c>
      <c r="L20" s="2"/>
      <c r="N20" s="52" t="str">
        <f t="shared" si="7"/>
        <v>Plant in Service</v>
      </c>
      <c r="O20" s="90">
        <f t="shared" ref="O20:W24" si="8">B20/B$38</f>
        <v>1.0923434094570263</v>
      </c>
      <c r="P20" s="95">
        <f t="shared" ca="1" si="8"/>
        <v>1.1029818074168221</v>
      </c>
      <c r="Q20" s="18">
        <f t="shared" ca="1" si="8"/>
        <v>1.1121027943418691</v>
      </c>
      <c r="R20" s="18">
        <f t="shared" ca="1" si="8"/>
        <v>1.1459392614954065</v>
      </c>
      <c r="S20" s="18">
        <f t="shared" ca="1" si="8"/>
        <v>1.1501667842265306</v>
      </c>
      <c r="T20" s="18">
        <f t="shared" ca="1" si="8"/>
        <v>1.1543091171283877</v>
      </c>
      <c r="U20" s="18">
        <f t="shared" ca="1" si="8"/>
        <v>1.1588019527726636</v>
      </c>
      <c r="V20" s="18">
        <f t="shared" ca="1" si="8"/>
        <v>1.1632138614400489</v>
      </c>
      <c r="W20" s="18">
        <f t="shared" ca="1" si="8"/>
        <v>1.1675462808777564</v>
      </c>
      <c r="X20" s="18">
        <f ca="1">SUM(C20:J20)/SUM($C$38:$J$38)</f>
        <v>1.1458132155210607</v>
      </c>
      <c r="Y20" s="2"/>
    </row>
    <row r="21" spans="1:25">
      <c r="A21" s="52" t="str">
        <f>Historical!A20</f>
        <v>Construction Work in Progress</v>
      </c>
      <c r="B21" s="77">
        <f>Historical!M20</f>
        <v>1207</v>
      </c>
      <c r="C21" s="2">
        <f>Assumptions!$C$23</f>
        <v>1200</v>
      </c>
      <c r="D21" s="2">
        <f>Assumptions!$C$23</f>
        <v>1200</v>
      </c>
      <c r="E21" s="2">
        <f>Assumptions!$C$23</f>
        <v>1200</v>
      </c>
      <c r="F21" s="2">
        <f>Assumptions!$C$23</f>
        <v>1200</v>
      </c>
      <c r="G21" s="2">
        <f>Assumptions!$C$23</f>
        <v>1200</v>
      </c>
      <c r="H21" s="2">
        <f>Assumptions!$C$23</f>
        <v>1200</v>
      </c>
      <c r="I21" s="2">
        <f>Assumptions!$C$23</f>
        <v>1200</v>
      </c>
      <c r="J21" s="2">
        <f>Assumptions!$C$23</f>
        <v>1200</v>
      </c>
      <c r="K21" s="5">
        <f>RATE(8,,-B21,J21)</f>
        <v>-7.2678392603909864E-4</v>
      </c>
      <c r="L21" s="2"/>
      <c r="N21" s="52" t="str">
        <f t="shared" si="7"/>
        <v>Construction Work in Progress</v>
      </c>
      <c r="O21" s="90">
        <f t="shared" si="8"/>
        <v>5.7187529612432481E-2</v>
      </c>
      <c r="P21" s="95">
        <f t="shared" ca="1" si="8"/>
        <v>5.4795204673988254E-2</v>
      </c>
      <c r="Q21" s="18">
        <f t="shared" ca="1" si="8"/>
        <v>5.2841946276390529E-2</v>
      </c>
      <c r="R21" s="18">
        <f t="shared" ca="1" si="8"/>
        <v>5.2177086465357153E-2</v>
      </c>
      <c r="S21" s="18">
        <f t="shared" ca="1" si="8"/>
        <v>5.0381493981255007E-2</v>
      </c>
      <c r="T21" s="18">
        <f t="shared" ca="1" si="8"/>
        <v>4.8643446806865186E-2</v>
      </c>
      <c r="U21" s="18">
        <f t="shared" ca="1" si="8"/>
        <v>4.6978963221989446E-2</v>
      </c>
      <c r="V21" s="18">
        <f t="shared" ca="1" si="8"/>
        <v>4.5367596667362294E-2</v>
      </c>
      <c r="W21" s="18">
        <f t="shared" ca="1" si="8"/>
        <v>4.3807886773214753E-2</v>
      </c>
      <c r="X21" s="18">
        <f ca="1">SUM(C21:J21)/SUM($C$38:$J$38)</f>
        <v>4.9109530202336688E-2</v>
      </c>
      <c r="Y21" s="2"/>
    </row>
    <row r="22" spans="1:25" hidden="1">
      <c r="A22" s="52" t="str">
        <f>Historical!A21</f>
        <v>Australian Electric Operations</v>
      </c>
      <c r="B22" s="77">
        <f>Historical!L21</f>
        <v>0</v>
      </c>
      <c r="C22" s="259">
        <f>B22</f>
        <v>0</v>
      </c>
      <c r="D22" s="19">
        <f t="shared" ref="D22:J22" si="9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/>
      <c r="M22" s="111"/>
      <c r="N22" s="52" t="str">
        <f t="shared" si="7"/>
        <v>Australian Electric Operations</v>
      </c>
      <c r="O22" s="90">
        <f t="shared" si="8"/>
        <v>0</v>
      </c>
      <c r="P22" s="95">
        <f t="shared" ca="1" si="8"/>
        <v>0</v>
      </c>
      <c r="Q22" s="18">
        <f t="shared" ca="1" si="8"/>
        <v>0</v>
      </c>
      <c r="R22" s="18">
        <f t="shared" ca="1" si="8"/>
        <v>0</v>
      </c>
      <c r="S22" s="18">
        <f t="shared" ca="1" si="8"/>
        <v>0</v>
      </c>
      <c r="T22" s="18">
        <f t="shared" ca="1" si="8"/>
        <v>0</v>
      </c>
      <c r="U22" s="18">
        <f t="shared" ca="1" si="8"/>
        <v>0</v>
      </c>
      <c r="V22" s="18">
        <f t="shared" ca="1" si="8"/>
        <v>0</v>
      </c>
      <c r="W22" s="18">
        <f t="shared" ca="1" si="8"/>
        <v>0</v>
      </c>
      <c r="X22" s="18">
        <f ca="1">SUM(C22:J22)/SUM($C$38:$J$38)</f>
        <v>0</v>
      </c>
      <c r="Y22" s="2"/>
    </row>
    <row r="23" spans="1:25" ht="12.75" hidden="1" customHeight="1">
      <c r="A23" s="52" t="str">
        <f>Historical!A22</f>
        <v>Other PP&amp;E</v>
      </c>
      <c r="B23" s="77">
        <f>Historical!L22</f>
        <v>0</v>
      </c>
      <c r="C23" s="100">
        <f>B23</f>
        <v>0</v>
      </c>
      <c r="D23" s="100">
        <f t="shared" ref="D23:J23" si="10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3"/>
      <c r="L23" s="19"/>
      <c r="N23" s="52" t="str">
        <f t="shared" si="7"/>
        <v>Other PP&amp;E</v>
      </c>
      <c r="O23" s="260">
        <f t="shared" si="8"/>
        <v>0</v>
      </c>
      <c r="P23" s="261">
        <f t="shared" ca="1" si="8"/>
        <v>0</v>
      </c>
      <c r="Q23" s="103">
        <f t="shared" ca="1" si="8"/>
        <v>0</v>
      </c>
      <c r="R23" s="103">
        <f t="shared" ca="1" si="8"/>
        <v>0</v>
      </c>
      <c r="S23" s="103">
        <f t="shared" ca="1" si="8"/>
        <v>0</v>
      </c>
      <c r="T23" s="103">
        <f t="shared" ca="1" si="8"/>
        <v>0</v>
      </c>
      <c r="U23" s="103">
        <f t="shared" ca="1" si="8"/>
        <v>0</v>
      </c>
      <c r="V23" s="103">
        <f t="shared" ca="1" si="8"/>
        <v>0</v>
      </c>
      <c r="W23" s="103">
        <f t="shared" ca="1" si="8"/>
        <v>0</v>
      </c>
      <c r="X23" s="103">
        <f ca="1">SUM(C23:J23)/SUM($C$38:$J$38)</f>
        <v>0</v>
      </c>
      <c r="Y23" s="2"/>
    </row>
    <row r="24" spans="1:25" ht="12.75" customHeight="1">
      <c r="A24" s="193" t="str">
        <f>Historical!A23</f>
        <v>Total Plant &amp; Equipment:</v>
      </c>
      <c r="B24" s="267">
        <f>SUM(B20:B23)</f>
        <v>24262</v>
      </c>
      <c r="C24" s="290">
        <f>SUM(C20:C23)</f>
        <v>25355</v>
      </c>
      <c r="D24" s="20">
        <f t="shared" ref="D24:J24" si="11">SUM(D20:D23)</f>
        <v>26455</v>
      </c>
      <c r="E24" s="20">
        <f t="shared" si="11"/>
        <v>27555</v>
      </c>
      <c r="F24" s="20">
        <f t="shared" si="11"/>
        <v>28594.982403367307</v>
      </c>
      <c r="G24" s="20">
        <f t="shared" si="11"/>
        <v>29676.003068897906</v>
      </c>
      <c r="H24" s="20">
        <f t="shared" si="11"/>
        <v>30799.681388377594</v>
      </c>
      <c r="I24" s="20">
        <f t="shared" si="11"/>
        <v>31967.70065565862</v>
      </c>
      <c r="J24" s="20">
        <f t="shared" si="11"/>
        <v>33181.810588269422</v>
      </c>
      <c r="K24" s="17">
        <f>RATE(8,,-B24,J24)</f>
        <v>3.9912228531090867E-2</v>
      </c>
      <c r="L24" s="2"/>
      <c r="N24" s="193" t="str">
        <f t="shared" si="7"/>
        <v>Total Plant &amp; Equipment:</v>
      </c>
      <c r="O24" s="90">
        <f t="shared" si="8"/>
        <v>1.149530939069459</v>
      </c>
      <c r="P24" s="95">
        <f t="shared" ca="1" si="8"/>
        <v>1.1577770120908102</v>
      </c>
      <c r="Q24" s="18">
        <f t="shared" ca="1" si="8"/>
        <v>1.1649447406182596</v>
      </c>
      <c r="R24" s="18">
        <f t="shared" ca="1" si="8"/>
        <v>1.1981163479607635</v>
      </c>
      <c r="S24" s="18">
        <f t="shared" ca="1" si="8"/>
        <v>1.2005482782077856</v>
      </c>
      <c r="T24" s="18">
        <f t="shared" ca="1" si="8"/>
        <v>1.2029525639352527</v>
      </c>
      <c r="U24" s="18">
        <f t="shared" ca="1" si="8"/>
        <v>1.2057809159946531</v>
      </c>
      <c r="V24" s="18">
        <f t="shared" ca="1" si="8"/>
        <v>1.2085814581074112</v>
      </c>
      <c r="W24" s="18">
        <f t="shared" ca="1" si="8"/>
        <v>1.2113541676509711</v>
      </c>
      <c r="X24" s="18">
        <f ca="1">SUM(C24:J24)/SUM($C$38:$J$38)</f>
        <v>1.1949227457233975</v>
      </c>
      <c r="Y24" s="2"/>
    </row>
    <row r="25" spans="1:25" ht="7.5" customHeight="1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O25" s="90"/>
      <c r="P25" s="95"/>
      <c r="Q25" s="18"/>
      <c r="R25" s="18"/>
      <c r="S25" s="18"/>
      <c r="T25" s="18"/>
      <c r="U25" s="18"/>
      <c r="V25" s="18"/>
      <c r="W25" s="18"/>
      <c r="X25" s="18"/>
      <c r="Y25" s="2"/>
    </row>
    <row r="26" spans="1:25" ht="12.75" customHeight="1">
      <c r="A26" s="52" t="str">
        <f>Historical!A25</f>
        <v>Accumulated Depreciation &amp; Amort.</v>
      </c>
      <c r="B26" s="77">
        <f>Historical!M25</f>
        <v>6888</v>
      </c>
      <c r="C26" s="2">
        <f>C20*Assumptions!L27</f>
        <v>7216.6402081977876</v>
      </c>
      <c r="D26" s="2">
        <f>D20*Assumptions!K27</f>
        <v>7617.5333575383493</v>
      </c>
      <c r="E26" s="2">
        <f>E20*Assumptions!$C$27</f>
        <v>8531.3288020634391</v>
      </c>
      <c r="F26" s="2">
        <f>F20*Assumptions!$C$27</f>
        <v>8867.9796019680743</v>
      </c>
      <c r="G26" s="2">
        <f>G20*Assumptions!$C$27</f>
        <v>9217.9148225890949</v>
      </c>
      <c r="H26" s="2">
        <f>H20*Assumptions!$C$27</f>
        <v>9581.6586742768704</v>
      </c>
      <c r="I26" s="2">
        <f>I20*Assumptions!$C$27</f>
        <v>9959.7560530027149</v>
      </c>
      <c r="J26" s="2">
        <f>J20*Assumptions!$C$27</f>
        <v>10352.773356624564</v>
      </c>
      <c r="K26" s="5">
        <f>RATE(8,,-B26,J26)</f>
        <v>5.2253662428959971E-2</v>
      </c>
      <c r="L26" s="2"/>
      <c r="N26" s="52" t="str">
        <f>A26</f>
        <v>Accumulated Depreciation &amp; Amort.</v>
      </c>
      <c r="O26" s="90">
        <f t="shared" ref="O26:W26" si="12">B26/B$38</f>
        <v>0.32635269591585331</v>
      </c>
      <c r="P26" s="95">
        <f t="shared" ca="1" si="12"/>
        <v>0.32953106438894253</v>
      </c>
      <c r="Q26" s="18">
        <f t="shared" ca="1" si="12"/>
        <v>0.33543774036471186</v>
      </c>
      <c r="R26" s="18">
        <f t="shared" ca="1" si="12"/>
        <v>0.37094990047471327</v>
      </c>
      <c r="S26" s="18">
        <f t="shared" ca="1" si="12"/>
        <v>0.3723183841187056</v>
      </c>
      <c r="T26" s="18">
        <f t="shared" ca="1" si="12"/>
        <v>0.37365929111902235</v>
      </c>
      <c r="U26" s="18">
        <f t="shared" ca="1" si="12"/>
        <v>0.37511365872042435</v>
      </c>
      <c r="V26" s="18">
        <f t="shared" ca="1" si="12"/>
        <v>0.37654182959828952</v>
      </c>
      <c r="W26" s="18">
        <f t="shared" ca="1" si="12"/>
        <v>0.37794426916313617</v>
      </c>
      <c r="X26" s="18">
        <f ca="1">SUM(C26:J26)/SUM($C$38:$J$38)</f>
        <v>0.36497376617542815</v>
      </c>
      <c r="Y26" s="2"/>
    </row>
    <row r="27" spans="1:25" ht="7.5" customHeight="1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O27" s="90"/>
      <c r="P27" s="95"/>
      <c r="Q27" s="18"/>
      <c r="R27" s="18"/>
      <c r="S27" s="18"/>
      <c r="T27" s="18"/>
      <c r="U27" s="18"/>
      <c r="V27" s="18"/>
      <c r="W27" s="18"/>
      <c r="X27" s="18"/>
      <c r="Y27" s="2"/>
    </row>
    <row r="28" spans="1:25">
      <c r="A28" s="193" t="str">
        <f>Historical!A27</f>
        <v>Net Plant &amp; Equipment</v>
      </c>
      <c r="B28" s="268">
        <f>B24-B26</f>
        <v>17374</v>
      </c>
      <c r="C28" s="2">
        <f>C24-C26</f>
        <v>18138.359791802213</v>
      </c>
      <c r="D28" s="2">
        <f t="shared" ref="D28:J28" si="13">D24-D26</f>
        <v>18837.466642461652</v>
      </c>
      <c r="E28" s="2">
        <f t="shared" si="13"/>
        <v>19023.671197936561</v>
      </c>
      <c r="F28" s="2">
        <f t="shared" si="13"/>
        <v>19727.002801399234</v>
      </c>
      <c r="G28" s="2">
        <f t="shared" si="13"/>
        <v>20458.088246308813</v>
      </c>
      <c r="H28" s="2">
        <f t="shared" si="13"/>
        <v>21218.022714100724</v>
      </c>
      <c r="I28" s="2">
        <f t="shared" si="13"/>
        <v>22007.944602655905</v>
      </c>
      <c r="J28" s="2">
        <f t="shared" si="13"/>
        <v>22829.037231644856</v>
      </c>
      <c r="K28" s="5">
        <f>RATE(8,,-B28,J28)</f>
        <v>3.4721498132304303E-2</v>
      </c>
      <c r="L28" s="2"/>
      <c r="N28" s="193" t="str">
        <f>A28</f>
        <v>Net Plant &amp; Equipment</v>
      </c>
      <c r="O28" s="90">
        <f t="shared" ref="O28:W28" si="14">B28/B$38</f>
        <v>0.82317824315360566</v>
      </c>
      <c r="P28" s="95">
        <f t="shared" ca="1" si="14"/>
        <v>0.82824594770186777</v>
      </c>
      <c r="Q28" s="18">
        <f t="shared" ca="1" si="14"/>
        <v>0.82950700025354773</v>
      </c>
      <c r="R28" s="18">
        <f t="shared" ca="1" si="14"/>
        <v>0.82716644748605028</v>
      </c>
      <c r="S28" s="18">
        <f t="shared" ca="1" si="14"/>
        <v>0.82822989408908021</v>
      </c>
      <c r="T28" s="18">
        <f t="shared" ca="1" si="14"/>
        <v>0.82929327281623055</v>
      </c>
      <c r="U28" s="18">
        <f t="shared" ca="1" si="14"/>
        <v>0.83066725727422874</v>
      </c>
      <c r="V28" s="18">
        <f t="shared" ca="1" si="14"/>
        <v>0.83203962850912172</v>
      </c>
      <c r="W28" s="18">
        <f t="shared" ca="1" si="14"/>
        <v>0.83340989848783487</v>
      </c>
      <c r="X28" s="18">
        <f ca="1">SUM(C28:J28)/SUM($C$38:$J$38)</f>
        <v>0.82994897954796953</v>
      </c>
      <c r="Y28" s="2"/>
    </row>
    <row r="29" spans="1:25">
      <c r="A29" s="193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O29" s="90"/>
      <c r="P29" s="95"/>
      <c r="Q29" s="18"/>
      <c r="R29" s="18"/>
      <c r="S29" s="18"/>
      <c r="T29" s="18"/>
      <c r="U29" s="18"/>
      <c r="V29" s="18"/>
      <c r="W29" s="18"/>
      <c r="X29" s="18"/>
      <c r="Y29" s="2"/>
    </row>
    <row r="30" spans="1:25">
      <c r="A30" s="193" t="str">
        <f>Historical!A29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/>
      <c r="N30" s="193" t="str">
        <f>A30</f>
        <v>Other Assets:</v>
      </c>
      <c r="O30" s="90"/>
      <c r="P30" s="95"/>
      <c r="Q30" s="18"/>
      <c r="R30" s="18"/>
      <c r="S30" s="18"/>
      <c r="T30" s="18"/>
      <c r="U30" s="18"/>
      <c r="V30" s="18"/>
      <c r="W30" s="18"/>
      <c r="X30" s="18"/>
      <c r="Y30" s="2"/>
    </row>
    <row r="31" spans="1:25">
      <c r="A31" s="52" t="str">
        <f>Historical!A30</f>
        <v>Regulatory Assets</v>
      </c>
      <c r="B31" s="77">
        <f>Historical!M30</f>
        <v>1810</v>
      </c>
      <c r="C31" s="2">
        <v>1650</v>
      </c>
      <c r="D31" s="2">
        <f>(1+Assumptions!$C$31)*Forecast!C31</f>
        <v>1695.3750000000002</v>
      </c>
      <c r="E31" s="2">
        <f>(1+Assumptions!$C$31)*Forecast!D31</f>
        <v>1741.9978125000005</v>
      </c>
      <c r="F31" s="2">
        <f>(1+Assumptions!$C$31)*Forecast!E31</f>
        <v>1789.9027523437505</v>
      </c>
      <c r="G31" s="2">
        <f>(1+Assumptions!$C$31)*Forecast!F31</f>
        <v>1839.1250780332039</v>
      </c>
      <c r="H31" s="2">
        <f>(1+Assumptions!$C$31)*Forecast!G31</f>
        <v>1889.7010176791171</v>
      </c>
      <c r="I31" s="2">
        <f>(1+Assumptions!$C$31)*Forecast!H31</f>
        <v>1941.6677956652929</v>
      </c>
      <c r="J31" s="2">
        <f>(1+Assumptions!$C$31)*Forecast!I31</f>
        <v>1995.0636600460887</v>
      </c>
      <c r="K31" s="5">
        <f>RATE(8,,-B31,J31)</f>
        <v>1.2242978414749542E-2</v>
      </c>
      <c r="L31" s="2"/>
      <c r="N31" s="52" t="str">
        <f t="shared" ref="N31:N38" si="15">A31</f>
        <v>Regulatory Assets</v>
      </c>
      <c r="O31" s="90">
        <f t="shared" ref="O31:W38" si="16">B31/B$38</f>
        <v>8.57576044726618E-2</v>
      </c>
      <c r="P31" s="95">
        <f t="shared" ca="1" si="16"/>
        <v>7.5343406426733858E-2</v>
      </c>
      <c r="Q31" s="18">
        <f t="shared" ca="1" si="16"/>
        <v>7.4655762223613004E-2</v>
      </c>
      <c r="R31" s="18">
        <f t="shared" ca="1" si="16"/>
        <v>7.5743642071062947E-2</v>
      </c>
      <c r="S31" s="18">
        <f t="shared" ca="1" si="16"/>
        <v>7.514831228686536E-2</v>
      </c>
      <c r="T31" s="18">
        <f t="shared" ca="1" si="16"/>
        <v>7.4551152420399946E-2</v>
      </c>
      <c r="U31" s="18">
        <f t="shared" ca="1" si="16"/>
        <v>7.3980162175086059E-2</v>
      </c>
      <c r="V31" s="18">
        <f t="shared" ca="1" si="16"/>
        <v>7.3407334513124534E-2</v>
      </c>
      <c r="W31" s="18">
        <f t="shared" ca="1" si="16"/>
        <v>7.2832935770545393E-2</v>
      </c>
      <c r="X31" s="18">
        <f t="shared" ref="X31:X38" ca="1" si="17">SUM(C31:J31)/SUM($C$38:$J$38)</f>
        <v>7.4394968974049874E-2</v>
      </c>
      <c r="Y31" s="2"/>
    </row>
    <row r="32" spans="1:25" hidden="1">
      <c r="A32" s="52" t="str">
        <f>Historical!A31</f>
        <v>Intangible Assets-net</v>
      </c>
      <c r="B32" s="77">
        <f>Historical!M31</f>
        <v>0</v>
      </c>
      <c r="C32" s="2">
        <f t="shared" ref="C32:D34" si="18">B32</f>
        <v>0</v>
      </c>
      <c r="D32" s="2">
        <f t="shared" si="18"/>
        <v>0</v>
      </c>
      <c r="E32" s="2">
        <f t="shared" ref="E32:J32" si="19">D32</f>
        <v>0</v>
      </c>
      <c r="F32" s="2">
        <f t="shared" si="19"/>
        <v>0</v>
      </c>
      <c r="G32" s="2">
        <f t="shared" si="19"/>
        <v>0</v>
      </c>
      <c r="H32" s="2">
        <f t="shared" si="19"/>
        <v>0</v>
      </c>
      <c r="I32" s="2">
        <f t="shared" si="19"/>
        <v>0</v>
      </c>
      <c r="J32" s="2">
        <f t="shared" si="19"/>
        <v>0</v>
      </c>
      <c r="K32" s="5"/>
      <c r="L32" s="2"/>
      <c r="N32" s="52" t="str">
        <f t="shared" si="15"/>
        <v>Intangible Assets-net</v>
      </c>
      <c r="O32" s="90">
        <f t="shared" si="16"/>
        <v>0</v>
      </c>
      <c r="P32" s="95">
        <f t="shared" ca="1" si="16"/>
        <v>0</v>
      </c>
      <c r="Q32" s="18">
        <f t="shared" ca="1" si="16"/>
        <v>0</v>
      </c>
      <c r="R32" s="18">
        <f t="shared" ca="1" si="16"/>
        <v>0</v>
      </c>
      <c r="S32" s="18">
        <f t="shared" ca="1" si="16"/>
        <v>0</v>
      </c>
      <c r="T32" s="18">
        <f t="shared" ca="1" si="16"/>
        <v>0</v>
      </c>
      <c r="U32" s="18">
        <f t="shared" ca="1" si="16"/>
        <v>0</v>
      </c>
      <c r="V32" s="18">
        <f t="shared" ca="1" si="16"/>
        <v>0</v>
      </c>
      <c r="W32" s="18">
        <f t="shared" ca="1" si="16"/>
        <v>0</v>
      </c>
      <c r="X32" s="18">
        <f t="shared" ca="1" si="17"/>
        <v>0</v>
      </c>
      <c r="Y32" s="2"/>
    </row>
    <row r="33" spans="1:25">
      <c r="A33" s="52" t="str">
        <f>Historical!A32</f>
        <v>Financial Assets/Derivatives</v>
      </c>
      <c r="B33" s="77">
        <f>Historical!M32</f>
        <v>4</v>
      </c>
      <c r="C33" s="2">
        <f ca="1">Assumptions!$C$33*Forecast!C38</f>
        <v>34.658878937541388</v>
      </c>
      <c r="D33" s="2">
        <f ca="1">Assumptions!$C$33*Forecast!D38</f>
        <v>35.940015441900663</v>
      </c>
      <c r="E33" s="2">
        <f ca="1">Assumptions!$C$33*Forecast!E38</f>
        <v>36.397976464525101</v>
      </c>
      <c r="F33" s="2">
        <f ca="1">Assumptions!$C$33*Forecast!F38</f>
        <v>37.695197483825254</v>
      </c>
      <c r="G33" s="2">
        <f ca="1">Assumptions!$C$33*Forecast!G38</f>
        <v>39.042059924206065</v>
      </c>
      <c r="H33" s="2">
        <f ca="1">Assumptions!$C$33*Forecast!H38</f>
        <v>40.425335829136181</v>
      </c>
      <c r="I33" s="2">
        <f ca="1">Assumptions!$C$33*Forecast!I38</f>
        <v>41.861163135401732</v>
      </c>
      <c r="J33" s="2">
        <f ca="1">Assumptions!$C$33*Forecast!J38</f>
        <v>43.351563041263681</v>
      </c>
      <c r="K33" s="5">
        <f ca="1">RATE(8,,-B33,J33)</f>
        <v>0.34700155213990652</v>
      </c>
      <c r="L33" s="2"/>
      <c r="N33" s="52" t="str">
        <f t="shared" si="15"/>
        <v>Financial Assets/Derivatives</v>
      </c>
      <c r="O33" s="90">
        <f t="shared" si="16"/>
        <v>1.895195678953852E-4</v>
      </c>
      <c r="P33" s="95">
        <f t="shared" ca="1" si="16"/>
        <v>1.582616970961301E-3</v>
      </c>
      <c r="Q33" s="18">
        <f t="shared" ca="1" si="16"/>
        <v>1.5826169709613007E-3</v>
      </c>
      <c r="R33" s="18">
        <f t="shared" ca="1" si="16"/>
        <v>1.5826169709613005E-3</v>
      </c>
      <c r="S33" s="18">
        <f t="shared" ca="1" si="16"/>
        <v>1.5826169709613007E-3</v>
      </c>
      <c r="T33" s="18">
        <f t="shared" ca="1" si="16"/>
        <v>1.5826169709613007E-3</v>
      </c>
      <c r="U33" s="18">
        <f t="shared" ca="1" si="16"/>
        <v>1.5826169709613007E-3</v>
      </c>
      <c r="V33" s="18">
        <f t="shared" ca="1" si="16"/>
        <v>1.5826169709613007E-3</v>
      </c>
      <c r="W33" s="18">
        <f t="shared" ca="1" si="16"/>
        <v>1.5826169709613007E-3</v>
      </c>
      <c r="X33" s="18">
        <f t="shared" ca="1" si="17"/>
        <v>1.5826169709613003E-3</v>
      </c>
      <c r="Y33" s="2"/>
    </row>
    <row r="34" spans="1:25" hidden="1">
      <c r="A34" s="52" t="str">
        <f>Historical!A33</f>
        <v>Investments in Affiliates</v>
      </c>
      <c r="B34" s="77">
        <f>Historical!M33</f>
        <v>0</v>
      </c>
      <c r="C34" s="2">
        <f t="shared" si="18"/>
        <v>0</v>
      </c>
      <c r="D34" s="2">
        <f t="shared" si="18"/>
        <v>0</v>
      </c>
      <c r="E34" s="2">
        <f t="shared" ref="E34:J34" si="20">D34</f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5"/>
      <c r="L34" s="2"/>
      <c r="N34" s="52" t="str">
        <f t="shared" si="15"/>
        <v>Investments in Affiliates</v>
      </c>
      <c r="O34" s="90">
        <f t="shared" si="16"/>
        <v>0</v>
      </c>
      <c r="P34" s="95">
        <f t="shared" ca="1" si="16"/>
        <v>0</v>
      </c>
      <c r="Q34" s="18">
        <f t="shared" ca="1" si="16"/>
        <v>0</v>
      </c>
      <c r="R34" s="18">
        <f t="shared" ca="1" si="16"/>
        <v>0</v>
      </c>
      <c r="S34" s="18">
        <f t="shared" ca="1" si="16"/>
        <v>0</v>
      </c>
      <c r="T34" s="18">
        <f t="shared" ca="1" si="16"/>
        <v>0</v>
      </c>
      <c r="U34" s="18">
        <f t="shared" ca="1" si="16"/>
        <v>0</v>
      </c>
      <c r="V34" s="18">
        <f t="shared" ca="1" si="16"/>
        <v>0</v>
      </c>
      <c r="W34" s="18">
        <f t="shared" ca="1" si="16"/>
        <v>0</v>
      </c>
      <c r="X34" s="18">
        <f t="shared" ca="1" si="17"/>
        <v>0</v>
      </c>
      <c r="Y34" s="2"/>
    </row>
    <row r="35" spans="1:25">
      <c r="A35" s="52" t="str">
        <f>Historical!A34</f>
        <v>Deferred Charges and Other</v>
      </c>
      <c r="B35" s="77">
        <f>Historical!M34</f>
        <v>435</v>
      </c>
      <c r="C35" s="3">
        <f ca="1">Assumptions!$C$35*Forecast!C38</f>
        <v>388.91401049904886</v>
      </c>
      <c r="D35" s="3">
        <f ca="1">Assumptions!$C$35*Forecast!D38</f>
        <v>403.28989198110708</v>
      </c>
      <c r="E35" s="3">
        <f ca="1">Assumptions!$C$35*Forecast!E38</f>
        <v>408.42876154125889</v>
      </c>
      <c r="F35" s="3">
        <f ca="1">Assumptions!$C$35*Forecast!F38</f>
        <v>422.98513048870393</v>
      </c>
      <c r="G35" s="3">
        <f ca="1">Assumptions!$C$35*Forecast!G38</f>
        <v>438.09853546129409</v>
      </c>
      <c r="H35" s="3">
        <f ca="1">Assumptions!$C$35*Forecast!H38</f>
        <v>453.62054299023225</v>
      </c>
      <c r="I35" s="3">
        <f ca="1">Assumptions!$C$35*Forecast!I38</f>
        <v>469.73223999780407</v>
      </c>
      <c r="J35" s="3">
        <f ca="1">Assumptions!$C$35*Forecast!J38</f>
        <v>486.45630674216522</v>
      </c>
      <c r="K35" s="5">
        <f ca="1">RATE(8,,-B35,J35)</f>
        <v>1.4073240535128468E-2</v>
      </c>
      <c r="L35" s="2"/>
      <c r="N35" s="52" t="str">
        <f t="shared" si="15"/>
        <v>Deferred Charges and Other</v>
      </c>
      <c r="O35" s="90">
        <f t="shared" si="16"/>
        <v>2.0610253008623139E-2</v>
      </c>
      <c r="P35" s="95">
        <f t="shared" ca="1" si="16"/>
        <v>1.7758852338230834E-2</v>
      </c>
      <c r="Q35" s="18">
        <f t="shared" ca="1" si="16"/>
        <v>1.7758852338230834E-2</v>
      </c>
      <c r="R35" s="18">
        <f t="shared" ca="1" si="16"/>
        <v>1.7758852338230834E-2</v>
      </c>
      <c r="S35" s="18">
        <f t="shared" ca="1" si="16"/>
        <v>1.7758852338230834E-2</v>
      </c>
      <c r="T35" s="18">
        <f t="shared" ca="1" si="16"/>
        <v>1.7758852338230834E-2</v>
      </c>
      <c r="U35" s="18">
        <f t="shared" ca="1" si="16"/>
        <v>1.7758852338230834E-2</v>
      </c>
      <c r="V35" s="18">
        <f t="shared" ca="1" si="16"/>
        <v>1.7758852338230834E-2</v>
      </c>
      <c r="W35" s="18">
        <f t="shared" ca="1" si="16"/>
        <v>1.7758852338230834E-2</v>
      </c>
      <c r="X35" s="18">
        <f t="shared" ca="1" si="17"/>
        <v>1.7758852338230827E-2</v>
      </c>
      <c r="Y35" s="2"/>
    </row>
    <row r="36" spans="1:25">
      <c r="A36" s="193" t="str">
        <f>Historical!A35</f>
        <v>Total Other Assets</v>
      </c>
      <c r="B36" s="267">
        <f>SUM(B31:B35)</f>
        <v>2249</v>
      </c>
      <c r="C36" s="3">
        <f t="shared" ref="C36:J36" ca="1" si="21">SUM(C31:C35)</f>
        <v>2073.5728894365902</v>
      </c>
      <c r="D36" s="3">
        <f t="shared" ca="1" si="21"/>
        <v>2134.6049074230077</v>
      </c>
      <c r="E36" s="3">
        <f t="shared" ca="1" si="21"/>
        <v>2186.8245505057844</v>
      </c>
      <c r="F36" s="3">
        <f t="shared" ca="1" si="21"/>
        <v>2250.5830803162798</v>
      </c>
      <c r="G36" s="3">
        <f t="shared" ca="1" si="21"/>
        <v>2316.265673418704</v>
      </c>
      <c r="H36" s="3">
        <f t="shared" ca="1" si="21"/>
        <v>2383.7468964984855</v>
      </c>
      <c r="I36" s="3">
        <f t="shared" ca="1" si="21"/>
        <v>2453.2611987984988</v>
      </c>
      <c r="J36" s="3">
        <f t="shared" ca="1" si="21"/>
        <v>2524.8715298295174</v>
      </c>
      <c r="K36" s="17">
        <f ca="1">RATE(8,,-B36,J36)</f>
        <v>1.4568159812310816E-2</v>
      </c>
      <c r="L36" s="2"/>
      <c r="N36" s="193" t="str">
        <f t="shared" si="15"/>
        <v>Total Other Assets</v>
      </c>
      <c r="O36" s="91">
        <f t="shared" si="16"/>
        <v>0.10655737704918032</v>
      </c>
      <c r="P36" s="96">
        <f t="shared" ca="1" si="16"/>
        <v>9.4684875735925988E-2</v>
      </c>
      <c r="Q36" s="97">
        <f t="shared" ca="1" si="16"/>
        <v>9.3997231532805134E-2</v>
      </c>
      <c r="R36" s="97">
        <f t="shared" ca="1" si="16"/>
        <v>9.5085111380255077E-2</v>
      </c>
      <c r="S36" s="97">
        <f t="shared" ca="1" si="16"/>
        <v>9.4489781596057504E-2</v>
      </c>
      <c r="T36" s="97">
        <f t="shared" ca="1" si="16"/>
        <v>9.3892621729592077E-2</v>
      </c>
      <c r="U36" s="97">
        <f t="shared" ca="1" si="16"/>
        <v>9.3321631484278189E-2</v>
      </c>
      <c r="V36" s="97">
        <f t="shared" ca="1" si="16"/>
        <v>9.2748803822316664E-2</v>
      </c>
      <c r="W36" s="97">
        <f t="shared" ca="1" si="16"/>
        <v>9.2174405079737523E-2</v>
      </c>
      <c r="X36" s="97">
        <f t="shared" ca="1" si="17"/>
        <v>9.3736438283241991E-2</v>
      </c>
      <c r="Y36" s="2"/>
    </row>
    <row r="37" spans="1:25">
      <c r="A37" s="52" t="str">
        <f>Historical!A36</f>
        <v>Total Non-Current Assets</v>
      </c>
      <c r="B37" s="85">
        <f>B28+B36</f>
        <v>19623</v>
      </c>
      <c r="C37" s="3">
        <f ca="1">C28+C36</f>
        <v>20211.932681238803</v>
      </c>
      <c r="D37" s="3">
        <f t="shared" ref="D37:J37" ca="1" si="22">D28+D36</f>
        <v>20972.071549884658</v>
      </c>
      <c r="E37" s="3">
        <f t="shared" ca="1" si="22"/>
        <v>21210.495748442347</v>
      </c>
      <c r="F37" s="3">
        <f t="shared" ca="1" si="22"/>
        <v>21977.585881715513</v>
      </c>
      <c r="G37" s="3">
        <f t="shared" ca="1" si="22"/>
        <v>22774.353919727517</v>
      </c>
      <c r="H37" s="3">
        <f t="shared" ca="1" si="22"/>
        <v>23601.769610599207</v>
      </c>
      <c r="I37" s="3">
        <f t="shared" ca="1" si="22"/>
        <v>24461.205801454405</v>
      </c>
      <c r="J37" s="3">
        <f t="shared" ca="1" si="22"/>
        <v>25353.908761474373</v>
      </c>
      <c r="K37" s="17">
        <f ca="1">RATE(8,,-B37,J37)</f>
        <v>3.2547263182421293E-2</v>
      </c>
      <c r="L37" s="2"/>
      <c r="N37" s="52" t="str">
        <f t="shared" si="15"/>
        <v>Total Non-Current Assets</v>
      </c>
      <c r="O37" s="91">
        <f t="shared" si="16"/>
        <v>0.92973562020278588</v>
      </c>
      <c r="P37" s="93">
        <f t="shared" ca="1" si="16"/>
        <v>0.92293082343779376</v>
      </c>
      <c r="Q37" s="17">
        <f t="shared" ca="1" si="16"/>
        <v>0.92350423178635288</v>
      </c>
      <c r="R37" s="17">
        <f t="shared" ca="1" si="16"/>
        <v>0.9222515588663055</v>
      </c>
      <c r="S37" s="17">
        <f t="shared" ca="1" si="16"/>
        <v>0.92271967568513757</v>
      </c>
      <c r="T37" s="17">
        <f t="shared" ca="1" si="16"/>
        <v>0.92318589454582267</v>
      </c>
      <c r="U37" s="17">
        <f t="shared" ca="1" si="16"/>
        <v>0.92398888875850693</v>
      </c>
      <c r="V37" s="17">
        <f t="shared" ca="1" si="16"/>
        <v>0.92478843233143837</v>
      </c>
      <c r="W37" s="17">
        <f t="shared" ca="1" si="16"/>
        <v>0.92558430356757249</v>
      </c>
      <c r="X37" s="17">
        <f t="shared" ca="1" si="17"/>
        <v>0.92368541783121139</v>
      </c>
      <c r="Y37"/>
    </row>
    <row r="38" spans="1:25" ht="13.5" thickBot="1">
      <c r="A38" s="193" t="str">
        <f>Historical!A37</f>
        <v>Total Assets</v>
      </c>
      <c r="B38" s="267">
        <f t="shared" ref="B38:J38" si="23">B37+B17</f>
        <v>21106</v>
      </c>
      <c r="C38" s="270">
        <f t="shared" ca="1" si="23"/>
        <v>21899.726575337532</v>
      </c>
      <c r="D38" s="270">
        <f t="shared" ca="1" si="23"/>
        <v>22709.231672190563</v>
      </c>
      <c r="E38" s="270">
        <f t="shared" ca="1" si="23"/>
        <v>22998.601134939512</v>
      </c>
      <c r="F38" s="270">
        <f t="shared" ca="1" si="23"/>
        <v>23818.269471057632</v>
      </c>
      <c r="G38" s="270">
        <f t="shared" ca="1" si="23"/>
        <v>24669.304475163972</v>
      </c>
      <c r="H38" s="270">
        <f t="shared" ca="1" si="23"/>
        <v>25543.347866781274</v>
      </c>
      <c r="I38" s="270">
        <f t="shared" ca="1" si="23"/>
        <v>26450.596640559688</v>
      </c>
      <c r="J38" s="270">
        <f t="shared" ca="1" si="23"/>
        <v>27392.327920590549</v>
      </c>
      <c r="K38" s="201">
        <f ca="1">RATE(8,,-B38,J38)</f>
        <v>3.3125012177139375E-2</v>
      </c>
      <c r="L38" s="2"/>
      <c r="N38" s="193" t="str">
        <f t="shared" si="15"/>
        <v>Total Assets</v>
      </c>
      <c r="O38" s="91">
        <f t="shared" si="16"/>
        <v>1</v>
      </c>
      <c r="P38" s="93">
        <f t="shared" ca="1" si="16"/>
        <v>1</v>
      </c>
      <c r="Q38" s="17">
        <f t="shared" ca="1" si="16"/>
        <v>1</v>
      </c>
      <c r="R38" s="17">
        <f t="shared" ca="1" si="16"/>
        <v>1</v>
      </c>
      <c r="S38" s="17">
        <f t="shared" ca="1" si="16"/>
        <v>1</v>
      </c>
      <c r="T38" s="17">
        <f t="shared" ca="1" si="16"/>
        <v>1</v>
      </c>
      <c r="U38" s="17">
        <f t="shared" ca="1" si="16"/>
        <v>1</v>
      </c>
      <c r="V38" s="17">
        <f t="shared" ca="1" si="16"/>
        <v>1</v>
      </c>
      <c r="W38" s="17">
        <f t="shared" ca="1" si="16"/>
        <v>1</v>
      </c>
      <c r="X38" s="17">
        <f t="shared" ca="1" si="17"/>
        <v>1</v>
      </c>
      <c r="Y38" s="2"/>
    </row>
    <row r="39" spans="1:25" ht="13.5" thickTop="1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O39" s="92"/>
      <c r="P39" s="94"/>
      <c r="Q39" s="71"/>
      <c r="R39" s="71"/>
      <c r="S39" s="71"/>
      <c r="T39" s="71"/>
      <c r="U39" s="71"/>
      <c r="V39" s="71"/>
      <c r="W39" s="71"/>
      <c r="X39" s="71"/>
      <c r="Y39" s="2"/>
    </row>
    <row r="40" spans="1:25" ht="12.75" customHeight="1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O40" s="90"/>
      <c r="P40" s="18"/>
      <c r="Q40" s="18"/>
      <c r="R40" s="18"/>
      <c r="S40" s="18"/>
      <c r="T40" s="18"/>
      <c r="U40" s="18"/>
      <c r="V40" s="18"/>
      <c r="W40" s="18"/>
      <c r="X40" s="18"/>
      <c r="Y40" s="2"/>
    </row>
    <row r="41" spans="1:25" ht="12.75" customHeight="1">
      <c r="A41" s="193" t="str">
        <f>Historical!A40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/>
      <c r="N41" s="193" t="str">
        <f t="shared" ref="N41:N48" si="24">A41</f>
        <v>Current Liabilities:</v>
      </c>
      <c r="O41" s="90"/>
      <c r="P41" s="5"/>
      <c r="Q41" s="5"/>
      <c r="R41" s="5"/>
      <c r="S41" s="5"/>
      <c r="T41" s="5"/>
      <c r="U41" s="5"/>
      <c r="V41" s="5"/>
      <c r="W41" s="5"/>
      <c r="X41" s="5"/>
      <c r="Y41" s="2"/>
    </row>
    <row r="42" spans="1:25" ht="12.75" customHeight="1">
      <c r="A42" s="52" t="str">
        <f>Historical!A41</f>
        <v>Current Maturities LTD</v>
      </c>
      <c r="B42" s="77">
        <f>Historical!M41</f>
        <v>19</v>
      </c>
      <c r="C42" s="2">
        <f>Assumptions!$C$41*(Forecast!C50)</f>
        <v>272.158961374868</v>
      </c>
      <c r="D42" s="2">
        <f>Assumptions!$C$41*(Forecast!D50)</f>
        <v>260.16373866124098</v>
      </c>
      <c r="E42" s="2">
        <f>Assumptions!$C$41*(Forecast!E50)</f>
        <v>248.69719730068292</v>
      </c>
      <c r="F42" s="2">
        <f>Assumptions!$C$41*(Forecast!F50)</f>
        <v>237.73603601903199</v>
      </c>
      <c r="G42" s="2">
        <f>Assumptions!$C$41*(Forecast!G50)</f>
        <v>227.25798053007361</v>
      </c>
      <c r="H42" s="2">
        <f>Assumptions!$C$41*(Forecast!H50)</f>
        <v>217.24173827173919</v>
      </c>
      <c r="I42" s="2">
        <f>Assumptions!$C$41*(Forecast!I50)</f>
        <v>207.66695513727646</v>
      </c>
      <c r="J42" s="2">
        <f>Assumptions!$C$41*(Forecast!J50)</f>
        <v>198.51417411346392</v>
      </c>
      <c r="K42" s="5">
        <f t="shared" ref="K42:K48" si="25">RATE(8,,-B42,J42)</f>
        <v>0.34084859123098959</v>
      </c>
      <c r="L42" s="2"/>
      <c r="N42" s="52" t="str">
        <f t="shared" si="24"/>
        <v>Current Maturities LTD</v>
      </c>
      <c r="O42" s="90">
        <f t="shared" ref="O42:W48" si="26">B42/B$38</f>
        <v>9.0021794750307972E-4</v>
      </c>
      <c r="P42" s="95">
        <f t="shared" ca="1" si="26"/>
        <v>1.2427504993663296E-2</v>
      </c>
      <c r="Q42" s="18">
        <f t="shared" ca="1" si="26"/>
        <v>1.1456298584501834E-2</v>
      </c>
      <c r="R42" s="18">
        <f t="shared" ca="1" si="26"/>
        <v>1.0813579306041432E-2</v>
      </c>
      <c r="S42" s="18">
        <f t="shared" ca="1" si="26"/>
        <v>9.9812472231835692E-3</v>
      </c>
      <c r="T42" s="18">
        <f t="shared" ca="1" si="26"/>
        <v>9.2121762394585336E-3</v>
      </c>
      <c r="U42" s="18">
        <f t="shared" ca="1" si="26"/>
        <v>8.504826360457577E-3</v>
      </c>
      <c r="V42" s="18">
        <f t="shared" ca="1" si="26"/>
        <v>7.851125551505982E-3</v>
      </c>
      <c r="W42" s="18">
        <f t="shared" ca="1" si="26"/>
        <v>7.2470720520340561E-3</v>
      </c>
      <c r="X42" s="18">
        <f t="shared" ref="X42:X48" ca="1" si="27">SUM(C42:J42)/SUM($C$38:$J$38)</f>
        <v>9.5632460497847693E-3</v>
      </c>
      <c r="Y42" s="2"/>
    </row>
    <row r="43" spans="1:25" ht="12.75" customHeight="1">
      <c r="A43" s="52" t="str">
        <f>Historical!A42</f>
        <v>Short-term Debt</v>
      </c>
      <c r="B43" s="77">
        <f>Historical!M42</f>
        <v>688</v>
      </c>
      <c r="C43" s="2">
        <f>C105/2</f>
        <v>75</v>
      </c>
      <c r="D43" s="2">
        <f t="shared" ref="D43:J43" si="28">D105/2</f>
        <v>300</v>
      </c>
      <c r="E43" s="2">
        <f t="shared" si="28"/>
        <v>350</v>
      </c>
      <c r="F43" s="2">
        <f t="shared" si="28"/>
        <v>350</v>
      </c>
      <c r="G43" s="2">
        <f t="shared" si="28"/>
        <v>350</v>
      </c>
      <c r="H43" s="2">
        <f t="shared" si="28"/>
        <v>350</v>
      </c>
      <c r="I43" s="2">
        <f t="shared" si="28"/>
        <v>350</v>
      </c>
      <c r="J43" s="2">
        <f t="shared" si="28"/>
        <v>350</v>
      </c>
      <c r="K43" s="5"/>
      <c r="L43" s="2"/>
      <c r="N43" s="52" t="str">
        <f t="shared" si="24"/>
        <v>Short-term Debt</v>
      </c>
      <c r="O43" s="90">
        <f t="shared" si="26"/>
        <v>3.2597365678006252E-2</v>
      </c>
      <c r="P43" s="95">
        <f t="shared" ca="1" si="26"/>
        <v>3.4247002921242659E-3</v>
      </c>
      <c r="Q43" s="18">
        <f t="shared" ca="1" si="26"/>
        <v>1.3210486569097632E-2</v>
      </c>
      <c r="R43" s="18">
        <f t="shared" ca="1" si="26"/>
        <v>1.5218316885729168E-2</v>
      </c>
      <c r="S43" s="18">
        <f t="shared" ca="1" si="26"/>
        <v>1.4694602411199378E-2</v>
      </c>
      <c r="T43" s="18">
        <f t="shared" ca="1" si="26"/>
        <v>1.418767198533568E-2</v>
      </c>
      <c r="U43" s="18">
        <f t="shared" ca="1" si="26"/>
        <v>1.3702197606413587E-2</v>
      </c>
      <c r="V43" s="18">
        <f t="shared" ca="1" si="26"/>
        <v>1.3232215694647336E-2</v>
      </c>
      <c r="W43" s="18">
        <f t="shared" ca="1" si="26"/>
        <v>1.2777300308854303E-2</v>
      </c>
      <c r="X43" s="18">
        <f t="shared" ca="1" si="27"/>
        <v>1.2661050755289928E-2</v>
      </c>
      <c r="Y43" s="2"/>
    </row>
    <row r="44" spans="1:25" ht="12.75" customHeight="1">
      <c r="A44" s="52" t="str">
        <f>Historical!A43</f>
        <v>Accounts Payable</v>
      </c>
      <c r="B44" s="77">
        <f>Historical!M43</f>
        <v>582</v>
      </c>
      <c r="C44" s="2">
        <f>Assumptions!$C$43*Forecast!C80</f>
        <v>593.75899637594364</v>
      </c>
      <c r="D44" s="2">
        <f>Assumptions!$C$43*Forecast!D80</f>
        <v>616.75250047627583</v>
      </c>
      <c r="E44" s="2">
        <f>Assumptions!$C$43*Forecast!E80</f>
        <v>640.63643526319811</v>
      </c>
      <c r="F44" s="2">
        <f>Assumptions!$C$43*Forecast!F80</f>
        <v>665.44528294543147</v>
      </c>
      <c r="G44" s="2">
        <f>Assumptions!$C$43*Forecast!G80</f>
        <v>691.21486106608813</v>
      </c>
      <c r="H44" s="2">
        <f>Assumptions!$C$43*Forecast!H80</f>
        <v>710.22326974540567</v>
      </c>
      <c r="I44" s="2">
        <f>Assumptions!$C$43*Forecast!I80</f>
        <v>729.75440966340443</v>
      </c>
      <c r="J44" s="2">
        <f>Assumptions!$C$43*Forecast!J80</f>
        <v>749.82265592914803</v>
      </c>
      <c r="K44" s="5">
        <f t="shared" si="25"/>
        <v>3.217763997965125E-2</v>
      </c>
      <c r="L44" s="2"/>
      <c r="N44" s="52" t="str">
        <f t="shared" si="24"/>
        <v>Accounts Payable</v>
      </c>
      <c r="O44" s="90">
        <f t="shared" si="26"/>
        <v>2.7575097128778547E-2</v>
      </c>
      <c r="P44" s="95">
        <f t="shared" ca="1" si="26"/>
        <v>2.7112621444534735E-2</v>
      </c>
      <c r="Q44" s="18">
        <f t="shared" ca="1" si="26"/>
        <v>2.7158668746664078E-2</v>
      </c>
      <c r="R44" s="18">
        <f t="shared" ca="1" si="26"/>
        <v>2.7855452229655055E-2</v>
      </c>
      <c r="S44" s="18">
        <f t="shared" ca="1" si="26"/>
        <v>2.7938439597974825E-2</v>
      </c>
      <c r="T44" s="18">
        <f t="shared" ca="1" si="26"/>
        <v>2.8019227771985809E-2</v>
      </c>
      <c r="U44" s="18">
        <f t="shared" ca="1" si="26"/>
        <v>2.7804627390642083E-2</v>
      </c>
      <c r="V44" s="18">
        <f t="shared" ca="1" si="26"/>
        <v>2.7589336436532004E-2</v>
      </c>
      <c r="W44" s="18">
        <f t="shared" ca="1" si="26"/>
        <v>2.7373455009112736E-2</v>
      </c>
      <c r="X44" s="18">
        <f t="shared" ca="1" si="27"/>
        <v>2.7611876385752271E-2</v>
      </c>
      <c r="Y44" s="2"/>
    </row>
    <row r="45" spans="1:25">
      <c r="A45" s="52" t="str">
        <f>Historical!A44</f>
        <v>Accrued Expenses</v>
      </c>
      <c r="B45" s="77">
        <f>Historical!M44</f>
        <v>243</v>
      </c>
      <c r="C45" s="2">
        <f ca="1">Assumptions!$C$44*Forecast!C38</f>
        <v>281.60706073865305</v>
      </c>
      <c r="D45" s="2">
        <f ca="1">Assumptions!$C$44*Forecast!D38</f>
        <v>292.01643047181045</v>
      </c>
      <c r="E45" s="2">
        <f ca="1">Assumptions!$C$44*Forecast!E38</f>
        <v>295.73741226543808</v>
      </c>
      <c r="F45" s="2">
        <f ca="1">Assumptions!$C$44*Forecast!F38</f>
        <v>306.27747038537416</v>
      </c>
      <c r="G45" s="2">
        <f ca="1">Assumptions!$C$44*Forecast!G38</f>
        <v>317.22087030717887</v>
      </c>
      <c r="H45" s="2">
        <f ca="1">Assumptions!$C$44*Forecast!H38</f>
        <v>328.46013348357764</v>
      </c>
      <c r="I45" s="2">
        <f ca="1">Assumptions!$C$44*Forecast!I38</f>
        <v>340.1263823594976</v>
      </c>
      <c r="J45" s="2">
        <f ca="1">Assumptions!$C$44*Forecast!J38</f>
        <v>352.23603938479556</v>
      </c>
      <c r="K45" s="5">
        <f t="shared" ca="1" si="25"/>
        <v>4.7498571662599229E-2</v>
      </c>
      <c r="L45" s="2"/>
      <c r="N45" s="52" t="str">
        <f t="shared" si="24"/>
        <v>Accrued Expenses</v>
      </c>
      <c r="O45" s="90">
        <f t="shared" si="26"/>
        <v>1.1513313749644651E-2</v>
      </c>
      <c r="P45" s="95">
        <f t="shared" ca="1" si="26"/>
        <v>1.2858930442345614E-2</v>
      </c>
      <c r="Q45" s="18">
        <f t="shared" ca="1" si="26"/>
        <v>1.2858930442345616E-2</v>
      </c>
      <c r="R45" s="18">
        <f t="shared" ca="1" si="26"/>
        <v>1.2858930442345614E-2</v>
      </c>
      <c r="S45" s="18">
        <f t="shared" ca="1" si="26"/>
        <v>1.2858930442345614E-2</v>
      </c>
      <c r="T45" s="18">
        <f t="shared" ca="1" si="26"/>
        <v>1.2858930442345613E-2</v>
      </c>
      <c r="U45" s="18">
        <f t="shared" ca="1" si="26"/>
        <v>1.2858930442345614E-2</v>
      </c>
      <c r="V45" s="18">
        <f t="shared" ca="1" si="26"/>
        <v>1.2858930442345614E-2</v>
      </c>
      <c r="W45" s="18">
        <f t="shared" ca="1" si="26"/>
        <v>1.2858930442345614E-2</v>
      </c>
      <c r="X45" s="18">
        <f t="shared" ca="1" si="27"/>
        <v>1.2858930442345613E-2</v>
      </c>
      <c r="Y45" s="2"/>
    </row>
    <row r="46" spans="1:25">
      <c r="A46" s="52" t="str">
        <f>Historical!A45</f>
        <v>Derivative Contacts</v>
      </c>
      <c r="B46" s="77">
        <f>Historical!M45</f>
        <v>90</v>
      </c>
      <c r="C46" s="2">
        <f>Assumptions!$C$45*Forecast!C80</f>
        <v>106.91317908683521</v>
      </c>
      <c r="D46" s="2">
        <f>Assumptions!$C$45*Forecast!D80</f>
        <v>111.05342561230631</v>
      </c>
      <c r="E46" s="2">
        <f>Assumptions!$C$45*Forecast!E80</f>
        <v>115.3540044881769</v>
      </c>
      <c r="F46" s="2">
        <f>Assumptions!$C$45*Forecast!F80</f>
        <v>119.82112463520244</v>
      </c>
      <c r="G46" s="2">
        <f>Assumptions!$C$45*Forecast!G80</f>
        <v>124.46123541654971</v>
      </c>
      <c r="H46" s="2">
        <f>Assumptions!$C$45*Forecast!H80</f>
        <v>127.88391939050484</v>
      </c>
      <c r="I46" s="2">
        <f>Assumptions!$C$45*Forecast!I80</f>
        <v>131.40072717374375</v>
      </c>
      <c r="J46" s="2">
        <f>Assumptions!$C$45*Forecast!J80</f>
        <v>135.01424717102171</v>
      </c>
      <c r="K46" s="5">
        <f t="shared" si="25"/>
        <v>5.2003382535598421E-2</v>
      </c>
      <c r="L46" s="2"/>
      <c r="N46" s="52" t="str">
        <f t="shared" si="24"/>
        <v>Derivative Contacts</v>
      </c>
      <c r="O46" s="90">
        <f t="shared" si="26"/>
        <v>4.2641902776461666E-3</v>
      </c>
      <c r="P46" s="95">
        <f t="shared" ca="1" si="26"/>
        <v>4.8819412753415801E-3</v>
      </c>
      <c r="Q46" s="18">
        <f t="shared" ca="1" si="26"/>
        <v>4.8902326250121857E-3</v>
      </c>
      <c r="R46" s="18">
        <f t="shared" ca="1" si="26"/>
        <v>5.0156965552540025E-3</v>
      </c>
      <c r="S46" s="18">
        <f t="shared" ca="1" si="26"/>
        <v>5.0306393913630478E-3</v>
      </c>
      <c r="T46" s="18">
        <f t="shared" ca="1" si="26"/>
        <v>5.0451862370847183E-3</v>
      </c>
      <c r="U46" s="18">
        <f t="shared" ca="1" si="26"/>
        <v>5.0065449547753247E-3</v>
      </c>
      <c r="V46" s="18">
        <f t="shared" ca="1" si="26"/>
        <v>4.9677793268470992E-3</v>
      </c>
      <c r="W46" s="18">
        <f t="shared" ca="1" si="26"/>
        <v>4.9289073773657911E-3</v>
      </c>
      <c r="X46" s="18">
        <f t="shared" ca="1" si="27"/>
        <v>4.9718379055672599E-3</v>
      </c>
      <c r="Y46" s="2"/>
    </row>
    <row r="47" spans="1:25">
      <c r="A47" s="52" t="str">
        <f>Historical!A46</f>
        <v xml:space="preserve">Other </v>
      </c>
      <c r="B47" s="77">
        <f>Historical!M46</f>
        <v>192</v>
      </c>
      <c r="C47" s="3">
        <f ca="1">Assumptions!$C$46*Forecast!C38</f>
        <v>160.88084143889878</v>
      </c>
      <c r="D47" s="3">
        <f ca="1">Assumptions!$C$46*Forecast!D38</f>
        <v>166.82766733568675</v>
      </c>
      <c r="E47" s="3">
        <f ca="1">Assumptions!$C$46*Forecast!E38</f>
        <v>168.95344742219248</v>
      </c>
      <c r="F47" s="3">
        <f ca="1">Assumptions!$C$46*Forecast!F38</f>
        <v>174.97493500386898</v>
      </c>
      <c r="G47" s="3">
        <f ca="1">Assumptions!$C$46*Forecast!G38</f>
        <v>181.22684993456824</v>
      </c>
      <c r="H47" s="3">
        <f ca="1">Assumptions!$C$46*Forecast!H38</f>
        <v>187.64779020584345</v>
      </c>
      <c r="I47" s="3">
        <f ca="1">Assumptions!$C$46*Forecast!I38</f>
        <v>194.31266547804216</v>
      </c>
      <c r="J47" s="3">
        <f ca="1">Assumptions!$C$46*Forecast!J38</f>
        <v>201.23085782256743</v>
      </c>
      <c r="K47" s="5">
        <f t="shared" ca="1" si="25"/>
        <v>5.8869382319000395E-3</v>
      </c>
      <c r="L47" s="2"/>
      <c r="N47" s="52" t="str">
        <f t="shared" si="24"/>
        <v xml:space="preserve">Other </v>
      </c>
      <c r="O47" s="90">
        <f t="shared" si="26"/>
        <v>9.0969392589784898E-3</v>
      </c>
      <c r="P47" s="95">
        <f t="shared" ca="1" si="26"/>
        <v>7.3462488623065921E-3</v>
      </c>
      <c r="Q47" s="18">
        <f t="shared" ca="1" si="26"/>
        <v>7.3462488623065921E-3</v>
      </c>
      <c r="R47" s="18">
        <f t="shared" ca="1" si="26"/>
        <v>7.3462488623065921E-3</v>
      </c>
      <c r="S47" s="18">
        <f t="shared" ca="1" si="26"/>
        <v>7.3462488623065921E-3</v>
      </c>
      <c r="T47" s="18">
        <f t="shared" ca="1" si="26"/>
        <v>7.3462488623065912E-3</v>
      </c>
      <c r="U47" s="18">
        <f t="shared" ca="1" si="26"/>
        <v>7.3462488623065921E-3</v>
      </c>
      <c r="V47" s="18">
        <f t="shared" ca="1" si="26"/>
        <v>7.3462488623065912E-3</v>
      </c>
      <c r="W47" s="18">
        <f t="shared" ca="1" si="26"/>
        <v>7.3462488623065921E-3</v>
      </c>
      <c r="X47" s="18">
        <f t="shared" ca="1" si="27"/>
        <v>7.3462488623065921E-3</v>
      </c>
      <c r="Y47" s="2"/>
    </row>
    <row r="48" spans="1:25">
      <c r="A48" s="193" t="str">
        <f>Historical!A47</f>
        <v>Total Current Liabilities</v>
      </c>
      <c r="B48" s="267">
        <f>SUM(B42:B47)</f>
        <v>1814</v>
      </c>
      <c r="C48" s="193">
        <f t="shared" ref="C48:J48" ca="1" si="29">SUM(C41:C47)</f>
        <v>1490.3190390151988</v>
      </c>
      <c r="D48" s="193">
        <f t="shared" ca="1" si="29"/>
        <v>1746.8137625573204</v>
      </c>
      <c r="E48" s="193">
        <f t="shared" ca="1" si="29"/>
        <v>1819.3784967396887</v>
      </c>
      <c r="F48" s="193">
        <f t="shared" ca="1" si="29"/>
        <v>1854.2548489889093</v>
      </c>
      <c r="G48" s="193">
        <f t="shared" ca="1" si="29"/>
        <v>1891.3817972544584</v>
      </c>
      <c r="H48" s="193">
        <f t="shared" ca="1" si="29"/>
        <v>1921.456851097071</v>
      </c>
      <c r="I48" s="193">
        <f t="shared" ca="1" si="29"/>
        <v>1953.2611398119643</v>
      </c>
      <c r="J48" s="193">
        <f t="shared" ca="1" si="29"/>
        <v>1986.8179744209965</v>
      </c>
      <c r="K48" s="201">
        <f t="shared" ca="1" si="25"/>
        <v>1.1439941243901923E-2</v>
      </c>
      <c r="L48" s="2"/>
      <c r="N48" s="193" t="str">
        <f t="shared" si="24"/>
        <v>Total Current Liabilities</v>
      </c>
      <c r="O48" s="91">
        <f t="shared" si="26"/>
        <v>8.5947124040557182E-2</v>
      </c>
      <c r="P48" s="93">
        <f t="shared" ca="1" si="26"/>
        <v>6.8051947310316094E-2</v>
      </c>
      <c r="Q48" s="17">
        <f t="shared" ca="1" si="26"/>
        <v>7.6920865829927937E-2</v>
      </c>
      <c r="R48" s="17">
        <f t="shared" ca="1" si="26"/>
        <v>7.9108224281331879E-2</v>
      </c>
      <c r="S48" s="17">
        <f t="shared" ca="1" si="26"/>
        <v>7.7850107928373033E-2</v>
      </c>
      <c r="T48" s="17">
        <f t="shared" ca="1" si="26"/>
        <v>7.6669441538516944E-2</v>
      </c>
      <c r="U48" s="17">
        <f t="shared" ca="1" si="26"/>
        <v>7.5223375616940785E-2</v>
      </c>
      <c r="V48" s="17">
        <f t="shared" ca="1" si="26"/>
        <v>7.3845636314184629E-2</v>
      </c>
      <c r="W48" s="17">
        <f t="shared" ca="1" si="26"/>
        <v>7.2531914052019086E-2</v>
      </c>
      <c r="X48" s="17">
        <f t="shared" ca="1" si="27"/>
        <v>7.501319040104644E-2</v>
      </c>
      <c r="Y48" s="2"/>
    </row>
    <row r="49" spans="1:25">
      <c r="B49" s="77"/>
      <c r="C49" s="2"/>
      <c r="D49" s="2"/>
      <c r="E49" s="2"/>
      <c r="F49" s="2"/>
      <c r="G49" s="2"/>
      <c r="H49" s="2"/>
      <c r="I49" s="2"/>
      <c r="J49" s="2"/>
      <c r="K49" s="5"/>
      <c r="L49" s="2"/>
      <c r="O49" s="90"/>
      <c r="P49" s="95"/>
      <c r="Q49" s="18"/>
      <c r="R49" s="18"/>
      <c r="S49" s="18"/>
      <c r="T49" s="18"/>
      <c r="U49" s="18"/>
      <c r="V49" s="18"/>
      <c r="W49" s="18"/>
      <c r="X49" s="18"/>
      <c r="Y49" s="2"/>
    </row>
    <row r="50" spans="1:25">
      <c r="A50" s="193" t="str">
        <f>Historical!A49</f>
        <v>Long-Term Debt</v>
      </c>
      <c r="B50" s="77">
        <f>Historical!M49</f>
        <v>6194</v>
      </c>
      <c r="C50" s="2">
        <f t="shared" ref="C50:J50" si="30">B50-B42</f>
        <v>6175</v>
      </c>
      <c r="D50" s="2">
        <f t="shared" si="30"/>
        <v>5902.8410386251317</v>
      </c>
      <c r="E50" s="2">
        <f t="shared" si="30"/>
        <v>5642.6772999638906</v>
      </c>
      <c r="F50" s="2">
        <f t="shared" si="30"/>
        <v>5393.9801026632076</v>
      </c>
      <c r="G50" s="2">
        <f t="shared" si="30"/>
        <v>5156.2440666441753</v>
      </c>
      <c r="H50" s="2">
        <f t="shared" si="30"/>
        <v>4928.9860861141015</v>
      </c>
      <c r="I50" s="2">
        <f t="shared" si="30"/>
        <v>4711.744347842362</v>
      </c>
      <c r="J50" s="2">
        <f t="shared" si="30"/>
        <v>4504.0773927050859</v>
      </c>
      <c r="K50" s="5">
        <f>RATE(8,,-B50,J50)</f>
        <v>-3.9042168675112794E-2</v>
      </c>
      <c r="L50" s="2"/>
      <c r="N50" s="52" t="str">
        <f>A50</f>
        <v>Long-Term Debt</v>
      </c>
      <c r="O50" s="90">
        <f t="shared" ref="O50:W52" si="31">B50/B$38</f>
        <v>0.293471050886004</v>
      </c>
      <c r="P50" s="95">
        <f t="shared" ca="1" si="31"/>
        <v>0.28196699071823123</v>
      </c>
      <c r="Q50" s="18">
        <f t="shared" ca="1" si="31"/>
        <v>0.2599313408675854</v>
      </c>
      <c r="R50" s="18">
        <f t="shared" ca="1" si="31"/>
        <v>0.24534871781360329</v>
      </c>
      <c r="S50" s="18">
        <f t="shared" ca="1" si="31"/>
        <v>0.22646398006444637</v>
      </c>
      <c r="T50" s="18">
        <f t="shared" ca="1" si="31"/>
        <v>0.20901456998251683</v>
      </c>
      <c r="U50" s="18">
        <f t="shared" ca="1" si="31"/>
        <v>0.19296554671771005</v>
      </c>
      <c r="V50" s="18">
        <f t="shared" ca="1" si="31"/>
        <v>0.17813376431053021</v>
      </c>
      <c r="W50" s="18">
        <f t="shared" ca="1" si="31"/>
        <v>0.16442842703118396</v>
      </c>
      <c r="X50" s="18">
        <f ca="1">SUM(C50:J50)/SUM($C$38:$J$38)</f>
        <v>0.21697997397955268</v>
      </c>
      <c r="Y50" s="2"/>
    </row>
    <row r="51" spans="1:25">
      <c r="A51" s="52" t="str">
        <f>Historical!A50</f>
        <v>Deferred Income Taxes</v>
      </c>
      <c r="B51" s="77">
        <f>Historical!M50</f>
        <v>3863</v>
      </c>
      <c r="C51" s="2">
        <f>B51+Assumptions!$C$50</f>
        <v>4403.5</v>
      </c>
      <c r="D51" s="2">
        <f>C51+Assumptions!$C$50</f>
        <v>4944</v>
      </c>
      <c r="E51" s="2">
        <f>D51+Assumptions!$C$50</f>
        <v>5484.5</v>
      </c>
      <c r="F51" s="2">
        <f>E51+Assumptions!$C$50</f>
        <v>6025</v>
      </c>
      <c r="G51" s="2">
        <f>F51+Assumptions!$C$50/2</f>
        <v>6295.25</v>
      </c>
      <c r="H51" s="2">
        <f>G51+Assumptions!$C$50/2</f>
        <v>6565.5</v>
      </c>
      <c r="I51" s="2">
        <f>H51+Assumptions!$C$50</f>
        <v>7106</v>
      </c>
      <c r="J51" s="2">
        <f>I51+Assumptions!$C$50</f>
        <v>7646.5</v>
      </c>
      <c r="K51" s="5">
        <f>RATE(8,,-B51,J51)</f>
        <v>8.9098721170402212E-2</v>
      </c>
      <c r="L51" s="2"/>
      <c r="N51" s="52" t="str">
        <f>A51</f>
        <v>Deferred Income Taxes</v>
      </c>
      <c r="O51" s="90">
        <f t="shared" si="31"/>
        <v>0.18302852269496825</v>
      </c>
      <c r="P51" s="95">
        <f t="shared" ca="1" si="31"/>
        <v>0.20107556981825608</v>
      </c>
      <c r="Q51" s="18">
        <f t="shared" ca="1" si="31"/>
        <v>0.21770881865872899</v>
      </c>
      <c r="R51" s="18">
        <f t="shared" ca="1" si="31"/>
        <v>0.23847102559937608</v>
      </c>
      <c r="S51" s="18">
        <f t="shared" ca="1" si="31"/>
        <v>0.25295708436421788</v>
      </c>
      <c r="T51" s="18">
        <f t="shared" ca="1" si="31"/>
        <v>0.25518554875909838</v>
      </c>
      <c r="U51" s="18">
        <f t="shared" ca="1" si="31"/>
        <v>0.25703365252830973</v>
      </c>
      <c r="V51" s="18">
        <f t="shared" ca="1" si="31"/>
        <v>0.26865178493189706</v>
      </c>
      <c r="W51" s="18">
        <f t="shared" ca="1" si="31"/>
        <v>0.27914750517615555</v>
      </c>
      <c r="X51" s="18">
        <f ca="1">SUM(C51:J51)/SUM($C$38:$J$38)</f>
        <v>0.24795325065518853</v>
      </c>
      <c r="Y51" s="2"/>
    </row>
    <row r="52" spans="1:25">
      <c r="A52" s="52" t="str">
        <f>Historical!A51</f>
        <v>Derivative Contracts</v>
      </c>
      <c r="B52" s="77">
        <f>Historical!M51</f>
        <v>66</v>
      </c>
      <c r="C52" s="2">
        <f>Assumptions!$C$51*Forecast!C83</f>
        <v>67.649999999999991</v>
      </c>
      <c r="D52" s="2">
        <f>Assumptions!$C$51*Forecast!D83</f>
        <v>69.341249999999988</v>
      </c>
      <c r="E52" s="2">
        <f>Assumptions!$C$51*Forecast!E83</f>
        <v>71.074781249999987</v>
      </c>
      <c r="F52" s="2">
        <f>Assumptions!$C$51*Forecast!F83</f>
        <v>72.851650781249973</v>
      </c>
      <c r="G52" s="2">
        <f>Assumptions!$C$51*Forecast!G83</f>
        <v>74.672942050781216</v>
      </c>
      <c r="H52" s="2">
        <f>Assumptions!$C$51*Forecast!H83</f>
        <v>76.539765602050736</v>
      </c>
      <c r="I52" s="2">
        <f>Assumptions!$C$51*Forecast!I83</f>
        <v>78.453259742102006</v>
      </c>
      <c r="J52" s="2">
        <f>Assumptions!$C$51*Forecast!J83</f>
        <v>80.414591235654555</v>
      </c>
      <c r="K52" s="5">
        <f>RATE(8,,-B52,J52)</f>
        <v>2.5000000000011742E-2</v>
      </c>
      <c r="L52" s="2"/>
      <c r="N52" s="52" t="str">
        <f>A52</f>
        <v>Derivative Contracts</v>
      </c>
      <c r="O52" s="90">
        <f t="shared" si="31"/>
        <v>3.1270728702738559E-3</v>
      </c>
      <c r="P52" s="95">
        <f t="shared" ca="1" si="31"/>
        <v>3.0890796634960877E-3</v>
      </c>
      <c r="Q52" s="18">
        <f t="shared" ca="1" si="31"/>
        <v>3.0534388393648037E-3</v>
      </c>
      <c r="R52" s="18">
        <f t="shared" ca="1" si="31"/>
        <v>3.0903958389896622E-3</v>
      </c>
      <c r="S52" s="18">
        <f t="shared" ca="1" si="31"/>
        <v>3.0586458378000308E-3</v>
      </c>
      <c r="T52" s="18">
        <f t="shared" ca="1" si="31"/>
        <v>3.0269577371327522E-3</v>
      </c>
      <c r="U52" s="18">
        <f t="shared" ca="1" si="31"/>
        <v>2.9964656943653619E-3</v>
      </c>
      <c r="V52" s="18">
        <f t="shared" ca="1" si="31"/>
        <v>2.9660298710162463E-3</v>
      </c>
      <c r="W52" s="18">
        <f t="shared" ca="1" si="31"/>
        <v>2.9356610898049187E-3</v>
      </c>
      <c r="X52" s="18">
        <f ca="1">SUM(C52:J52)/SUM($C$38:$J$38)</f>
        <v>3.0232964530531674E-3</v>
      </c>
      <c r="Y52" s="2"/>
    </row>
    <row r="53" spans="1:25" ht="12.75" customHeight="1">
      <c r="A53" s="52" t="str">
        <f>Historical!A52</f>
        <v>Other Long-term Liabilities</v>
      </c>
      <c r="B53" s="77">
        <f>Historical!M52</f>
        <v>1857</v>
      </c>
      <c r="C53" s="2">
        <f>(Assumptions!$C$52+1)*Forecast!B53</f>
        <v>1938.7648404024033</v>
      </c>
      <c r="D53" s="2">
        <f>(Assumptions!$C$52+1)*Forecast!C53</f>
        <v>2024.1298365000303</v>
      </c>
      <c r="E53" s="2">
        <f>(Assumptions!$C$52+1)*Forecast!D53</f>
        <v>2113.2535053396468</v>
      </c>
      <c r="F53" s="2">
        <f>(Assumptions!$C$52+1)*Forecast!E53</f>
        <v>2206.3013435700805</v>
      </c>
      <c r="G53" s="2">
        <f>(Assumptions!$C$52+1)*Forecast!F53</f>
        <v>2303.4461347583497</v>
      </c>
      <c r="H53" s="2">
        <f>(Assumptions!$C$52+1)*Forecast!G53</f>
        <v>2404.8682702371052</v>
      </c>
      <c r="I53" s="2">
        <f>(Assumptions!$C$52+1)*Forecast!H53</f>
        <v>2510.7560840791843</v>
      </c>
      <c r="J53" s="2">
        <f>(Assumptions!$C$52+1)*Forecast!I53</f>
        <v>2621.3062028212939</v>
      </c>
      <c r="K53" s="5">
        <f>RATE(8,,-B53,J53)</f>
        <v>4.4030608725042199E-2</v>
      </c>
      <c r="L53" s="2"/>
      <c r="O53" s="90"/>
      <c r="P53" s="95"/>
      <c r="Q53" s="18"/>
      <c r="R53" s="18"/>
      <c r="S53" s="18"/>
      <c r="T53" s="18"/>
      <c r="U53" s="18"/>
      <c r="V53" s="18"/>
      <c r="W53" s="18"/>
      <c r="X53" s="18"/>
      <c r="Y53" s="2"/>
    </row>
    <row r="54" spans="1:25" ht="12.75" customHeight="1">
      <c r="A54" s="87" t="s">
        <v>141</v>
      </c>
      <c r="B54" s="77">
        <v>0</v>
      </c>
      <c r="C54" s="3">
        <f ca="1">C68</f>
        <v>104.18796131541426</v>
      </c>
      <c r="D54" s="3">
        <f t="shared" ref="D54:J54" ca="1" si="32">D68</f>
        <v>350.32575055990264</v>
      </c>
      <c r="E54" s="3">
        <f t="shared" ca="1" si="32"/>
        <v>302.78458491463181</v>
      </c>
      <c r="F54" s="3">
        <f t="shared" ca="1" si="32"/>
        <v>717.69232385319776</v>
      </c>
      <c r="G54" s="3">
        <f t="shared" ca="1" si="32"/>
        <v>1344.1973317960815</v>
      </c>
      <c r="H54" s="3">
        <f t="shared" ca="1" si="32"/>
        <v>2018.9781137112993</v>
      </c>
      <c r="I54" s="3">
        <f t="shared" ca="1" si="32"/>
        <v>2437.3873392555024</v>
      </c>
      <c r="J54" s="3">
        <f t="shared" ca="1" si="32"/>
        <v>2867.5374448488742</v>
      </c>
      <c r="K54" s="5"/>
      <c r="L54" s="2"/>
      <c r="N54" s="52" t="str">
        <f>A54</f>
        <v>Additonal Loans</v>
      </c>
      <c r="O54" s="90">
        <f t="shared" ref="O54:W55" si="33">B54/B$38</f>
        <v>0</v>
      </c>
      <c r="P54" s="95">
        <f t="shared" ca="1" si="33"/>
        <v>4.7575005540364127E-3</v>
      </c>
      <c r="Q54" s="18">
        <f t="shared" ca="1" si="33"/>
        <v>1.5426578741935471E-2</v>
      </c>
      <c r="R54" s="18">
        <f t="shared" ca="1" si="33"/>
        <v>1.3165347889556681E-2</v>
      </c>
      <c r="S54" s="18">
        <f t="shared" ca="1" si="33"/>
        <v>3.0132009578835668E-2</v>
      </c>
      <c r="T54" s="18">
        <f t="shared" ca="1" si="33"/>
        <v>5.4488659505960671E-2</v>
      </c>
      <c r="U54" s="18">
        <f t="shared" ca="1" si="33"/>
        <v>7.9041248791703961E-2</v>
      </c>
      <c r="V54" s="18">
        <f t="shared" ca="1" si="33"/>
        <v>9.2148671441232483E-2</v>
      </c>
      <c r="W54" s="18">
        <f t="shared" ca="1" si="33"/>
        <v>0.10468396308491086</v>
      </c>
      <c r="X54" s="18">
        <f ca="1">SUM(C54:J54)/SUM($C$38:$J$38)</f>
        <v>5.1887752755795644E-2</v>
      </c>
      <c r="Y54" s="2"/>
    </row>
    <row r="55" spans="1:25" ht="12.75" customHeight="1">
      <c r="A55" s="193" t="str">
        <f>Historical!A53</f>
        <v>Total LTD &amp; Deferrals</v>
      </c>
      <c r="B55" s="267">
        <f t="shared" ref="B55:J55" si="34">SUM(B50:B54)</f>
        <v>11980</v>
      </c>
      <c r="C55" s="193">
        <f t="shared" ca="1" si="34"/>
        <v>12689.102801717818</v>
      </c>
      <c r="D55" s="193">
        <f t="shared" ca="1" si="34"/>
        <v>13290.637875685065</v>
      </c>
      <c r="E55" s="193">
        <f t="shared" ca="1" si="34"/>
        <v>13614.290171468168</v>
      </c>
      <c r="F55" s="193">
        <f t="shared" ca="1" si="34"/>
        <v>14415.825420867737</v>
      </c>
      <c r="G55" s="193">
        <f t="shared" ca="1" si="34"/>
        <v>15173.810475249389</v>
      </c>
      <c r="H55" s="193">
        <f t="shared" ca="1" si="34"/>
        <v>15994.872235664556</v>
      </c>
      <c r="I55" s="193">
        <f t="shared" ca="1" si="34"/>
        <v>16844.341030919153</v>
      </c>
      <c r="J55" s="193">
        <f t="shared" ca="1" si="34"/>
        <v>17719.835631610909</v>
      </c>
      <c r="K55" s="201">
        <f ca="1">RATE(8,,-B55,J55)</f>
        <v>5.0147635551175455E-2</v>
      </c>
      <c r="L55" s="2"/>
      <c r="N55" s="52" t="str">
        <f>A55</f>
        <v>Total LTD &amp; Deferrals</v>
      </c>
      <c r="O55" s="91">
        <f t="shared" si="33"/>
        <v>0.56761110584667862</v>
      </c>
      <c r="P55" s="93">
        <f t="shared" ca="1" si="33"/>
        <v>0.57941832095783807</v>
      </c>
      <c r="Q55" s="17">
        <f t="shared" ca="1" si="33"/>
        <v>0.58525264383825948</v>
      </c>
      <c r="R55" s="17">
        <f t="shared" ca="1" si="33"/>
        <v>0.59196166286763052</v>
      </c>
      <c r="S55" s="17">
        <f t="shared" ca="1" si="33"/>
        <v>0.60524235139689231</v>
      </c>
      <c r="T55" s="17">
        <f t="shared" ca="1" si="33"/>
        <v>0.61508870225853951</v>
      </c>
      <c r="U55" s="17">
        <f t="shared" ca="1" si="33"/>
        <v>0.62618542874975436</v>
      </c>
      <c r="V55" s="17">
        <f t="shared" ca="1" si="33"/>
        <v>0.63682272501520143</v>
      </c>
      <c r="W55" s="17">
        <f t="shared" ca="1" si="33"/>
        <v>0.64689046082465596</v>
      </c>
      <c r="X55" s="17">
        <f ca="1">SUM(C55:J55)/SUM($C$38:$J$38)</f>
        <v>0.61255296983215624</v>
      </c>
      <c r="Y55" s="2"/>
    </row>
    <row r="56" spans="1:25" ht="12.75" customHeight="1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O56" s="90"/>
      <c r="P56" s="95"/>
      <c r="Q56" s="18"/>
      <c r="R56" s="18"/>
      <c r="S56" s="18"/>
      <c r="T56" s="18"/>
      <c r="U56" s="18"/>
      <c r="V56" s="18"/>
      <c r="W56" s="18"/>
      <c r="X56" s="18"/>
      <c r="Y56" s="2"/>
    </row>
    <row r="57" spans="1:25" ht="12.75" customHeight="1">
      <c r="A57" s="52" t="str">
        <f>Historical!A55</f>
        <v>Total Liabilities</v>
      </c>
      <c r="B57" s="77">
        <f t="shared" ref="B57:J57" si="35">B48+B55</f>
        <v>13794</v>
      </c>
      <c r="C57" s="2">
        <f t="shared" ca="1" si="35"/>
        <v>14179.421840733017</v>
      </c>
      <c r="D57" s="2">
        <f t="shared" ca="1" si="35"/>
        <v>15037.451638242384</v>
      </c>
      <c r="E57" s="2">
        <f t="shared" ca="1" si="35"/>
        <v>15433.668668207858</v>
      </c>
      <c r="F57" s="2">
        <f t="shared" ca="1" si="35"/>
        <v>16270.080269856646</v>
      </c>
      <c r="G57" s="2">
        <f t="shared" ca="1" si="35"/>
        <v>17065.192272503846</v>
      </c>
      <c r="H57" s="2">
        <f t="shared" ca="1" si="35"/>
        <v>17916.329086761627</v>
      </c>
      <c r="I57" s="2">
        <f t="shared" ca="1" si="35"/>
        <v>18797.602170731116</v>
      </c>
      <c r="J57" s="2">
        <f t="shared" ca="1" si="35"/>
        <v>19706.653606031905</v>
      </c>
      <c r="K57" s="5">
        <f ca="1">RATE(8,,-B57,J57)</f>
        <v>4.5599417547037273E-2</v>
      </c>
      <c r="L57" s="2"/>
      <c r="N57" s="52" t="str">
        <f>A57</f>
        <v>Total Liabilities</v>
      </c>
      <c r="O57" s="90">
        <f t="shared" ref="O57:W57" si="36">B57/B$38</f>
        <v>0.65355822988723589</v>
      </c>
      <c r="P57" s="95">
        <f t="shared" ca="1" si="36"/>
        <v>0.64747026826815413</v>
      </c>
      <c r="Q57" s="18">
        <f t="shared" ca="1" si="36"/>
        <v>0.66217350966818733</v>
      </c>
      <c r="R57" s="18">
        <f t="shared" ca="1" si="36"/>
        <v>0.67106988714896243</v>
      </c>
      <c r="S57" s="18">
        <f t="shared" ca="1" si="36"/>
        <v>0.68309245932526541</v>
      </c>
      <c r="T57" s="18">
        <f t="shared" ca="1" si="36"/>
        <v>0.69175814379705636</v>
      </c>
      <c r="U57" s="18">
        <f t="shared" ca="1" si="36"/>
        <v>0.70140880436669517</v>
      </c>
      <c r="V57" s="18">
        <f t="shared" ca="1" si="36"/>
        <v>0.71066836132938593</v>
      </c>
      <c r="W57" s="18">
        <f t="shared" ca="1" si="36"/>
        <v>0.71942237487667493</v>
      </c>
      <c r="X57" s="18">
        <f ca="1">SUM(C57:J57)/SUM($C$38:$J$38)</f>
        <v>0.68756616023320261</v>
      </c>
      <c r="Y57" s="2"/>
    </row>
    <row r="58" spans="1:25" ht="12.75" customHeight="1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O58" s="90"/>
      <c r="P58" s="95"/>
      <c r="Q58" s="18"/>
      <c r="R58" s="18"/>
      <c r="S58" s="18"/>
      <c r="T58" s="18"/>
      <c r="U58" s="18"/>
      <c r="V58" s="18"/>
      <c r="W58" s="18"/>
      <c r="X58" s="18"/>
      <c r="Y58" s="2"/>
    </row>
    <row r="59" spans="1:25" ht="12.75" customHeight="1">
      <c r="A59" s="52" t="str">
        <f>Historical!A57</f>
        <v>Preferred Stock</v>
      </c>
      <c r="B59" s="77">
        <f>Historical!M57</f>
        <v>41</v>
      </c>
      <c r="C59" s="2">
        <f>B59</f>
        <v>41</v>
      </c>
      <c r="D59" s="2">
        <f t="shared" ref="D59:J59" si="37">C59</f>
        <v>41</v>
      </c>
      <c r="E59" s="2">
        <f t="shared" si="37"/>
        <v>41</v>
      </c>
      <c r="F59" s="2">
        <f t="shared" si="37"/>
        <v>41</v>
      </c>
      <c r="G59" s="2">
        <f t="shared" si="37"/>
        <v>41</v>
      </c>
      <c r="H59" s="2">
        <f t="shared" si="37"/>
        <v>41</v>
      </c>
      <c r="I59" s="2">
        <f t="shared" si="37"/>
        <v>41</v>
      </c>
      <c r="J59" s="2">
        <f t="shared" si="37"/>
        <v>41</v>
      </c>
      <c r="K59" s="5">
        <f>RATE(8,,-B59,J59)</f>
        <v>3.1897447140414575E-12</v>
      </c>
      <c r="L59" s="2"/>
      <c r="N59" s="52" t="str">
        <f>A59</f>
        <v>Preferred Stock</v>
      </c>
      <c r="O59" s="90">
        <f t="shared" ref="O59:W59" si="38">B59/B$38</f>
        <v>1.9425755709276983E-3</v>
      </c>
      <c r="P59" s="95">
        <f t="shared" ca="1" si="38"/>
        <v>1.8721694930279322E-3</v>
      </c>
      <c r="Q59" s="18">
        <f t="shared" ca="1" si="38"/>
        <v>1.8054331644433432E-3</v>
      </c>
      <c r="R59" s="18">
        <f t="shared" ca="1" si="38"/>
        <v>1.7827171208997026E-3</v>
      </c>
      <c r="S59" s="18">
        <f t="shared" ca="1" si="38"/>
        <v>1.7213677110262129E-3</v>
      </c>
      <c r="T59" s="18">
        <f t="shared" ca="1" si="38"/>
        <v>1.6619844325678939E-3</v>
      </c>
      <c r="U59" s="18">
        <f t="shared" ca="1" si="38"/>
        <v>1.6051145767513059E-3</v>
      </c>
      <c r="V59" s="18">
        <f t="shared" ca="1" si="38"/>
        <v>1.5500595528015451E-3</v>
      </c>
      <c r="W59" s="18">
        <f t="shared" ca="1" si="38"/>
        <v>1.4967694647515042E-3</v>
      </c>
      <c r="X59" s="18">
        <f ca="1">SUM(C59:J59)/SUM($C$38:$J$38)</f>
        <v>1.6779089485798369E-3</v>
      </c>
      <c r="Y59" s="2"/>
    </row>
    <row r="60" spans="1:25" ht="12.75" customHeight="1">
      <c r="B60" s="77"/>
      <c r="C60" s="2"/>
      <c r="D60" s="2"/>
      <c r="E60" s="2"/>
      <c r="F60" s="2"/>
      <c r="G60" s="2"/>
      <c r="H60" s="2"/>
      <c r="I60" s="2"/>
      <c r="J60" s="2"/>
      <c r="K60" s="5"/>
      <c r="L60" s="2"/>
      <c r="O60" s="90"/>
      <c r="P60" s="95"/>
      <c r="Q60" s="18"/>
      <c r="R60" s="18"/>
      <c r="S60" s="18"/>
      <c r="T60" s="18"/>
      <c r="U60" s="18"/>
      <c r="V60" s="18"/>
      <c r="W60" s="18"/>
      <c r="X60" s="18"/>
      <c r="Y60" s="2"/>
    </row>
    <row r="61" spans="1:25" ht="12.75" customHeight="1">
      <c r="A61" s="193" t="str">
        <f>Historical!A59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/>
      <c r="N61" s="193" t="str">
        <f>A61</f>
        <v>Common Equity:</v>
      </c>
      <c r="O61" s="90"/>
      <c r="P61" s="95"/>
      <c r="Q61" s="18"/>
      <c r="R61" s="18"/>
      <c r="S61" s="18"/>
      <c r="T61" s="18"/>
      <c r="U61" s="18"/>
      <c r="V61" s="18"/>
      <c r="W61" s="18"/>
      <c r="X61" s="18"/>
      <c r="Y61" s="2"/>
    </row>
    <row r="62" spans="1:25" ht="12.75" customHeight="1">
      <c r="A62" s="52" t="str">
        <f>Historical!A60</f>
        <v>Common Stock</v>
      </c>
      <c r="B62" s="77">
        <f>Historical!M60</f>
        <v>4479</v>
      </c>
      <c r="C62" s="2">
        <f>B62</f>
        <v>4479</v>
      </c>
      <c r="D62" s="2">
        <f t="shared" ref="D62:J62" si="39">C62</f>
        <v>4479</v>
      </c>
      <c r="E62" s="2">
        <f t="shared" si="39"/>
        <v>4479</v>
      </c>
      <c r="F62" s="2">
        <f t="shared" si="39"/>
        <v>4479</v>
      </c>
      <c r="G62" s="2">
        <f t="shared" si="39"/>
        <v>4479</v>
      </c>
      <c r="H62" s="2">
        <f t="shared" si="39"/>
        <v>4479</v>
      </c>
      <c r="I62" s="2">
        <f t="shared" si="39"/>
        <v>4479</v>
      </c>
      <c r="J62" s="2">
        <f t="shared" si="39"/>
        <v>4479</v>
      </c>
      <c r="K62" s="5">
        <f>RATE(8,,-B62,J62)</f>
        <v>-9.5574488083283431E-17</v>
      </c>
      <c r="L62" s="2"/>
      <c r="N62" s="52" t="str">
        <f>A62</f>
        <v>Common Stock</v>
      </c>
      <c r="O62" s="90">
        <f t="shared" ref="O62:W65" si="40">B62/B$38</f>
        <v>0.21221453615085759</v>
      </c>
      <c r="P62" s="95">
        <f t="shared" ca="1" si="40"/>
        <v>0.20452310144566116</v>
      </c>
      <c r="Q62" s="18">
        <f t="shared" ca="1" si="40"/>
        <v>0.19723256447662765</v>
      </c>
      <c r="R62" s="18">
        <f t="shared" ca="1" si="40"/>
        <v>0.19475097523194557</v>
      </c>
      <c r="S62" s="18">
        <f t="shared" ca="1" si="40"/>
        <v>0.18804892628503431</v>
      </c>
      <c r="T62" s="18">
        <f t="shared" ca="1" si="40"/>
        <v>0.18156166520662431</v>
      </c>
      <c r="U62" s="18">
        <f t="shared" ca="1" si="40"/>
        <v>0.17534898022607559</v>
      </c>
      <c r="V62" s="18">
        <f t="shared" ca="1" si="40"/>
        <v>0.16933455456092977</v>
      </c>
      <c r="W62" s="18">
        <f t="shared" ca="1" si="40"/>
        <v>0.16351293738102407</v>
      </c>
      <c r="X62" s="18">
        <f ca="1">SUM(C62:J62)/SUM($C$38:$J$38)</f>
        <v>0.18330132148022169</v>
      </c>
      <c r="Y62" s="2"/>
    </row>
    <row r="63" spans="1:25" ht="12.75" customHeight="1">
      <c r="A63" s="52" t="str">
        <f>Historical!A61</f>
        <v>Retained Earnings</v>
      </c>
      <c r="B63" s="77">
        <f>Historical!M61</f>
        <v>2792</v>
      </c>
      <c r="C63" s="3">
        <f t="shared" ref="C63:J63" ca="1" si="41">B63+(IF(C102&gt;C104,(C102-C104-C105),C102))</f>
        <v>3200.2839734668951</v>
      </c>
      <c r="D63" s="3">
        <f t="shared" ca="1" si="41"/>
        <v>3151.766282024998</v>
      </c>
      <c r="E63" s="3">
        <f t="shared" ca="1" si="41"/>
        <v>3044.9029093146023</v>
      </c>
      <c r="F63" s="3">
        <f t="shared" ca="1" si="41"/>
        <v>3028.138317221028</v>
      </c>
      <c r="G63" s="3">
        <f t="shared" ca="1" si="41"/>
        <v>3084.0395793062862</v>
      </c>
      <c r="H63" s="3">
        <f t="shared" ca="1" si="41"/>
        <v>3106.9266892658661</v>
      </c>
      <c r="I63" s="3">
        <f t="shared" ca="1" si="41"/>
        <v>3132.8862148495409</v>
      </c>
      <c r="J63" s="3">
        <f t="shared" ca="1" si="41"/>
        <v>3165.5551887722336</v>
      </c>
      <c r="K63" s="5">
        <f ca="1">RATE(8,,-B63,J63)</f>
        <v>1.5820117524895521E-2</v>
      </c>
      <c r="L63" s="2"/>
      <c r="N63" s="52" t="str">
        <f>A63</f>
        <v>Retained Earnings</v>
      </c>
      <c r="O63" s="90">
        <f t="shared" si="40"/>
        <v>0.13228465839097886</v>
      </c>
      <c r="P63" s="95">
        <f t="shared" ca="1" si="40"/>
        <v>0.14613351278416911</v>
      </c>
      <c r="Q63" s="18">
        <f t="shared" ca="1" si="40"/>
        <v>0.13878788712542006</v>
      </c>
      <c r="R63" s="18">
        <f t="shared" ca="1" si="40"/>
        <v>0.13239513531493796</v>
      </c>
      <c r="S63" s="18">
        <f t="shared" ca="1" si="40"/>
        <v>0.1271351103362324</v>
      </c>
      <c r="T63" s="18">
        <f t="shared" ca="1" si="40"/>
        <v>0.12501526268854352</v>
      </c>
      <c r="U63" s="18">
        <f t="shared" ca="1" si="40"/>
        <v>0.12163349555703212</v>
      </c>
      <c r="V63" s="18">
        <f t="shared" ca="1" si="40"/>
        <v>0.11844293183336109</v>
      </c>
      <c r="W63" s="18">
        <f t="shared" ca="1" si="40"/>
        <v>0.11556356940341372</v>
      </c>
      <c r="X63" s="103">
        <f ca="1">SUM(C63:J63)/SUM($C$38:$J$38)</f>
        <v>0.12745201548857607</v>
      </c>
      <c r="Y63" s="2"/>
    </row>
    <row r="64" spans="1:25" ht="12.75" customHeight="1">
      <c r="A64" s="193" t="str">
        <f>Historical!A62</f>
        <v>Total Common Equity</v>
      </c>
      <c r="B64" s="269">
        <f>SUM(B62:B63)</f>
        <v>7271</v>
      </c>
      <c r="C64" s="196">
        <f t="shared" ref="C64:J64" ca="1" si="42">SUM(C61:C63)</f>
        <v>7679.2839734668951</v>
      </c>
      <c r="D64" s="196">
        <f t="shared" ca="1" si="42"/>
        <v>7630.766282024998</v>
      </c>
      <c r="E64" s="196">
        <f t="shared" ca="1" si="42"/>
        <v>7523.9029093146019</v>
      </c>
      <c r="F64" s="196">
        <f t="shared" ca="1" si="42"/>
        <v>7507.138317221028</v>
      </c>
      <c r="G64" s="196">
        <f t="shared" ca="1" si="42"/>
        <v>7563.0395793062862</v>
      </c>
      <c r="H64" s="196">
        <f t="shared" ca="1" si="42"/>
        <v>7585.9266892658661</v>
      </c>
      <c r="I64" s="196">
        <f t="shared" ca="1" si="42"/>
        <v>7611.8862148495409</v>
      </c>
      <c r="J64" s="196">
        <f t="shared" ca="1" si="42"/>
        <v>7644.555188772234</v>
      </c>
      <c r="K64" s="201">
        <f ca="1">RATE(8,,-B64,J64)</f>
        <v>6.2821279038662789E-3</v>
      </c>
      <c r="L64" s="2"/>
      <c r="N64" s="193" t="str">
        <f>A64</f>
        <v>Total Common Equity</v>
      </c>
      <c r="O64" s="274">
        <f t="shared" si="40"/>
        <v>0.34449919454183642</v>
      </c>
      <c r="P64" s="275">
        <f t="shared" ca="1" si="40"/>
        <v>0.3506566142298303</v>
      </c>
      <c r="Q64" s="201">
        <f t="shared" ca="1" si="40"/>
        <v>0.33602045160204769</v>
      </c>
      <c r="R64" s="201">
        <f t="shared" ca="1" si="40"/>
        <v>0.32714611054688347</v>
      </c>
      <c r="S64" s="201">
        <f t="shared" ca="1" si="40"/>
        <v>0.31518403662126671</v>
      </c>
      <c r="T64" s="201">
        <f t="shared" ca="1" si="40"/>
        <v>0.30657692789516783</v>
      </c>
      <c r="U64" s="201">
        <f t="shared" ca="1" si="40"/>
        <v>0.29698247578310771</v>
      </c>
      <c r="V64" s="201">
        <f t="shared" ca="1" si="40"/>
        <v>0.28777748639429085</v>
      </c>
      <c r="W64" s="201">
        <f t="shared" ca="1" si="40"/>
        <v>0.27907650678443785</v>
      </c>
      <c r="X64" s="201">
        <f ca="1">SUM(C64:J64)/SUM($C$38:$J$38)</f>
        <v>0.3107533369687977</v>
      </c>
      <c r="Y64" s="2"/>
    </row>
    <row r="65" spans="1:25" ht="12.75" customHeight="1" thickBot="1">
      <c r="A65" s="193" t="str">
        <f>Historical!A63</f>
        <v>Total Liabilities &amp; Equity</v>
      </c>
      <c r="B65" s="267">
        <f t="shared" ref="B65:J65" si="43">B57+B59+B64</f>
        <v>21106</v>
      </c>
      <c r="C65" s="270">
        <f t="shared" ca="1" si="43"/>
        <v>21899.705814199911</v>
      </c>
      <c r="D65" s="270">
        <f t="shared" ca="1" si="43"/>
        <v>22709.217920267383</v>
      </c>
      <c r="E65" s="270">
        <f t="shared" ca="1" si="43"/>
        <v>22998.57157752246</v>
      </c>
      <c r="F65" s="270">
        <f t="shared" ca="1" si="43"/>
        <v>23818.218587077674</v>
      </c>
      <c r="G65" s="270">
        <f t="shared" ca="1" si="43"/>
        <v>24669.231851810131</v>
      </c>
      <c r="H65" s="270">
        <f t="shared" ca="1" si="43"/>
        <v>25543.255776027494</v>
      </c>
      <c r="I65" s="270">
        <f t="shared" ca="1" si="43"/>
        <v>26450.488385580655</v>
      </c>
      <c r="J65" s="270">
        <f t="shared" ca="1" si="43"/>
        <v>27392.208794804137</v>
      </c>
      <c r="K65" s="201">
        <f ca="1">RATE(8,,-B65,J65)</f>
        <v>3.3124450559740164E-2</v>
      </c>
      <c r="L65" s="2"/>
      <c r="N65" s="193" t="str">
        <f>A65</f>
        <v>Total Liabilities &amp; Equity</v>
      </c>
      <c r="O65" s="274">
        <f t="shared" si="40"/>
        <v>1</v>
      </c>
      <c r="P65" s="275">
        <f t="shared" ca="1" si="40"/>
        <v>0.99999905199101236</v>
      </c>
      <c r="Q65" s="201">
        <f t="shared" ca="1" si="40"/>
        <v>0.99999939443467845</v>
      </c>
      <c r="R65" s="201">
        <f t="shared" ca="1" si="40"/>
        <v>0.99999871481674563</v>
      </c>
      <c r="S65" s="201">
        <f t="shared" ca="1" si="40"/>
        <v>0.99999786365755827</v>
      </c>
      <c r="T65" s="201">
        <f t="shared" ca="1" si="40"/>
        <v>0.99999705612479206</v>
      </c>
      <c r="U65" s="201">
        <f t="shared" ca="1" si="40"/>
        <v>0.99999639472655422</v>
      </c>
      <c r="V65" s="201">
        <f t="shared" ca="1" si="40"/>
        <v>0.99999590727647836</v>
      </c>
      <c r="W65" s="201">
        <f t="shared" ca="1" si="40"/>
        <v>0.99999565112586419</v>
      </c>
      <c r="X65" s="201">
        <f ca="1">SUM(C65:J65)/SUM($C$38:$J$38)</f>
        <v>0.9999974061505803</v>
      </c>
      <c r="Y65" s="2"/>
    </row>
    <row r="66" spans="1:25" ht="12.75" customHeight="1" thickTop="1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O66" s="71"/>
      <c r="P66" s="129"/>
      <c r="Q66" s="129"/>
      <c r="R66" s="129"/>
      <c r="S66" s="129"/>
      <c r="T66" s="129"/>
      <c r="U66" s="129"/>
      <c r="V66" s="129"/>
      <c r="W66" s="129"/>
      <c r="X66" s="71"/>
      <c r="Y66" s="2"/>
    </row>
    <row r="67" spans="1:25" ht="12.75" customHeight="1">
      <c r="B67" s="77"/>
      <c r="C67" s="2">
        <f t="shared" ref="C67:J67" ca="1" si="44">IF(C38&lt;C65,(((C65-C38)*0.1)+C13),0)</f>
        <v>0</v>
      </c>
      <c r="D67" s="2">
        <f t="shared" ca="1" si="44"/>
        <v>0</v>
      </c>
      <c r="E67" s="2">
        <f t="shared" ca="1" si="44"/>
        <v>0</v>
      </c>
      <c r="F67" s="2">
        <f t="shared" ca="1" si="44"/>
        <v>0</v>
      </c>
      <c r="G67" s="2">
        <f t="shared" ca="1" si="44"/>
        <v>0</v>
      </c>
      <c r="H67" s="2">
        <f t="shared" ca="1" si="44"/>
        <v>0</v>
      </c>
      <c r="I67" s="2">
        <f t="shared" ca="1" si="44"/>
        <v>0</v>
      </c>
      <c r="J67" s="2">
        <f t="shared" ca="1" si="44"/>
        <v>0</v>
      </c>
      <c r="K67" s="5"/>
      <c r="L67" s="2"/>
    </row>
    <row r="68" spans="1:25" ht="12.75" customHeight="1">
      <c r="A68" s="111"/>
      <c r="B68" s="77"/>
      <c r="C68" s="2">
        <f t="shared" ref="C68:J68" ca="1" si="45">IF(C38&gt;C65,(((C38-C65)*0.1)+C54),0)</f>
        <v>104.19003742917634</v>
      </c>
      <c r="D68" s="2">
        <f t="shared" ca="1" si="45"/>
        <v>350.32712575222058</v>
      </c>
      <c r="E68" s="2">
        <f t="shared" ca="1" si="45"/>
        <v>302.78754065633706</v>
      </c>
      <c r="F68" s="2">
        <f t="shared" ca="1" si="45"/>
        <v>717.69741225119367</v>
      </c>
      <c r="G68" s="2">
        <f t="shared" ca="1" si="45"/>
        <v>1344.2045941314655</v>
      </c>
      <c r="H68" s="2">
        <f t="shared" ca="1" si="45"/>
        <v>2018.9873227866774</v>
      </c>
      <c r="I68" s="2">
        <f t="shared" ca="1" si="45"/>
        <v>2437.3981647534056</v>
      </c>
      <c r="J68" s="2">
        <f t="shared" ca="1" si="45"/>
        <v>2867.5493574275156</v>
      </c>
      <c r="K68" s="5"/>
      <c r="L68" s="2"/>
    </row>
    <row r="69" spans="1:25" ht="12.75" customHeight="1">
      <c r="A69" s="111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5" ht="12.75" customHeight="1">
      <c r="A70" s="111"/>
      <c r="B70" s="19"/>
      <c r="C70" s="2"/>
      <c r="D70" s="2"/>
      <c r="E70" s="2"/>
      <c r="F70" s="2"/>
      <c r="G70" s="2"/>
      <c r="H70" s="2"/>
      <c r="I70" s="2"/>
      <c r="J70" s="2"/>
      <c r="K70" s="283" t="s">
        <v>218</v>
      </c>
      <c r="L70" s="2"/>
      <c r="X70" s="283" t="s">
        <v>218</v>
      </c>
    </row>
    <row r="71" spans="1:25" ht="12.75" customHeight="1">
      <c r="A71" s="111"/>
      <c r="B71" s="19"/>
      <c r="C71" s="2"/>
      <c r="D71" s="2"/>
      <c r="E71" s="2"/>
      <c r="F71" s="2"/>
      <c r="G71" s="2"/>
      <c r="H71" s="2"/>
      <c r="I71" s="2"/>
      <c r="J71" s="2"/>
      <c r="K71" s="284" t="s">
        <v>212</v>
      </c>
      <c r="L71" s="2"/>
      <c r="O71"/>
      <c r="P71"/>
      <c r="Q71"/>
      <c r="R71"/>
      <c r="S71"/>
      <c r="T71"/>
      <c r="U71"/>
      <c r="V71"/>
      <c r="W71"/>
      <c r="X71" s="284" t="s">
        <v>215</v>
      </c>
      <c r="Y71"/>
    </row>
    <row r="72" spans="1:25" ht="12.75" customHeight="1">
      <c r="A72" s="105" t="str">
        <f>A4</f>
        <v>PacifiCorp</v>
      </c>
      <c r="B72" s="107"/>
      <c r="C72" s="10"/>
      <c r="D72" s="10"/>
      <c r="E72" s="12"/>
      <c r="F72" s="12"/>
      <c r="G72" s="12"/>
      <c r="H72" s="12"/>
      <c r="I72" s="12"/>
      <c r="J72" s="12"/>
      <c r="K72" s="13"/>
      <c r="L72" s="2"/>
      <c r="N72" s="105" t="str">
        <f>A72</f>
        <v>PacifiCorp</v>
      </c>
      <c r="O72" s="109"/>
      <c r="P72" s="12"/>
      <c r="Q72" s="12"/>
      <c r="R72" s="12"/>
      <c r="S72" s="12"/>
      <c r="T72" s="12"/>
      <c r="U72" s="12"/>
      <c r="V72" s="12"/>
      <c r="W72" s="12"/>
      <c r="X72" s="13"/>
      <c r="Y72" s="2"/>
    </row>
    <row r="73" spans="1:25" ht="12.75" customHeight="1">
      <c r="A73" s="107" t="s">
        <v>152</v>
      </c>
      <c r="B73" s="107"/>
      <c r="C73" s="10"/>
      <c r="D73" s="10"/>
      <c r="E73" s="12"/>
      <c r="F73" s="12"/>
      <c r="G73" s="12"/>
      <c r="H73" s="12"/>
      <c r="I73" s="12"/>
      <c r="J73" s="12"/>
      <c r="K73" s="13"/>
      <c r="L73" s="2"/>
      <c r="N73" s="107" t="s">
        <v>196</v>
      </c>
      <c r="O73" s="109"/>
      <c r="P73" s="10"/>
      <c r="Q73" s="12"/>
      <c r="R73" s="12"/>
      <c r="S73" s="12"/>
      <c r="T73" s="12"/>
      <c r="U73" s="12"/>
      <c r="V73" s="12"/>
      <c r="W73" s="12"/>
      <c r="X73" s="13"/>
      <c r="Y73" s="2"/>
    </row>
    <row r="74" spans="1:25" ht="12.75" customHeight="1">
      <c r="A74" s="136">
        <f ca="1">A6</f>
        <v>41169.592767361108</v>
      </c>
      <c r="B74" s="107"/>
      <c r="C74" s="12"/>
      <c r="D74" s="12"/>
      <c r="E74" s="12"/>
      <c r="F74" s="12"/>
      <c r="G74" s="12"/>
      <c r="H74" s="12"/>
      <c r="I74" s="12"/>
      <c r="J74" s="12"/>
      <c r="K74" s="13"/>
      <c r="L74" s="2"/>
      <c r="N74" s="107"/>
      <c r="O74" s="109"/>
      <c r="P74" s="10"/>
      <c r="Q74" s="12"/>
      <c r="R74" s="12"/>
      <c r="S74" s="12"/>
      <c r="T74" s="12"/>
      <c r="U74" s="12"/>
      <c r="V74" s="12"/>
      <c r="W74" s="12"/>
      <c r="X74" s="13"/>
      <c r="Y74" s="2"/>
    </row>
    <row r="75" spans="1:25" ht="12.75" customHeight="1">
      <c r="A75" s="104"/>
      <c r="B75" s="104"/>
      <c r="C75" s="2"/>
      <c r="D75" s="2"/>
      <c r="E75" s="2"/>
      <c r="F75" s="2"/>
      <c r="G75" s="2"/>
      <c r="H75" s="2"/>
      <c r="I75" s="2"/>
      <c r="J75" s="2"/>
      <c r="K75" s="5"/>
      <c r="L75" s="2"/>
      <c r="N75" s="104"/>
      <c r="O75" s="108"/>
      <c r="P75" s="2"/>
      <c r="Q75" s="2"/>
      <c r="R75" s="2"/>
      <c r="S75" s="2"/>
      <c r="T75" s="2"/>
      <c r="U75" s="2"/>
      <c r="V75" s="2"/>
      <c r="W75" s="2"/>
      <c r="X75" s="5"/>
      <c r="Y75" s="2"/>
    </row>
    <row r="76" spans="1:25" ht="12.75" customHeight="1">
      <c r="B76" s="74" t="s">
        <v>124</v>
      </c>
      <c r="C76" s="14" t="s">
        <v>125</v>
      </c>
      <c r="D76" s="14" t="s">
        <v>125</v>
      </c>
      <c r="E76" s="14" t="s">
        <v>125</v>
      </c>
      <c r="F76" s="14" t="s">
        <v>125</v>
      </c>
      <c r="G76" s="14" t="s">
        <v>125</v>
      </c>
      <c r="H76" s="14" t="s">
        <v>125</v>
      </c>
      <c r="I76" s="14" t="s">
        <v>125</v>
      </c>
      <c r="J76" s="14" t="s">
        <v>125</v>
      </c>
      <c r="K76" s="15" t="s">
        <v>4</v>
      </c>
      <c r="L76" s="2"/>
      <c r="O76" s="74" t="str">
        <f>B8</f>
        <v>Historical</v>
      </c>
      <c r="P76" s="14" t="s">
        <v>125</v>
      </c>
      <c r="Q76" s="14" t="s">
        <v>125</v>
      </c>
      <c r="R76" s="14" t="s">
        <v>125</v>
      </c>
      <c r="S76" s="14" t="s">
        <v>125</v>
      </c>
      <c r="T76" s="14" t="s">
        <v>125</v>
      </c>
      <c r="U76" s="14" t="s">
        <v>125</v>
      </c>
      <c r="V76" s="14" t="s">
        <v>125</v>
      </c>
      <c r="W76" s="14" t="s">
        <v>125</v>
      </c>
      <c r="X76" s="15"/>
      <c r="Y76" s="2"/>
    </row>
    <row r="77" spans="1:25" ht="12.75" customHeight="1">
      <c r="B77" s="88">
        <f>B9</f>
        <v>2011</v>
      </c>
      <c r="C77" s="4">
        <f>C9</f>
        <v>2012</v>
      </c>
      <c r="D77" s="4">
        <f t="shared" ref="D77:J77" si="46">D9</f>
        <v>2013</v>
      </c>
      <c r="E77" s="4">
        <f t="shared" si="46"/>
        <v>2014</v>
      </c>
      <c r="F77" s="4">
        <f t="shared" si="46"/>
        <v>2015</v>
      </c>
      <c r="G77" s="4">
        <f t="shared" si="46"/>
        <v>2016</v>
      </c>
      <c r="H77" s="4">
        <f t="shared" si="46"/>
        <v>2017</v>
      </c>
      <c r="I77" s="4">
        <f t="shared" si="46"/>
        <v>2018</v>
      </c>
      <c r="J77" s="4">
        <f t="shared" si="46"/>
        <v>2019</v>
      </c>
      <c r="K77" s="16" t="s">
        <v>23</v>
      </c>
      <c r="L77" s="2"/>
      <c r="O77" s="98">
        <f>B9</f>
        <v>2011</v>
      </c>
      <c r="P77" s="4">
        <f t="shared" ref="P77:W77" si="47">C9</f>
        <v>2012</v>
      </c>
      <c r="Q77" s="4">
        <f t="shared" si="47"/>
        <v>2013</v>
      </c>
      <c r="R77" s="4">
        <f t="shared" si="47"/>
        <v>2014</v>
      </c>
      <c r="S77" s="4">
        <f t="shared" si="47"/>
        <v>2015</v>
      </c>
      <c r="T77" s="4">
        <f t="shared" si="47"/>
        <v>2016</v>
      </c>
      <c r="U77" s="4">
        <f t="shared" si="47"/>
        <v>2017</v>
      </c>
      <c r="V77" s="4">
        <f t="shared" si="47"/>
        <v>2018</v>
      </c>
      <c r="W77" s="4">
        <f t="shared" si="47"/>
        <v>2019</v>
      </c>
      <c r="X77" s="16" t="s">
        <v>3</v>
      </c>
      <c r="Y77" s="2"/>
    </row>
    <row r="78" spans="1:25" ht="12.75" customHeight="1">
      <c r="A78" s="193" t="str">
        <f>Historical!A74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N78" s="52" t="str">
        <f>A78</f>
        <v>Operating Sales and Revenues:</v>
      </c>
      <c r="O78" s="91"/>
      <c r="P78" s="5"/>
      <c r="Q78" s="5"/>
      <c r="R78" s="5"/>
      <c r="S78" s="5"/>
      <c r="T78" s="5"/>
      <c r="U78" s="5"/>
      <c r="V78" s="5"/>
      <c r="W78" s="5"/>
      <c r="X78" s="5"/>
      <c r="Y78" s="2"/>
    </row>
    <row r="79" spans="1:25" ht="12.75" customHeight="1">
      <c r="A79" s="52" t="str">
        <f>Historical!A75</f>
        <v>Revenues</v>
      </c>
      <c r="B79" s="77">
        <f>Historical!M75</f>
        <v>4586</v>
      </c>
      <c r="C79" s="2">
        <f>Historical!N75*2</f>
        <v>4688</v>
      </c>
      <c r="D79" s="2">
        <f>(1+Assumptions!$C$64)*Forecast!C79</f>
        <v>4869.5442761798713</v>
      </c>
      <c r="E79" s="2">
        <f>(1+Assumptions!$C$64)*Forecast!D79</f>
        <v>5058.1189116203386</v>
      </c>
      <c r="F79" s="2">
        <f>(1+Assumptions!$C$64)*Forecast!E79</f>
        <v>5253.9961591975216</v>
      </c>
      <c r="G79" s="2">
        <f>(1+Assumptions!$C$64)*Forecast!F79</f>
        <v>5457.4588148658959</v>
      </c>
      <c r="H79" s="2">
        <f>(1+0.0275)*Forecast!G79</f>
        <v>5607.5389322747087</v>
      </c>
      <c r="I79" s="2">
        <f>(1+0.0275)*Forecast!H79</f>
        <v>5761.746252912264</v>
      </c>
      <c r="J79" s="2">
        <f>(1+0.0275)*Forecast!I79</f>
        <v>5920.1942748673519</v>
      </c>
      <c r="K79" s="5">
        <f>RATE(8,,-B79,J79)</f>
        <v>3.2435046667697393E-2</v>
      </c>
      <c r="L79" s="2"/>
      <c r="N79" s="52" t="str">
        <f t="shared" ref="N79:N105" si="48">A79</f>
        <v>Revenues</v>
      </c>
      <c r="O79" s="90">
        <f t="shared" ref="O79:W80" si="49">B79/B$80</f>
        <v>1</v>
      </c>
      <c r="P79" s="95">
        <f t="shared" si="49"/>
        <v>1</v>
      </c>
      <c r="Q79" s="18">
        <f t="shared" si="49"/>
        <v>1</v>
      </c>
      <c r="R79" s="18">
        <f t="shared" si="49"/>
        <v>1</v>
      </c>
      <c r="S79" s="18">
        <f t="shared" si="49"/>
        <v>1</v>
      </c>
      <c r="T79" s="18">
        <f t="shared" si="49"/>
        <v>1</v>
      </c>
      <c r="U79" s="18">
        <f t="shared" si="49"/>
        <v>1</v>
      </c>
      <c r="V79" s="18">
        <f t="shared" si="49"/>
        <v>1</v>
      </c>
      <c r="W79" s="18">
        <f t="shared" si="49"/>
        <v>1</v>
      </c>
      <c r="X79" s="18">
        <f>SUM(C79:J79)/SUM(C$80:J$80)</f>
        <v>1</v>
      </c>
      <c r="Y79" s="2"/>
    </row>
    <row r="80" spans="1:25" ht="12.75" customHeight="1">
      <c r="A80" s="193" t="str">
        <f>Historical!A76</f>
        <v>Total Revenues</v>
      </c>
      <c r="B80" s="267">
        <f>B79</f>
        <v>4586</v>
      </c>
      <c r="C80" s="219">
        <f t="shared" ref="C80:J80" si="50">SUM(C78:C79)</f>
        <v>4688</v>
      </c>
      <c r="D80" s="219">
        <f t="shared" si="50"/>
        <v>4869.5442761798713</v>
      </c>
      <c r="E80" s="219">
        <f t="shared" si="50"/>
        <v>5058.1189116203386</v>
      </c>
      <c r="F80" s="219">
        <f t="shared" si="50"/>
        <v>5253.9961591975216</v>
      </c>
      <c r="G80" s="219">
        <f t="shared" si="50"/>
        <v>5457.4588148658959</v>
      </c>
      <c r="H80" s="219">
        <f t="shared" si="50"/>
        <v>5607.5389322747087</v>
      </c>
      <c r="I80" s="219">
        <f t="shared" si="50"/>
        <v>5761.746252912264</v>
      </c>
      <c r="J80" s="219">
        <f t="shared" si="50"/>
        <v>5920.1942748673519</v>
      </c>
      <c r="K80" s="201">
        <f>RATE(8,,-B80,J80)</f>
        <v>3.2435046667697393E-2</v>
      </c>
      <c r="L80" s="193"/>
      <c r="N80" s="52" t="str">
        <f t="shared" si="48"/>
        <v>Total Revenues</v>
      </c>
      <c r="O80" s="91">
        <f t="shared" si="49"/>
        <v>1</v>
      </c>
      <c r="P80" s="93">
        <f t="shared" si="49"/>
        <v>1</v>
      </c>
      <c r="Q80" s="17">
        <f t="shared" si="49"/>
        <v>1</v>
      </c>
      <c r="R80" s="17">
        <f t="shared" si="49"/>
        <v>1</v>
      </c>
      <c r="S80" s="17">
        <f t="shared" si="49"/>
        <v>1</v>
      </c>
      <c r="T80" s="17">
        <f t="shared" si="49"/>
        <v>1</v>
      </c>
      <c r="U80" s="17">
        <f t="shared" si="49"/>
        <v>1</v>
      </c>
      <c r="V80" s="17">
        <f t="shared" si="49"/>
        <v>1</v>
      </c>
      <c r="W80" s="17">
        <f t="shared" si="49"/>
        <v>1</v>
      </c>
      <c r="X80" s="17">
        <f>SUM(C80:J80)/SUM(C$80:J$80)</f>
        <v>1</v>
      </c>
      <c r="Y80" s="2"/>
    </row>
    <row r="81" spans="1:25" ht="12.75" customHeight="1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O81" s="90"/>
      <c r="P81" s="5"/>
      <c r="Q81" s="5"/>
      <c r="R81" s="5"/>
      <c r="S81" s="5"/>
      <c r="T81" s="5"/>
      <c r="U81" s="5"/>
      <c r="V81" s="5"/>
      <c r="W81" s="5"/>
      <c r="X81" s="5"/>
      <c r="Y81" s="2"/>
    </row>
    <row r="82" spans="1:25" ht="12.75" customHeight="1">
      <c r="A82" s="52" t="str">
        <f>Historical!A78</f>
        <v>Operating Expenses:</v>
      </c>
      <c r="B82" s="77"/>
      <c r="C82" s="2"/>
      <c r="D82" s="2"/>
      <c r="E82" s="2"/>
      <c r="F82" s="2"/>
      <c r="G82" s="2"/>
      <c r="H82" s="2"/>
      <c r="I82" s="2"/>
      <c r="J82" s="2"/>
      <c r="K82" s="5"/>
      <c r="L82" s="2"/>
      <c r="N82" s="52" t="str">
        <f t="shared" si="48"/>
        <v>Operating Expenses:</v>
      </c>
      <c r="O82" s="90"/>
      <c r="P82" s="95"/>
      <c r="Q82" s="18"/>
      <c r="R82" s="18"/>
      <c r="S82" s="18"/>
      <c r="T82" s="18"/>
      <c r="U82" s="18"/>
      <c r="V82" s="18"/>
      <c r="W82" s="18"/>
      <c r="X82" s="5"/>
      <c r="Y82" s="2"/>
    </row>
    <row r="83" spans="1:25" ht="12.75" customHeight="1">
      <c r="A83" s="52" t="str">
        <f>Historical!A79</f>
        <v>Energy Costs</v>
      </c>
      <c r="B83" s="77">
        <f>Historical!M79</f>
        <v>1636</v>
      </c>
      <c r="C83" s="2">
        <f>(1+Assumptions!$C$68)*Forecast!B83</f>
        <v>1676.8999999999999</v>
      </c>
      <c r="D83" s="2">
        <f>(1+Assumptions!$C$68)*Forecast!C83</f>
        <v>1718.8224999999998</v>
      </c>
      <c r="E83" s="2">
        <f>(1+Assumptions!$C$68)*Forecast!D83</f>
        <v>1761.7930624999997</v>
      </c>
      <c r="F83" s="2">
        <f>(1+Assumptions!$C$68)*Forecast!E83</f>
        <v>1805.8378890624995</v>
      </c>
      <c r="G83" s="2">
        <f>(1+Assumptions!$C$68)*Forecast!F83</f>
        <v>1850.9838362890619</v>
      </c>
      <c r="H83" s="2">
        <f>(1+Assumptions!$C$68)*Forecast!G83</f>
        <v>1897.2584321962881</v>
      </c>
      <c r="I83" s="2">
        <f>(1+Assumptions!$C$68)*Forecast!H83</f>
        <v>1944.6898930011953</v>
      </c>
      <c r="J83" s="2">
        <f>(1+Assumptions!$C$68)*Forecast!I83</f>
        <v>1993.307140326225</v>
      </c>
      <c r="K83" s="5">
        <f>RATE(8,,-B83,J83)</f>
        <v>2.5000000000011756E-2</v>
      </c>
      <c r="L83" s="2"/>
      <c r="N83" s="52" t="str">
        <f t="shared" si="48"/>
        <v>Energy Costs</v>
      </c>
      <c r="O83" s="90">
        <f t="shared" ref="O83:W89" si="51">B83/B$80</f>
        <v>0.35673789795028349</v>
      </c>
      <c r="P83" s="95">
        <f t="shared" si="51"/>
        <v>0.35770051194539249</v>
      </c>
      <c r="Q83" s="18">
        <f t="shared" si="51"/>
        <v>0.35297399561759524</v>
      </c>
      <c r="R83" s="18">
        <f t="shared" si="51"/>
        <v>0.3483099336499425</v>
      </c>
      <c r="S83" s="18">
        <f t="shared" si="51"/>
        <v>0.34370750079465556</v>
      </c>
      <c r="T83" s="18">
        <f t="shared" si="51"/>
        <v>0.33916588270846076</v>
      </c>
      <c r="U83" s="18">
        <f t="shared" si="51"/>
        <v>0.33834066158264936</v>
      </c>
      <c r="V83" s="18">
        <f t="shared" si="51"/>
        <v>0.33751744829412705</v>
      </c>
      <c r="W83" s="18">
        <f t="shared" si="51"/>
        <v>0.33669623795764492</v>
      </c>
      <c r="X83" s="18">
        <f t="shared" ref="X83:X89" si="52">SUM(C83:J83)/SUM(C$80:J$80)</f>
        <v>0.34375322223848542</v>
      </c>
      <c r="Y83" s="2"/>
    </row>
    <row r="84" spans="1:25" ht="12.75" customHeight="1">
      <c r="A84" s="52" t="str">
        <f>Historical!A80</f>
        <v>Other operations and maintenance</v>
      </c>
      <c r="B84" s="77">
        <f>Historical!M80</f>
        <v>1103</v>
      </c>
      <c r="C84" s="2">
        <f>Historical!N80*2</f>
        <v>1138</v>
      </c>
      <c r="D84" s="2">
        <f>C84*(1+Assumptions!$C$69)</f>
        <v>1182.0694083388851</v>
      </c>
      <c r="E84" s="2">
        <f>D84*(1+Assumptions!$C$69)</f>
        <v>1227.8454183924796</v>
      </c>
      <c r="F84" s="2">
        <f>E84*(1+Assumptions!$C$69)</f>
        <v>1275.3941188495687</v>
      </c>
      <c r="G84" s="2">
        <f>F84*(1+Assumptions!$C$69)</f>
        <v>1324.7841577042209</v>
      </c>
      <c r="H84" s="2">
        <f>G84*(1+Assumptions!$C$69)</f>
        <v>1376.0868413656913</v>
      </c>
      <c r="I84" s="2">
        <f>H84*(1+Assumptions!$C$69)</f>
        <v>1429.3762376063867</v>
      </c>
      <c r="J84" s="2">
        <f>I84*(1+Assumptions!$C$69)</f>
        <v>1484.729282496523</v>
      </c>
      <c r="K84" s="5">
        <f>RATE(8,,-B84,J84)</f>
        <v>3.7848519633727908E-2</v>
      </c>
      <c r="L84" s="2"/>
      <c r="N84" s="52" t="str">
        <f t="shared" si="48"/>
        <v>Other operations and maintenance</v>
      </c>
      <c r="O84" s="90">
        <f t="shared" si="51"/>
        <v>0.24051460968163976</v>
      </c>
      <c r="P84" s="95">
        <f t="shared" si="51"/>
        <v>0.24274744027303755</v>
      </c>
      <c r="Q84" s="18">
        <f t="shared" si="51"/>
        <v>0.24274744027303752</v>
      </c>
      <c r="R84" s="18">
        <f t="shared" si="51"/>
        <v>0.24274744027303749</v>
      </c>
      <c r="S84" s="18">
        <f t="shared" si="51"/>
        <v>0.24274744027303749</v>
      </c>
      <c r="T84" s="18">
        <f t="shared" si="51"/>
        <v>0.24274744027303746</v>
      </c>
      <c r="U84" s="18">
        <f t="shared" si="51"/>
        <v>0.24539942709010831</v>
      </c>
      <c r="V84" s="18">
        <f t="shared" si="51"/>
        <v>0.24808038654668471</v>
      </c>
      <c r="W84" s="18">
        <f t="shared" si="51"/>
        <v>0.25079063516539579</v>
      </c>
      <c r="X84" s="18">
        <f t="shared" si="52"/>
        <v>0.24493474484657793</v>
      </c>
      <c r="Y84" s="2"/>
    </row>
    <row r="85" spans="1:25" ht="12.75" customHeight="1">
      <c r="A85" s="52" t="str">
        <f>Historical!A81</f>
        <v>Depreciation and amortization</v>
      </c>
      <c r="B85" s="77">
        <f>Historical!M81</f>
        <v>611</v>
      </c>
      <c r="C85" s="2">
        <f>Historical!N81*2</f>
        <v>634</v>
      </c>
      <c r="D85" s="2">
        <f>Assumptions!$C$70*Forecast!D20</f>
        <v>677.50540139992893</v>
      </c>
      <c r="E85" s="2">
        <f>Assumptions!$C$70*Forecast!E20</f>
        <v>707.0146447790587</v>
      </c>
      <c r="F85" s="2">
        <f>Assumptions!$C$70*Forecast!F20</f>
        <v>734.91382100722069</v>
      </c>
      <c r="G85" s="2">
        <f>Assumptions!$C$70*Forecast!G20</f>
        <v>763.91391365904906</v>
      </c>
      <c r="H85" s="2">
        <f>Assumptions!$C$70*Forecast!H20</f>
        <v>794.05836548575598</v>
      </c>
      <c r="I85" s="2">
        <f>Assumptions!$C$70*Forecast!I20</f>
        <v>825.39233351276391</v>
      </c>
      <c r="J85" s="2">
        <f>Assumptions!$C$70*Forecast!J20</f>
        <v>857.96275668588294</v>
      </c>
      <c r="K85" s="5">
        <f>RATE(8,,-B85,J85)</f>
        <v>4.3346114920075736E-2</v>
      </c>
      <c r="L85" s="2"/>
      <c r="N85" s="52" t="str">
        <f t="shared" si="48"/>
        <v>Depreciation and amortization</v>
      </c>
      <c r="O85" s="90">
        <f t="shared" si="51"/>
        <v>0.13323157435673791</v>
      </c>
      <c r="P85" s="95">
        <f t="shared" si="51"/>
        <v>0.13523890784982937</v>
      </c>
      <c r="Q85" s="18">
        <f t="shared" si="51"/>
        <v>0.13913117182526738</v>
      </c>
      <c r="R85" s="18">
        <f t="shared" si="51"/>
        <v>0.13977817784291091</v>
      </c>
      <c r="S85" s="18">
        <f t="shared" si="51"/>
        <v>0.13987711424582941</v>
      </c>
      <c r="T85" s="18">
        <f t="shared" si="51"/>
        <v>0.13997612067693091</v>
      </c>
      <c r="U85" s="18">
        <f t="shared" si="51"/>
        <v>0.14160550199936725</v>
      </c>
      <c r="V85" s="18">
        <f t="shared" si="51"/>
        <v>0.14325385001041496</v>
      </c>
      <c r="W85" s="18">
        <f t="shared" si="51"/>
        <v>0.14492138549036154</v>
      </c>
      <c r="X85" s="18">
        <f t="shared" si="52"/>
        <v>0.14066728859289607</v>
      </c>
      <c r="Y85" s="2"/>
    </row>
    <row r="86" spans="1:25" ht="12.75" customHeight="1">
      <c r="A86" s="52" t="str">
        <f>Historical!A82</f>
        <v>Taxes, other than income taxes</v>
      </c>
      <c r="B86" s="77">
        <f>Historical!M82</f>
        <v>152</v>
      </c>
      <c r="C86" s="2">
        <f>Assumptions!$C$71*Forecast!C80</f>
        <v>155.38072394243349</v>
      </c>
      <c r="D86" s="2">
        <f>Assumptions!$C$71*Forecast!D80</f>
        <v>161.39789140413006</v>
      </c>
      <c r="E86" s="2">
        <f>Assumptions!$C$71*Forecast!E80</f>
        <v>167.64807557049531</v>
      </c>
      <c r="F86" s="2">
        <f>Assumptions!$C$71*Forecast!F80</f>
        <v>174.14030008679094</v>
      </c>
      <c r="G86" s="2">
        <f>Assumptions!$C$71*Forecast!G80</f>
        <v>180.88393804178287</v>
      </c>
      <c r="H86" s="2">
        <f>Assumptions!$C$71*Forecast!H80</f>
        <v>185.85824633793192</v>
      </c>
      <c r="I86" s="2">
        <f>Assumptions!$C$71*Forecast!I80</f>
        <v>190.96934811222508</v>
      </c>
      <c r="J86" s="2">
        <f>Assumptions!$C$71*Forecast!J80</f>
        <v>196.22100518531127</v>
      </c>
      <c r="K86" s="5">
        <f>RATE(8,,-B86,J86)</f>
        <v>3.2435046667697344E-2</v>
      </c>
      <c r="L86" s="2"/>
      <c r="N86" s="52" t="str">
        <f t="shared" si="48"/>
        <v>Taxes, other than income taxes</v>
      </c>
      <c r="O86" s="90">
        <f t="shared" si="51"/>
        <v>3.3144352376798955E-2</v>
      </c>
      <c r="P86" s="95">
        <f t="shared" si="51"/>
        <v>3.3144352376798955E-2</v>
      </c>
      <c r="Q86" s="18">
        <f t="shared" si="51"/>
        <v>3.3144352376798955E-2</v>
      </c>
      <c r="R86" s="18">
        <f t="shared" si="51"/>
        <v>3.3144352376798955E-2</v>
      </c>
      <c r="S86" s="18">
        <f t="shared" si="51"/>
        <v>3.3144352376798955E-2</v>
      </c>
      <c r="T86" s="18">
        <f t="shared" si="51"/>
        <v>3.3144352376798955E-2</v>
      </c>
      <c r="U86" s="18">
        <f t="shared" si="51"/>
        <v>3.3144352376798955E-2</v>
      </c>
      <c r="V86" s="18">
        <f t="shared" si="51"/>
        <v>3.3144352376798955E-2</v>
      </c>
      <c r="W86" s="18">
        <f t="shared" si="51"/>
        <v>3.3144352376798955E-2</v>
      </c>
      <c r="X86" s="18">
        <f t="shared" si="52"/>
        <v>3.3144352376798955E-2</v>
      </c>
      <c r="Y86" s="2"/>
    </row>
    <row r="87" spans="1:25" ht="12.75" hidden="1" customHeight="1">
      <c r="A87" s="52" t="str">
        <f>Historical!A83</f>
        <v>Other Operating Expenses</v>
      </c>
      <c r="B87" s="77">
        <f>Historical!K83</f>
        <v>0</v>
      </c>
      <c r="C87" s="2">
        <f>B87*(1+Assumptions!$C$20)</f>
        <v>0</v>
      </c>
      <c r="D87" s="2">
        <f>C87*(1+Assumptions!$C$20)</f>
        <v>0</v>
      </c>
      <c r="E87" s="2">
        <f>D87*(1+Assumptions!$C$20)</f>
        <v>0</v>
      </c>
      <c r="F87" s="2">
        <f>E87*(1+Assumptions!$C$20)</f>
        <v>0</v>
      </c>
      <c r="G87" s="2">
        <f>F87*(1+Assumptions!$C$20)</f>
        <v>0</v>
      </c>
      <c r="H87" s="2">
        <f>G87*(1+Assumptions!$C$20)</f>
        <v>0</v>
      </c>
      <c r="I87" s="2">
        <f>H87*(1+Assumptions!$C$20)</f>
        <v>0</v>
      </c>
      <c r="J87" s="2">
        <f>I87*(1+Assumptions!$C$20)</f>
        <v>0</v>
      </c>
      <c r="K87" s="5"/>
      <c r="L87" s="2"/>
      <c r="N87" s="52" t="str">
        <f t="shared" si="48"/>
        <v>Other Operating Expenses</v>
      </c>
      <c r="O87" s="90">
        <f t="shared" si="51"/>
        <v>0</v>
      </c>
      <c r="P87" s="95">
        <f t="shared" si="51"/>
        <v>0</v>
      </c>
      <c r="Q87" s="18">
        <f t="shared" si="51"/>
        <v>0</v>
      </c>
      <c r="R87" s="18">
        <f t="shared" si="51"/>
        <v>0</v>
      </c>
      <c r="S87" s="18">
        <f t="shared" si="51"/>
        <v>0</v>
      </c>
      <c r="T87" s="18">
        <f t="shared" si="51"/>
        <v>0</v>
      </c>
      <c r="U87" s="18">
        <f t="shared" si="51"/>
        <v>0</v>
      </c>
      <c r="V87" s="18">
        <f t="shared" si="51"/>
        <v>0</v>
      </c>
      <c r="W87" s="18">
        <f t="shared" si="51"/>
        <v>0</v>
      </c>
      <c r="X87" s="18">
        <f t="shared" si="52"/>
        <v>0</v>
      </c>
      <c r="Y87" s="2"/>
    </row>
    <row r="88" spans="1:25" ht="12.75" customHeight="1">
      <c r="A88" s="52" t="str">
        <f>Historical!A84</f>
        <v>Total Operating Expenses</v>
      </c>
      <c r="B88" s="85">
        <f>SUM(B83:B87)</f>
        <v>3502</v>
      </c>
      <c r="C88" s="20">
        <f t="shared" ref="C88:J88" si="53">SUM(C82:C87)</f>
        <v>3604.2807239424333</v>
      </c>
      <c r="D88" s="20">
        <f t="shared" si="53"/>
        <v>3739.7952011429434</v>
      </c>
      <c r="E88" s="20">
        <f t="shared" si="53"/>
        <v>3864.3012012420331</v>
      </c>
      <c r="F88" s="20">
        <f t="shared" si="53"/>
        <v>3990.2861290060796</v>
      </c>
      <c r="G88" s="20">
        <f t="shared" si="53"/>
        <v>4120.5658456941146</v>
      </c>
      <c r="H88" s="20">
        <f t="shared" si="53"/>
        <v>4253.2618853856675</v>
      </c>
      <c r="I88" s="20">
        <f t="shared" si="53"/>
        <v>4390.4278122325704</v>
      </c>
      <c r="J88" s="20">
        <f t="shared" si="53"/>
        <v>4532.2201846939424</v>
      </c>
      <c r="K88" s="17">
        <f>RATE(8,,-B88,J88)</f>
        <v>3.2759877553100045E-2</v>
      </c>
      <c r="L88" s="2"/>
      <c r="N88" s="52" t="str">
        <f t="shared" si="48"/>
        <v>Total Operating Expenses</v>
      </c>
      <c r="O88" s="134">
        <f t="shared" si="51"/>
        <v>0.76362843436546013</v>
      </c>
      <c r="P88" s="96">
        <f t="shared" si="51"/>
        <v>0.76883121244505825</v>
      </c>
      <c r="Q88" s="97">
        <f t="shared" si="51"/>
        <v>0.76799696009269902</v>
      </c>
      <c r="R88" s="97">
        <f t="shared" si="51"/>
        <v>0.7639799041426899</v>
      </c>
      <c r="S88" s="97">
        <f t="shared" si="51"/>
        <v>0.75947640769032143</v>
      </c>
      <c r="T88" s="97">
        <f t="shared" si="51"/>
        <v>0.75503379603522813</v>
      </c>
      <c r="U88" s="97">
        <f t="shared" si="51"/>
        <v>0.75848994304892392</v>
      </c>
      <c r="V88" s="97">
        <f t="shared" si="51"/>
        <v>0.76199603722802556</v>
      </c>
      <c r="W88" s="97">
        <f t="shared" si="51"/>
        <v>0.76555261099020122</v>
      </c>
      <c r="X88" s="97">
        <f t="shared" si="52"/>
        <v>0.76249960805475836</v>
      </c>
      <c r="Y88" s="2"/>
    </row>
    <row r="89" spans="1:25" ht="12.75" customHeight="1">
      <c r="A89" s="52" t="str">
        <f>Historical!A85</f>
        <v>Earnings From Operations</v>
      </c>
      <c r="B89" s="85">
        <f t="shared" ref="B89:J89" si="54">B80-B88</f>
        <v>1084</v>
      </c>
      <c r="C89" s="20">
        <f t="shared" si="54"/>
        <v>1083.7192760575667</v>
      </c>
      <c r="D89" s="20">
        <f t="shared" si="54"/>
        <v>1129.7490750369279</v>
      </c>
      <c r="E89" s="20">
        <f t="shared" si="54"/>
        <v>1193.8177103783055</v>
      </c>
      <c r="F89" s="20">
        <f t="shared" si="54"/>
        <v>1263.710030191442</v>
      </c>
      <c r="G89" s="20">
        <f t="shared" si="54"/>
        <v>1336.8929691717813</v>
      </c>
      <c r="H89" s="20">
        <f t="shared" si="54"/>
        <v>1354.2770468890412</v>
      </c>
      <c r="I89" s="20">
        <f t="shared" si="54"/>
        <v>1371.3184406796936</v>
      </c>
      <c r="J89" s="20">
        <f t="shared" si="54"/>
        <v>1387.9740901734094</v>
      </c>
      <c r="K89" s="17">
        <f>RATE(8,,-B89,J89)</f>
        <v>3.1380722127167755E-2</v>
      </c>
      <c r="L89" s="2"/>
      <c r="N89" s="52" t="str">
        <f t="shared" si="48"/>
        <v>Earnings From Operations</v>
      </c>
      <c r="O89" s="91">
        <f t="shared" si="51"/>
        <v>0.2363715656345399</v>
      </c>
      <c r="P89" s="93">
        <f t="shared" si="51"/>
        <v>0.23116878755494172</v>
      </c>
      <c r="Q89" s="17">
        <f t="shared" si="51"/>
        <v>0.23200303990730101</v>
      </c>
      <c r="R89" s="17">
        <f t="shared" si="51"/>
        <v>0.23602009585731012</v>
      </c>
      <c r="S89" s="17">
        <f t="shared" si="51"/>
        <v>0.24052359230967862</v>
      </c>
      <c r="T89" s="17">
        <f t="shared" si="51"/>
        <v>0.24496620396477187</v>
      </c>
      <c r="U89" s="17">
        <f t="shared" si="51"/>
        <v>0.24151005695107608</v>
      </c>
      <c r="V89" s="17">
        <f t="shared" si="51"/>
        <v>0.23800396277197441</v>
      </c>
      <c r="W89" s="17">
        <f t="shared" si="51"/>
        <v>0.23444738900979875</v>
      </c>
      <c r="X89" s="17">
        <f t="shared" si="52"/>
        <v>0.23750039194524167</v>
      </c>
      <c r="Y89" s="2"/>
    </row>
    <row r="90" spans="1:25" ht="12.75" customHeight="1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O90" s="90"/>
      <c r="P90" s="95"/>
      <c r="Q90" s="18"/>
      <c r="R90" s="18"/>
      <c r="S90" s="18"/>
      <c r="T90" s="18"/>
      <c r="U90" s="18"/>
      <c r="V90" s="18"/>
      <c r="W90" s="18"/>
      <c r="X90" s="18"/>
      <c r="Y90" s="2"/>
    </row>
    <row r="91" spans="1:25" ht="12.75" customHeight="1">
      <c r="A91" s="52" t="str">
        <f>Historical!A87</f>
        <v>Interest expense (net)</v>
      </c>
      <c r="B91" s="77">
        <f>Historical!M87</f>
        <v>367</v>
      </c>
      <c r="C91" s="2">
        <f>AVERAGE(B43:C43)*Assumptions!$C$9+(AVERAGE(Forecast!B42:C42)+AVERAGE(Forecast!B50:C50))*Assumptions!$C$10</f>
        <v>359.59937143780883</v>
      </c>
      <c r="D91" s="2">
        <f>AVERAGE(C43:D43)*Assumptions!$C$9+(AVERAGE(Forecast!C42:D42)+AVERAGE(Forecast!C50:D50))*Assumptions!$C$10</f>
        <v>352.40450281318408</v>
      </c>
      <c r="E91" s="2">
        <f>AVERAGE(D43:E43)*Assumptions!$C$9+(AVERAGE(Forecast!D42:E42)+AVERAGE(Forecast!D50:E50))*Assumptions!$C$10</f>
        <v>341.24543005015107</v>
      </c>
      <c r="F91" s="2">
        <f>AVERAGE(E43:F43)*Assumptions!$C$9+(AVERAGE(Forecast!E42:F42)+AVERAGE(Forecast!E50:F50))*Assumptions!$C$10</f>
        <v>327.38499248853731</v>
      </c>
      <c r="G91" s="2">
        <f>AVERAGE(F43:G43)*Assumptions!$C$9+(AVERAGE(Forecast!F42:G42)+AVERAGE(Forecast!F50:G50))*Assumptions!$C$10</f>
        <v>313.41850011105345</v>
      </c>
      <c r="H91" s="2">
        <f>AVERAGE(G43:H43)*Assumptions!$C$9+(AVERAGE(Forecast!G42:H42)+AVERAGE(Forecast!G50:H50))*Assumptions!$C$10</f>
        <v>300.0675714679025</v>
      </c>
      <c r="I91" s="2">
        <f>AVERAGE(H43:I43)*Assumptions!$C$9+(AVERAGE(Forecast!H42:I42)+AVERAGE(Forecast!H50:I50))*Assumptions!$C$10</f>
        <v>287.30507600255066</v>
      </c>
      <c r="J91" s="2">
        <f>AVERAGE(I43:J43)*Assumptions!$C$9+(AVERAGE(Forecast!I42:J42)+AVERAGE(Forecast!I50:J50))*Assumptions!$C$10</f>
        <v>275.10507891945019</v>
      </c>
      <c r="K91" s="5">
        <f>RATE(8,,-B91,J91)</f>
        <v>-3.5384873437982932E-2</v>
      </c>
      <c r="L91" s="2"/>
      <c r="M91" s="130"/>
      <c r="N91" s="52" t="str">
        <f t="shared" si="48"/>
        <v>Interest expense (net)</v>
      </c>
      <c r="O91" s="90">
        <f t="shared" ref="O91:W94" si="55">B91/B$80</f>
        <v>8.0026166593981679E-2</v>
      </c>
      <c r="P91" s="95">
        <f t="shared" si="55"/>
        <v>7.6706350562672526E-2</v>
      </c>
      <c r="Q91" s="18">
        <f t="shared" si="55"/>
        <v>7.2369093045734315E-2</v>
      </c>
      <c r="R91" s="18">
        <f t="shared" si="55"/>
        <v>6.746488882777868E-2</v>
      </c>
      <c r="S91" s="18">
        <f t="shared" si="55"/>
        <v>6.2311616257165484E-2</v>
      </c>
      <c r="T91" s="18">
        <f t="shared" si="55"/>
        <v>5.7429384397242579E-2</v>
      </c>
      <c r="U91" s="18">
        <f t="shared" si="55"/>
        <v>5.3511455754829601E-2</v>
      </c>
      <c r="V91" s="18">
        <f t="shared" si="55"/>
        <v>4.9864236186613189E-2</v>
      </c>
      <c r="W91" s="18">
        <f t="shared" si="55"/>
        <v>4.6468927563295924E-2</v>
      </c>
      <c r="X91" s="5">
        <f t="shared" ref="X91:X96" si="56">SUM(C91:J91)/SUM(C$80:J$80)</f>
        <v>5.9989080920336078E-2</v>
      </c>
      <c r="Y91" s="2"/>
    </row>
    <row r="92" spans="1:25" ht="12.75" customHeight="1">
      <c r="A92" s="52" t="str">
        <f>Historical!A88</f>
        <v>Interest income</v>
      </c>
      <c r="B92" s="77">
        <f>Historical!M88</f>
        <v>-5</v>
      </c>
      <c r="C92" s="2">
        <f>-AVERAGE(B12:C12)*Assumptions!$C$11</f>
        <v>-0.56674016533633231</v>
      </c>
      <c r="D92" s="2">
        <f>-AVERAGE(C12:D12)*Assumptions!$C$11</f>
        <v>-0.67632707303524453</v>
      </c>
      <c r="E92" s="2">
        <f>-AVERAGE(D12:E12)*Assumptions!$C$11</f>
        <v>-0.70251805190363936</v>
      </c>
      <c r="F92" s="2">
        <f>-AVERAGE(E12:F12)*Assumptions!$C$11</f>
        <v>-0.72972328467585357</v>
      </c>
      <c r="G92" s="2">
        <f>-AVERAGE(F12:G12)*Assumptions!$C$11</f>
        <v>-0.75798204865368546</v>
      </c>
      <c r="H92" s="2">
        <f>-AVERAGE(G12:H12)*Assumptions!$C$11</f>
        <v>-0.78300003884013836</v>
      </c>
      <c r="I92" s="2">
        <f>-AVERAGE(H12:I12)*Assumptions!$C$11</f>
        <v>-0.80453253990824225</v>
      </c>
      <c r="J92" s="2">
        <f>-AVERAGE(I12:J12)*Assumptions!$C$11</f>
        <v>-0.82665718475571914</v>
      </c>
      <c r="K92" s="5">
        <f>RATE(8,,-B92,J92)</f>
        <v>-0.20146412862046167</v>
      </c>
      <c r="L92" s="2"/>
      <c r="M92" s="130"/>
      <c r="N92" s="52" t="str">
        <f t="shared" si="48"/>
        <v>Interest income</v>
      </c>
      <c r="O92" s="90">
        <f t="shared" si="55"/>
        <v>-1.0902747492368076E-3</v>
      </c>
      <c r="P92" s="95">
        <f t="shared" si="55"/>
        <v>-1.2089167349324494E-4</v>
      </c>
      <c r="Q92" s="18">
        <f t="shared" si="55"/>
        <v>-1.3888919263833435E-4</v>
      </c>
      <c r="R92" s="18">
        <f t="shared" si="55"/>
        <v>-1.3888919263833435E-4</v>
      </c>
      <c r="S92" s="18">
        <f t="shared" si="55"/>
        <v>-1.3888919263833438E-4</v>
      </c>
      <c r="T92" s="18">
        <f t="shared" si="55"/>
        <v>-1.3888919263833438E-4</v>
      </c>
      <c r="U92" s="18">
        <f t="shared" si="55"/>
        <v>-1.3963345565618979E-4</v>
      </c>
      <c r="V92" s="18">
        <f t="shared" si="55"/>
        <v>-1.3963345565618979E-4</v>
      </c>
      <c r="W92" s="18">
        <f t="shared" si="55"/>
        <v>-1.3963345565618982E-4</v>
      </c>
      <c r="X92" s="5">
        <f t="shared" si="56"/>
        <v>-1.3721133815012637E-4</v>
      </c>
      <c r="Y92" s="2"/>
    </row>
    <row r="93" spans="1:25" ht="12.75" hidden="1" customHeight="1">
      <c r="A93" s="52" t="str">
        <f>Historical!A89</f>
        <v>Loss (Gain) on Sale of Assets</v>
      </c>
      <c r="B93" s="77">
        <f>Historical!K89</f>
        <v>0</v>
      </c>
      <c r="C93" s="2">
        <f>Assumptions!$C$25</f>
        <v>0</v>
      </c>
      <c r="D93" s="2">
        <f>Assumptions!$C$25</f>
        <v>0</v>
      </c>
      <c r="E93" s="2">
        <f>Assumptions!$C$25</f>
        <v>0</v>
      </c>
      <c r="F93" s="2">
        <f>Assumptions!$C$25</f>
        <v>0</v>
      </c>
      <c r="G93" s="2">
        <f>Assumptions!$C$25</f>
        <v>0</v>
      </c>
      <c r="H93" s="2">
        <f>Assumptions!$C$25</f>
        <v>0</v>
      </c>
      <c r="I93" s="2">
        <f>Assumptions!$C$25</f>
        <v>0</v>
      </c>
      <c r="J93" s="2">
        <f>Assumptions!$C$25</f>
        <v>0</v>
      </c>
      <c r="K93" s="5" t="e">
        <f>RATE(8,,-B93,J93)</f>
        <v>#NUM!</v>
      </c>
      <c r="L93" s="2"/>
      <c r="M93" s="130"/>
      <c r="N93" s="52" t="str">
        <f t="shared" si="48"/>
        <v>Loss (Gain) on Sale of Assets</v>
      </c>
      <c r="O93" s="90">
        <f t="shared" si="55"/>
        <v>0</v>
      </c>
      <c r="P93" s="95">
        <f t="shared" si="55"/>
        <v>0</v>
      </c>
      <c r="Q93" s="18">
        <f t="shared" si="55"/>
        <v>0</v>
      </c>
      <c r="R93" s="18">
        <f t="shared" si="55"/>
        <v>0</v>
      </c>
      <c r="S93" s="18">
        <f t="shared" si="55"/>
        <v>0</v>
      </c>
      <c r="T93" s="18">
        <f t="shared" si="55"/>
        <v>0</v>
      </c>
      <c r="U93" s="18">
        <f t="shared" si="55"/>
        <v>0</v>
      </c>
      <c r="V93" s="18">
        <f t="shared" si="55"/>
        <v>0</v>
      </c>
      <c r="W93" s="18">
        <f t="shared" si="55"/>
        <v>0</v>
      </c>
      <c r="X93" s="5">
        <f t="shared" si="56"/>
        <v>0</v>
      </c>
      <c r="Y93" s="2"/>
    </row>
    <row r="94" spans="1:25" ht="23.1" customHeight="1">
      <c r="A94" s="114" t="s">
        <v>197</v>
      </c>
      <c r="B94" s="77"/>
      <c r="C94" s="2">
        <f ca="1">((B13+C13)/2)*-Assumptions!$C$11+((B54+C54)/2)*Assumptions!$C$8</f>
        <v>2.6046990328853568</v>
      </c>
      <c r="D94" s="2">
        <f ca="1">((C13+D13)/2)*-Assumptions!$C$11+((C54+D54)/2)*Assumptions!$C$8</f>
        <v>11.362842796882923</v>
      </c>
      <c r="E94" s="2">
        <f ca="1">((D13+E13)/2)*-Assumptions!$C$11+((D54+E54)/2)*Assumptions!$C$8</f>
        <v>16.327758386863362</v>
      </c>
      <c r="F94" s="2">
        <f ca="1">((E13+F13)/2)*-Assumptions!$C$11+((E54+F54)/2)*Assumptions!$C$8</f>
        <v>25.511922719195741</v>
      </c>
      <c r="G94" s="2">
        <f ca="1">((F13+G13)/2)*-Assumptions!$C$11+((F54+G54)/2)*Assumptions!$C$8</f>
        <v>51.547241391231978</v>
      </c>
      <c r="H94" s="2">
        <f ca="1">((G13+H13)/2)*-Assumptions!$C$11+((G54+H54)/2)*Assumptions!$C$8</f>
        <v>84.079386137684523</v>
      </c>
      <c r="I94" s="2">
        <f ca="1">((H13+I13)/2)*-Assumptions!$C$11+((H54+I54)/2)*Assumptions!$C$8</f>
        <v>111.40913632417005</v>
      </c>
      <c r="J94" s="2">
        <f ca="1">((I13+J13)/2)*-Assumptions!$C$11+((I54+J54)/2)*Assumptions!$C$8</f>
        <v>132.62311960260942</v>
      </c>
      <c r="K94" s="5"/>
      <c r="L94" s="2"/>
      <c r="M94" s="130"/>
      <c r="N94" s="114" t="str">
        <f t="shared" si="48"/>
        <v>Interest Expense (Income) on Additional Loans (Surplus Cash)</v>
      </c>
      <c r="O94" s="90">
        <f>B94/B$80</f>
        <v>0</v>
      </c>
      <c r="P94" s="95">
        <f ca="1">C94/C$80</f>
        <v>5.5560986196359998E-4</v>
      </c>
      <c r="Q94" s="18">
        <f t="shared" ca="1" si="55"/>
        <v>2.3334509663390937E-3</v>
      </c>
      <c r="R94" s="18">
        <f t="shared" ref="R94:W94" ca="1" si="57">E94/E$80</f>
        <v>3.2280297620826122E-3</v>
      </c>
      <c r="S94" s="18">
        <f t="shared" ca="1" si="57"/>
        <v>4.8557178091071067E-3</v>
      </c>
      <c r="T94" s="18">
        <f t="shared" ca="1" si="57"/>
        <v>9.4452827112170568E-3</v>
      </c>
      <c r="U94" s="18">
        <f t="shared" ca="1" si="57"/>
        <v>1.4993990617480664E-2</v>
      </c>
      <c r="V94" s="18">
        <f t="shared" ca="1" si="57"/>
        <v>1.9336001870588888E-2</v>
      </c>
      <c r="W94" s="18">
        <f t="shared" ca="1" si="57"/>
        <v>2.2401818833146483E-2</v>
      </c>
      <c r="X94" s="5">
        <f t="shared" ca="1" si="56"/>
        <v>1.0218227889867039E-2</v>
      </c>
      <c r="Y94" s="2"/>
    </row>
    <row r="95" spans="1:25" ht="12.75" customHeight="1">
      <c r="A95" s="52" t="str">
        <f>Historical!A90</f>
        <v>Other (Income) Expense</v>
      </c>
      <c r="B95" s="77">
        <f>Historical!M90</f>
        <v>-46</v>
      </c>
      <c r="C95" s="2">
        <f>Assumptions!$C$80*Forecast!C80</f>
        <v>-58.201970221762409</v>
      </c>
      <c r="D95" s="2">
        <f>Assumptions!$C$80*Forecast!D80</f>
        <v>-60.455859845515029</v>
      </c>
      <c r="E95" s="2">
        <f>Assumptions!$C$80*Forecast!E80</f>
        <v>-62.797032054663021</v>
      </c>
      <c r="F95" s="2">
        <f>Assumptions!$C$80*Forecast!F80</f>
        <v>-65.228866894809769</v>
      </c>
      <c r="G95" s="2">
        <f>Assumptions!$C$80*Forecast!G80</f>
        <v>-67.754875304888998</v>
      </c>
      <c r="H95" s="2">
        <f>Assumptions!$C$80*Forecast!H80</f>
        <v>-69.618134375773451</v>
      </c>
      <c r="I95" s="2">
        <f>Assumptions!$C$80*Forecast!I80</f>
        <v>-71.532633071107242</v>
      </c>
      <c r="J95" s="2">
        <f>Assumptions!$C$80*Forecast!J80</f>
        <v>-73.499780480562691</v>
      </c>
      <c r="K95" s="5">
        <f>RATE(8,,-B95,J95)</f>
        <v>6.0329944285182749E-2</v>
      </c>
      <c r="L95" s="2"/>
      <c r="M95" s="130"/>
      <c r="N95" s="52" t="str">
        <f t="shared" si="48"/>
        <v>Other (Income) Expense</v>
      </c>
      <c r="O95" s="90">
        <f>B95/B$80</f>
        <v>-1.003052769297863E-2</v>
      </c>
      <c r="P95" s="95">
        <f t="shared" ref="P95:W96" si="58">C95/C$80</f>
        <v>-1.241509603706536E-2</v>
      </c>
      <c r="Q95" s="18">
        <f t="shared" si="58"/>
        <v>-1.241509603706536E-2</v>
      </c>
      <c r="R95" s="18">
        <f t="shared" si="58"/>
        <v>-1.241509603706536E-2</v>
      </c>
      <c r="S95" s="18">
        <f t="shared" si="58"/>
        <v>-1.241509603706536E-2</v>
      </c>
      <c r="T95" s="18">
        <f t="shared" si="58"/>
        <v>-1.241509603706536E-2</v>
      </c>
      <c r="U95" s="18">
        <f t="shared" si="58"/>
        <v>-1.2415096037065358E-2</v>
      </c>
      <c r="V95" s="18">
        <f t="shared" si="58"/>
        <v>-1.2415096037065362E-2</v>
      </c>
      <c r="W95" s="18">
        <f t="shared" si="58"/>
        <v>-1.241509603706536E-2</v>
      </c>
      <c r="X95" s="5">
        <f t="shared" si="56"/>
        <v>-1.2415096037065362E-2</v>
      </c>
      <c r="Y95" s="2"/>
    </row>
    <row r="96" spans="1:25" ht="12.75" customHeight="1">
      <c r="A96" s="52" t="str">
        <f>Historical!A91</f>
        <v>Total Other (Income)/Expense</v>
      </c>
      <c r="B96" s="85">
        <f>SUM(B91:B95)</f>
        <v>316</v>
      </c>
      <c r="C96" s="20">
        <f ca="1">SUM(C91:C95)</f>
        <v>303.43536008359547</v>
      </c>
      <c r="D96" s="20">
        <f t="shared" ref="D96:J96" ca="1" si="59">SUM(D91:D95)</f>
        <v>302.63515869151678</v>
      </c>
      <c r="E96" s="20">
        <f t="shared" ca="1" si="59"/>
        <v>294.07363833044775</v>
      </c>
      <c r="F96" s="20">
        <f t="shared" ca="1" si="59"/>
        <v>286.93832502824745</v>
      </c>
      <c r="G96" s="20">
        <f t="shared" ca="1" si="59"/>
        <v>296.45288414874278</v>
      </c>
      <c r="H96" s="20">
        <f t="shared" ca="1" si="59"/>
        <v>313.7458231909734</v>
      </c>
      <c r="I96" s="20">
        <f t="shared" ca="1" si="59"/>
        <v>326.37704671570526</v>
      </c>
      <c r="J96" s="20">
        <f t="shared" ca="1" si="59"/>
        <v>333.40176085674125</v>
      </c>
      <c r="K96" s="17">
        <f ca="1">RATE(8,,-B96,J96)</f>
        <v>6.7232550650800924E-3</v>
      </c>
      <c r="L96" s="2"/>
      <c r="N96" s="52" t="str">
        <f t="shared" si="48"/>
        <v>Total Other (Income)/Expense</v>
      </c>
      <c r="O96" s="91">
        <f>B96/B$80</f>
        <v>6.8905364151766249E-2</v>
      </c>
      <c r="P96" s="93">
        <f t="shared" ca="1" si="58"/>
        <v>6.4725972714077526E-2</v>
      </c>
      <c r="Q96" s="17">
        <f t="shared" ca="1" si="58"/>
        <v>6.2148558782369724E-2</v>
      </c>
      <c r="R96" s="17">
        <f t="shared" ca="1" si="58"/>
        <v>5.8138933360157602E-2</v>
      </c>
      <c r="S96" s="17">
        <f t="shared" ca="1" si="58"/>
        <v>5.4613348836568903E-2</v>
      </c>
      <c r="T96" s="17">
        <f t="shared" ca="1" si="58"/>
        <v>5.4320681878755946E-2</v>
      </c>
      <c r="U96" s="17">
        <f t="shared" ca="1" si="58"/>
        <v>5.5950716879588712E-2</v>
      </c>
      <c r="V96" s="17">
        <f t="shared" ca="1" si="58"/>
        <v>5.6645508564480529E-2</v>
      </c>
      <c r="W96" s="17">
        <f t="shared" ca="1" si="58"/>
        <v>5.6316016903720859E-2</v>
      </c>
      <c r="X96" s="17">
        <f t="shared" ca="1" si="56"/>
        <v>5.7655001434987627E-2</v>
      </c>
      <c r="Y96" s="19"/>
    </row>
    <row r="97" spans="1:25" ht="12.75" customHeight="1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O97" s="90"/>
      <c r="P97" s="95"/>
      <c r="Q97" s="18"/>
      <c r="R97" s="18"/>
      <c r="S97" s="18"/>
      <c r="T97" s="18"/>
      <c r="U97" s="18"/>
      <c r="V97" s="18"/>
      <c r="W97" s="18"/>
      <c r="X97" s="18"/>
      <c r="Y97" s="19"/>
    </row>
    <row r="98" spans="1:25" ht="12.75" customHeight="1">
      <c r="A98" s="193" t="str">
        <f>Historical!A93</f>
        <v>Earnings Before Taxes</v>
      </c>
      <c r="B98" s="268">
        <f>B89-B96</f>
        <v>768</v>
      </c>
      <c r="C98" s="278">
        <f ca="1">C89-C96</f>
        <v>780.28391597397126</v>
      </c>
      <c r="D98" s="104">
        <f t="shared" ref="D98:J98" ca="1" si="60">D89-D96</f>
        <v>827.1139163454111</v>
      </c>
      <c r="E98" s="104">
        <f t="shared" ca="1" si="60"/>
        <v>899.7440720478578</v>
      </c>
      <c r="F98" s="104">
        <f t="shared" ca="1" si="60"/>
        <v>976.77170516319461</v>
      </c>
      <c r="G98" s="104">
        <f t="shared" ca="1" si="60"/>
        <v>1040.4400850230386</v>
      </c>
      <c r="H98" s="104">
        <f t="shared" ca="1" si="60"/>
        <v>1040.5312236980678</v>
      </c>
      <c r="I98" s="104">
        <f t="shared" ca="1" si="60"/>
        <v>1044.9413939639883</v>
      </c>
      <c r="J98" s="104">
        <f t="shared" ca="1" si="60"/>
        <v>1054.5723293166682</v>
      </c>
      <c r="K98" s="200">
        <f ca="1">RATE(8,,-B98,J98)</f>
        <v>4.0433659927039567E-2</v>
      </c>
      <c r="L98" s="193"/>
      <c r="M98" s="193"/>
      <c r="N98" s="193" t="str">
        <f t="shared" si="48"/>
        <v>Earnings Before Taxes</v>
      </c>
      <c r="O98" s="276"/>
      <c r="P98" s="277"/>
      <c r="Q98" s="108"/>
      <c r="R98" s="108"/>
      <c r="S98" s="108"/>
      <c r="T98" s="108"/>
      <c r="U98" s="108"/>
      <c r="V98" s="108"/>
      <c r="W98" s="108"/>
      <c r="X98" s="108"/>
      <c r="Y98" s="193"/>
    </row>
    <row r="99" spans="1:25" ht="12.75" customHeight="1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O99" s="90">
        <f t="shared" ref="O99:W102" si="61">B99/B$80</f>
        <v>0</v>
      </c>
      <c r="P99" s="95">
        <f t="shared" si="61"/>
        <v>0</v>
      </c>
      <c r="Q99" s="18">
        <f t="shared" si="61"/>
        <v>0</v>
      </c>
      <c r="R99" s="18">
        <f t="shared" si="61"/>
        <v>0</v>
      </c>
      <c r="S99" s="18">
        <f t="shared" si="61"/>
        <v>0</v>
      </c>
      <c r="T99" s="18">
        <f t="shared" si="61"/>
        <v>0</v>
      </c>
      <c r="U99" s="18">
        <f t="shared" si="61"/>
        <v>0</v>
      </c>
      <c r="V99" s="18">
        <f t="shared" si="61"/>
        <v>0</v>
      </c>
      <c r="W99" s="18">
        <f t="shared" si="61"/>
        <v>0</v>
      </c>
      <c r="X99" s="5">
        <f>SUM(C99:J99)/SUM(C$80:J$80)</f>
        <v>0</v>
      </c>
      <c r="Y99" s="2"/>
    </row>
    <row r="100" spans="1:25" ht="12.75" customHeight="1">
      <c r="A100" s="52" t="str">
        <f>Historical!A95</f>
        <v>Extraordinary Items</v>
      </c>
      <c r="B100" s="77">
        <f>Historical!M95</f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8"/>
      <c r="L100" s="2"/>
      <c r="N100" s="52" t="str">
        <f t="shared" si="48"/>
        <v>Extraordinary Items</v>
      </c>
      <c r="O100" s="91">
        <f t="shared" si="61"/>
        <v>0</v>
      </c>
      <c r="P100" s="93">
        <f t="shared" si="61"/>
        <v>0</v>
      </c>
      <c r="Q100" s="17">
        <f t="shared" si="61"/>
        <v>0</v>
      </c>
      <c r="R100" s="17">
        <f t="shared" si="61"/>
        <v>0</v>
      </c>
      <c r="S100" s="17">
        <f t="shared" si="61"/>
        <v>0</v>
      </c>
      <c r="T100" s="17">
        <f t="shared" si="61"/>
        <v>0</v>
      </c>
      <c r="U100" s="17">
        <f t="shared" si="61"/>
        <v>0</v>
      </c>
      <c r="V100" s="17">
        <f t="shared" si="61"/>
        <v>0</v>
      </c>
      <c r="W100" s="17">
        <f t="shared" si="61"/>
        <v>0</v>
      </c>
      <c r="X100" s="17">
        <f>SUM(C100:J100)/SUM(C$80:J$80)</f>
        <v>0</v>
      </c>
      <c r="Y100" s="2"/>
    </row>
    <row r="101" spans="1:25" ht="12.75" customHeight="1">
      <c r="A101" s="52" t="str">
        <f>Historical!A96</f>
        <v>Income Taxes</v>
      </c>
      <c r="B101" s="77">
        <f>Historical!M96</f>
        <v>213</v>
      </c>
      <c r="C101" s="100">
        <f>Historical!N96*2+10</f>
        <v>220</v>
      </c>
      <c r="D101" s="100">
        <f ca="1">Assumptions!H$86*Forecast!D98</f>
        <v>273.63167157291792</v>
      </c>
      <c r="E101" s="100">
        <f ca="1">Assumptions!I$86*Forecast!E98</f>
        <v>304.6075236804981</v>
      </c>
      <c r="F101" s="100">
        <f ca="1">Assumptions!J$86*Forecast!F98</f>
        <v>291.53645281656577</v>
      </c>
      <c r="G101" s="100">
        <f ca="1">Assumptions!K$86*Forecast!G98</f>
        <v>282.53907070767201</v>
      </c>
      <c r="H101" s="100">
        <f ca="1">Assumptions!$C$86*Forecast!H98</f>
        <v>315.64442923604389</v>
      </c>
      <c r="I101" s="100">
        <f ca="1">Assumptions!$C$86*Forecast!I98</f>
        <v>316.98225134528616</v>
      </c>
      <c r="J101" s="100">
        <f ca="1">Assumptions!$C$86*Forecast!J98</f>
        <v>319.90378894374658</v>
      </c>
      <c r="K101" s="103">
        <f ca="1">RATE(8,,-B101,J101)</f>
        <v>5.215560373315932E-2</v>
      </c>
      <c r="L101" s="2"/>
      <c r="N101" s="52" t="str">
        <f t="shared" si="48"/>
        <v>Income Taxes</v>
      </c>
      <c r="O101" s="90">
        <f t="shared" si="61"/>
        <v>4.6445704317488005E-2</v>
      </c>
      <c r="P101" s="95">
        <f t="shared" si="61"/>
        <v>4.6928327645051192E-2</v>
      </c>
      <c r="Q101" s="18">
        <f t="shared" ca="1" si="61"/>
        <v>5.6192459921029891E-2</v>
      </c>
      <c r="R101" s="18">
        <f t="shared" ca="1" si="61"/>
        <v>6.0221503092919355E-2</v>
      </c>
      <c r="S101" s="18">
        <f t="shared" ca="1" si="61"/>
        <v>5.5488516546821021E-2</v>
      </c>
      <c r="T101" s="18">
        <f t="shared" ca="1" si="61"/>
        <v>5.1771177812290049E-2</v>
      </c>
      <c r="U101" s="18">
        <f t="shared" ca="1" si="61"/>
        <v>5.6289297862797384E-2</v>
      </c>
      <c r="V101" s="18">
        <f t="shared" ca="1" si="61"/>
        <v>5.5014962032572688E-2</v>
      </c>
      <c r="W101" s="18">
        <f t="shared" ca="1" si="61"/>
        <v>5.403602890226341E-2</v>
      </c>
      <c r="X101" s="103">
        <f ca="1">SUM(C101:J101)/SUM(C$80:J$80)</f>
        <v>5.4552576180015119E-2</v>
      </c>
      <c r="Y101" s="2"/>
    </row>
    <row r="102" spans="1:25" ht="12.75" customHeight="1" thickBot="1">
      <c r="A102" s="52" t="str">
        <f>Historical!A97</f>
        <v>Net Income</v>
      </c>
      <c r="B102" s="85">
        <f>B98-B100-B101</f>
        <v>555</v>
      </c>
      <c r="C102" s="20">
        <f ca="1">C98-C100-C101</f>
        <v>560.28391597397126</v>
      </c>
      <c r="D102" s="20">
        <f t="shared" ref="D102:J102" ca="1" si="62">D98-D100-D101</f>
        <v>553.48224477249323</v>
      </c>
      <c r="E102" s="20">
        <f t="shared" ca="1" si="62"/>
        <v>595.13654836735964</v>
      </c>
      <c r="F102" s="20">
        <f t="shared" ca="1" si="62"/>
        <v>685.23525234662884</v>
      </c>
      <c r="G102" s="20">
        <f t="shared" ca="1" si="62"/>
        <v>757.90101431536664</v>
      </c>
      <c r="H102" s="20">
        <f t="shared" ca="1" si="62"/>
        <v>724.886794462024</v>
      </c>
      <c r="I102" s="20">
        <f t="shared" ca="1" si="62"/>
        <v>727.95914261870212</v>
      </c>
      <c r="J102" s="20">
        <f t="shared" ca="1" si="62"/>
        <v>734.6685403729216</v>
      </c>
      <c r="K102" s="5">
        <f ca="1">RATE(8,,-B102,J102)</f>
        <v>3.5678134709812348E-2</v>
      </c>
      <c r="L102" s="2"/>
      <c r="N102" s="52" t="str">
        <f t="shared" si="48"/>
        <v>Net Income</v>
      </c>
      <c r="O102" s="91">
        <f t="shared" si="61"/>
        <v>0.12102049716528565</v>
      </c>
      <c r="P102" s="93">
        <f t="shared" ca="1" si="61"/>
        <v>0.11951448719581298</v>
      </c>
      <c r="Q102" s="17">
        <f t="shared" ca="1" si="61"/>
        <v>0.1136620212039014</v>
      </c>
      <c r="R102" s="17">
        <f t="shared" ca="1" si="61"/>
        <v>0.11765965940423317</v>
      </c>
      <c r="S102" s="17">
        <f t="shared" ca="1" si="61"/>
        <v>0.1304217269262887</v>
      </c>
      <c r="T102" s="17">
        <f t="shared" ca="1" si="61"/>
        <v>0.13887434427372591</v>
      </c>
      <c r="U102" s="17">
        <f t="shared" ca="1" si="61"/>
        <v>0.12927004220868998</v>
      </c>
      <c r="V102" s="17">
        <f t="shared" ca="1" si="61"/>
        <v>0.12634349217492119</v>
      </c>
      <c r="W102" s="17">
        <f t="shared" ca="1" si="61"/>
        <v>0.12409534320381448</v>
      </c>
      <c r="X102" s="72">
        <f ca="1">SUM(C102:J102)/SUM(C$80:J$80)</f>
        <v>0.12529281433023892</v>
      </c>
      <c r="Y102" s="2"/>
    </row>
    <row r="103" spans="1:25" ht="12.75" customHeight="1" thickTop="1">
      <c r="B103" s="86"/>
      <c r="C103" s="78"/>
      <c r="D103" s="78"/>
      <c r="E103" s="78"/>
      <c r="F103" s="78"/>
      <c r="G103" s="78"/>
      <c r="H103" s="78"/>
      <c r="I103" s="78"/>
      <c r="J103" s="78"/>
      <c r="K103" s="71"/>
      <c r="L103" s="2"/>
      <c r="O103" s="92"/>
      <c r="P103" s="94"/>
      <c r="Q103" s="71"/>
      <c r="R103" s="71"/>
      <c r="S103" s="71"/>
      <c r="T103" s="71"/>
      <c r="U103" s="71"/>
      <c r="V103" s="71"/>
      <c r="W103" s="71"/>
      <c r="X103" s="71"/>
      <c r="Y103" s="2"/>
    </row>
    <row r="104" spans="1:25" ht="12.75" customHeight="1">
      <c r="A104" s="52" t="str">
        <f>Historical!A99</f>
        <v>Preferred Stock Dividends</v>
      </c>
      <c r="B104" s="77">
        <f>Historical!M99</f>
        <v>2</v>
      </c>
      <c r="C104" s="2">
        <f t="shared" ref="C104:J104" si="63">C59*$B$104/$B$59</f>
        <v>2</v>
      </c>
      <c r="D104" s="2">
        <f t="shared" si="63"/>
        <v>2</v>
      </c>
      <c r="E104" s="2">
        <f t="shared" si="63"/>
        <v>2</v>
      </c>
      <c r="F104" s="2">
        <f t="shared" si="63"/>
        <v>2</v>
      </c>
      <c r="G104" s="2">
        <f t="shared" si="63"/>
        <v>2</v>
      </c>
      <c r="H104" s="2">
        <f t="shared" si="63"/>
        <v>2</v>
      </c>
      <c r="I104" s="2">
        <f t="shared" si="63"/>
        <v>2</v>
      </c>
      <c r="J104" s="2">
        <f t="shared" si="63"/>
        <v>2</v>
      </c>
      <c r="K104" s="5">
        <f>RATE(8,,-B104,J104)</f>
        <v>3.1899074321543544E-12</v>
      </c>
      <c r="L104" s="2"/>
      <c r="N104" s="52" t="str">
        <f t="shared" si="48"/>
        <v>Preferred Stock Dividends</v>
      </c>
      <c r="O104" s="90">
        <f t="shared" ref="O104:W105" si="64">B104/B$80</f>
        <v>4.3610989969472308E-4</v>
      </c>
      <c r="P104" s="95">
        <f t="shared" si="64"/>
        <v>4.2662116040955632E-4</v>
      </c>
      <c r="Q104" s="18">
        <f t="shared" si="64"/>
        <v>4.1071605196882783E-4</v>
      </c>
      <c r="R104" s="18">
        <f t="shared" si="64"/>
        <v>3.9540391100835383E-4</v>
      </c>
      <c r="S104" s="18">
        <f t="shared" si="64"/>
        <v>3.8066263076703001E-4</v>
      </c>
      <c r="T104" s="18">
        <f t="shared" si="64"/>
        <v>3.6647092865860599E-4</v>
      </c>
      <c r="U104" s="18">
        <f t="shared" si="64"/>
        <v>3.5666270429061405E-4</v>
      </c>
      <c r="V104" s="18">
        <f t="shared" si="64"/>
        <v>3.4711698714414986E-4</v>
      </c>
      <c r="W104" s="18">
        <f t="shared" si="64"/>
        <v>3.3782675147849131E-4</v>
      </c>
      <c r="X104" s="5"/>
      <c r="Y104" s="2"/>
    </row>
    <row r="105" spans="1:25" ht="12.75" customHeight="1">
      <c r="A105" s="52" t="str">
        <f>Historical!A100</f>
        <v>Common Stock Dividends</v>
      </c>
      <c r="B105" s="77">
        <f>Historical!M100</f>
        <v>550</v>
      </c>
      <c r="C105" s="2">
        <v>150</v>
      </c>
      <c r="D105" s="2">
        <v>600</v>
      </c>
      <c r="E105" s="2">
        <v>700</v>
      </c>
      <c r="F105" s="2">
        <v>700</v>
      </c>
      <c r="G105" s="2">
        <v>700</v>
      </c>
      <c r="H105" s="2">
        <v>700</v>
      </c>
      <c r="I105" s="2">
        <v>700</v>
      </c>
      <c r="J105" s="2">
        <v>700</v>
      </c>
      <c r="K105" s="5"/>
      <c r="L105" s="2"/>
      <c r="N105" s="52" t="str">
        <f t="shared" si="48"/>
        <v>Common Stock Dividends</v>
      </c>
      <c r="O105" s="90">
        <f t="shared" si="64"/>
        <v>0.11993022241604885</v>
      </c>
      <c r="P105" s="95">
        <f t="shared" si="64"/>
        <v>3.1996587030716721E-2</v>
      </c>
      <c r="Q105" s="18">
        <f t="shared" si="64"/>
        <v>0.12321481559064834</v>
      </c>
      <c r="R105" s="18">
        <f t="shared" si="64"/>
        <v>0.13839136885292386</v>
      </c>
      <c r="S105" s="18">
        <f t="shared" si="64"/>
        <v>0.13323192076846049</v>
      </c>
      <c r="T105" s="18">
        <f t="shared" si="64"/>
        <v>0.12826482503051209</v>
      </c>
      <c r="U105" s="18">
        <f t="shared" si="64"/>
        <v>0.12483194650171492</v>
      </c>
      <c r="V105" s="18">
        <f t="shared" si="64"/>
        <v>0.12149094550045245</v>
      </c>
      <c r="W105" s="18">
        <f t="shared" si="64"/>
        <v>0.11823936301747197</v>
      </c>
      <c r="X105" s="5"/>
      <c r="Y105" s="2"/>
    </row>
    <row r="106" spans="1:25" ht="12.75" customHeight="1"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O106" s="18"/>
      <c r="P106" s="18"/>
      <c r="Q106" s="18"/>
      <c r="R106" s="18"/>
      <c r="S106" s="18"/>
      <c r="T106" s="18"/>
      <c r="U106" s="18"/>
      <c r="V106" s="18"/>
      <c r="W106" s="18"/>
      <c r="X106" s="5"/>
      <c r="Y106" s="2"/>
    </row>
    <row r="107" spans="1:25" ht="12.75" customHeight="1">
      <c r="B107" s="19"/>
      <c r="C107" s="2"/>
      <c r="D107" s="2"/>
      <c r="E107" s="2"/>
      <c r="F107" s="2"/>
      <c r="G107" s="2"/>
      <c r="H107" s="2"/>
      <c r="I107" s="2"/>
      <c r="J107" s="2"/>
      <c r="K107" s="2"/>
      <c r="L107" s="2"/>
      <c r="O107" s="18"/>
      <c r="P107" s="18"/>
      <c r="Q107" s="18"/>
      <c r="R107" s="18"/>
      <c r="S107" s="18"/>
      <c r="T107" s="18"/>
      <c r="U107" s="18"/>
      <c r="V107" s="18"/>
      <c r="W107" s="18"/>
      <c r="X107" s="5"/>
      <c r="Y107" s="2"/>
    </row>
    <row r="108" spans="1:25" ht="12.75" customHeight="1">
      <c r="B108" s="19"/>
      <c r="C108" s="2"/>
      <c r="D108" s="2"/>
      <c r="E108" s="2"/>
      <c r="F108" s="2"/>
      <c r="G108" s="2"/>
      <c r="H108" s="2"/>
      <c r="I108" s="2"/>
      <c r="J108" s="2"/>
      <c r="K108" s="283" t="s">
        <v>218</v>
      </c>
      <c r="L108" s="2"/>
      <c r="O108" s="18"/>
      <c r="P108" s="18"/>
      <c r="Q108" s="18"/>
      <c r="R108" s="18"/>
      <c r="S108" s="18"/>
      <c r="T108" s="18"/>
      <c r="U108" s="18"/>
      <c r="V108" s="18"/>
      <c r="W108" s="18"/>
      <c r="X108" s="5"/>
      <c r="Y108" s="2"/>
    </row>
    <row r="109" spans="1:25" ht="12.75" customHeight="1">
      <c r="A109" s="111"/>
      <c r="B109" s="19"/>
      <c r="C109" s="2"/>
      <c r="D109" s="2"/>
      <c r="E109" s="2"/>
      <c r="F109" s="2"/>
      <c r="G109" s="2"/>
      <c r="H109" s="2"/>
      <c r="I109" s="2"/>
      <c r="J109" s="2"/>
      <c r="K109" s="284" t="s">
        <v>213</v>
      </c>
      <c r="L109" s="2"/>
      <c r="N109" s="111"/>
      <c r="O109" s="19"/>
      <c r="P109" s="2"/>
      <c r="Q109" s="2"/>
      <c r="R109" s="2"/>
      <c r="S109" s="2"/>
      <c r="T109" s="2"/>
      <c r="U109" s="2"/>
      <c r="V109" s="2"/>
      <c r="W109" s="2"/>
      <c r="X109" s="5"/>
      <c r="Y109" s="2"/>
    </row>
    <row r="110" spans="1:25" ht="15.95" customHeight="1">
      <c r="A110" s="217" t="str">
        <f>A4</f>
        <v>PacifiCorp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Y110" s="2"/>
    </row>
    <row r="111" spans="1:25" ht="12.75" customHeight="1">
      <c r="A111" s="218" t="s">
        <v>153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73"/>
      <c r="Y111" s="2"/>
    </row>
    <row r="112" spans="1:25" ht="12.75" customHeight="1">
      <c r="A112" s="136">
        <f ca="1">A6</f>
        <v>41169.592767361108</v>
      </c>
      <c r="B112" s="106"/>
      <c r="C112" s="12"/>
      <c r="D112" s="12"/>
      <c r="E112" s="12"/>
      <c r="F112" s="12"/>
      <c r="G112" s="12"/>
      <c r="H112" s="12"/>
      <c r="I112" s="12"/>
      <c r="J112" s="12"/>
      <c r="K112" s="13"/>
      <c r="L112" s="2"/>
    </row>
    <row r="113" spans="1:12" ht="12.75" customHeight="1">
      <c r="B113" s="106"/>
      <c r="C113" s="10"/>
      <c r="D113" s="12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>
      <c r="A114" s="107"/>
      <c r="B114" s="106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>
      <c r="A115" s="111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>
      <c r="A116" s="111"/>
      <c r="B116" s="19"/>
      <c r="C116" s="10"/>
      <c r="D116" s="10"/>
      <c r="E116" s="12"/>
      <c r="F116" s="12"/>
      <c r="G116" s="12"/>
      <c r="H116" s="12"/>
      <c r="I116" s="12"/>
      <c r="J116" s="12"/>
      <c r="K116" s="13"/>
      <c r="L116" s="2"/>
    </row>
    <row r="117" spans="1:12" ht="12.75" customHeight="1">
      <c r="A117" s="111"/>
      <c r="B117" s="19"/>
      <c r="C117" s="2"/>
      <c r="D117" s="2"/>
      <c r="E117" s="2"/>
      <c r="F117" s="2"/>
      <c r="G117" s="2"/>
      <c r="H117" s="2"/>
      <c r="I117" s="2"/>
      <c r="J117" s="2"/>
      <c r="K117" s="99" t="s">
        <v>125</v>
      </c>
      <c r="L117" s="2"/>
    </row>
    <row r="118" spans="1:12" ht="12.75" customHeight="1">
      <c r="B118" s="74" t="s">
        <v>124</v>
      </c>
      <c r="C118" s="14" t="s">
        <v>125</v>
      </c>
      <c r="D118" s="14" t="s">
        <v>125</v>
      </c>
      <c r="E118" s="14" t="s">
        <v>125</v>
      </c>
      <c r="F118" s="14" t="s">
        <v>125</v>
      </c>
      <c r="G118" s="14" t="s">
        <v>125</v>
      </c>
      <c r="H118" s="14" t="s">
        <v>125</v>
      </c>
      <c r="I118" s="14" t="s">
        <v>125</v>
      </c>
      <c r="J118" s="14" t="s">
        <v>125</v>
      </c>
      <c r="K118" s="99" t="s">
        <v>142</v>
      </c>
      <c r="L118" s="2"/>
    </row>
    <row r="119" spans="1:12" ht="12.75" customHeight="1">
      <c r="A119" s="193" t="str">
        <f>Historical!A111</f>
        <v>Ratio Group And Name</v>
      </c>
      <c r="B119" s="98" t="s">
        <v>3</v>
      </c>
      <c r="C119" s="4">
        <f t="shared" ref="C119:J119" si="65">P77</f>
        <v>2012</v>
      </c>
      <c r="D119" s="4">
        <f t="shared" si="65"/>
        <v>2013</v>
      </c>
      <c r="E119" s="4">
        <f t="shared" si="65"/>
        <v>2014</v>
      </c>
      <c r="F119" s="4">
        <f t="shared" si="65"/>
        <v>2015</v>
      </c>
      <c r="G119" s="4">
        <f t="shared" si="65"/>
        <v>2016</v>
      </c>
      <c r="H119" s="4">
        <f t="shared" si="65"/>
        <v>2017</v>
      </c>
      <c r="I119" s="4">
        <f t="shared" si="65"/>
        <v>2018</v>
      </c>
      <c r="J119" s="4">
        <f t="shared" si="65"/>
        <v>2019</v>
      </c>
      <c r="K119" s="79" t="s">
        <v>3</v>
      </c>
      <c r="L119" s="2"/>
    </row>
    <row r="120" spans="1:12" ht="6.95" customHeight="1">
      <c r="A120" s="264"/>
      <c r="B120" s="85"/>
      <c r="C120" s="22"/>
      <c r="D120" s="22"/>
      <c r="E120" s="22"/>
      <c r="F120" s="22"/>
      <c r="G120" s="22"/>
      <c r="H120" s="22"/>
      <c r="I120" s="22"/>
      <c r="J120" s="22"/>
      <c r="K120" s="80"/>
      <c r="L120" s="2"/>
    </row>
    <row r="121" spans="1:12" ht="12.75" customHeight="1">
      <c r="A121" s="193" t="str">
        <f>Historical!A113</f>
        <v>Short-term Liquidity Ratios:</v>
      </c>
      <c r="B121" s="89"/>
      <c r="C121" s="8"/>
      <c r="D121" s="8"/>
      <c r="E121" s="8"/>
      <c r="F121" s="8"/>
      <c r="H121" s="2"/>
      <c r="I121" s="2"/>
      <c r="K121" s="8"/>
      <c r="L121" s="2"/>
    </row>
    <row r="122" spans="1:12" ht="12.75" customHeight="1">
      <c r="A122" s="52" t="str">
        <f>Historical!A114</f>
        <v>Current</v>
      </c>
      <c r="B122" s="89">
        <f>Historical!O114</f>
        <v>1.1034510934862962</v>
      </c>
      <c r="C122" s="8">
        <f t="shared" ref="C122:J122" ca="1" si="66">C17/C48</f>
        <v>1.132505087779071</v>
      </c>
      <c r="D122" s="8">
        <f t="shared" ca="1" si="66"/>
        <v>0.99447357213554111</v>
      </c>
      <c r="E122" s="8">
        <f t="shared" ca="1" si="66"/>
        <v>0.98281110263831073</v>
      </c>
      <c r="F122" s="8">
        <f t="shared" ca="1" si="66"/>
        <v>0.99268101703808864</v>
      </c>
      <c r="G122" s="8">
        <f t="shared" ca="1" si="66"/>
        <v>1.0018868523463522</v>
      </c>
      <c r="H122" s="8">
        <f t="shared" ca="1" si="66"/>
        <v>1.0104719526090358</v>
      </c>
      <c r="I122" s="8">
        <f t="shared" ca="1" si="66"/>
        <v>1.0184971167228545</v>
      </c>
      <c r="J122" s="8">
        <f t="shared" ca="1" si="66"/>
        <v>1.0259717726331807</v>
      </c>
      <c r="K122" s="8">
        <f ca="1">AVERAGE(C122:J122)</f>
        <v>1.0199123092378044</v>
      </c>
      <c r="L122" s="2"/>
    </row>
    <row r="123" spans="1:12" ht="12.75" customHeight="1">
      <c r="A123" s="52" t="str">
        <f>Historical!A115</f>
        <v>Quick</v>
      </c>
      <c r="B123" s="89">
        <f>Historical!O115</f>
        <v>0.52153369183055942</v>
      </c>
      <c r="C123" s="8">
        <f t="shared" ref="C123:J123" ca="1" si="67">SUM(C12:C14)/C48</f>
        <v>0.4819397627579598</v>
      </c>
      <c r="D123" s="8">
        <f t="shared" ca="1" si="67"/>
        <v>0.42709660600978117</v>
      </c>
      <c r="E123" s="8">
        <f t="shared" ca="1" si="67"/>
        <v>0.42594191948563181</v>
      </c>
      <c r="F123" s="8">
        <f t="shared" ca="1" si="67"/>
        <v>0.43411494148020546</v>
      </c>
      <c r="G123" s="8">
        <f t="shared" ca="1" si="67"/>
        <v>0.44207470733269683</v>
      </c>
      <c r="H123" s="8">
        <f t="shared" ca="1" si="67"/>
        <v>0.44712202903916937</v>
      </c>
      <c r="I123" s="8">
        <f t="shared" ca="1" si="67"/>
        <v>0.45193733922489937</v>
      </c>
      <c r="J123" s="8">
        <f t="shared" ca="1" si="67"/>
        <v>0.45652260256334604</v>
      </c>
      <c r="K123" s="8">
        <f ca="1">AVERAGE(C123:J123)</f>
        <v>0.44584373848671122</v>
      </c>
      <c r="L123" s="2"/>
    </row>
    <row r="124" spans="1:12" ht="12.75" customHeight="1">
      <c r="A124" s="52" t="str">
        <f>Historical!A116</f>
        <v>Days Revenues Cash</v>
      </c>
      <c r="B124" s="89">
        <f>Historical!O116</f>
        <v>8.5895792850651382</v>
      </c>
      <c r="C124" s="178">
        <f ca="1">((C80/365)/((B12+B13+C12+C13)/2))^-1</f>
        <v>4.4125460825034395</v>
      </c>
      <c r="D124" s="178">
        <f t="shared" ref="D124:J124" ca="1" si="68">((D80/365)/((C12+C13+D12+D13)/2))^-1</f>
        <v>5.0694555312992033</v>
      </c>
      <c r="E124" s="178">
        <f t="shared" ca="1" si="68"/>
        <v>5.0694555312992042</v>
      </c>
      <c r="F124" s="178">
        <f t="shared" ca="1" si="68"/>
        <v>5.0694555312992051</v>
      </c>
      <c r="G124" s="178">
        <f t="shared" ca="1" si="68"/>
        <v>5.0694555312992051</v>
      </c>
      <c r="H124" s="178">
        <f t="shared" ca="1" si="68"/>
        <v>5.0966211314509273</v>
      </c>
      <c r="I124" s="178">
        <f t="shared" ca="1" si="68"/>
        <v>5.0966211314509264</v>
      </c>
      <c r="J124" s="178">
        <f t="shared" ca="1" si="68"/>
        <v>5.0966211314509273</v>
      </c>
      <c r="K124" s="8">
        <f ca="1">AVERAGE(C124:J124)</f>
        <v>4.9975289502566298</v>
      </c>
      <c r="L124" s="2"/>
    </row>
    <row r="125" spans="1:12" ht="12.75" customHeight="1">
      <c r="A125" s="52" t="str">
        <f>Historical!A117</f>
        <v>Days Revenues Receivable</v>
      </c>
      <c r="B125" s="89">
        <f>Historical!O117</f>
        <v>48.166140216355601</v>
      </c>
      <c r="C125" s="8">
        <f t="shared" ref="C125:J125" si="69">365*(((B14+C14)/2)/((B80+C80)/2))</f>
        <v>51.357238454359177</v>
      </c>
      <c r="D125" s="8">
        <f t="shared" si="69"/>
        <v>50.755552351904221</v>
      </c>
      <c r="E125" s="8">
        <f t="shared" si="69"/>
        <v>50.755552351904235</v>
      </c>
      <c r="F125" s="8">
        <f t="shared" si="69"/>
        <v>50.755552351904221</v>
      </c>
      <c r="G125" s="8">
        <f t="shared" si="69"/>
        <v>50.755552351904235</v>
      </c>
      <c r="H125" s="8">
        <f t="shared" si="69"/>
        <v>50.755552351904235</v>
      </c>
      <c r="I125" s="8">
        <f t="shared" si="69"/>
        <v>50.755552351904235</v>
      </c>
      <c r="J125" s="8">
        <f t="shared" si="69"/>
        <v>50.755552351904235</v>
      </c>
      <c r="K125" s="8">
        <f>AVERAGE(C125:J125)</f>
        <v>50.830763114711097</v>
      </c>
      <c r="L125" s="2"/>
    </row>
    <row r="126" spans="1:12" ht="6.95" customHeight="1"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>
      <c r="A127" s="193" t="str">
        <f>Historical!A119</f>
        <v>Long-term Solvency Ratios:</v>
      </c>
      <c r="B127" s="89"/>
      <c r="C127" s="8"/>
      <c r="D127" s="8"/>
      <c r="E127" s="8"/>
      <c r="F127" s="8"/>
      <c r="G127" s="8"/>
      <c r="H127" s="8"/>
      <c r="I127" s="81"/>
      <c r="J127" s="81"/>
      <c r="K127" s="8"/>
      <c r="L127" s="2"/>
    </row>
    <row r="128" spans="1:12" ht="12.75" customHeight="1">
      <c r="A128" s="52" t="str">
        <f>Historical!A120</f>
        <v>Net Worth/Total Debt</v>
      </c>
      <c r="B128" s="89">
        <f>Historical!O120</f>
        <v>0.53922108545238934</v>
      </c>
      <c r="C128" s="8">
        <f t="shared" ref="C128:J128" ca="1" si="70">C64/(C57+C59)</f>
        <v>0.54001801489955326</v>
      </c>
      <c r="D128" s="8">
        <f t="shared" ca="1" si="70"/>
        <v>0.50607094581725076</v>
      </c>
      <c r="E128" s="8">
        <f t="shared" ca="1" si="70"/>
        <v>0.48620769016994758</v>
      </c>
      <c r="F128" s="8">
        <f t="shared" ca="1" si="70"/>
        <v>0.46024776979943133</v>
      </c>
      <c r="G128" s="8">
        <f t="shared" ca="1" si="70"/>
        <v>0.44212291425386152</v>
      </c>
      <c r="H128" s="8">
        <f t="shared" ca="1" si="70"/>
        <v>0.42244181484975452</v>
      </c>
      <c r="I128" s="8">
        <f t="shared" ca="1" si="70"/>
        <v>0.40405790970393041</v>
      </c>
      <c r="J128" s="8">
        <f t="shared" ca="1" si="70"/>
        <v>0.38711207626394717</v>
      </c>
      <c r="K128" s="8">
        <f ca="1">AVERAGE(C128:J128)</f>
        <v>0.45603489196970959</v>
      </c>
      <c r="L128" s="2"/>
    </row>
    <row r="129" spans="1:12" ht="12.75" customHeight="1">
      <c r="A129" s="52" t="str">
        <f>Historical!A121</f>
        <v>Net Worth/Non Current Debt</v>
      </c>
      <c r="B129" s="89">
        <f>Historical!O121</f>
        <v>0.61309327935511282</v>
      </c>
      <c r="C129" s="8">
        <f t="shared" ref="C129:J129" ca="1" si="71">C64/(C55+C59)</f>
        <v>0.60323817435556304</v>
      </c>
      <c r="D129" s="8">
        <f t="shared" ca="1" si="71"/>
        <v>0.57238025463790809</v>
      </c>
      <c r="E129" s="8">
        <f t="shared" ca="1" si="71"/>
        <v>0.5509881382846995</v>
      </c>
      <c r="F129" s="8">
        <f t="shared" ca="1" si="71"/>
        <v>0.51927986253363978</v>
      </c>
      <c r="G129" s="8">
        <f t="shared" ca="1" si="71"/>
        <v>0.49708404791564248</v>
      </c>
      <c r="H129" s="8">
        <f t="shared" ca="1" si="71"/>
        <v>0.47305981101510636</v>
      </c>
      <c r="I129" s="8">
        <f t="shared" ca="1" si="71"/>
        <v>0.45079848851801296</v>
      </c>
      <c r="J129" s="8">
        <f t="shared" ca="1" si="71"/>
        <v>0.43041641436996242</v>
      </c>
      <c r="K129" s="8">
        <f ca="1">AVERAGE(C129:J129)</f>
        <v>0.51215564895381682</v>
      </c>
      <c r="L129" s="2"/>
    </row>
    <row r="130" spans="1:12" ht="12.75" customHeight="1">
      <c r="A130" s="52" t="str">
        <f>Historical!A122</f>
        <v>Net Worth/Fixed Assets</v>
      </c>
      <c r="B130" s="89">
        <f>Historical!O122</f>
        <v>0.43076677452847889</v>
      </c>
      <c r="C130" s="8">
        <f t="shared" ref="C130:J130" ca="1" si="72">C64/C28</f>
        <v>0.42337256850190019</v>
      </c>
      <c r="D130" s="8">
        <f t="shared" ca="1" si="72"/>
        <v>0.40508452791759375</v>
      </c>
      <c r="E130" s="8">
        <f t="shared" ca="1" si="72"/>
        <v>0.39550215260925536</v>
      </c>
      <c r="F130" s="8">
        <f t="shared" ca="1" si="72"/>
        <v>0.38055138901731933</v>
      </c>
      <c r="G130" s="8">
        <f t="shared" ca="1" si="72"/>
        <v>0.36968457112168635</v>
      </c>
      <c r="H130" s="8">
        <f t="shared" ca="1" si="72"/>
        <v>0.35752279048247676</v>
      </c>
      <c r="I130" s="8">
        <f t="shared" ca="1" si="72"/>
        <v>0.34586992798641192</v>
      </c>
      <c r="J130" s="8">
        <f t="shared" ca="1" si="72"/>
        <v>0.3348610417164507</v>
      </c>
      <c r="K130" s="8">
        <f ca="1">AVERAGE(C130:J130)</f>
        <v>0.37655612116913684</v>
      </c>
      <c r="L130" s="2"/>
    </row>
    <row r="131" spans="1:12" ht="12.75" customHeight="1">
      <c r="A131" s="52" t="str">
        <f>Historical!A123</f>
        <v>Times Interest Earned</v>
      </c>
      <c r="B131" s="89">
        <f>Historical!O123</f>
        <v>3.2313662253913562</v>
      </c>
      <c r="C131" s="8">
        <f ca="1">(C98+C91+C93)/(C91+C93)</f>
        <v>3.1698700775090707</v>
      </c>
      <c r="D131" s="8">
        <f t="shared" ref="D131:I131" ca="1" si="73">(D98+D91+D94)/(D91+D94)</f>
        <v>3.273744266292717</v>
      </c>
      <c r="E131" s="8">
        <f t="shared" ca="1" si="73"/>
        <v>3.5162515007926696</v>
      </c>
      <c r="F131" s="8">
        <f t="shared" ca="1" si="73"/>
        <v>3.7678669409400114</v>
      </c>
      <c r="G131" s="8">
        <f t="shared" ca="1" si="73"/>
        <v>3.8507883527378231</v>
      </c>
      <c r="H131" s="8">
        <f t="shared" ca="1" si="73"/>
        <v>3.7086801108194805</v>
      </c>
      <c r="I131" s="8">
        <f t="shared" ca="1" si="73"/>
        <v>3.6207778946884535</v>
      </c>
      <c r="J131" s="8">
        <f ca="1">(J98+J91+J94)/(J91+J94)</f>
        <v>3.5864591488626507</v>
      </c>
      <c r="K131" s="8">
        <f ca="1">AVERAGE(C131:J131)</f>
        <v>3.5618047865803595</v>
      </c>
      <c r="L131" s="2"/>
    </row>
    <row r="132" spans="1:12" ht="6.95" customHeight="1">
      <c r="B132" s="89"/>
      <c r="C132" s="8"/>
      <c r="D132" s="8"/>
      <c r="E132" s="8"/>
      <c r="F132" s="8"/>
      <c r="G132" s="8"/>
      <c r="H132" s="8"/>
      <c r="I132" s="81"/>
      <c r="J132" s="81"/>
      <c r="K132" s="8"/>
      <c r="L132" s="2"/>
    </row>
    <row r="133" spans="1:12" ht="12.75" customHeight="1">
      <c r="A133" s="193" t="str">
        <f>Historical!A126</f>
        <v>Profitability Ratios:</v>
      </c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>
      <c r="A134" s="52" t="str">
        <f>Historical!A127</f>
        <v>Return On Total Assets</v>
      </c>
      <c r="B134" s="90">
        <f>Historical!O127</f>
        <v>4.2714730791948027E-2</v>
      </c>
      <c r="C134" s="5">
        <f t="shared" ref="C134" ca="1" si="74">(C102+((C91+C92)*(1-(C101/C98))))/((B38+C38)/2)</f>
        <v>3.8045527663086005E-2</v>
      </c>
      <c r="D134" s="5">
        <f t="shared" ref="D134" ca="1" si="75">(D102+((D91+D92)*(1-(D101/D98))))/((C38+D38)/2)</f>
        <v>3.5367300672600376E-2</v>
      </c>
      <c r="E134" s="5">
        <f t="shared" ref="E134" ca="1" si="76">(E102+((E91+E92)*(1-(E101/E98))))/((D38+E38)/2)</f>
        <v>3.5897084678650777E-2</v>
      </c>
      <c r="F134" s="5">
        <f t="shared" ref="F134" ca="1" si="77">(F102+((F91+F92)*(1-(F101/F98))))/((E38+F38)/2)</f>
        <v>3.9062581992701739E-2</v>
      </c>
      <c r="G134" s="5">
        <f t="shared" ref="G134" ca="1" si="78">(G102+((G91+G92)*(1-(G101/G98))))/((F38+G38)/2)</f>
        <v>4.0656036792530242E-2</v>
      </c>
      <c r="H134" s="5">
        <f t="shared" ref="H134" ca="1" si="79">(H102+((H91+H92)*(1-(H101/H98))))/((G38+H38)/2)</f>
        <v>3.7177227410976919E-2</v>
      </c>
      <c r="I134" s="5">
        <f t="shared" ref="I134" ca="1" si="80">(I102+((I91+I92)*(1-(I101/I98))))/((H38+I38)/2)</f>
        <v>3.567915273827358E-2</v>
      </c>
      <c r="J134" s="5">
        <f t="shared" ref="J134" ca="1" si="81">(J102+((J91+J92)*(1-(J101/J98))))/((I38+J38)/2)</f>
        <v>3.4386868824146703E-2</v>
      </c>
      <c r="K134" s="5">
        <f ca="1">AVERAGE(C134:J134)</f>
        <v>3.7033972596620793E-2</v>
      </c>
      <c r="L134" s="2"/>
    </row>
    <row r="135" spans="1:12" ht="12.75" customHeight="1">
      <c r="A135" s="52" t="str">
        <f>Historical!A128</f>
        <v>Return On Total Capital</v>
      </c>
      <c r="B135" s="90">
        <f>Historical!O128</f>
        <v>6.4730352842520378E-2</v>
      </c>
      <c r="C135" s="5">
        <f t="shared" ref="C135" ca="1" si="82">(C102+((C91+C92+C93)*(1-(C101/C98))))/((B42+B43+B50+B59+B64+C42+C43+C50+C59+C64)/2)</f>
        <v>5.7499563926651474E-2</v>
      </c>
      <c r="D135" s="5">
        <f t="shared" ref="D135" ca="1" si="83">(D102+((D91+D92+D93)*(1-(D101/D98))))/((C42+C43+C50+C59+C64+D42+D43+D50+D59+D64)/2)</f>
        <v>5.5597369049578751E-2</v>
      </c>
      <c r="E135" s="5">
        <f t="shared" ref="E135" ca="1" si="84">(E102+((E91+E92+E93)*(1-(E101/E98))))/((D42+D43+D50+D59+D64+E42+E43+E50+E59+E64)/2)</f>
        <v>5.8722848097778606E-2</v>
      </c>
      <c r="F135" s="5">
        <f t="shared" ref="F135" ca="1" si="85">(F102+((F91+F92+F93)*(1-(F101/F98))))/((E42+E43+E50+E59+E64+F42+F43+F50+F59+F64)/2)</f>
        <v>6.6900022866746442E-2</v>
      </c>
      <c r="G135" s="5">
        <f t="shared" ref="G135" ca="1" si="86">(G102+((G91+G92+G93)*(1-(G101/G98))))/((F42+F43+F50+F59+F64+G42+G43+G50+G59+G64)/2)</f>
        <v>7.3371925745742458E-2</v>
      </c>
      <c r="H135" s="5">
        <f t="shared" ref="H135" ca="1" si="87">(H102+((H91+H92+H93)*(1-(H101/H98))))/((G42+G43+G50+G59+G64+H42+H43+H50+H59+H64)/2)</f>
        <v>7.0548680395204871E-2</v>
      </c>
      <c r="I135" s="5">
        <f t="shared" ref="I135" ca="1" si="88">(I102+((I91+I92+I93)*(1-(I101/I98))))/((H42+H43+H50+H59+H64+I42+I43+I50+I59+I64)/2)</f>
        <v>7.1225482487326297E-2</v>
      </c>
      <c r="J135" s="5">
        <f t="shared" ref="J135" ca="1" si="89">(J102+((J91+J92+J93)*(1-(J101/J98))))/((I42+I43+I50+I59+I64+J42+J43+J50+J59+J64)/2)</f>
        <v>7.2153450044142114E-2</v>
      </c>
      <c r="K135" s="5">
        <f ca="1">AVERAGE(C135:J135)</f>
        <v>6.575241782664637E-2</v>
      </c>
      <c r="L135" s="2"/>
    </row>
    <row r="136" spans="1:12" ht="12.75" customHeight="1">
      <c r="A136" s="52" t="str">
        <f>Historical!A129</f>
        <v>Return On Common Equity</v>
      </c>
      <c r="B136" s="90">
        <f>Historical!O129</f>
        <v>8.4926882103650125E-2</v>
      </c>
      <c r="C136" s="5">
        <f t="shared" ref="C136" ca="1" si="90">(C102-C104)/((C64+B64)/2)</f>
        <v>7.4685392861405034E-2</v>
      </c>
      <c r="D136" s="5">
        <f t="shared" ref="D136" ca="1" si="91">(D102-D104)/((D64+C64)/2)</f>
        <v>7.2041859506590464E-2</v>
      </c>
      <c r="E136" s="5">
        <f t="shared" ref="E136" ca="1" si="92">(E102-E104)/((E64+D64)/2)</f>
        <v>7.8277729573446309E-2</v>
      </c>
      <c r="F136" s="5">
        <f t="shared" ref="F136" ca="1" si="93">(F102-F104)/((F64+E64)/2)</f>
        <v>9.0909903319332672E-2</v>
      </c>
      <c r="G136" s="5">
        <f t="shared" ref="G136" ca="1" si="94">(G102-G104)/((G64+F64)/2)</f>
        <v>0.10031746400147699</v>
      </c>
      <c r="H136" s="5">
        <f t="shared" ref="H136" ca="1" si="95">(H102-H104)/((H64+G64)/2)</f>
        <v>9.543711189874593E-2</v>
      </c>
      <c r="I136" s="5">
        <f t="shared" ref="I136" ca="1" si="96">(I102-I104)/((I64+H64)/2)</f>
        <v>9.5534686102382554E-2</v>
      </c>
      <c r="J136" s="5">
        <f t="shared" ref="J136" ca="1" si="97">(J102-J104)/((J64+I64)/2)</f>
        <v>9.6047108364207545E-2</v>
      </c>
      <c r="K136" s="5">
        <f ca="1">AVERAGE(C136:J136)</f>
        <v>8.7906406953448452E-2</v>
      </c>
      <c r="L136" s="2"/>
    </row>
    <row r="137" spans="1:12" ht="6.95" customHeight="1">
      <c r="B137" s="89"/>
      <c r="C137" s="8"/>
      <c r="D137" s="8"/>
      <c r="E137" s="8"/>
      <c r="F137" s="8"/>
      <c r="G137" s="8"/>
      <c r="H137" s="8"/>
      <c r="I137" s="81"/>
      <c r="J137" s="81"/>
      <c r="K137" s="8"/>
      <c r="L137" s="2"/>
    </row>
    <row r="138" spans="1:12" ht="12.75" customHeight="1">
      <c r="A138" s="193" t="str">
        <f>Historical!A131</f>
        <v>Asset-Utilization Ratios:</v>
      </c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>
      <c r="A139" s="52" t="str">
        <f>Historical!A132</f>
        <v>Revenues/Fixed Assets</v>
      </c>
      <c r="B139" s="89">
        <f>Historical!O132</f>
        <v>0.31821699731338909</v>
      </c>
      <c r="C139" s="8">
        <f t="shared" ref="C139:J139" si="98">C80/((B28+C28)/2)</f>
        <v>0.2640207537592133</v>
      </c>
      <c r="D139" s="8">
        <f t="shared" si="98"/>
        <v>0.26339069309712465</v>
      </c>
      <c r="E139" s="8">
        <f t="shared" si="98"/>
        <v>0.26719318013856813</v>
      </c>
      <c r="F139" s="8">
        <f t="shared" si="98"/>
        <v>0.27116927872209801</v>
      </c>
      <c r="G139" s="8">
        <f t="shared" si="98"/>
        <v>0.27161609803928322</v>
      </c>
      <c r="H139" s="8">
        <f t="shared" si="98"/>
        <v>0.26910087352448131</v>
      </c>
      <c r="I139" s="8">
        <f t="shared" si="98"/>
        <v>0.26658726735670818</v>
      </c>
      <c r="J139" s="8">
        <f t="shared" si="98"/>
        <v>0.26407639554089435</v>
      </c>
      <c r="K139" s="102">
        <f>AVERAGE(C139:J139)</f>
        <v>0.26714431752229639</v>
      </c>
      <c r="L139" s="2"/>
    </row>
    <row r="140" spans="1:12" ht="12.75" customHeight="1">
      <c r="A140" s="52" t="str">
        <f>Historical!A133</f>
        <v>Revenues/Total Assets</v>
      </c>
      <c r="B140" s="89">
        <f>Historical!O133</f>
        <v>0.25685423740051871</v>
      </c>
      <c r="C140" s="8">
        <f t="shared" ref="C140:J140" ca="1" si="99">C80/C38</f>
        <v>0.21406659959304747</v>
      </c>
      <c r="D140" s="8">
        <f t="shared" ca="1" si="99"/>
        <v>0.21443016419366814</v>
      </c>
      <c r="E140" s="8">
        <f t="shared" ca="1" si="99"/>
        <v>0.21993158983639383</v>
      </c>
      <c r="F140" s="8">
        <f t="shared" ca="1" si="99"/>
        <v>0.22058681322678905</v>
      </c>
      <c r="G140" s="8">
        <f t="shared" ca="1" si="99"/>
        <v>0.22122467296798895</v>
      </c>
      <c r="H140" s="8">
        <f t="shared" ca="1" si="99"/>
        <v>0.2195303043876729</v>
      </c>
      <c r="I140" s="8">
        <f t="shared" ca="1" si="99"/>
        <v>0.21783048341817468</v>
      </c>
      <c r="J140" s="8">
        <f t="shared" ca="1" si="99"/>
        <v>0.216126000390686</v>
      </c>
      <c r="K140" s="102">
        <f ca="1">AVERAGE(C140:J140)</f>
        <v>0.2179658285018026</v>
      </c>
      <c r="L140" s="2"/>
    </row>
    <row r="141" spans="1:12" ht="6.95" customHeight="1">
      <c r="B141" s="89"/>
      <c r="C141" s="2"/>
      <c r="D141" s="2"/>
      <c r="E141" s="2"/>
      <c r="F141" s="2"/>
      <c r="G141" s="2"/>
      <c r="H141" s="2"/>
      <c r="I141" s="2"/>
      <c r="J141" s="2"/>
      <c r="K141" s="5"/>
      <c r="L141" s="2"/>
    </row>
    <row r="142" spans="1:12" ht="12.75" customHeight="1">
      <c r="A142" s="193" t="str">
        <f>Historical!A135</f>
        <v>Regulatory Capital Structure</v>
      </c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>
      <c r="A143" s="52" t="str">
        <f>Historical!A136</f>
        <v>Common Equity</v>
      </c>
      <c r="B143" s="90">
        <f>Historical!O136</f>
        <v>0.51727240383638462</v>
      </c>
      <c r="C143" s="141">
        <f t="shared" ref="C143:J143" ca="1" si="100">C64/C$146</f>
        <v>0.53808042209805329</v>
      </c>
      <c r="D143" s="141">
        <f t="shared" ca="1" si="100"/>
        <v>0.53794254111135154</v>
      </c>
      <c r="E143" s="141">
        <f t="shared" ca="1" si="100"/>
        <v>0.54683266748120718</v>
      </c>
      <c r="F143" s="141">
        <f t="shared" ca="1" si="100"/>
        <v>0.54017743236049176</v>
      </c>
      <c r="G143" s="141">
        <f t="shared" ca="1" si="100"/>
        <v>0.52771289438879621</v>
      </c>
      <c r="H143" s="141">
        <f t="shared" ca="1" si="100"/>
        <v>0.51283554243904583</v>
      </c>
      <c r="I143" s="141">
        <f t="shared" ca="1" si="100"/>
        <v>0.5071320004309624</v>
      </c>
      <c r="J143" s="141">
        <f t="shared" ca="1" si="100"/>
        <v>0.50109589703783641</v>
      </c>
      <c r="K143" s="5">
        <f ca="1">AVERAGE(C143:J143)</f>
        <v>0.52647617466846797</v>
      </c>
      <c r="L143" s="2"/>
    </row>
    <row r="144" spans="1:12" ht="12.75" customHeight="1">
      <c r="A144" s="52" t="str">
        <f>Historical!A137</f>
        <v>Preferred Stock</v>
      </c>
      <c r="B144" s="90">
        <f>Historical!O137</f>
        <v>3.3329742983211029E-3</v>
      </c>
      <c r="C144" s="141">
        <f t="shared" ref="C144:J144" ca="1" si="101">C59/C$146</f>
        <v>2.8728325951020111E-3</v>
      </c>
      <c r="D144" s="141">
        <f t="shared" ca="1" si="101"/>
        <v>2.8903577138143515E-3</v>
      </c>
      <c r="E144" s="141">
        <f t="shared" ca="1" si="101"/>
        <v>2.9798549551953058E-3</v>
      </c>
      <c r="F144" s="141">
        <f t="shared" ca="1" si="101"/>
        <v>2.9501620712083241E-3</v>
      </c>
      <c r="G144" s="141">
        <f t="shared" ca="1" si="101"/>
        <v>2.8607847999554182E-3</v>
      </c>
      <c r="H144" s="141">
        <f t="shared" ca="1" si="101"/>
        <v>2.7717453781557324E-3</v>
      </c>
      <c r="I144" s="141">
        <f t="shared" ca="1" si="101"/>
        <v>2.7315715751382191E-3</v>
      </c>
      <c r="J144" s="141">
        <f t="shared" ca="1" si="101"/>
        <v>2.6875248161889386E-3</v>
      </c>
      <c r="K144" s="5">
        <f ca="1">AVERAGE(C144:J144)</f>
        <v>2.8431042380947878E-3</v>
      </c>
      <c r="L144" s="2"/>
    </row>
    <row r="145" spans="1:12" ht="12.75" customHeight="1">
      <c r="A145" s="52" t="str">
        <f>Historical!A138</f>
        <v>Long Term Debt (incl. current portion)</v>
      </c>
      <c r="B145" s="90">
        <f>Historical!O138</f>
        <v>0.47939462186529436</v>
      </c>
      <c r="C145" s="180">
        <f t="shared" ref="C145:J145" ca="1" si="102">(C42+C50+C54)/C$146</f>
        <v>0.45904690198355852</v>
      </c>
      <c r="D145" s="180">
        <f t="shared" ca="1" si="102"/>
        <v>0.45916719838495085</v>
      </c>
      <c r="E145" s="180">
        <f t="shared" ca="1" si="102"/>
        <v>0.4501876983975539</v>
      </c>
      <c r="F145" s="180">
        <f t="shared" ca="1" si="102"/>
        <v>0.45687278099466366</v>
      </c>
      <c r="G145" s="180">
        <f t="shared" ca="1" si="102"/>
        <v>0.4694268322445812</v>
      </c>
      <c r="H145" s="180">
        <f t="shared" ca="1" si="102"/>
        <v>0.4843933278647502</v>
      </c>
      <c r="I145" s="180">
        <f t="shared" ca="1" si="102"/>
        <v>0.49013712329621845</v>
      </c>
      <c r="J145" s="180">
        <f t="shared" ca="1" si="102"/>
        <v>0.49621730684409865</v>
      </c>
      <c r="K145" s="5">
        <f ca="1">AVERAGE(C145:J145)</f>
        <v>0.47068114625129692</v>
      </c>
      <c r="L145" s="2"/>
    </row>
    <row r="146" spans="1:12" ht="12.75" customHeight="1">
      <c r="B146" s="110"/>
      <c r="C146" s="140">
        <f t="shared" ref="C146:J146" ca="1" si="103">C42+C50+C54+C59+C64</f>
        <v>14271.630896157178</v>
      </c>
      <c r="D146" s="140">
        <f t="shared" ca="1" si="103"/>
        <v>14185.096809871273</v>
      </c>
      <c r="E146" s="140">
        <f t="shared" ca="1" si="103"/>
        <v>13759.061991493807</v>
      </c>
      <c r="F146" s="140">
        <f t="shared" ca="1" si="103"/>
        <v>13897.546779756467</v>
      </c>
      <c r="G146" s="140">
        <f t="shared" ca="1" si="103"/>
        <v>14331.738958276615</v>
      </c>
      <c r="H146" s="140">
        <f t="shared" ca="1" si="103"/>
        <v>14792.132627363007</v>
      </c>
      <c r="I146" s="140">
        <f t="shared" ca="1" si="103"/>
        <v>15009.684857084681</v>
      </c>
      <c r="J146" s="140">
        <f t="shared" ca="1" si="103"/>
        <v>15255.684200439659</v>
      </c>
      <c r="K146" s="17"/>
      <c r="L146" s="2"/>
    </row>
    <row r="147" spans="1:12">
      <c r="E147" s="2"/>
      <c r="F147" s="2"/>
      <c r="G147" s="2"/>
      <c r="H147" s="2"/>
      <c r="I147" s="2"/>
      <c r="J147" s="2"/>
      <c r="K147" s="5"/>
      <c r="L147" s="2"/>
    </row>
    <row r="148" spans="1:12">
      <c r="C148" s="55">
        <f ca="1">SUM(C143:C145)</f>
        <v>1.0000001566767138</v>
      </c>
      <c r="D148" s="55">
        <f t="shared" ref="D148:J148" ca="1" si="104">SUM(D143:D145)</f>
        <v>1.0000000972101168</v>
      </c>
      <c r="E148" s="55">
        <f t="shared" ca="1" si="104"/>
        <v>1.0000002208339565</v>
      </c>
      <c r="F148" s="55">
        <f t="shared" ca="1" si="104"/>
        <v>1.0000003754263638</v>
      </c>
      <c r="G148" s="55">
        <f t="shared" ca="1" si="104"/>
        <v>1.0000005114333328</v>
      </c>
      <c r="H148" s="55">
        <f t="shared" ca="1" si="104"/>
        <v>1.0000006156819516</v>
      </c>
      <c r="I148" s="55">
        <f t="shared" ca="1" si="104"/>
        <v>1.0000006953023191</v>
      </c>
      <c r="J148" s="55">
        <f t="shared" ca="1" si="104"/>
        <v>1.0000007286981241</v>
      </c>
      <c r="K148" s="55">
        <f ca="1">SUM(K143:K145)</f>
        <v>1.0000004251578596</v>
      </c>
      <c r="L148" s="2"/>
    </row>
    <row r="149" spans="1:12">
      <c r="E149" s="2"/>
      <c r="F149" s="2"/>
      <c r="G149" s="2"/>
      <c r="H149" s="2"/>
      <c r="I149" s="2"/>
      <c r="J149" s="2"/>
      <c r="K149" s="5"/>
      <c r="L149" s="2"/>
    </row>
    <row r="150" spans="1:12">
      <c r="B150" s="19"/>
      <c r="E150" s="2"/>
      <c r="F150" s="2"/>
      <c r="G150" s="2"/>
      <c r="H150" s="2"/>
      <c r="I150" s="2"/>
      <c r="J150" s="2"/>
      <c r="K150" s="5"/>
      <c r="L150" s="2"/>
    </row>
    <row r="151" spans="1:12">
      <c r="A151" s="52" t="s">
        <v>154</v>
      </c>
      <c r="B151" s="19"/>
      <c r="E151" s="2"/>
      <c r="F151" s="2"/>
      <c r="G151" s="2"/>
      <c r="H151" s="2"/>
      <c r="I151" s="2"/>
      <c r="J151" s="2"/>
      <c r="K151" s="5"/>
      <c r="L151" s="2"/>
    </row>
    <row r="152" spans="1:12">
      <c r="A152" s="264"/>
      <c r="B152" s="20" t="s">
        <v>128</v>
      </c>
      <c r="C152" s="20" t="s">
        <v>129</v>
      </c>
      <c r="D152" s="20"/>
      <c r="E152" s="20"/>
      <c r="F152" s="2"/>
      <c r="G152" s="2"/>
      <c r="H152" s="2"/>
      <c r="I152" s="2"/>
      <c r="J152" s="2"/>
      <c r="K152" s="5"/>
      <c r="L152" s="2"/>
    </row>
    <row r="153" spans="1:12">
      <c r="B153" s="8"/>
      <c r="C153" s="83"/>
      <c r="D153" s="82"/>
      <c r="E153" s="2"/>
      <c r="F153" s="2"/>
      <c r="G153" s="2"/>
      <c r="H153" s="2"/>
      <c r="I153" s="2"/>
      <c r="J153" s="2"/>
      <c r="K153" s="5"/>
      <c r="L153" s="2"/>
    </row>
    <row r="154" spans="1:12">
      <c r="A154" s="265">
        <f>B9</f>
        <v>2011</v>
      </c>
      <c r="B154" s="8">
        <f>B102-C154</f>
        <v>0</v>
      </c>
      <c r="C154" s="2">
        <f>B$102</f>
        <v>555</v>
      </c>
      <c r="D154" s="82"/>
      <c r="E154" s="2"/>
      <c r="F154" s="2"/>
      <c r="G154" s="2"/>
      <c r="H154" s="2"/>
      <c r="I154" s="2"/>
      <c r="J154" s="2"/>
      <c r="K154" s="5"/>
      <c r="L154" s="2"/>
    </row>
    <row r="155" spans="1:12">
      <c r="A155" s="265">
        <f t="shared" ref="A155:A162" si="105">A154+1</f>
        <v>2012</v>
      </c>
      <c r="B155" s="8">
        <f ca="1">C102-C155</f>
        <v>-5.7492923815516406E-5</v>
      </c>
      <c r="C155" s="2">
        <f ca="1">C$102</f>
        <v>560.28391597397126</v>
      </c>
      <c r="D155" s="82"/>
      <c r="E155" s="2"/>
      <c r="F155" s="2"/>
      <c r="G155" s="2"/>
      <c r="H155" s="2"/>
      <c r="I155" s="2"/>
      <c r="J155" s="2"/>
      <c r="K155" s="5"/>
      <c r="L155" s="2"/>
    </row>
    <row r="156" spans="1:12">
      <c r="A156" s="265">
        <f t="shared" si="105"/>
        <v>2013</v>
      </c>
      <c r="B156" s="8">
        <f ca="1">D102-C156</f>
        <v>-6.3785609881961136E-5</v>
      </c>
      <c r="C156" s="2">
        <f ca="1">D$102</f>
        <v>553.48224477249323</v>
      </c>
      <c r="D156" s="82"/>
      <c r="E156" s="2"/>
      <c r="F156" s="2"/>
      <c r="G156" s="2"/>
      <c r="H156" s="2"/>
      <c r="I156" s="2"/>
      <c r="J156" s="2"/>
      <c r="K156" s="5"/>
      <c r="L156" s="2"/>
    </row>
    <row r="157" spans="1:12">
      <c r="A157" s="265">
        <f t="shared" si="105"/>
        <v>2014</v>
      </c>
      <c r="B157" s="8">
        <f ca="1">E102-C157</f>
        <v>-7.8922244824752852E-5</v>
      </c>
      <c r="C157" s="2">
        <f ca="1">E$102</f>
        <v>595.13654836735964</v>
      </c>
      <c r="D157" s="2"/>
      <c r="E157" s="2"/>
      <c r="F157" s="2"/>
      <c r="G157" s="2"/>
      <c r="H157" s="2"/>
      <c r="I157" s="2"/>
      <c r="J157" s="2"/>
      <c r="K157" s="5"/>
      <c r="L157" s="2"/>
    </row>
    <row r="158" spans="1:12">
      <c r="A158" s="265">
        <f t="shared" si="105"/>
        <v>2015</v>
      </c>
      <c r="B158" s="8">
        <f ca="1">F102-C158</f>
        <v>-1.5555979712189583E-4</v>
      </c>
      <c r="C158" s="2">
        <f ca="1">F$102</f>
        <v>685.23525234662884</v>
      </c>
      <c r="D158" s="2"/>
      <c r="E158" s="2"/>
      <c r="F158" s="2"/>
      <c r="G158" s="2"/>
      <c r="H158" s="2"/>
      <c r="I158" s="2"/>
      <c r="J158" s="2"/>
      <c r="K158" s="5"/>
      <c r="L158" s="2"/>
    </row>
    <row r="159" spans="1:12">
      <c r="A159" s="265">
        <f t="shared" si="105"/>
        <v>2016</v>
      </c>
      <c r="B159" s="8">
        <f ca="1">G102-C159</f>
        <v>-2.4776989175734343E-4</v>
      </c>
      <c r="C159" s="2">
        <f ca="1">G$102</f>
        <v>757.90101431536664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>
      <c r="A160" s="265">
        <f t="shared" si="105"/>
        <v>2017</v>
      </c>
      <c r="B160" s="8">
        <f ca="1">H102-C160</f>
        <v>-3.154975556753925E-4</v>
      </c>
      <c r="C160" s="2">
        <f ca="1">H$102</f>
        <v>724.886794462024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>
      <c r="A161" s="265">
        <f t="shared" si="105"/>
        <v>2018</v>
      </c>
      <c r="B161" s="8">
        <f ca="1">I102-C161</f>
        <v>-3.8296497268675012E-4</v>
      </c>
      <c r="C161" s="2">
        <f ca="1">I$102</f>
        <v>727.95914261870212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>
      <c r="A162" s="265">
        <f t="shared" si="105"/>
        <v>2019</v>
      </c>
      <c r="B162" s="8">
        <f ca="1">J102-C162</f>
        <v>-4.3354977117360249E-4</v>
      </c>
      <c r="C162" s="2">
        <f ca="1">J$102</f>
        <v>734.6685403729216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>
      <c r="A163" s="265"/>
      <c r="B163" s="8"/>
      <c r="C163" s="2"/>
      <c r="D163" s="2"/>
      <c r="E163" s="2"/>
      <c r="F163" s="2"/>
      <c r="G163" s="2"/>
      <c r="H163" s="2"/>
      <c r="I163" s="2"/>
      <c r="J163" s="2"/>
      <c r="K163" s="5"/>
      <c r="L163" s="2"/>
    </row>
    <row r="164" spans="1:12">
      <c r="A164" s="266" t="s">
        <v>130</v>
      </c>
      <c r="B164" s="3"/>
      <c r="C164" s="2"/>
      <c r="D164" s="2"/>
      <c r="E164" s="2"/>
      <c r="F164" s="2"/>
      <c r="G164" s="2"/>
      <c r="H164" s="2"/>
      <c r="I164" s="2"/>
      <c r="J164" s="2"/>
      <c r="K164" s="5"/>
      <c r="L164" s="2"/>
    </row>
    <row r="165" spans="1:12">
      <c r="A165" s="52" t="s">
        <v>131</v>
      </c>
      <c r="B165" s="2" t="s">
        <v>128</v>
      </c>
      <c r="C165" s="82" t="s">
        <v>132</v>
      </c>
      <c r="D165" s="2"/>
      <c r="E165" s="2"/>
      <c r="F165" s="2"/>
      <c r="G165" s="2"/>
      <c r="H165" s="2"/>
      <c r="I165" s="2"/>
      <c r="J165" s="2"/>
      <c r="K165" s="5"/>
      <c r="L165" s="2"/>
    </row>
    <row r="166" spans="1:12">
      <c r="A166" s="265">
        <f t="shared" ref="A166:A174" si="106">A154</f>
        <v>2011</v>
      </c>
      <c r="B166" s="8">
        <f>$C166-B$65</f>
        <v>0</v>
      </c>
      <c r="C166" s="2">
        <f>B$38</f>
        <v>21106</v>
      </c>
      <c r="D166" s="2"/>
      <c r="E166" s="2"/>
      <c r="F166" s="2"/>
      <c r="G166" s="2"/>
      <c r="H166" s="2"/>
      <c r="I166" s="2"/>
      <c r="J166" s="2"/>
      <c r="K166" s="5"/>
      <c r="L166" s="2"/>
    </row>
    <row r="167" spans="1:12">
      <c r="A167" s="265">
        <f t="shared" si="106"/>
        <v>2012</v>
      </c>
      <c r="B167" s="8">
        <f ca="1">$C167-C$65</f>
        <v>2.0761137620866066E-2</v>
      </c>
      <c r="C167" s="2">
        <f ca="1">C$38</f>
        <v>21899.726575337532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>
      <c r="A168" s="265">
        <f t="shared" si="106"/>
        <v>2013</v>
      </c>
      <c r="B168" s="8">
        <f ca="1">$C168-D$65</f>
        <v>1.3751923179370351E-2</v>
      </c>
      <c r="C168" s="2">
        <f ca="1">D$38</f>
        <v>22709.231672190563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>
      <c r="A169" s="265">
        <f t="shared" si="106"/>
        <v>2014</v>
      </c>
      <c r="B169" s="8">
        <f ca="1">$C169-E$65</f>
        <v>2.9557417052274104E-2</v>
      </c>
      <c r="C169" s="2">
        <f ca="1">E$38</f>
        <v>22998.601134939512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>
      <c r="A170" s="265">
        <f t="shared" si="106"/>
        <v>2015</v>
      </c>
      <c r="B170" s="8">
        <f ca="1">$C170-F$65</f>
        <v>5.0883979958598502E-2</v>
      </c>
      <c r="C170" s="2">
        <f ca="1">F$38</f>
        <v>23818.269471057632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>
      <c r="A171" s="265">
        <f t="shared" si="106"/>
        <v>2016</v>
      </c>
      <c r="B171" s="8">
        <f ca="1">$C171-G$65</f>
        <v>7.2623353840754135E-2</v>
      </c>
      <c r="C171" s="2">
        <f ca="1">G$38</f>
        <v>24669.304475163972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>
      <c r="A172" s="265">
        <f t="shared" si="106"/>
        <v>2017</v>
      </c>
      <c r="B172" s="8">
        <f ca="1">$C172-H$65</f>
        <v>9.2090753780212253E-2</v>
      </c>
      <c r="C172" s="2">
        <f ca="1">H$38</f>
        <v>25543.347866781274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>
      <c r="A173" s="265">
        <f t="shared" si="106"/>
        <v>2018</v>
      </c>
      <c r="B173" s="8">
        <f ca="1">$C173-I$65</f>
        <v>0.10825497903351788</v>
      </c>
      <c r="C173" s="2">
        <f ca="1">I$38</f>
        <v>26450.596640559688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>
      <c r="A174" s="265">
        <f t="shared" si="106"/>
        <v>2019</v>
      </c>
      <c r="B174" s="8">
        <f ca="1">$C174-J$65</f>
        <v>0.11912578641204163</v>
      </c>
      <c r="C174" s="2">
        <f ca="1">J$38</f>
        <v>27392.327920590549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1:12">
      <c r="B175" s="2"/>
      <c r="C175" s="2"/>
      <c r="D175" s="2"/>
      <c r="E175" s="2"/>
      <c r="F175" s="2"/>
      <c r="G175" s="2"/>
      <c r="H175" s="2"/>
      <c r="I175" s="2"/>
      <c r="J175" s="2"/>
      <c r="K175" s="5"/>
      <c r="L175" s="2"/>
    </row>
    <row r="176" spans="1:12">
      <c r="B176" s="2"/>
      <c r="C176" s="2"/>
      <c r="D176" s="2"/>
      <c r="E176" s="2"/>
      <c r="F176" s="2"/>
      <c r="G176" s="2"/>
      <c r="H176" s="2"/>
      <c r="I176" s="2"/>
      <c r="J176" s="2"/>
      <c r="K176" s="5"/>
      <c r="L176" s="2"/>
    </row>
    <row r="177" spans="2:12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2">
      <c r="B181" s="2"/>
      <c r="C181" s="2"/>
      <c r="D181" s="2"/>
      <c r="E181" s="2"/>
      <c r="F181" s="2"/>
      <c r="G181" s="2"/>
      <c r="H181" s="2"/>
      <c r="I181" s="2"/>
      <c r="J181" s="2"/>
      <c r="K181" s="5"/>
    </row>
    <row r="182" spans="2:12"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2:12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2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2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2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2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2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2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2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2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2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>
      <c r="C202" s="2"/>
      <c r="D202" s="2"/>
      <c r="E202" s="2"/>
      <c r="F202" s="2"/>
      <c r="G202" s="2"/>
      <c r="H202" s="2"/>
      <c r="I202" s="2"/>
      <c r="J202" s="2"/>
      <c r="K202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1" manualBreakCount="1">
    <brk id="68" max="23" man="1"/>
  </rowBreaks>
  <colBreaks count="1" manualBreakCount="1">
    <brk id="12" max="1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141"/>
  <sheetViews>
    <sheetView zoomScaleNormal="100" workbookViewId="0">
      <selection activeCell="E65" sqref="E65"/>
    </sheetView>
  </sheetViews>
  <sheetFormatPr defaultRowHeight="12.75"/>
  <cols>
    <col min="1" max="1" width="25.140625" style="52" customWidth="1"/>
    <col min="2" max="3" width="12.7109375" style="52" customWidth="1"/>
    <col min="4" max="4" width="26.42578125" style="125" customWidth="1"/>
    <col min="5" max="5" width="38" style="114" customWidth="1"/>
    <col min="6" max="6" width="10.7109375" style="52" hidden="1" customWidth="1"/>
    <col min="7" max="15" width="10.7109375" style="52" customWidth="1"/>
    <col min="16" max="25" width="9.140625" style="52"/>
    <col min="27" max="53" width="9.140625" style="52"/>
  </cols>
  <sheetData>
    <row r="1" spans="1:14">
      <c r="A1" s="52" t="s">
        <v>133</v>
      </c>
    </row>
    <row r="2" spans="1:14">
      <c r="A2" s="52" t="s">
        <v>134</v>
      </c>
      <c r="D2" s="125" t="s">
        <v>182</v>
      </c>
      <c r="E2" s="114" t="s">
        <v>183</v>
      </c>
    </row>
    <row r="4" spans="1:14">
      <c r="A4" s="119" t="s">
        <v>135</v>
      </c>
      <c r="B4" s="119"/>
      <c r="C4" s="120">
        <v>0.5</v>
      </c>
      <c r="D4" s="128" t="s">
        <v>217</v>
      </c>
      <c r="E4" s="272" t="s">
        <v>184</v>
      </c>
      <c r="F4" s="55"/>
    </row>
    <row r="5" spans="1:14">
      <c r="A5" s="119" t="s">
        <v>147</v>
      </c>
      <c r="B5" s="119"/>
      <c r="C5" s="271">
        <v>2</v>
      </c>
      <c r="D5" s="128" t="s">
        <v>185</v>
      </c>
      <c r="E5" s="115"/>
      <c r="F5" s="55"/>
    </row>
    <row r="6" spans="1:14" ht="25.5">
      <c r="A6" s="119" t="s">
        <v>136</v>
      </c>
      <c r="B6" s="119"/>
      <c r="C6" s="120">
        <v>2.5000000000000001E-2</v>
      </c>
      <c r="E6" s="115" t="s">
        <v>143</v>
      </c>
      <c r="F6" s="84">
        <f>Historical!F9</f>
        <v>2004</v>
      </c>
      <c r="G6" s="84"/>
      <c r="H6" s="84">
        <f>Historical!I9</f>
        <v>2007</v>
      </c>
      <c r="I6" s="84">
        <f>Historical!J9</f>
        <v>2008</v>
      </c>
      <c r="J6" s="84">
        <f>Historical!K9</f>
        <v>2009</v>
      </c>
      <c r="K6" s="84">
        <f>Historical!L9</f>
        <v>2010</v>
      </c>
      <c r="L6" s="84">
        <f>Historical!M9</f>
        <v>2011</v>
      </c>
      <c r="M6" s="135" t="s">
        <v>193</v>
      </c>
    </row>
    <row r="7" spans="1:14">
      <c r="A7" s="119" t="s">
        <v>137</v>
      </c>
      <c r="B7" s="119"/>
      <c r="C7" s="120">
        <v>0.32</v>
      </c>
      <c r="E7" s="296" t="s">
        <v>230</v>
      </c>
      <c r="F7" s="55">
        <f>Historical!F96/Historical!F93</f>
        <v>0.36721728081321503</v>
      </c>
      <c r="G7" s="55"/>
      <c r="H7" s="55">
        <f>Historical!I96/Historical!I93</f>
        <v>0.33082706766917291</v>
      </c>
      <c r="I7" s="55">
        <f>Historical!J96/Historical!J93</f>
        <v>0.33854907539118068</v>
      </c>
      <c r="J7" s="55">
        <f>Historical!K96/Historical!K93</f>
        <v>0.29846938775510207</v>
      </c>
      <c r="K7" s="55">
        <f>Historical!L96/Historical!L93</f>
        <v>0.27155727155727155</v>
      </c>
      <c r="L7" s="55">
        <f>Historical!M96/Historical!M93</f>
        <v>0.27734375</v>
      </c>
      <c r="M7" s="55">
        <f>AVERAGE(H7:L7)</f>
        <v>0.30334931047454544</v>
      </c>
    </row>
    <row r="8" spans="1:14">
      <c r="A8" s="119" t="s">
        <v>206</v>
      </c>
      <c r="B8" s="119"/>
      <c r="C8" s="120">
        <v>0.05</v>
      </c>
      <c r="E8" s="115"/>
    </row>
    <row r="9" spans="1:14">
      <c r="A9" s="121" t="s">
        <v>145</v>
      </c>
      <c r="B9" s="119"/>
      <c r="C9" s="120">
        <v>0.03</v>
      </c>
      <c r="E9" s="115"/>
    </row>
    <row r="10" spans="1:14">
      <c r="A10" s="119" t="s">
        <v>144</v>
      </c>
      <c r="B10" s="119"/>
      <c r="C10" s="120">
        <v>5.5E-2</v>
      </c>
      <c r="E10" s="115"/>
      <c r="F10" s="55"/>
    </row>
    <row r="11" spans="1:14">
      <c r="A11" s="119" t="s">
        <v>146</v>
      </c>
      <c r="B11" s="119"/>
      <c r="C11" s="120">
        <v>0.01</v>
      </c>
      <c r="E11" s="115"/>
      <c r="F11" s="55"/>
    </row>
    <row r="12" spans="1:14">
      <c r="A12" s="119"/>
      <c r="B12" s="119"/>
      <c r="C12" s="119"/>
    </row>
    <row r="13" spans="1:14">
      <c r="A13" s="193" t="str">
        <f>Historical!A11</f>
        <v>Current Assets:</v>
      </c>
      <c r="B13" s="119"/>
      <c r="C13" s="120"/>
      <c r="D13" s="126"/>
      <c r="E13" s="133"/>
      <c r="M13" s="130"/>
    </row>
    <row r="14" spans="1:14">
      <c r="A14" s="52" t="str">
        <f>Historical!A12</f>
        <v>Cash &amp; Equivalents</v>
      </c>
      <c r="B14" s="119"/>
      <c r="C14" s="120">
        <f>M14</f>
        <v>1.4152737429024415E-2</v>
      </c>
      <c r="D14" s="125" t="s">
        <v>191</v>
      </c>
      <c r="E14" s="295" t="s">
        <v>237</v>
      </c>
      <c r="F14" s="55">
        <f>Historical!F12/Historical!F76</f>
        <v>1.8312724996087024E-2</v>
      </c>
      <c r="G14" s="55"/>
      <c r="H14" s="55">
        <f>Historical!I12/Historical!I76</f>
        <v>5.3546265852512917E-2</v>
      </c>
      <c r="I14" s="55">
        <f>Historical!J12/Historical!J76</f>
        <v>1.3116940862605602E-2</v>
      </c>
      <c r="J14" s="55">
        <f>Historical!K12/Historical!K76</f>
        <v>2.6250841373120934E-2</v>
      </c>
      <c r="K14" s="55">
        <f>Historical!L12/Historical!L76</f>
        <v>6.994584837545126E-3</v>
      </c>
      <c r="L14" s="55">
        <f>Historical!M12/Historical!M76</f>
        <v>1.0248582642825993E-2</v>
      </c>
      <c r="M14" s="55">
        <f>AVERAGE(I14:L14)</f>
        <v>1.4152737429024415E-2</v>
      </c>
      <c r="N14" s="55"/>
    </row>
    <row r="15" spans="1:14">
      <c r="A15" s="52" t="s">
        <v>140</v>
      </c>
      <c r="B15" s="119"/>
      <c r="C15" s="120"/>
      <c r="D15" s="273" t="s">
        <v>188</v>
      </c>
      <c r="E15" s="126"/>
    </row>
    <row r="16" spans="1:14">
      <c r="A16" s="52" t="str">
        <f>Historical!A13</f>
        <v>Accounts Receivable</v>
      </c>
      <c r="B16" s="119"/>
      <c r="C16" s="120">
        <f>M16</f>
        <v>0.13905630781343625</v>
      </c>
      <c r="D16" s="297" t="s">
        <v>231</v>
      </c>
      <c r="E16" s="116"/>
      <c r="F16" s="120">
        <f>Historical!F13/Historical!F76</f>
        <v>7.359524182188136E-2</v>
      </c>
      <c r="G16" s="120"/>
      <c r="H16" s="120">
        <f>Historical!I13/Historical!I76</f>
        <v>0.13691874119304839</v>
      </c>
      <c r="I16" s="120">
        <f>Historical!J13/Historical!J76</f>
        <v>0.13539350822587817</v>
      </c>
      <c r="J16" s="120">
        <f>Historical!K13/Historical!K76</f>
        <v>0.13888265649540049</v>
      </c>
      <c r="K16" s="120">
        <f>Historical!L13/Historical!L76</f>
        <v>0.14169675090252706</v>
      </c>
      <c r="L16" s="120">
        <f>Historical!M13/Historical!M76</f>
        <v>0.14238988225032709</v>
      </c>
      <c r="M16" s="55">
        <f>AVERAGE(H16:L16)</f>
        <v>0.13905630781343625</v>
      </c>
      <c r="N16" s="55"/>
    </row>
    <row r="17" spans="1:14">
      <c r="A17" s="52" t="str">
        <f>Historical!A14</f>
        <v>Material, Supplies, Fuel</v>
      </c>
      <c r="B17" s="119"/>
      <c r="C17" s="120">
        <v>2.75E-2</v>
      </c>
      <c r="D17" s="125" t="s">
        <v>205</v>
      </c>
      <c r="E17" s="117"/>
      <c r="F17" s="84"/>
      <c r="G17" s="84"/>
      <c r="H17" s="84"/>
      <c r="I17" s="84"/>
      <c r="J17" s="84"/>
      <c r="K17" s="84"/>
      <c r="L17" s="113"/>
      <c r="M17" s="112"/>
    </row>
    <row r="18" spans="1:14">
      <c r="A18" s="52" t="str">
        <f>Historical!A15</f>
        <v>Other Current Assets</v>
      </c>
      <c r="B18" s="119"/>
      <c r="C18" s="120">
        <f>Historical!AE15</f>
        <v>2.3956572617344948E-2</v>
      </c>
      <c r="D18" s="273" t="s">
        <v>223</v>
      </c>
      <c r="E18" s="116"/>
      <c r="F18" s="55"/>
      <c r="G18" s="55"/>
      <c r="H18" s="55"/>
      <c r="I18" s="55"/>
      <c r="J18" s="55"/>
      <c r="K18" s="55"/>
      <c r="L18" s="55"/>
      <c r="M18" s="55"/>
      <c r="N18" s="101"/>
    </row>
    <row r="19" spans="1:14">
      <c r="A19" s="52" t="str">
        <f>Historical!A16</f>
        <v>Total Current Assets</v>
      </c>
      <c r="B19" s="119"/>
      <c r="C19" s="120"/>
      <c r="D19" s="273" t="s">
        <v>188</v>
      </c>
      <c r="E19" s="116"/>
      <c r="F19" s="55"/>
      <c r="G19" s="55"/>
      <c r="H19" s="55"/>
      <c r="I19" s="55"/>
      <c r="J19" s="55"/>
      <c r="K19" s="55"/>
      <c r="L19" s="55"/>
      <c r="M19" s="55"/>
    </row>
    <row r="20" spans="1:14">
      <c r="B20" s="119"/>
      <c r="C20" s="120"/>
    </row>
    <row r="21" spans="1:14">
      <c r="A21" s="193" t="str">
        <f>Historical!A18</f>
        <v>Plant &amp; Equipment:</v>
      </c>
      <c r="B21" s="119"/>
      <c r="C21" s="119"/>
    </row>
    <row r="22" spans="1:14" ht="25.5">
      <c r="A22" s="52" t="str">
        <f>Historical!A19</f>
        <v>Plant in Service</v>
      </c>
      <c r="B22" s="119"/>
      <c r="C22" s="120">
        <f>Historical!O19</f>
        <v>7.8921070261225898E-2</v>
      </c>
      <c r="D22" s="297" t="s">
        <v>238</v>
      </c>
    </row>
    <row r="23" spans="1:14">
      <c r="A23" s="52" t="str">
        <f>Historical!A20</f>
        <v>Construction Work in Progress</v>
      </c>
      <c r="B23" s="119"/>
      <c r="C23" s="122">
        <v>1200</v>
      </c>
      <c r="D23" s="125" t="s">
        <v>189</v>
      </c>
      <c r="F23" s="84"/>
      <c r="G23" s="84"/>
      <c r="H23" s="84"/>
      <c r="I23" s="84"/>
      <c r="J23" s="84"/>
      <c r="K23" s="84"/>
      <c r="L23" s="112"/>
    </row>
    <row r="24" spans="1:14" ht="24" hidden="1" customHeight="1">
      <c r="A24" s="52" t="str">
        <f>Historical!A21</f>
        <v>Australian Electric Operations</v>
      </c>
      <c r="B24" s="119"/>
      <c r="C24" s="122">
        <v>0</v>
      </c>
      <c r="D24" s="126"/>
      <c r="F24" s="55"/>
      <c r="G24" s="55"/>
      <c r="H24" s="55"/>
      <c r="I24" s="55"/>
      <c r="J24" s="55"/>
      <c r="K24" s="55"/>
      <c r="L24" s="55"/>
      <c r="M24" s="55"/>
      <c r="N24" s="55"/>
    </row>
    <row r="25" spans="1:14" hidden="1">
      <c r="A25" s="52" t="str">
        <f>Historical!A22</f>
        <v>Other PP&amp;E</v>
      </c>
      <c r="B25" s="119"/>
      <c r="C25" s="122">
        <v>0</v>
      </c>
    </row>
    <row r="26" spans="1:14">
      <c r="A26" s="52" t="str">
        <f>Historical!A23</f>
        <v>Total Plant &amp; Equipment:</v>
      </c>
      <c r="B26" s="119"/>
      <c r="C26" s="119"/>
      <c r="D26" s="273" t="s">
        <v>188</v>
      </c>
    </row>
    <row r="27" spans="1:14" ht="25.5">
      <c r="A27" s="52" t="str">
        <f>Historical!A25</f>
        <v>Accumulated Depreciation &amp; Amort.</v>
      </c>
      <c r="B27" s="119"/>
      <c r="C27" s="120">
        <f>M27</f>
        <v>0.32370816930614454</v>
      </c>
      <c r="D27" s="297" t="s">
        <v>235</v>
      </c>
      <c r="F27" s="55">
        <f>Historical!F25/Historical!F19</f>
        <v>0.37079375651569557</v>
      </c>
      <c r="G27" s="55"/>
      <c r="H27" s="55">
        <f>Historical!I25/Historical!I19</f>
        <v>0.35999764899494535</v>
      </c>
      <c r="I27" s="55">
        <f>Historical!J25/Historical!J19</f>
        <v>0.33237989300280735</v>
      </c>
      <c r="J27" s="55">
        <f>Historical!K25/Historical!K19</f>
        <v>0.32577471716674866</v>
      </c>
      <c r="K27" s="55">
        <f>Historical!L25/Historical!L19</f>
        <v>0.30162476173186892</v>
      </c>
      <c r="L27" s="55">
        <f>Historical!M25/Historical!M19</f>
        <v>0.29876382563435261</v>
      </c>
      <c r="M27" s="55">
        <f>AVERAGE(H27:L27)</f>
        <v>0.32370816930614454</v>
      </c>
    </row>
    <row r="28" spans="1:14">
      <c r="A28" s="52" t="str">
        <f>Historical!A27</f>
        <v>Net Plant &amp; Equipment</v>
      </c>
      <c r="B28" s="119"/>
      <c r="C28" s="120"/>
      <c r="D28" s="273" t="s">
        <v>188</v>
      </c>
      <c r="E28" s="116"/>
    </row>
    <row r="29" spans="1:14">
      <c r="B29" s="119"/>
      <c r="C29" s="120"/>
      <c r="D29" s="273"/>
      <c r="E29" s="116"/>
    </row>
    <row r="30" spans="1:14">
      <c r="A30" s="193" t="str">
        <f>Historical!A29</f>
        <v>Other Assets:</v>
      </c>
      <c r="B30" s="119"/>
      <c r="C30" s="119"/>
    </row>
    <row r="31" spans="1:14">
      <c r="A31" s="52" t="str">
        <f>Historical!A30</f>
        <v>Regulatory Assets</v>
      </c>
      <c r="B31" s="119"/>
      <c r="C31" s="57">
        <v>2.75E-2</v>
      </c>
      <c r="D31" s="125" t="s">
        <v>190</v>
      </c>
      <c r="G31" s="55"/>
    </row>
    <row r="32" spans="1:14" hidden="1">
      <c r="A32" s="52" t="str">
        <f>Historical!A31</f>
        <v>Intangible Assets-net</v>
      </c>
      <c r="B32" s="119"/>
      <c r="C32" s="119"/>
      <c r="F32" s="84"/>
      <c r="G32" s="84"/>
      <c r="H32" s="84"/>
      <c r="I32" s="84"/>
      <c r="J32" s="84"/>
      <c r="K32" s="84"/>
      <c r="L32" s="84"/>
    </row>
    <row r="33" spans="1:15" ht="12" customHeight="1">
      <c r="A33" s="52" t="str">
        <f>Historical!A32</f>
        <v>Financial Assets/Derivatives</v>
      </c>
      <c r="B33" s="119"/>
      <c r="C33" s="120">
        <f>AVERAGE(Historical!Z32:AD32)</f>
        <v>1.5826169709613007E-3</v>
      </c>
      <c r="D33" s="125" t="s">
        <v>186</v>
      </c>
      <c r="E33" s="298" t="s">
        <v>236</v>
      </c>
      <c r="F33" s="55"/>
      <c r="G33" s="55"/>
      <c r="H33" s="55"/>
      <c r="I33" s="55"/>
      <c r="J33" s="55"/>
      <c r="K33" s="55"/>
      <c r="L33" s="55"/>
      <c r="M33" s="55"/>
    </row>
    <row r="34" spans="1:15" hidden="1">
      <c r="A34" s="52" t="str">
        <f>Historical!A33</f>
        <v>Investments in Affiliates</v>
      </c>
      <c r="B34" s="119"/>
      <c r="C34" s="120"/>
      <c r="D34" s="125" t="s">
        <v>186</v>
      </c>
      <c r="E34" s="116"/>
      <c r="F34" s="55"/>
      <c r="G34" s="55"/>
      <c r="H34" s="55"/>
      <c r="I34" s="55"/>
      <c r="J34" s="55"/>
      <c r="K34" s="55"/>
      <c r="L34" s="55"/>
      <c r="M34" s="55"/>
    </row>
    <row r="35" spans="1:15">
      <c r="A35" s="52" t="str">
        <f>Historical!A34</f>
        <v>Deferred Charges and Other</v>
      </c>
      <c r="B35" s="119"/>
      <c r="C35" s="120">
        <f>Historical!AE34</f>
        <v>1.7758852338230834E-2</v>
      </c>
      <c r="D35" s="125" t="s">
        <v>186</v>
      </c>
      <c r="E35" s="299" t="s">
        <v>232</v>
      </c>
      <c r="O35"/>
    </row>
    <row r="36" spans="1:15">
      <c r="A36" s="52" t="str">
        <f>Historical!A35</f>
        <v>Total Other Assets</v>
      </c>
      <c r="B36" s="119"/>
      <c r="C36" s="120"/>
      <c r="D36" s="273" t="s">
        <v>188</v>
      </c>
      <c r="E36" s="116"/>
      <c r="L36"/>
    </row>
    <row r="37" spans="1:15">
      <c r="A37" s="52" t="str">
        <f>Historical!A36</f>
        <v>Total Non-Current Assets</v>
      </c>
      <c r="B37" s="119"/>
      <c r="C37" s="119"/>
      <c r="D37" s="273" t="s">
        <v>188</v>
      </c>
      <c r="F37" s="84"/>
      <c r="G37" s="84"/>
      <c r="H37" s="84"/>
      <c r="I37" s="84"/>
      <c r="J37" s="84"/>
      <c r="K37" s="84"/>
      <c r="L37" s="84"/>
      <c r="M37" s="132"/>
    </row>
    <row r="38" spans="1:15">
      <c r="A38" s="193" t="str">
        <f>Historical!A37</f>
        <v>Total Assets</v>
      </c>
      <c r="B38" s="119"/>
      <c r="C38" s="119"/>
      <c r="D38" s="273" t="s">
        <v>188</v>
      </c>
      <c r="E38" s="116"/>
      <c r="F38" s="119"/>
      <c r="G38" s="119"/>
      <c r="H38" s="119"/>
      <c r="I38" s="119"/>
      <c r="J38" s="119"/>
      <c r="K38" s="119"/>
      <c r="L38" s="119"/>
      <c r="M38" s="119"/>
      <c r="N38" s="120"/>
    </row>
    <row r="39" spans="1:15">
      <c r="B39" s="119"/>
      <c r="C39" s="119"/>
      <c r="D39" s="126"/>
      <c r="E39" s="116"/>
      <c r="F39" s="119"/>
      <c r="G39" s="119"/>
      <c r="H39" s="119"/>
      <c r="I39" s="119"/>
      <c r="J39" s="119"/>
      <c r="K39" s="119"/>
      <c r="L39" s="119"/>
      <c r="M39" s="119"/>
      <c r="N39" s="120"/>
    </row>
    <row r="40" spans="1:15">
      <c r="A40" s="52" t="str">
        <f>Historical!A40</f>
        <v>Current Liabilities:</v>
      </c>
      <c r="B40" s="119"/>
      <c r="C40" s="120"/>
      <c r="E40" s="116"/>
      <c r="F40" s="84">
        <f>F6</f>
        <v>2004</v>
      </c>
      <c r="G40" s="84"/>
      <c r="H40" s="84">
        <f t="shared" ref="H40:M40" si="0">H6</f>
        <v>2007</v>
      </c>
      <c r="I40" s="84">
        <f t="shared" si="0"/>
        <v>2008</v>
      </c>
      <c r="J40" s="84">
        <f t="shared" si="0"/>
        <v>2009</v>
      </c>
      <c r="K40" s="84">
        <f t="shared" si="0"/>
        <v>2010</v>
      </c>
      <c r="L40" s="84">
        <f t="shared" si="0"/>
        <v>2011</v>
      </c>
      <c r="M40" s="113" t="str">
        <f t="shared" si="0"/>
        <v xml:space="preserve">average </v>
      </c>
    </row>
    <row r="41" spans="1:15">
      <c r="A41" s="52" t="str">
        <f>Historical!A41</f>
        <v>Current Maturities LTD</v>
      </c>
      <c r="B41" s="119"/>
      <c r="C41" s="120">
        <f>M41</f>
        <v>4.4074325728723565E-2</v>
      </c>
      <c r="D41" s="125" t="s">
        <v>192</v>
      </c>
      <c r="F41" s="55">
        <f>Historical!F41/Historical!F49</f>
        <v>6.8177944434975282E-2</v>
      </c>
      <c r="G41" s="55"/>
      <c r="H41" s="55">
        <f>Historical!I41/(Historical!I49)</f>
        <v>8.7102882390069428E-2</v>
      </c>
      <c r="I41" s="55">
        <f>Historical!J41/(Historical!J49)</f>
        <v>2.6548672566371681E-2</v>
      </c>
      <c r="J41" s="55">
        <f>Historical!K41/(Historical!K49)</f>
        <v>2.5000000000000001E-3</v>
      </c>
      <c r="K41" s="55">
        <f>Historical!L41/(Historical!L49)</f>
        <v>0.10115258902460003</v>
      </c>
      <c r="L41" s="55">
        <f>Historical!M41/(Historical!M49)</f>
        <v>3.0674846625766872E-3</v>
      </c>
      <c r="M41" s="55">
        <f>AVERAGE(H41:L41)</f>
        <v>4.4074325728723565E-2</v>
      </c>
    </row>
    <row r="42" spans="1:15" ht="25.5">
      <c r="A42" s="52" t="str">
        <f>Historical!A42</f>
        <v>Short-term Debt</v>
      </c>
      <c r="B42" s="119"/>
      <c r="C42" s="120"/>
      <c r="D42" s="297" t="s">
        <v>239</v>
      </c>
      <c r="M42" s="55"/>
    </row>
    <row r="43" spans="1:15">
      <c r="A43" s="52" t="str">
        <f>Historical!A43</f>
        <v>Accounts Payable</v>
      </c>
      <c r="B43" s="123"/>
      <c r="C43" s="120">
        <f>M43</f>
        <v>0.1266550760187593</v>
      </c>
      <c r="D43" s="125" t="s">
        <v>187</v>
      </c>
      <c r="E43" s="115"/>
      <c r="F43" s="55">
        <f>Historical!F43/Historical!F76</f>
        <v>8.2203787760212879E-2</v>
      </c>
      <c r="G43" s="55"/>
      <c r="H43" s="55">
        <f>Historical!I43/Historical!I76</f>
        <v>0.10591827148896195</v>
      </c>
      <c r="I43" s="55">
        <f>Historical!J43/Historical!J76</f>
        <v>0.16829702089817697</v>
      </c>
      <c r="J43" s="55">
        <f>Historical!K43/Historical!K76</f>
        <v>0.1240744895669733</v>
      </c>
      <c r="K43" s="55">
        <f>Historical!L43/Historical!L76</f>
        <v>0.10807761732851985</v>
      </c>
      <c r="L43" s="55">
        <f>Historical!M43/Historical!M76</f>
        <v>0.12690798081116442</v>
      </c>
      <c r="M43" s="55">
        <f>AVERAGE(H43:L43)</f>
        <v>0.1266550760187593</v>
      </c>
    </row>
    <row r="44" spans="1:15">
      <c r="A44" s="52" t="str">
        <f>Historical!A44</f>
        <v>Accrued Expenses</v>
      </c>
      <c r="B44" s="123"/>
      <c r="C44" s="120">
        <f>AVERAGE(I44:L44)</f>
        <v>1.2858930442345614E-2</v>
      </c>
      <c r="D44" s="297" t="s">
        <v>233</v>
      </c>
      <c r="E44" s="115"/>
      <c r="G44" s="55"/>
      <c r="H44" s="55">
        <f>Historical!I44/Historical!I$37</f>
        <v>1.2209029315086871E-2</v>
      </c>
      <c r="I44" s="55">
        <f>Historical!J44/Historical!J$37</f>
        <v>1.3922059765829789E-2</v>
      </c>
      <c r="J44" s="55">
        <f>Historical!K44/Historical!K$37</f>
        <v>1.3392386375619529E-2</v>
      </c>
      <c r="K44" s="55">
        <f>Historical!L44/Historical!L$37</f>
        <v>1.2607961878288493E-2</v>
      </c>
      <c r="L44" s="55">
        <f>Historical!M44/Historical!M$37</f>
        <v>1.1513313749644651E-2</v>
      </c>
      <c r="M44" s="55">
        <f>AVERAGE(H44:L44)</f>
        <v>1.2728950216893867E-2</v>
      </c>
    </row>
    <row r="45" spans="1:15">
      <c r="A45" s="52" t="str">
        <f>Historical!A45</f>
        <v>Derivative Contacts</v>
      </c>
      <c r="B45" s="123"/>
      <c r="C45" s="120">
        <f>M45</f>
        <v>2.2805712262550175E-2</v>
      </c>
      <c r="D45" s="125" t="s">
        <v>187</v>
      </c>
      <c r="E45" s="115"/>
      <c r="F45" s="55">
        <f>Historical!F45/Historical!F76</f>
        <v>0</v>
      </c>
      <c r="G45" s="55"/>
      <c r="H45" s="55">
        <f>Historical!I45/Historical!I76</f>
        <v>2.7477689055894785E-2</v>
      </c>
      <c r="I45" s="55">
        <f>Historical!J45/Historical!J76</f>
        <v>2.8901734104046242E-2</v>
      </c>
      <c r="J45" s="55">
        <f>Historical!K45/Historical!K76</f>
        <v>1.9071124074489566E-2</v>
      </c>
      <c r="K45" s="55">
        <f>Historical!L45/Historical!L76</f>
        <v>1.895306859205776E-2</v>
      </c>
      <c r="L45" s="55">
        <f>Historical!M45/Historical!M76</f>
        <v>1.9624945486262538E-2</v>
      </c>
      <c r="M45" s="55">
        <f>AVERAGE(H45:L45)</f>
        <v>2.2805712262550175E-2</v>
      </c>
    </row>
    <row r="46" spans="1:15">
      <c r="A46" s="52" t="str">
        <f>Historical!A46</f>
        <v xml:space="preserve">Other </v>
      </c>
      <c r="B46" s="123"/>
      <c r="C46" s="120">
        <f>Historical!AE46</f>
        <v>7.3462488623065921E-3</v>
      </c>
      <c r="D46" s="125" t="s">
        <v>139</v>
      </c>
      <c r="E46" s="296" t="s">
        <v>226</v>
      </c>
      <c r="M46" s="55"/>
    </row>
    <row r="47" spans="1:15">
      <c r="A47" s="193" t="str">
        <f>Historical!A47</f>
        <v>Total Current Liabilities</v>
      </c>
      <c r="B47" s="123"/>
      <c r="C47" s="120"/>
      <c r="D47" s="273" t="s">
        <v>188</v>
      </c>
      <c r="E47" s="115"/>
      <c r="F47" s="84"/>
      <c r="G47" s="84"/>
      <c r="H47" s="84"/>
      <c r="I47" s="84"/>
      <c r="J47" s="84"/>
      <c r="K47" s="84"/>
    </row>
    <row r="48" spans="1:15">
      <c r="B48" s="123"/>
      <c r="C48" s="120"/>
      <c r="F48" s="84">
        <f>F40</f>
        <v>2004</v>
      </c>
      <c r="G48" s="84"/>
      <c r="H48" s="84">
        <f t="shared" ref="H48:M48" si="1">H40</f>
        <v>2007</v>
      </c>
      <c r="I48" s="84">
        <f t="shared" si="1"/>
        <v>2008</v>
      </c>
      <c r="J48" s="84">
        <f t="shared" si="1"/>
        <v>2009</v>
      </c>
      <c r="K48" s="84">
        <f t="shared" si="1"/>
        <v>2010</v>
      </c>
      <c r="L48" s="52">
        <f t="shared" si="1"/>
        <v>2011</v>
      </c>
      <c r="M48" s="52" t="str">
        <f t="shared" si="1"/>
        <v xml:space="preserve">average </v>
      </c>
    </row>
    <row r="49" spans="1:13" ht="25.5">
      <c r="A49" s="193" t="str">
        <f>Historical!A49</f>
        <v>Long-Term Debt</v>
      </c>
      <c r="B49" s="123"/>
      <c r="C49" s="120"/>
      <c r="D49" s="125" t="s">
        <v>204</v>
      </c>
      <c r="F49" s="55">
        <f>Historical!F49/Historical!F27</f>
        <v>0.38955347756321584</v>
      </c>
      <c r="G49" s="55"/>
      <c r="H49" s="55">
        <f>Historical!I49/Historical!I27</f>
        <v>0.40113089712212002</v>
      </c>
      <c r="I49" s="55">
        <f>Historical!J49/Historical!J27</f>
        <v>0.3923611111111111</v>
      </c>
      <c r="J49" s="55">
        <f>Historical!K49/Historical!K27</f>
        <v>0.41191993306301089</v>
      </c>
      <c r="K49" s="55">
        <f>Historical!L49/Historical!L27</f>
        <v>0.35462420693020985</v>
      </c>
      <c r="L49" s="55">
        <f>Historical!M49/Historical!M27</f>
        <v>0.35650972717854262</v>
      </c>
      <c r="M49" s="55">
        <f>AVERAGE(G49:L49)</f>
        <v>0.38330917508099893</v>
      </c>
    </row>
    <row r="50" spans="1:13">
      <c r="A50" s="52" t="str">
        <f>Historical!A50</f>
        <v>Deferred Income Taxes</v>
      </c>
      <c r="B50" s="123"/>
      <c r="C50" s="291">
        <f>E50</f>
        <v>540.5</v>
      </c>
      <c r="D50" s="300" t="s">
        <v>234</v>
      </c>
      <c r="E50" s="114">
        <f>(Historical!M50-Historical!I50)/4</f>
        <v>540.5</v>
      </c>
      <c r="F50" s="84"/>
      <c r="G50" s="84"/>
      <c r="H50" s="84"/>
      <c r="I50" s="84"/>
      <c r="J50" s="84"/>
      <c r="K50" s="84"/>
      <c r="L50" s="84"/>
      <c r="M50" s="84"/>
    </row>
    <row r="51" spans="1:13">
      <c r="A51" s="52" t="str">
        <f>Historical!A51</f>
        <v>Derivative Contracts</v>
      </c>
      <c r="B51" s="123"/>
      <c r="C51" s="120">
        <f>M51</f>
        <v>4.0342298288508556E-2</v>
      </c>
      <c r="D51" s="125" t="s">
        <v>194</v>
      </c>
      <c r="E51" s="116"/>
      <c r="F51" s="55">
        <f>Historical!F51/Historical!F79</f>
        <v>0</v>
      </c>
      <c r="G51" s="55"/>
      <c r="H51" s="55">
        <f>Historical!I51/Historical!I79</f>
        <v>0.28110859728506787</v>
      </c>
      <c r="I51" s="55">
        <f>Historical!J51/Historical!J79</f>
        <v>0.2503832396525294</v>
      </c>
      <c r="J51" s="55">
        <f>Historical!K51/Historical!K79</f>
        <v>0.24448419797257007</v>
      </c>
      <c r="K51" s="55">
        <f>Historical!L51/Historical!L79</f>
        <v>0.24660074165636589</v>
      </c>
      <c r="L51" s="55">
        <f>Historical!M51/Historical!M79</f>
        <v>4.0342298288508556E-2</v>
      </c>
      <c r="M51" s="55">
        <f>AVERAGE(L51:L51)</f>
        <v>4.0342298288508556E-2</v>
      </c>
    </row>
    <row r="52" spans="1:13">
      <c r="A52" s="52" t="str">
        <f>Historical!A52</f>
        <v>Other Long-term Liabilities</v>
      </c>
      <c r="B52" s="123"/>
      <c r="C52" s="120">
        <f>Historical!O52</f>
        <v>4.4030608725042081E-2</v>
      </c>
      <c r="D52" s="127" t="s">
        <v>138</v>
      </c>
      <c r="E52" s="116"/>
    </row>
    <row r="53" spans="1:13">
      <c r="A53" s="52" t="str">
        <f>Historical!A53</f>
        <v>Total LTD &amp; Deferrals</v>
      </c>
      <c r="B53" s="123"/>
      <c r="C53" s="119"/>
      <c r="D53" s="273" t="s">
        <v>188</v>
      </c>
    </row>
    <row r="54" spans="1:13">
      <c r="A54" s="52" t="str">
        <f>Historical!A55</f>
        <v>Total Liabilities</v>
      </c>
      <c r="B54" s="119"/>
      <c r="C54" s="120"/>
      <c r="D54" s="273" t="s">
        <v>188</v>
      </c>
    </row>
    <row r="55" spans="1:13">
      <c r="B55" s="123"/>
      <c r="C55" s="119"/>
      <c r="D55" s="127"/>
    </row>
    <row r="56" spans="1:13">
      <c r="A56" s="52" t="str">
        <f>Historical!A57</f>
        <v>Preferred Stock</v>
      </c>
      <c r="B56" s="119"/>
      <c r="C56" s="119"/>
      <c r="D56" s="273" t="s">
        <v>195</v>
      </c>
      <c r="E56" s="126"/>
    </row>
    <row r="57" spans="1:13">
      <c r="B57" s="119"/>
      <c r="C57" s="120"/>
      <c r="D57" s="273"/>
    </row>
    <row r="58" spans="1:13">
      <c r="A58" s="193" t="str">
        <f>Historical!A59</f>
        <v>Common Equity:</v>
      </c>
      <c r="B58" s="119"/>
      <c r="C58" s="119"/>
      <c r="D58" s="273"/>
    </row>
    <row r="59" spans="1:13">
      <c r="A59" s="52" t="str">
        <f>Historical!A60</f>
        <v>Common Stock</v>
      </c>
      <c r="B59" s="119"/>
      <c r="C59" s="120"/>
      <c r="D59" s="273" t="s">
        <v>195</v>
      </c>
      <c r="E59" s="118"/>
    </row>
    <row r="60" spans="1:13">
      <c r="A60" s="52" t="str">
        <f>Historical!A61</f>
        <v>Retained Earnings</v>
      </c>
      <c r="B60" s="119"/>
      <c r="C60" s="120"/>
      <c r="D60" s="273" t="s">
        <v>188</v>
      </c>
    </row>
    <row r="61" spans="1:13">
      <c r="A61" s="193" t="str">
        <f>Historical!A62</f>
        <v>Total Common Equity</v>
      </c>
      <c r="B61" s="119"/>
      <c r="C61" s="124"/>
      <c r="D61" s="273" t="s">
        <v>188</v>
      </c>
      <c r="E61" s="116"/>
    </row>
    <row r="62" spans="1:13">
      <c r="A62" s="193" t="str">
        <f>Historical!A63</f>
        <v>Total Liabilities &amp; Equity</v>
      </c>
      <c r="B62" s="119"/>
      <c r="C62" s="120"/>
      <c r="D62" s="273" t="s">
        <v>188</v>
      </c>
    </row>
    <row r="63" spans="1:13">
      <c r="B63" s="119"/>
      <c r="C63" s="120"/>
      <c r="D63" s="128"/>
    </row>
    <row r="64" spans="1:13" ht="25.5">
      <c r="A64" s="52" t="str">
        <f>Historical!A75</f>
        <v>Revenues</v>
      </c>
      <c r="B64" s="55"/>
      <c r="C64" s="55">
        <f>+Historical!O75+0.02</f>
        <v>3.8725314884784701E-2</v>
      </c>
      <c r="D64" s="297" t="s">
        <v>243</v>
      </c>
      <c r="E64" s="299" t="s">
        <v>244</v>
      </c>
    </row>
    <row r="65" spans="1:16">
      <c r="A65" s="193" t="str">
        <f>Historical!A76</f>
        <v>Total Revenues</v>
      </c>
      <c r="B65" s="55"/>
      <c r="C65" s="55"/>
      <c r="D65" s="273" t="s">
        <v>188</v>
      </c>
    </row>
    <row r="66" spans="1:16">
      <c r="B66" s="55"/>
      <c r="C66" s="55"/>
    </row>
    <row r="67" spans="1:16">
      <c r="A67" s="193" t="str">
        <f>Historical!A78</f>
        <v>Operating Expenses:</v>
      </c>
      <c r="B67" s="55"/>
      <c r="C67" s="55"/>
    </row>
    <row r="68" spans="1:16">
      <c r="A68" s="52" t="str">
        <f>Historical!A79</f>
        <v>Energy Costs</v>
      </c>
      <c r="B68" s="55"/>
      <c r="C68" s="55">
        <f>+C6</f>
        <v>2.5000000000000001E-2</v>
      </c>
      <c r="D68" s="297" t="s">
        <v>240</v>
      </c>
      <c r="F68" s="84">
        <f>F48</f>
        <v>2004</v>
      </c>
      <c r="G68" s="84"/>
      <c r="H68" s="84">
        <f t="shared" ref="H68:M68" si="2">H48</f>
        <v>2007</v>
      </c>
      <c r="I68" s="84">
        <f t="shared" si="2"/>
        <v>2008</v>
      </c>
      <c r="J68" s="84">
        <f t="shared" si="2"/>
        <v>2009</v>
      </c>
      <c r="K68" s="84">
        <f t="shared" si="2"/>
        <v>2010</v>
      </c>
      <c r="L68" s="84">
        <f t="shared" si="2"/>
        <v>2011</v>
      </c>
      <c r="M68" s="84" t="str">
        <f t="shared" si="2"/>
        <v xml:space="preserve">average </v>
      </c>
      <c r="N68" s="84"/>
      <c r="O68" s="84"/>
      <c r="P68" s="84"/>
    </row>
    <row r="69" spans="1:16">
      <c r="A69" s="52" t="str">
        <f>Historical!A80</f>
        <v>Other operations and maintenance</v>
      </c>
      <c r="B69" s="55"/>
      <c r="C69" s="55">
        <f>C64</f>
        <v>3.8725314884784701E-2</v>
      </c>
      <c r="D69" s="125" t="s">
        <v>222</v>
      </c>
    </row>
    <row r="70" spans="1:16">
      <c r="A70" s="52" t="str">
        <f>Historical!A81</f>
        <v>Depreciation and amortization</v>
      </c>
      <c r="B70" s="55"/>
      <c r="C70" s="55">
        <f>M70</f>
        <v>2.6826584890117956E-2</v>
      </c>
      <c r="D70" s="125" t="s">
        <v>198</v>
      </c>
      <c r="E70" s="133"/>
      <c r="F70" s="55">
        <f>Historical!F81/Historical!F19</f>
        <v>3.1043669639754429E-2</v>
      </c>
      <c r="G70" s="55"/>
      <c r="H70" s="55">
        <f>Historical!I81/Historical!I19</f>
        <v>2.921123780416128E-2</v>
      </c>
      <c r="I70" s="55">
        <f>Historical!J81/Historical!J19</f>
        <v>2.5954764553207266E-2</v>
      </c>
      <c r="J70" s="55">
        <f>Historical!K81/Historical!K19</f>
        <v>2.7004426955238563E-2</v>
      </c>
      <c r="K70" s="55">
        <f>Historical!L81/Historical!L19</f>
        <v>2.5460651720068984E-2</v>
      </c>
      <c r="L70" s="55">
        <f>Historical!M81/Historical!M19</f>
        <v>2.6501843417913683E-2</v>
      </c>
      <c r="M70" s="55">
        <f>AVERAGE(H70:L70)</f>
        <v>2.6826584890117956E-2</v>
      </c>
    </row>
    <row r="71" spans="1:16">
      <c r="A71" s="52" t="str">
        <f>Historical!A82</f>
        <v>Taxes, other than income taxes</v>
      </c>
      <c r="B71" s="55"/>
      <c r="C71" s="55">
        <f>Historical!AC82</f>
        <v>3.3144352376798955E-2</v>
      </c>
      <c r="D71" s="297" t="s">
        <v>241</v>
      </c>
    </row>
    <row r="72" spans="1:16" ht="12.75" hidden="1" customHeight="1">
      <c r="A72" s="52" t="str">
        <f>Historical!A83</f>
        <v>Other Operating Expenses</v>
      </c>
      <c r="B72" s="55"/>
      <c r="C72" s="55"/>
    </row>
    <row r="73" spans="1:16">
      <c r="A73" s="52" t="str">
        <f>Historical!A84</f>
        <v>Total Operating Expenses</v>
      </c>
      <c r="B73" s="55"/>
      <c r="C73" s="55"/>
      <c r="D73" s="273" t="s">
        <v>188</v>
      </c>
    </row>
    <row r="74" spans="1:16">
      <c r="A74" s="52" t="str">
        <f>Historical!A85</f>
        <v>Earnings From Operations</v>
      </c>
      <c r="B74" s="55"/>
      <c r="C74" s="55"/>
      <c r="D74" s="273" t="s">
        <v>188</v>
      </c>
    </row>
    <row r="75" spans="1:16">
      <c r="B75" s="55"/>
      <c r="C75" s="55"/>
    </row>
    <row r="76" spans="1:16">
      <c r="A76" s="52" t="str">
        <f>Forecast!A91</f>
        <v>Interest expense (net)</v>
      </c>
      <c r="B76" s="55"/>
      <c r="C76" s="55"/>
      <c r="D76" s="125" t="s">
        <v>199</v>
      </c>
    </row>
    <row r="77" spans="1:16">
      <c r="A77" s="52" t="str">
        <f>Forecast!A92</f>
        <v>Interest income</v>
      </c>
      <c r="C77" s="55">
        <f>C11</f>
        <v>0.01</v>
      </c>
      <c r="D77" s="125" t="s">
        <v>200</v>
      </c>
    </row>
    <row r="78" spans="1:16" hidden="1">
      <c r="A78" s="52" t="str">
        <f>Forecast!A93</f>
        <v>Loss (Gain) on Sale of Assets</v>
      </c>
    </row>
    <row r="79" spans="1:16" ht="51">
      <c r="A79" s="114" t="str">
        <f>Forecast!A94</f>
        <v>Interest Expense (Income) on Additional Loans (Surplus Cash)</v>
      </c>
      <c r="D79" s="125" t="s">
        <v>201</v>
      </c>
    </row>
    <row r="80" spans="1:16" ht="25.5">
      <c r="A80" s="52" t="str">
        <f>Forecast!A95</f>
        <v>Other (Income) Expense</v>
      </c>
      <c r="C80" s="55">
        <f>Historical!AE90</f>
        <v>-1.241509603706536E-2</v>
      </c>
      <c r="D80" s="297" t="s">
        <v>242</v>
      </c>
    </row>
    <row r="81" spans="1:13">
      <c r="A81" s="52" t="str">
        <f>Forecast!A96</f>
        <v>Total Other (Income)/Expense</v>
      </c>
      <c r="D81" s="273" t="s">
        <v>188</v>
      </c>
    </row>
    <row r="83" spans="1:13">
      <c r="A83" s="52" t="str">
        <f>Forecast!A98</f>
        <v>Earnings Before Taxes</v>
      </c>
      <c r="D83" s="273" t="s">
        <v>188</v>
      </c>
    </row>
    <row r="84" spans="1:13">
      <c r="F84" s="84">
        <f>F68</f>
        <v>2004</v>
      </c>
      <c r="G84" s="84"/>
      <c r="H84" s="84"/>
      <c r="I84" s="84"/>
      <c r="J84" s="84"/>
      <c r="K84" s="84"/>
      <c r="L84" s="84"/>
      <c r="M84" s="84"/>
    </row>
    <row r="85" spans="1:13">
      <c r="A85" s="52" t="str">
        <f>Forecast!A100</f>
        <v>Extraordinary Items</v>
      </c>
      <c r="C85" s="52">
        <v>0</v>
      </c>
      <c r="D85" s="125" t="s">
        <v>202</v>
      </c>
      <c r="G85" s="84"/>
      <c r="H85" s="84">
        <v>2007</v>
      </c>
      <c r="I85" s="84">
        <v>2008</v>
      </c>
      <c r="J85" s="84">
        <v>2009</v>
      </c>
      <c r="K85" s="84">
        <v>2010</v>
      </c>
      <c r="L85" s="84">
        <v>2011</v>
      </c>
      <c r="M85" s="52" t="s">
        <v>3</v>
      </c>
    </row>
    <row r="86" spans="1:13">
      <c r="A86" s="52" t="str">
        <f>Forecast!A101</f>
        <v>Income Taxes</v>
      </c>
      <c r="C86" s="55">
        <f>M86</f>
        <v>0.30334931047454544</v>
      </c>
      <c r="D86" s="125" t="s">
        <v>203</v>
      </c>
      <c r="G86" s="55"/>
      <c r="H86" s="55">
        <f>+Historical!I96/Historical!I93</f>
        <v>0.33082706766917291</v>
      </c>
      <c r="I86" s="55">
        <f>+Historical!J96/Historical!J93</f>
        <v>0.33854907539118068</v>
      </c>
      <c r="J86" s="55">
        <f>+Historical!K96/Historical!K93</f>
        <v>0.29846938775510207</v>
      </c>
      <c r="K86" s="55">
        <f>+Historical!L96/Historical!L93</f>
        <v>0.27155727155727155</v>
      </c>
      <c r="L86" s="55">
        <f>+Historical!M96/Historical!M93</f>
        <v>0.27734375</v>
      </c>
      <c r="M86" s="55">
        <f>AVERAGE(H86:L86)</f>
        <v>0.30334931047454544</v>
      </c>
    </row>
    <row r="87" spans="1:13">
      <c r="A87" s="52" t="str">
        <f>Forecast!A102</f>
        <v>Net Income</v>
      </c>
      <c r="D87" s="273" t="s">
        <v>188</v>
      </c>
    </row>
    <row r="89" spans="1:13">
      <c r="A89" s="52" t="str">
        <f>Forecast!A104</f>
        <v>Preferred Stock Dividends</v>
      </c>
      <c r="C89" s="52">
        <v>2</v>
      </c>
      <c r="D89" s="125" t="s">
        <v>189</v>
      </c>
    </row>
    <row r="90" spans="1:13" ht="38.25">
      <c r="A90" s="52" t="str">
        <f>Forecast!A105</f>
        <v>Common Stock Dividends</v>
      </c>
      <c r="D90" s="125" t="s">
        <v>216</v>
      </c>
    </row>
    <row r="95" spans="1:13">
      <c r="E95" s="115"/>
    </row>
    <row r="96" spans="1:13">
      <c r="E96" s="115"/>
    </row>
    <row r="97" spans="5:5">
      <c r="E97" s="115"/>
    </row>
    <row r="98" spans="5:5">
      <c r="E98" s="115"/>
    </row>
    <row r="138" spans="5:5">
      <c r="E138" s="115"/>
    </row>
    <row r="139" spans="5:5">
      <c r="E139" s="115"/>
    </row>
    <row r="140" spans="5:5">
      <c r="E140" s="115"/>
    </row>
    <row r="141" spans="5:5">
      <c r="E141" s="115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Robyn Paschal</dc:creator>
  <cp:lastModifiedBy>Melissa Robyn Paschal</cp:lastModifiedBy>
  <cp:lastPrinted>2012-09-11T19:49:15Z</cp:lastPrinted>
  <dcterms:created xsi:type="dcterms:W3CDTF">2005-09-19T14:11:29Z</dcterms:created>
  <dcterms:modified xsi:type="dcterms:W3CDTF">2012-09-17T20:13:35Z</dcterms:modified>
</cp:coreProperties>
</file>