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updateLinks="never" codeName="ThisWorkbook" defaultThemeVersion="124226"/>
  <bookViews>
    <workbookView xWindow="-15" yWindow="-30" windowWidth="15480" windowHeight="11640"/>
  </bookViews>
  <sheets>
    <sheet name="Appendix B" sheetId="32" r:id="rId1"/>
    <sheet name="Table 1" sheetId="25" r:id="rId2"/>
    <sheet name="Table 2" sheetId="17" r:id="rId3"/>
    <sheet name="Table 3" sheetId="26" r:id="rId4"/>
    <sheet name="Table 4" sheetId="29" r:id="rId5"/>
    <sheet name="Table 5" sheetId="28" r:id="rId6"/>
  </sheets>
  <definedNames>
    <definedName name="Discount_Rate">'Table 1'!$I$34</definedName>
    <definedName name="_xlnm.Print_Area" localSheetId="0">'Appendix B'!$A$1:$F$39</definedName>
    <definedName name="_xlnm.Print_Area" localSheetId="1">'Table 1'!$A$1:$H$45</definedName>
    <definedName name="_xlnm.Print_Area" localSheetId="2">'Table 2'!$B$10:$Q$34</definedName>
    <definedName name="_xlnm.Print_Area" localSheetId="3">'Table 3'!$B$10:$Q$34</definedName>
    <definedName name="_xlnm.Print_Area" localSheetId="4">'Table 4'!$A$1:$K$89</definedName>
    <definedName name="_xlnm.Print_Area" localSheetId="5">'Table 5'!$A$1:$D$36</definedName>
    <definedName name="_xlnm.Print_Titles" localSheetId="2">'Table 2'!$1:$9</definedName>
    <definedName name="_xlnm.Print_Titles" localSheetId="3">'Table 3'!$1:$9</definedName>
    <definedName name="_xlnm.Print_Titles" localSheetId="4">'Table 4'!$1:$6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B42" i="25"/>
  <c r="C84" i="29" l="1"/>
  <c r="C85" s="1"/>
  <c r="D76"/>
  <c r="K64"/>
  <c r="J63"/>
  <c r="D73"/>
  <c r="I59" s="1"/>
  <c r="C73"/>
  <c r="I58" s="1"/>
  <c r="F64"/>
  <c r="H64" s="1"/>
  <c r="F63"/>
  <c r="E68"/>
  <c r="J64"/>
  <c r="G64"/>
  <c r="K63"/>
  <c r="G63"/>
  <c r="H59"/>
  <c r="F59"/>
  <c r="H58"/>
  <c r="D52"/>
  <c r="C52"/>
  <c r="C51"/>
  <c r="C50"/>
  <c r="D49"/>
  <c r="C49"/>
  <c r="C48"/>
  <c r="D47"/>
  <c r="C47"/>
  <c r="B15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12"/>
  <c r="B5"/>
  <c r="B30" l="1"/>
  <c r="F58"/>
  <c r="F65"/>
  <c r="B31"/>
  <c r="C86"/>
  <c r="F60"/>
  <c r="I60" s="1"/>
  <c r="E14" s="1"/>
  <c r="H63"/>
  <c r="E15" l="1"/>
  <c r="E16" s="1"/>
  <c r="G58"/>
  <c r="H60"/>
  <c r="C14" s="1"/>
  <c r="D14" s="1"/>
  <c r="D15" s="1"/>
  <c r="G59"/>
  <c r="G60" s="1"/>
  <c r="C87"/>
  <c r="I63"/>
  <c r="H65"/>
  <c r="B32"/>
  <c r="E17" l="1"/>
  <c r="B33"/>
  <c r="I64"/>
  <c r="K65" s="1"/>
  <c r="D78"/>
  <c r="G65"/>
  <c r="D48" s="1"/>
  <c r="C88"/>
  <c r="D16"/>
  <c r="E18" l="1"/>
  <c r="J65"/>
  <c r="F14" s="1"/>
  <c r="F15" s="1"/>
  <c r="I65"/>
  <c r="D51"/>
  <c r="C89"/>
  <c r="D17"/>
  <c r="E79"/>
  <c r="D79"/>
  <c r="B34"/>
  <c r="E19" l="1"/>
  <c r="G14"/>
  <c r="H14" s="1"/>
  <c r="D18"/>
  <c r="F16"/>
  <c r="G15"/>
  <c r="H15" s="1"/>
  <c r="B35"/>
  <c r="E20"/>
  <c r="C90"/>
  <c r="E21" l="1"/>
  <c r="C91"/>
  <c r="B36"/>
  <c r="F17"/>
  <c r="G16"/>
  <c r="H16" s="1"/>
  <c r="D19"/>
  <c r="D20" l="1"/>
  <c r="F18"/>
  <c r="G17"/>
  <c r="H17" s="1"/>
  <c r="B37"/>
  <c r="E22"/>
  <c r="F83"/>
  <c r="F19" l="1"/>
  <c r="G18"/>
  <c r="H18" s="1"/>
  <c r="D21"/>
  <c r="E23"/>
  <c r="F84"/>
  <c r="B38"/>
  <c r="B39" l="1"/>
  <c r="D22"/>
  <c r="F20"/>
  <c r="G19"/>
  <c r="H19" s="1"/>
  <c r="E24"/>
  <c r="F85"/>
  <c r="D23" l="1"/>
  <c r="F21"/>
  <c r="G20"/>
  <c r="H20" s="1"/>
  <c r="E25"/>
  <c r="F86"/>
  <c r="B40"/>
  <c r="B41" l="1"/>
  <c r="F22"/>
  <c r="G21"/>
  <c r="H21" s="1"/>
  <c r="D24"/>
  <c r="E26"/>
  <c r="F87"/>
  <c r="F23" l="1"/>
  <c r="G22"/>
  <c r="H22" s="1"/>
  <c r="D25"/>
  <c r="E27"/>
  <c r="F88"/>
  <c r="B42"/>
  <c r="D26" l="1"/>
  <c r="F24"/>
  <c r="G23"/>
  <c r="H23" s="1"/>
  <c r="E28"/>
  <c r="F89"/>
  <c r="F25" l="1"/>
  <c r="G24"/>
  <c r="H24" s="1"/>
  <c r="D27"/>
  <c r="E29"/>
  <c r="F90"/>
  <c r="D28" l="1"/>
  <c r="F26"/>
  <c r="G25"/>
  <c r="H25" s="1"/>
  <c r="E30"/>
  <c r="F91"/>
  <c r="F27" l="1"/>
  <c r="G26"/>
  <c r="H26" s="1"/>
  <c r="D29"/>
  <c r="E31"/>
  <c r="I83"/>
  <c r="D30" l="1"/>
  <c r="F28"/>
  <c r="G27"/>
  <c r="H27" s="1"/>
  <c r="E32"/>
  <c r="I84"/>
  <c r="F29" l="1"/>
  <c r="G28"/>
  <c r="H28" s="1"/>
  <c r="D31"/>
  <c r="E33"/>
  <c r="I85"/>
  <c r="E34" l="1"/>
  <c r="I86"/>
  <c r="F30"/>
  <c r="G30" s="1"/>
  <c r="G29"/>
  <c r="H29" s="1"/>
  <c r="D32"/>
  <c r="F31" l="1"/>
  <c r="H30"/>
  <c r="D33"/>
  <c r="E35"/>
  <c r="I87"/>
  <c r="F32" l="1"/>
  <c r="G31"/>
  <c r="H31" s="1"/>
  <c r="E36"/>
  <c r="I88"/>
  <c r="D34"/>
  <c r="D35" l="1"/>
  <c r="F33"/>
  <c r="G32"/>
  <c r="H32" s="1"/>
  <c r="E37"/>
  <c r="I89"/>
  <c r="F34" l="1"/>
  <c r="G33"/>
  <c r="H33" s="1"/>
  <c r="D36"/>
  <c r="E38"/>
  <c r="I90"/>
  <c r="F35" l="1"/>
  <c r="G34"/>
  <c r="H34" s="1"/>
  <c r="E39"/>
  <c r="I91"/>
  <c r="D37"/>
  <c r="D38" l="1"/>
  <c r="F36"/>
  <c r="G35"/>
  <c r="H35" s="1"/>
  <c r="E40"/>
  <c r="I92"/>
  <c r="F37" l="1"/>
  <c r="G36"/>
  <c r="H36" s="1"/>
  <c r="E41"/>
  <c r="I93"/>
  <c r="D39"/>
  <c r="E42" l="1"/>
  <c r="D40"/>
  <c r="F38"/>
  <c r="G37"/>
  <c r="H37" s="1"/>
  <c r="D41" l="1"/>
  <c r="F39"/>
  <c r="G38"/>
  <c r="H38" s="1"/>
  <c r="F40" l="1"/>
  <c r="G39"/>
  <c r="H39" s="1"/>
  <c r="D42"/>
  <c r="F41" l="1"/>
  <c r="G40"/>
  <c r="H40" s="1"/>
  <c r="F42" l="1"/>
  <c r="G42" s="1"/>
  <c r="H42" s="1"/>
  <c r="G41"/>
  <c r="H41" s="1"/>
  <c r="I268" i="28" l="1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7"/>
  <c r="I185"/>
  <c r="I183"/>
  <c r="I181"/>
  <c r="I179"/>
  <c r="I177"/>
  <c r="I175"/>
  <c r="I173"/>
  <c r="I171"/>
  <c r="I169"/>
  <c r="I167"/>
  <c r="I165"/>
  <c r="I163"/>
  <c r="I161"/>
  <c r="I159"/>
  <c r="I157"/>
  <c r="I155"/>
  <c r="I153"/>
  <c r="I151"/>
  <c r="I149"/>
  <c r="I147"/>
  <c r="I145"/>
  <c r="I143"/>
  <c r="I141"/>
  <c r="I139"/>
  <c r="I137"/>
  <c r="I135"/>
  <c r="I133"/>
  <c r="I131"/>
  <c r="I129"/>
  <c r="I127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8"/>
  <c r="I67"/>
  <c r="I66"/>
  <c r="I65"/>
  <c r="I64"/>
  <c r="I62"/>
  <c r="I60"/>
  <c r="I59"/>
  <c r="I58"/>
  <c r="I56"/>
  <c r="I55"/>
  <c r="I54"/>
  <c r="I52"/>
  <c r="I51"/>
  <c r="I50"/>
  <c r="I48"/>
  <c r="I47"/>
  <c r="I46"/>
  <c r="I45"/>
  <c r="I44"/>
  <c r="I42"/>
  <c r="I40"/>
  <c r="I39"/>
  <c r="I38"/>
  <c r="I36"/>
  <c r="I35"/>
  <c r="I33"/>
  <c r="I32"/>
  <c r="I31"/>
  <c r="I29"/>
  <c r="I27"/>
  <c r="I25"/>
  <c r="I23"/>
  <c r="I21"/>
  <c r="I19"/>
  <c r="B15"/>
  <c r="I17" l="1"/>
  <c r="B36"/>
  <c r="C82" i="29"/>
  <c r="I18" i="28"/>
  <c r="I20"/>
  <c r="I22"/>
  <c r="I24"/>
  <c r="I26"/>
  <c r="I28"/>
  <c r="I30"/>
  <c r="B16"/>
  <c r="I34"/>
  <c r="I37"/>
  <c r="I41"/>
  <c r="I43"/>
  <c r="I49"/>
  <c r="I53"/>
  <c r="I57"/>
  <c r="I61"/>
  <c r="I63"/>
  <c r="I69"/>
  <c r="I126"/>
  <c r="I128"/>
  <c r="I130"/>
  <c r="I132"/>
  <c r="I134"/>
  <c r="I136"/>
  <c r="I138"/>
  <c r="I140"/>
  <c r="I142"/>
  <c r="I144"/>
  <c r="I146"/>
  <c r="I148"/>
  <c r="I150"/>
  <c r="I152"/>
  <c r="I154"/>
  <c r="I156"/>
  <c r="I158"/>
  <c r="I160"/>
  <c r="I162"/>
  <c r="I164"/>
  <c r="I166"/>
  <c r="I168"/>
  <c r="I170"/>
  <c r="I172"/>
  <c r="I174"/>
  <c r="I176"/>
  <c r="I178"/>
  <c r="I180"/>
  <c r="I182"/>
  <c r="I184"/>
  <c r="I186"/>
  <c r="I188"/>
  <c r="C15" l="1"/>
  <c r="C14"/>
  <c r="C16"/>
  <c r="B17"/>
  <c r="C17" l="1"/>
  <c r="B18"/>
  <c r="B19" l="1"/>
  <c r="C18"/>
  <c r="C19" l="1"/>
  <c r="B20"/>
  <c r="B21" l="1"/>
  <c r="C20"/>
  <c r="I29" i="29" s="1"/>
  <c r="J29" s="1"/>
  <c r="K29" s="1"/>
  <c r="B29" i="32"/>
  <c r="B22" i="28" l="1"/>
  <c r="C21"/>
  <c r="I30" i="29" s="1"/>
  <c r="J30" s="1"/>
  <c r="K30" s="1"/>
  <c r="B34" i="25"/>
  <c r="B23" i="28" l="1"/>
  <c r="C22"/>
  <c r="I31" i="29" s="1"/>
  <c r="J31" s="1"/>
  <c r="K31" s="1"/>
  <c r="B24" i="28" l="1"/>
  <c r="C23"/>
  <c r="I32" i="29" s="1"/>
  <c r="J32" s="1"/>
  <c r="K32" s="1"/>
  <c r="C10" i="25"/>
  <c r="B25" i="28" l="1"/>
  <c r="C24"/>
  <c r="I33" i="29" s="1"/>
  <c r="J33" s="1"/>
  <c r="K33" s="1"/>
  <c r="B26" i="28" l="1"/>
  <c r="C25"/>
  <c r="I34" i="29" s="1"/>
  <c r="J34" s="1"/>
  <c r="K34" s="1"/>
  <c r="B45" i="25"/>
  <c r="B27" i="28" l="1"/>
  <c r="C26"/>
  <c r="I35" i="29" s="1"/>
  <c r="J35" s="1"/>
  <c r="K35" s="1"/>
  <c r="B28" i="28" l="1"/>
  <c r="C27"/>
  <c r="I36" i="29" s="1"/>
  <c r="J36" s="1"/>
  <c r="K36" s="1"/>
  <c r="B29" i="28" l="1"/>
  <c r="C28"/>
  <c r="I37" i="29" s="1"/>
  <c r="J37" s="1"/>
  <c r="K37" s="1"/>
  <c r="B30" i="28" l="1"/>
  <c r="C29"/>
  <c r="I38" i="29" s="1"/>
  <c r="J38" s="1"/>
  <c r="K38" s="1"/>
  <c r="B31" i="28" l="1"/>
  <c r="C30"/>
  <c r="I39" i="29" s="1"/>
  <c r="J39" s="1"/>
  <c r="K39" s="1"/>
  <c r="B32" i="28" l="1"/>
  <c r="C31"/>
  <c r="I40" i="29" s="1"/>
  <c r="J40" s="1"/>
  <c r="K40" s="1"/>
  <c r="B33" i="28" l="1"/>
  <c r="C32"/>
  <c r="I41" i="29" s="1"/>
  <c r="J41" s="1"/>
  <c r="K41" s="1"/>
  <c r="C33" i="28" l="1"/>
  <c r="I42" i="29" s="1"/>
  <c r="J42" s="1"/>
  <c r="K42" s="1"/>
  <c r="B34" i="28"/>
  <c r="C34" s="1"/>
  <c r="B6" i="26" l="1"/>
  <c r="B6" i="17"/>
  <c r="B3"/>
  <c r="B3" i="26" s="1"/>
  <c r="B3" i="29" s="1"/>
  <c r="B3" i="28" s="1"/>
  <c r="D50" i="29" s="1"/>
  <c r="B13" i="17" l="1"/>
  <c r="Q12"/>
  <c r="B12" i="26"/>
  <c r="B13" i="25"/>
  <c r="Q12" i="26" l="1"/>
  <c r="B13"/>
  <c r="B14" i="17"/>
  <c r="Q13"/>
  <c r="C13" i="25"/>
  <c r="B8" i="32"/>
  <c r="B14" i="25"/>
  <c r="D14" s="1"/>
  <c r="C14" l="1"/>
  <c r="B15"/>
  <c r="D15" s="1"/>
  <c r="B14" i="26"/>
  <c r="Q13"/>
  <c r="B9" i="32"/>
  <c r="B15" i="17"/>
  <c r="Q14"/>
  <c r="B16" l="1"/>
  <c r="Q15"/>
  <c r="B10" i="32"/>
  <c r="B15" i="26"/>
  <c r="Q14"/>
  <c r="C15" i="25"/>
  <c r="B16"/>
  <c r="D16" l="1"/>
  <c r="B11" i="32"/>
  <c r="B17" i="25"/>
  <c r="D17" s="1"/>
  <c r="C16"/>
  <c r="B16" i="26"/>
  <c r="Q15"/>
  <c r="B17" i="17"/>
  <c r="Q16"/>
  <c r="Q17" l="1"/>
  <c r="B18"/>
  <c r="Q16" i="26"/>
  <c r="B17"/>
  <c r="C17" i="25"/>
  <c r="B18"/>
  <c r="D18" s="1"/>
  <c r="B12" i="32"/>
  <c r="C18" i="25" l="1"/>
  <c r="B19"/>
  <c r="D19" s="1"/>
  <c r="B13" i="32"/>
  <c r="B18" i="26"/>
  <c r="Q17"/>
  <c r="Q18" i="17"/>
  <c r="B19"/>
  <c r="B20" l="1"/>
  <c r="Q19"/>
  <c r="B14" i="32"/>
  <c r="Q18" i="26"/>
  <c r="B19"/>
  <c r="C19" i="25"/>
  <c r="B20"/>
  <c r="D20" s="1"/>
  <c r="C20" l="1"/>
  <c r="B21"/>
  <c r="D21" s="1"/>
  <c r="Q20" i="17"/>
  <c r="B21"/>
  <c r="B20" i="26"/>
  <c r="Q19"/>
  <c r="B15" i="32"/>
  <c r="B21" i="26" l="1"/>
  <c r="Q20"/>
  <c r="B22" i="17"/>
  <c r="Q21"/>
  <c r="C21" i="25"/>
  <c r="B22"/>
  <c r="B16" i="32"/>
  <c r="D22" i="25" l="1"/>
  <c r="Q22" i="17"/>
  <c r="B23"/>
  <c r="B22" i="26"/>
  <c r="Q21"/>
  <c r="B17" i="32"/>
  <c r="C22" i="25"/>
  <c r="B23"/>
  <c r="D23" s="1"/>
  <c r="B18" i="32" l="1"/>
  <c r="Q22" i="26"/>
  <c r="B23"/>
  <c r="C23" i="25"/>
  <c r="B24"/>
  <c r="D24" s="1"/>
  <c r="Q23" i="17"/>
  <c r="B24"/>
  <c r="B25" l="1"/>
  <c r="Q24"/>
  <c r="C24" i="25"/>
  <c r="B25"/>
  <c r="D25" s="1"/>
  <c r="B24" i="26"/>
  <c r="Q23"/>
  <c r="B19" i="32"/>
  <c r="B20" l="1"/>
  <c r="Q25" i="17"/>
  <c r="B26"/>
  <c r="Q24" i="26"/>
  <c r="B25"/>
  <c r="C25" i="25"/>
  <c r="B26"/>
  <c r="D26" s="1"/>
  <c r="B27" l="1"/>
  <c r="C26"/>
  <c r="Q26" i="17"/>
  <c r="B27"/>
  <c r="B21" i="32"/>
  <c r="B26" i="26"/>
  <c r="Q25"/>
  <c r="D27" i="25" l="1"/>
  <c r="B28" i="17"/>
  <c r="Q27"/>
  <c r="C27" i="25"/>
  <c r="B28"/>
  <c r="D28" s="1"/>
  <c r="Q26" i="26"/>
  <c r="B27"/>
  <c r="B22" i="32"/>
  <c r="B23" l="1"/>
  <c r="Q27" i="26"/>
  <c r="B28"/>
  <c r="C28" i="25"/>
  <c r="B29"/>
  <c r="D29" s="1"/>
  <c r="B29" i="17"/>
  <c r="Q28"/>
  <c r="Q29" l="1"/>
  <c r="B30"/>
  <c r="C29" i="25"/>
  <c r="B30"/>
  <c r="D30" s="1"/>
  <c r="Q28" i="26"/>
  <c r="B29"/>
  <c r="B24" i="32"/>
  <c r="B25" l="1"/>
  <c r="Q29" i="26"/>
  <c r="B30"/>
  <c r="C30" i="25"/>
  <c r="B31"/>
  <c r="D31" s="1"/>
  <c r="Q30" i="17"/>
  <c r="B31"/>
  <c r="Q31" s="1"/>
  <c r="C31" i="25" l="1"/>
  <c r="B32"/>
  <c r="D32" s="1"/>
  <c r="B31" i="26"/>
  <c r="Q31" s="1"/>
  <c r="Q30"/>
  <c r="B26" i="32"/>
  <c r="B27" l="1"/>
  <c r="C32" i="25"/>
  <c r="B41"/>
  <c r="B37" i="32" l="1"/>
  <c r="C35" i="25"/>
  <c r="B5" i="28" l="1"/>
  <c r="B5" i="26"/>
  <c r="B4" i="32"/>
  <c r="B5" i="17"/>
  <c r="C7" i="32"/>
  <c r="N18" i="26" l="1"/>
  <c r="O18" l="1"/>
  <c r="E19" l="1"/>
  <c r="M13" l="1"/>
  <c r="L13"/>
  <c r="O13"/>
  <c r="J16"/>
  <c r="G17"/>
  <c r="G19"/>
  <c r="L19"/>
  <c r="K20"/>
  <c r="O20"/>
  <c r="J12"/>
  <c r="K14" l="1"/>
  <c r="E15"/>
  <c r="K16"/>
  <c r="M16"/>
  <c r="G13"/>
  <c r="M17"/>
  <c r="K13"/>
  <c r="H17"/>
  <c r="N19"/>
  <c r="F14"/>
  <c r="N14"/>
  <c r="O17"/>
  <c r="K17"/>
  <c r="N12"/>
  <c r="E17"/>
  <c r="I13"/>
  <c r="J13"/>
  <c r="O21"/>
  <c r="N20"/>
  <c r="I19"/>
  <c r="O15"/>
  <c r="G15"/>
  <c r="J15"/>
  <c r="I20"/>
  <c r="F13"/>
  <c r="F17"/>
  <c r="E13"/>
  <c r="J18"/>
  <c r="I17"/>
  <c r="M20"/>
  <c r="K12"/>
  <c r="K18"/>
  <c r="E18"/>
  <c r="G16"/>
  <c r="J20"/>
  <c r="I15"/>
  <c r="O16"/>
  <c r="K15"/>
  <c r="F20"/>
  <c r="H16"/>
  <c r="F18"/>
  <c r="L17"/>
  <c r="L18"/>
  <c r="M19"/>
  <c r="F19"/>
  <c r="N16"/>
  <c r="N15"/>
  <c r="J21"/>
  <c r="N17"/>
  <c r="N13"/>
  <c r="I18"/>
  <c r="F21" l="1"/>
  <c r="G21"/>
  <c r="J17"/>
  <c r="H13"/>
  <c r="N21"/>
  <c r="L21"/>
  <c r="O19"/>
  <c r="E14"/>
  <c r="L16"/>
  <c r="L15"/>
  <c r="M14"/>
  <c r="J19"/>
  <c r="G20"/>
  <c r="H20"/>
  <c r="M18"/>
  <c r="M12"/>
  <c r="O14"/>
  <c r="H19"/>
  <c r="G14"/>
  <c r="I16"/>
  <c r="F15"/>
  <c r="H14"/>
  <c r="L14"/>
  <c r="E16"/>
  <c r="H15"/>
  <c r="M15"/>
  <c r="F16"/>
  <c r="H18"/>
  <c r="L12"/>
  <c r="I14"/>
  <c r="I21"/>
  <c r="E20"/>
  <c r="M21"/>
  <c r="G18"/>
  <c r="J14"/>
  <c r="O12"/>
  <c r="K19"/>
  <c r="L20"/>
  <c r="E21" l="1"/>
  <c r="H21"/>
  <c r="D20" l="1"/>
  <c r="D14"/>
  <c r="D21"/>
  <c r="D13"/>
  <c r="D16" l="1"/>
  <c r="D18"/>
  <c r="D15"/>
  <c r="D19"/>
  <c r="D17"/>
  <c r="E16" i="25"/>
  <c r="G16" s="1"/>
  <c r="E15"/>
  <c r="G15" s="1"/>
  <c r="E14"/>
  <c r="G14" s="1"/>
  <c r="E21"/>
  <c r="G21" s="1"/>
  <c r="C11" i="32" l="1"/>
  <c r="C16"/>
  <c r="C9"/>
  <c r="C10"/>
  <c r="E19" i="25"/>
  <c r="G19" s="1"/>
  <c r="E17"/>
  <c r="G17" s="1"/>
  <c r="E18"/>
  <c r="G18" s="1"/>
  <c r="E20"/>
  <c r="G20" s="1"/>
  <c r="C15" i="32" l="1"/>
  <c r="C13"/>
  <c r="C12"/>
  <c r="C14"/>
  <c r="K21" i="26" l="1"/>
  <c r="E22" i="25" l="1"/>
  <c r="G22" s="1"/>
  <c r="C17" i="32" l="1"/>
  <c r="E12" i="26" l="1"/>
  <c r="I12"/>
  <c r="D12" l="1"/>
  <c r="G12"/>
  <c r="F12"/>
  <c r="H12"/>
  <c r="E13" i="25" l="1"/>
  <c r="G13" l="1"/>
  <c r="C8" i="32" l="1"/>
  <c r="E11" l="1"/>
  <c r="E10"/>
  <c r="E9"/>
  <c r="E12" l="1"/>
  <c r="E13"/>
  <c r="E14"/>
  <c r="E15"/>
  <c r="E16"/>
  <c r="E17" l="1"/>
  <c r="D30" l="1"/>
  <c r="E8"/>
  <c r="M31" i="26" l="1"/>
  <c r="E31"/>
  <c r="K31"/>
  <c r="J31" l="1"/>
  <c r="F31"/>
  <c r="E22"/>
  <c r="N31"/>
  <c r="O31"/>
  <c r="G31"/>
  <c r="I31"/>
  <c r="H31"/>
  <c r="E30" l="1"/>
  <c r="M30"/>
  <c r="K30"/>
  <c r="L31"/>
  <c r="J22"/>
  <c r="M23"/>
  <c r="H26"/>
  <c r="G23"/>
  <c r="K25"/>
  <c r="H25"/>
  <c r="J24"/>
  <c r="J27"/>
  <c r="G26"/>
  <c r="F23"/>
  <c r="K24"/>
  <c r="L29"/>
  <c r="N25"/>
  <c r="O22"/>
  <c r="O23"/>
  <c r="M26"/>
  <c r="N29"/>
  <c r="H22"/>
  <c r="E32" i="25"/>
  <c r="G32" s="1"/>
  <c r="D31" i="26"/>
  <c r="F22"/>
  <c r="H27"/>
  <c r="O27"/>
  <c r="M29"/>
  <c r="I28"/>
  <c r="E29"/>
  <c r="G29"/>
  <c r="F25"/>
  <c r="L25"/>
  <c r="D27" l="1"/>
  <c r="C27" i="32"/>
  <c r="E27" s="1"/>
  <c r="K22" i="26"/>
  <c r="I27"/>
  <c r="J23"/>
  <c r="L30"/>
  <c r="M28"/>
  <c r="M24"/>
  <c r="L23"/>
  <c r="L22"/>
  <c r="G24"/>
  <c r="E24"/>
  <c r="O30"/>
  <c r="I23"/>
  <c r="K23"/>
  <c r="N22"/>
  <c r="I24"/>
  <c r="L24"/>
  <c r="O24"/>
  <c r="J25"/>
  <c r="O25"/>
  <c r="G25"/>
  <c r="J26"/>
  <c r="E23"/>
  <c r="N23"/>
  <c r="N26"/>
  <c r="F24"/>
  <c r="F26"/>
  <c r="M22"/>
  <c r="G22"/>
  <c r="I22"/>
  <c r="K27"/>
  <c r="N28"/>
  <c r="N27"/>
  <c r="L28"/>
  <c r="F30"/>
  <c r="J30"/>
  <c r="I30"/>
  <c r="L27"/>
  <c r="N30"/>
  <c r="E27"/>
  <c r="M27"/>
  <c r="K29"/>
  <c r="H30"/>
  <c r="G27"/>
  <c r="F29"/>
  <c r="F28"/>
  <c r="E28"/>
  <c r="J28"/>
  <c r="I29"/>
  <c r="K28"/>
  <c r="F27"/>
  <c r="G28"/>
  <c r="J29"/>
  <c r="H29"/>
  <c r="G30"/>
  <c r="L26"/>
  <c r="M25"/>
  <c r="E25"/>
  <c r="O26"/>
  <c r="N24"/>
  <c r="K26"/>
  <c r="I25"/>
  <c r="H28"/>
  <c r="E26"/>
  <c r="H24"/>
  <c r="I26"/>
  <c r="O29"/>
  <c r="H23"/>
  <c r="O28"/>
  <c r="E26" i="25" l="1"/>
  <c r="G26" s="1"/>
  <c r="D25" i="26"/>
  <c r="E30" i="25"/>
  <c r="G30" s="1"/>
  <c r="D29" i="26"/>
  <c r="E31" i="25"/>
  <c r="G31" s="1"/>
  <c r="D30" i="26"/>
  <c r="E24" i="25"/>
  <c r="G24" s="1"/>
  <c r="D23" i="26"/>
  <c r="E27" i="25"/>
  <c r="G27" s="1"/>
  <c r="D26" i="26"/>
  <c r="E25" i="25"/>
  <c r="G25" s="1"/>
  <c r="D24" i="26"/>
  <c r="E23" i="25"/>
  <c r="D22" i="26"/>
  <c r="E29" i="25"/>
  <c r="G29" s="1"/>
  <c r="D28" i="26"/>
  <c r="E28" i="25"/>
  <c r="G28" s="1"/>
  <c r="C23" i="32" l="1"/>
  <c r="E23" s="1"/>
  <c r="C24"/>
  <c r="E24" s="1"/>
  <c r="G23" i="25"/>
  <c r="G36" s="1"/>
  <c r="E36"/>
  <c r="C20" i="32"/>
  <c r="E20" s="1"/>
  <c r="C22"/>
  <c r="E22" s="1"/>
  <c r="C19"/>
  <c r="E19" s="1"/>
  <c r="C26"/>
  <c r="E26" s="1"/>
  <c r="C25"/>
  <c r="E25" s="1"/>
  <c r="C21"/>
  <c r="E21" s="1"/>
  <c r="C18" l="1"/>
  <c r="C30" s="1"/>
  <c r="E30" s="1"/>
  <c r="E18" l="1"/>
</calcChain>
</file>

<file path=xl/comments1.xml><?xml version="1.0" encoding="utf-8"?>
<comments xmlns="http://schemas.openxmlformats.org/spreadsheetml/2006/main">
  <authors>
    <author>PacifiCorp</author>
  </authors>
  <commentList>
    <comment ref="G5" author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<sst xmlns="http://schemas.openxmlformats.org/spreadsheetml/2006/main" count="163" uniqueCount="113">
  <si>
    <t>Year</t>
  </si>
  <si>
    <t>Energy Cost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</si>
  <si>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</si>
  <si>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</si>
  <si>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</si>
  <si>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</si>
  <si>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</si>
  <si>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</si>
  <si>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</si>
  <si>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</si>
  <si>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</si>
  <si>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</si>
  <si>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</si>
  <si>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</si>
  <si>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</si>
  <si>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</si>
  <si>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</si>
  <si>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</si>
  <si>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</si>
  <si>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</si>
  <si>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</si>
  <si>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</si>
  <si>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</si>
  <si>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</si>
  <si>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</si>
  <si>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</si>
  <si>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</si>
  <si>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</si>
  <si>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</si>
  <si>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</si>
  <si>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</si>
  <si>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Source: (a)(c)(d)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</si>
  <si>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</si>
  <si>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</si>
  <si>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</si>
  <si>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</si>
  <si>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</si>
  <si>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</si>
  <si>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</si>
  <si>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</si>
  <si>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Annual</t>
  </si>
  <si>
    <t>Fuel Cost</t>
  </si>
  <si>
    <t>$/MMBtu</t>
  </si>
  <si>
    <t>(g)</t>
  </si>
  <si>
    <t>(h)</t>
  </si>
  <si>
    <t>Energy Only</t>
  </si>
  <si>
    <t>IRP Resource</t>
  </si>
  <si>
    <t>No</t>
  </si>
  <si>
    <t>Cap Energy Prices (Yes / No)</t>
  </si>
  <si>
    <t>Denotes months with capped energy prices</t>
  </si>
  <si>
    <t>Energy Price escalated at</t>
  </si>
  <si>
    <t>Energy Only costs are calculated by GRID and are capped at the IRP Resource Energy Cost</t>
  </si>
  <si>
    <t>IRP Resource Energy Costs are provided for comparison purposes only.</t>
  </si>
  <si>
    <t>(i)</t>
  </si>
  <si>
    <t>Sources, Inputs and Assumptions</t>
  </si>
  <si>
    <t>PacifiCorp</t>
  </si>
  <si>
    <t>Delivered</t>
  </si>
  <si>
    <t>CCCT</t>
  </si>
  <si>
    <t>Duct Firing</t>
  </si>
  <si>
    <t>Peak Type:</t>
  </si>
  <si>
    <t>Quote Date</t>
  </si>
  <si>
    <t>Burnertip Natural Gas Price Forecast</t>
  </si>
  <si>
    <t>$/MWh</t>
  </si>
  <si>
    <t>Avoided Energy Costs - Scheduled Hours ($/MWh)</t>
  </si>
  <si>
    <t>CCCT Statistics</t>
  </si>
  <si>
    <t>MW</t>
  </si>
  <si>
    <t>Percent</t>
  </si>
  <si>
    <t>Cap Cost</t>
  </si>
  <si>
    <t>Fixed</t>
  </si>
  <si>
    <t>Capacity Weighted</t>
  </si>
  <si>
    <t>CF</t>
  </si>
  <si>
    <t>aMW</t>
  </si>
  <si>
    <t>Variable</t>
  </si>
  <si>
    <t>Heat Rate</t>
  </si>
  <si>
    <t>Energy Weighted</t>
  </si>
  <si>
    <t>Rounded</t>
  </si>
  <si>
    <t>Appendix B</t>
  </si>
  <si>
    <t>East Side</t>
  </si>
  <si>
    <t>East Side Natural Gas</t>
  </si>
  <si>
    <t xml:space="preserve">  MW Plant capacity</t>
  </si>
  <si>
    <t xml:space="preserve">  Heat Rate in btu/kWh</t>
  </si>
  <si>
    <t xml:space="preserve">  Payment Factor</t>
  </si>
  <si>
    <t xml:space="preserve">  Capacity Factor</t>
  </si>
  <si>
    <t xml:space="preserve">  Plant capacity cost</t>
  </si>
  <si>
    <t xml:space="preserve">  Energy Weighted Capacity Factor</t>
  </si>
  <si>
    <t>Avoided Energy Costs - Unscheduled or Non-dispatch hours($/MWh)</t>
  </si>
  <si>
    <t>East</t>
  </si>
  <si>
    <t>Avoided Cost Prices $/MWh</t>
  </si>
  <si>
    <t>Difference</t>
  </si>
  <si>
    <t xml:space="preserve">Adjust Capacity payment for Partial Displacement </t>
  </si>
  <si>
    <t>Total Resource Energy Cost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</si>
  <si>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</si>
  <si>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</si>
  <si>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 xml:space="preserve">  Variable O&amp;M Costs in $/MWh </t>
  </si>
  <si>
    <t xml:space="preserve">  Fixed O&amp;M plus on-going capital</t>
  </si>
  <si>
    <t xml:space="preserve">  Fixed Pipeline</t>
  </si>
  <si>
    <t xml:space="preserve">  Fixed O&amp;M plus on-going capital cost + Fixed Pipeline Costs</t>
  </si>
  <si>
    <t>Filing (2)</t>
  </si>
  <si>
    <t>Avoided Cost at</t>
  </si>
  <si>
    <t>CCCT (Dry "G" 1x1) *</t>
  </si>
  <si>
    <t>CCCT Duct Firing (Dry "G" 1x1)</t>
  </si>
  <si>
    <t xml:space="preserve">2025 CCCT (423 MW "J" 1x1) </t>
  </si>
  <si>
    <t>2012 RFP - Needs Assessment Resource Cost</t>
  </si>
  <si>
    <t>2012.Q2 Compliance</t>
  </si>
  <si>
    <t>(1)   Needs Assessment discount rate</t>
  </si>
  <si>
    <t>Discount Rate</t>
  </si>
  <si>
    <t>(2)   'Energy Only' is the GRID calculated costs and includes capacity payment related to front office trade deferrals.</t>
  </si>
  <si>
    <t xml:space="preserve">Partial Displacement of East Side 423 MW  CCCT (Type "J" 1x1) </t>
  </si>
  <si>
    <t>(2)   Total avoided costs with capacity included at an 85.0% capacity factor</t>
  </si>
  <si>
    <t>(4)   Avoided cost levelized annually. Avoided costs levelized monthly are $44.22/MWH</t>
  </si>
  <si>
    <t>Utah Compliance Filing - 2012.Q4 - 100.0 MW and 85.0% CF</t>
  </si>
  <si>
    <t>(5)   Avoided cost levelized annually. Avoided costs levelized monthly are $44.22/MWH</t>
  </si>
  <si>
    <t>Plant Costs  - 2012 RFP - Needs Assessment - [as modeled by System Optimizer]</t>
  </si>
</sst>
</file>

<file path=xl/styles.xml><?xml version="1.0" encoding="utf-8"?>
<styleSheet xmlns="http://schemas.openxmlformats.org/spreadsheetml/2006/main">
  <numFmts count="20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&quot;$&quot;#,##0.000_);[Red]\(&quot;$&quot;#,##0.000\)"/>
    <numFmt numFmtId="170" formatCode="_(* #,##0.000_);_(* \(#,##0.000\);_(* &quot;-&quot;_);_(@_)"/>
    <numFmt numFmtId="171" formatCode="_(&quot;$&quot;* #,##0_);_(&quot;$&quot;* \(#,##0\);_(&quot;$&quot;* &quot;-&quot;??_);_(@_)"/>
    <numFmt numFmtId="172" formatCode="mmm\ yyyy&quot;   &quot;"/>
    <numFmt numFmtId="173" formatCode="_(* #,##0_);[Red]_(* \(#,##0\);_(* &quot;-&quot;_);_(@_)"/>
    <numFmt numFmtId="174" formatCode="_(* #,##0.00_);[Red]_(* \(#,##0.00\);_(* &quot;-&quot;_);_(@_)"/>
    <numFmt numFmtId="175" formatCode="&quot;$&quot;#,##0.00_)\(\3\)"/>
    <numFmt numFmtId="176" formatCode="&quot;$&quot;#,##0.00_)\(\5\)"/>
    <numFmt numFmtId="177" formatCode="0.000%"/>
    <numFmt numFmtId="178" formatCode="&quot;$&quot;#,##0.00_)\(\3\)\(\4\)"/>
  </numFmts>
  <fonts count="29"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Times New Roman"/>
      <family val="1"/>
    </font>
    <font>
      <sz val="9"/>
      <name val="Arial"/>
      <family val="2"/>
    </font>
    <font>
      <b/>
      <u/>
      <sz val="12"/>
      <name val="Times New Roman"/>
      <family val="1"/>
    </font>
    <font>
      <sz val="10"/>
      <color rgb="FFCCECFF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173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>
      <protection locked="0"/>
    </xf>
    <xf numFmtId="41" fontId="3" fillId="0" borderId="0"/>
    <xf numFmtId="173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7" fontId="1" fillId="0" borderId="0"/>
    <xf numFmtId="167" fontId="1" fillId="0" borderId="0"/>
    <xf numFmtId="41" fontId="3" fillId="0" borderId="0"/>
    <xf numFmtId="0" fontId="1" fillId="0" borderId="0"/>
  </cellStyleXfs>
  <cellXfs count="227">
    <xf numFmtId="173" fontId="0" fillId="0" borderId="0" xfId="0"/>
    <xf numFmtId="173" fontId="4" fillId="0" borderId="0" xfId="0" applyFont="1" applyFill="1" applyAlignment="1">
      <alignment horizontal="centerContinuous"/>
    </xf>
    <xf numFmtId="173" fontId="6" fillId="0" borderId="0" xfId="0" quotePrefix="1" applyFont="1" applyFill="1" applyBorder="1" applyAlignment="1">
      <alignment horizontal="center"/>
    </xf>
    <xf numFmtId="173" fontId="10" fillId="0" borderId="0" xfId="0" applyFont="1" applyFill="1"/>
    <xf numFmtId="173" fontId="10" fillId="0" borderId="1" xfId="0" applyFont="1" applyFill="1" applyBorder="1" applyAlignment="1">
      <alignment horizontal="center"/>
    </xf>
    <xf numFmtId="173" fontId="11" fillId="0" borderId="0" xfId="0" applyFont="1" applyFill="1" applyAlignment="1">
      <alignment horizontal="centerContinuous"/>
    </xf>
    <xf numFmtId="173" fontId="3" fillId="0" borderId="0" xfId="0" applyFont="1" applyFill="1"/>
    <xf numFmtId="173" fontId="5" fillId="0" borderId="0" xfId="0" applyFont="1" applyFill="1" applyAlignment="1">
      <alignment horizontal="centerContinuous"/>
    </xf>
    <xf numFmtId="173" fontId="3" fillId="0" borderId="0" xfId="0" applyFont="1" applyFill="1" applyBorder="1"/>
    <xf numFmtId="173" fontId="3" fillId="0" borderId="0" xfId="0" applyFont="1" applyFill="1" applyAlignment="1">
      <alignment horizontal="center"/>
    </xf>
    <xf numFmtId="8" fontId="3" fillId="0" borderId="0" xfId="0" applyNumberFormat="1" applyFont="1" applyFill="1"/>
    <xf numFmtId="8" fontId="3" fillId="0" borderId="2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7" fillId="0" borderId="0" xfId="0" applyNumberFormat="1" applyFont="1" applyFill="1" applyAlignment="1">
      <alignment horizontal="center"/>
    </xf>
    <xf numFmtId="173" fontId="8" fillId="0" borderId="0" xfId="0" applyFont="1" applyFill="1"/>
    <xf numFmtId="173" fontId="12" fillId="0" borderId="0" xfId="0" applyFont="1" applyFill="1"/>
    <xf numFmtId="173" fontId="3" fillId="0" borderId="0" xfId="0" quotePrefix="1" applyFont="1" applyFill="1" applyBorder="1" applyAlignment="1">
      <alignment horizontal="center"/>
    </xf>
    <xf numFmtId="173" fontId="8" fillId="0" borderId="0" xfId="0" applyFont="1" applyFill="1" applyAlignment="1">
      <alignment horizontal="centerContinuous"/>
    </xf>
    <xf numFmtId="173" fontId="9" fillId="0" borderId="0" xfId="0" applyFont="1" applyFill="1"/>
    <xf numFmtId="173" fontId="3" fillId="0" borderId="0" xfId="0" quotePrefix="1" applyFont="1" applyFill="1"/>
    <xf numFmtId="173" fontId="2" fillId="0" borderId="0" xfId="0" applyFont="1" applyFill="1" applyBorder="1" applyAlignment="1">
      <alignment horizontal="left"/>
    </xf>
    <xf numFmtId="8" fontId="3" fillId="0" borderId="1" xfId="0" applyNumberFormat="1" applyFont="1" applyFill="1" applyBorder="1" applyAlignment="1">
      <alignment horizontal="center"/>
    </xf>
    <xf numFmtId="173" fontId="9" fillId="0" borderId="0" xfId="0" applyFont="1" applyFill="1" applyAlignment="1">
      <alignment horizontal="centerContinuous"/>
    </xf>
    <xf numFmtId="173" fontId="4" fillId="0" borderId="0" xfId="0" applyFont="1" applyFill="1" applyBorder="1" applyAlignment="1">
      <alignment horizontal="centerContinuous"/>
    </xf>
    <xf numFmtId="173" fontId="5" fillId="0" borderId="0" xfId="0" applyFont="1" applyFill="1" applyBorder="1" applyAlignment="1">
      <alignment horizontal="centerContinuous"/>
    </xf>
    <xf numFmtId="8" fontId="7" fillId="0" borderId="0" xfId="0" applyNumberFormat="1" applyFont="1" applyFill="1" applyBorder="1" applyAlignment="1">
      <alignment horizontal="left"/>
    </xf>
    <xf numFmtId="173" fontId="3" fillId="0" borderId="0" xfId="0" quotePrefix="1" applyFont="1" applyFill="1" applyBorder="1"/>
    <xf numFmtId="173" fontId="3" fillId="0" borderId="0" xfId="0" applyFont="1" applyFill="1" applyBorder="1" applyAlignment="1">
      <alignment horizontal="left"/>
    </xf>
    <xf numFmtId="173" fontId="10" fillId="0" borderId="3" xfId="0" applyFont="1" applyFill="1" applyBorder="1" applyAlignment="1">
      <alignment horizontal="centerContinuous"/>
    </xf>
    <xf numFmtId="173" fontId="10" fillId="0" borderId="4" xfId="0" applyFont="1" applyFill="1" applyBorder="1" applyAlignment="1">
      <alignment horizontal="centerContinuous"/>
    </xf>
    <xf numFmtId="173" fontId="10" fillId="0" borderId="5" xfId="0" applyFont="1" applyFill="1" applyBorder="1"/>
    <xf numFmtId="173" fontId="10" fillId="0" borderId="6" xfId="0" applyFont="1" applyFill="1" applyBorder="1" applyAlignment="1">
      <alignment horizontal="center"/>
    </xf>
    <xf numFmtId="173" fontId="10" fillId="0" borderId="0" xfId="0" quotePrefix="1" applyFont="1" applyFill="1" applyBorder="1" applyAlignment="1">
      <alignment horizontal="center"/>
    </xf>
    <xf numFmtId="173" fontId="10" fillId="0" borderId="7" xfId="0" applyFont="1" applyFill="1" applyBorder="1" applyAlignment="1">
      <alignment horizontal="centerContinuous"/>
    </xf>
    <xf numFmtId="173" fontId="10" fillId="0" borderId="5" xfId="0" applyFont="1" applyFill="1" applyBorder="1" applyAlignment="1">
      <alignment horizontal="centerContinuous"/>
    </xf>
    <xf numFmtId="173" fontId="10" fillId="0" borderId="8" xfId="0" applyFont="1" applyFill="1" applyBorder="1" applyAlignment="1">
      <alignment horizontal="centerContinuous"/>
    </xf>
    <xf numFmtId="173" fontId="10" fillId="0" borderId="9" xfId="0" applyFont="1" applyFill="1" applyBorder="1" applyAlignment="1">
      <alignment horizontal="centerContinuous"/>
    </xf>
    <xf numFmtId="173" fontId="10" fillId="0" borderId="8" xfId="0" applyFont="1" applyFill="1" applyBorder="1" applyAlignment="1">
      <alignment horizontal="center"/>
    </xf>
    <xf numFmtId="173" fontId="10" fillId="0" borderId="10" xfId="0" applyFont="1" applyFill="1" applyBorder="1" applyAlignment="1">
      <alignment horizontal="center"/>
    </xf>
    <xf numFmtId="173" fontId="10" fillId="0" borderId="5" xfId="0" quotePrefix="1" applyFont="1" applyFill="1" applyBorder="1" applyAlignment="1">
      <alignment horizontal="centerContinuous"/>
    </xf>
    <xf numFmtId="173" fontId="10" fillId="0" borderId="3" xfId="0" applyFont="1" applyFill="1" applyBorder="1" applyAlignment="1">
      <alignment horizontal="center"/>
    </xf>
    <xf numFmtId="173" fontId="10" fillId="0" borderId="11" xfId="0" applyFont="1" applyFill="1" applyBorder="1" applyAlignment="1">
      <alignment horizontal="center"/>
    </xf>
    <xf numFmtId="173" fontId="10" fillId="0" borderId="4" xfId="0" applyFont="1" applyFill="1" applyBorder="1" applyAlignment="1">
      <alignment horizontal="center"/>
    </xf>
    <xf numFmtId="173" fontId="10" fillId="0" borderId="2" xfId="0" applyFont="1" applyFill="1" applyBorder="1" applyAlignment="1">
      <alignment horizontal="centerContinuous"/>
    </xf>
    <xf numFmtId="43" fontId="3" fillId="0" borderId="0" xfId="1" applyFont="1" applyFill="1"/>
    <xf numFmtId="0" fontId="3" fillId="0" borderId="0" xfId="7" applyFont="1" applyFill="1" applyBorder="1" applyAlignment="1">
      <alignment horizontal="center"/>
    </xf>
    <xf numFmtId="173" fontId="3" fillId="0" borderId="0" xfId="0" applyFont="1" applyFill="1" applyAlignment="1">
      <alignment horizontal="centerContinuous"/>
    </xf>
    <xf numFmtId="173" fontId="3" fillId="0" borderId="0" xfId="0" applyFont="1" applyFill="1" applyBorder="1" applyAlignment="1">
      <alignment horizontal="center"/>
    </xf>
    <xf numFmtId="8" fontId="3" fillId="0" borderId="9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center"/>
    </xf>
    <xf numFmtId="8" fontId="3" fillId="0" borderId="14" xfId="0" applyNumberFormat="1" applyFont="1" applyFill="1" applyBorder="1" applyAlignment="1">
      <alignment horizontal="center"/>
    </xf>
    <xf numFmtId="168" fontId="3" fillId="0" borderId="0" xfId="0" applyNumberFormat="1" applyFont="1" applyFill="1"/>
    <xf numFmtId="173" fontId="3" fillId="0" borderId="7" xfId="0" applyFont="1" applyFill="1" applyBorder="1" applyAlignment="1">
      <alignment horizontal="centerContinuous"/>
    </xf>
    <xf numFmtId="173" fontId="3" fillId="0" borderId="4" xfId="0" applyFont="1" applyFill="1" applyBorder="1" applyAlignment="1">
      <alignment horizontal="centerContinuous"/>
    </xf>
    <xf numFmtId="173" fontId="3" fillId="0" borderId="8" xfId="0" applyFont="1" applyFill="1" applyBorder="1" applyAlignment="1">
      <alignment horizontal="centerContinuous"/>
    </xf>
    <xf numFmtId="173" fontId="3" fillId="0" borderId="2" xfId="0" applyFont="1" applyFill="1" applyBorder="1" applyAlignment="1">
      <alignment horizontal="centerContinuous"/>
    </xf>
    <xf numFmtId="173" fontId="3" fillId="0" borderId="9" xfId="0" applyFont="1" applyFill="1" applyBorder="1" applyAlignment="1">
      <alignment horizontal="centerContinuous"/>
    </xf>
    <xf numFmtId="8" fontId="3" fillId="0" borderId="15" xfId="1" applyNumberFormat="1" applyFont="1" applyFill="1" applyBorder="1" applyAlignment="1">
      <alignment horizontal="center"/>
    </xf>
    <xf numFmtId="8" fontId="3" fillId="0" borderId="12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8" fontId="3" fillId="0" borderId="5" xfId="1" applyNumberFormat="1" applyFont="1" applyFill="1" applyBorder="1" applyAlignment="1">
      <alignment horizontal="center"/>
    </xf>
    <xf numFmtId="173" fontId="3" fillId="2" borderId="0" xfId="0" applyFont="1" applyFill="1"/>
    <xf numFmtId="173" fontId="3" fillId="0" borderId="8" xfId="0" applyFont="1" applyFill="1" applyBorder="1" applyAlignment="1">
      <alignment horizontal="center"/>
    </xf>
    <xf numFmtId="173" fontId="3" fillId="0" borderId="5" xfId="0" applyFont="1" applyFill="1" applyBorder="1" applyAlignment="1">
      <alignment horizontal="centerContinuous"/>
    </xf>
    <xf numFmtId="173" fontId="3" fillId="0" borderId="5" xfId="0" quotePrefix="1" applyFont="1" applyFill="1" applyBorder="1" applyAlignment="1">
      <alignment horizontal="centerContinuous"/>
    </xf>
    <xf numFmtId="173" fontId="3" fillId="0" borderId="3" xfId="0" applyFont="1" applyFill="1" applyBorder="1" applyAlignment="1">
      <alignment horizontal="centerContinuous"/>
    </xf>
    <xf numFmtId="173" fontId="3" fillId="0" borderId="5" xfId="0" applyFont="1" applyFill="1" applyBorder="1"/>
    <xf numFmtId="173" fontId="3" fillId="0" borderId="10" xfId="0" applyFont="1" applyFill="1" applyBorder="1" applyAlignment="1">
      <alignment horizontal="center"/>
    </xf>
    <xf numFmtId="173" fontId="3" fillId="0" borderId="3" xfId="0" applyFont="1" applyFill="1" applyBorder="1" applyAlignment="1">
      <alignment horizontal="center"/>
    </xf>
    <xf numFmtId="173" fontId="3" fillId="0" borderId="11" xfId="0" applyFont="1" applyFill="1" applyBorder="1" applyAlignment="1">
      <alignment horizontal="center"/>
    </xf>
    <xf numFmtId="173" fontId="3" fillId="0" borderId="4" xfId="0" applyFont="1" applyFill="1" applyBorder="1" applyAlignment="1">
      <alignment horizontal="center"/>
    </xf>
    <xf numFmtId="173" fontId="3" fillId="0" borderId="1" xfId="0" applyFont="1" applyFill="1" applyBorder="1" applyAlignment="1">
      <alignment horizontal="center"/>
    </xf>
    <xf numFmtId="173" fontId="3" fillId="0" borderId="6" xfId="0" applyFont="1" applyFill="1" applyBorder="1" applyAlignment="1">
      <alignment horizontal="center"/>
    </xf>
    <xf numFmtId="8" fontId="3" fillId="0" borderId="5" xfId="0" applyNumberFormat="1" applyFont="1" applyFill="1" applyBorder="1"/>
    <xf numFmtId="1" fontId="3" fillId="0" borderId="8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8" fontId="3" fillId="0" borderId="15" xfId="0" applyNumberFormat="1" applyFont="1" applyFill="1" applyBorder="1"/>
    <xf numFmtId="8" fontId="3" fillId="0" borderId="6" xfId="0" applyNumberFormat="1" applyFont="1" applyFill="1" applyBorder="1"/>
    <xf numFmtId="173" fontId="15" fillId="2" borderId="0" xfId="0" applyFont="1" applyFill="1"/>
    <xf numFmtId="10" fontId="0" fillId="0" borderId="0" xfId="0" applyNumberFormat="1"/>
    <xf numFmtId="173" fontId="0" fillId="0" borderId="0" xfId="0" applyAlignment="1">
      <alignment horizontal="center"/>
    </xf>
    <xf numFmtId="173" fontId="2" fillId="0" borderId="0" xfId="0" applyFont="1" applyFill="1" applyAlignment="1">
      <alignment horizontal="right"/>
    </xf>
    <xf numFmtId="173" fontId="2" fillId="0" borderId="5" xfId="0" applyFont="1" applyFill="1" applyBorder="1" applyAlignment="1">
      <alignment horizontal="center"/>
    </xf>
    <xf numFmtId="173" fontId="2" fillId="0" borderId="5" xfId="0" applyFont="1" applyFill="1" applyBorder="1" applyAlignment="1">
      <alignment horizontal="center" wrapText="1"/>
    </xf>
    <xf numFmtId="173" fontId="2" fillId="0" borderId="5" xfId="0" applyFont="1" applyFill="1" applyBorder="1" applyAlignment="1">
      <alignment horizontal="centerContinuous" wrapText="1"/>
    </xf>
    <xf numFmtId="173" fontId="11" fillId="0" borderId="6" xfId="0" applyFont="1" applyFill="1" applyBorder="1" applyAlignment="1">
      <alignment horizontal="centerContinuous"/>
    </xf>
    <xf numFmtId="173" fontId="16" fillId="0" borderId="6" xfId="0" quotePrefix="1" applyFont="1" applyFill="1" applyBorder="1" applyAlignment="1">
      <alignment horizontal="center" wrapText="1"/>
    </xf>
    <xf numFmtId="173" fontId="16" fillId="0" borderId="6" xfId="0" applyFont="1" applyFill="1" applyBorder="1" applyAlignment="1">
      <alignment horizontal="center" wrapText="1"/>
    </xf>
    <xf numFmtId="173" fontId="2" fillId="0" borderId="0" xfId="0" applyFont="1" applyFill="1" applyAlignment="1">
      <alignment horizontal="centerContinuous"/>
    </xf>
    <xf numFmtId="173" fontId="2" fillId="0" borderId="5" xfId="0" applyFont="1" applyFill="1" applyBorder="1"/>
    <xf numFmtId="173" fontId="2" fillId="0" borderId="15" xfId="0" applyFont="1" applyFill="1" applyBorder="1" applyAlignment="1">
      <alignment horizontal="center"/>
    </xf>
    <xf numFmtId="173" fontId="2" fillId="0" borderId="6" xfId="0" applyFont="1" applyFill="1" applyBorder="1"/>
    <xf numFmtId="173" fontId="2" fillId="0" borderId="6" xfId="0" applyFont="1" applyFill="1" applyBorder="1" applyAlignment="1">
      <alignment horizontal="center"/>
    </xf>
    <xf numFmtId="8" fontId="17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73" fontId="2" fillId="0" borderId="11" xfId="0" applyFont="1" applyFill="1" applyBorder="1" applyAlignment="1">
      <alignment horizontal="centerContinuous"/>
    </xf>
    <xf numFmtId="173" fontId="5" fillId="0" borderId="7" xfId="0" applyFont="1" applyFill="1" applyBorder="1" applyAlignment="1">
      <alignment horizontal="centerContinuous"/>
    </xf>
    <xf numFmtId="173" fontId="18" fillId="3" borderId="0" xfId="0" applyFont="1" applyFill="1" applyAlignment="1">
      <alignment horizontal="centerContinuous"/>
    </xf>
    <xf numFmtId="173" fontId="19" fillId="3" borderId="0" xfId="0" applyFont="1" applyFill="1" applyAlignment="1">
      <alignment horizontal="centerContinuous"/>
    </xf>
    <xf numFmtId="14" fontId="20" fillId="3" borderId="0" xfId="0" applyNumberFormat="1" applyFont="1" applyFill="1" applyBorder="1" applyAlignment="1">
      <alignment horizontal="centerContinuous" vertical="center"/>
    </xf>
    <xf numFmtId="173" fontId="21" fillId="3" borderId="0" xfId="0" applyFont="1" applyFill="1" applyBorder="1" applyAlignment="1">
      <alignment horizontal="centerContinuous"/>
    </xf>
    <xf numFmtId="172" fontId="18" fillId="3" borderId="0" xfId="1" applyNumberFormat="1" applyFont="1" applyFill="1" applyAlignment="1">
      <alignment horizontal="centerContinuous"/>
    </xf>
    <xf numFmtId="173" fontId="18" fillId="0" borderId="0" xfId="0" applyFont="1" applyFill="1" applyBorder="1"/>
    <xf numFmtId="173" fontId="0" fillId="0" borderId="0" xfId="0" applyFill="1" applyBorder="1"/>
    <xf numFmtId="173" fontId="0" fillId="0" borderId="0" xfId="0" applyFill="1" applyBorder="1" applyAlignment="1">
      <alignment horizontal="center"/>
    </xf>
    <xf numFmtId="173" fontId="21" fillId="0" borderId="0" xfId="0" applyFont="1" applyFill="1" applyBorder="1" applyAlignment="1">
      <alignment wrapText="1"/>
    </xf>
    <xf numFmtId="173" fontId="18" fillId="0" borderId="0" xfId="0" applyFont="1" applyFill="1" applyBorder="1" applyAlignment="1">
      <alignment horizontal="center"/>
    </xf>
    <xf numFmtId="173" fontId="19" fillId="3" borderId="0" xfId="0" applyFont="1" applyFill="1" applyBorder="1" applyAlignment="1">
      <alignment horizontal="center"/>
    </xf>
    <xf numFmtId="14" fontId="22" fillId="4" borderId="7" xfId="0" applyNumberFormat="1" applyFont="1" applyFill="1" applyBorder="1" applyAlignment="1">
      <alignment horizontal="center"/>
    </xf>
    <xf numFmtId="168" fontId="18" fillId="0" borderId="0" xfId="0" applyNumberFormat="1" applyFont="1" applyFill="1" applyBorder="1"/>
    <xf numFmtId="0" fontId="3" fillId="0" borderId="0" xfId="0" applyNumberFormat="1" applyFont="1" applyFill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8" fontId="3" fillId="0" borderId="6" xfId="1" applyNumberFormat="1" applyFont="1" applyFill="1" applyBorder="1" applyAlignment="1">
      <alignment horizontal="center"/>
    </xf>
    <xf numFmtId="173" fontId="2" fillId="0" borderId="7" xfId="0" applyFont="1" applyFill="1" applyBorder="1" applyAlignment="1">
      <alignment horizontal="center"/>
    </xf>
    <xf numFmtId="173" fontId="2" fillId="0" borderId="7" xfId="0" applyFont="1" applyFill="1" applyBorder="1" applyAlignment="1">
      <alignment horizontal="centerContinuous"/>
    </xf>
    <xf numFmtId="173" fontId="25" fillId="0" borderId="0" xfId="0" applyFont="1" applyFill="1"/>
    <xf numFmtId="167" fontId="25" fillId="0" borderId="0" xfId="8" applyNumberFormat="1" applyFont="1" applyFill="1"/>
    <xf numFmtId="43" fontId="25" fillId="0" borderId="0" xfId="2" applyNumberFormat="1" applyFont="1" applyFill="1"/>
    <xf numFmtId="164" fontId="2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41" fontId="25" fillId="0" borderId="0" xfId="0" applyNumberFormat="1" applyFont="1" applyFill="1"/>
    <xf numFmtId="8" fontId="25" fillId="0" borderId="0" xfId="2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173" fontId="2" fillId="0" borderId="0" xfId="0" applyFont="1" applyFill="1" applyBorder="1" applyAlignment="1">
      <alignment horizontal="center"/>
    </xf>
    <xf numFmtId="173" fontId="3" fillId="5" borderId="16" xfId="0" applyFont="1" applyFill="1" applyBorder="1"/>
    <xf numFmtId="173" fontId="26" fillId="0" borderId="17" xfId="0" applyFont="1" applyBorder="1" applyAlignment="1">
      <alignment horizontal="center"/>
    </xf>
    <xf numFmtId="173" fontId="2" fillId="0" borderId="19" xfId="0" applyFont="1" applyFill="1" applyBorder="1" applyAlignment="1">
      <alignment horizontal="centerContinuous"/>
    </xf>
    <xf numFmtId="173" fontId="2" fillId="0" borderId="20" xfId="0" applyFont="1" applyFill="1" applyBorder="1" applyAlignment="1">
      <alignment horizontal="centerContinuous"/>
    </xf>
    <xf numFmtId="173" fontId="2" fillId="0" borderId="21" xfId="0" applyFont="1" applyFill="1" applyBorder="1" applyAlignment="1">
      <alignment horizontal="centerContinuous"/>
    </xf>
    <xf numFmtId="167" fontId="0" fillId="0" borderId="0" xfId="8" applyNumberFormat="1" applyFont="1" applyFill="1"/>
    <xf numFmtId="173" fontId="2" fillId="0" borderId="19" xfId="5" applyFont="1" applyFill="1" applyBorder="1" applyAlignment="1">
      <alignment horizontal="centerContinuous"/>
    </xf>
    <xf numFmtId="173" fontId="2" fillId="0" borderId="3" xfId="5" applyFont="1" applyFill="1" applyBorder="1" applyAlignment="1">
      <alignment horizontal="centerContinuous"/>
    </xf>
    <xf numFmtId="173" fontId="27" fillId="0" borderId="0" xfId="5" applyFont="1" applyFill="1" applyBorder="1"/>
    <xf numFmtId="2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8" fontId="3" fillId="0" borderId="0" xfId="0" quotePrefix="1" applyNumberFormat="1" applyFont="1" applyFill="1" applyBorder="1" applyAlignment="1">
      <alignment horizontal="center"/>
    </xf>
    <xf numFmtId="173" fontId="18" fillId="0" borderId="0" xfId="0" applyFont="1" applyFill="1" applyAlignment="1">
      <alignment horizontal="centerContinuous"/>
    </xf>
    <xf numFmtId="173" fontId="3" fillId="0" borderId="0" xfId="0" applyFont="1" applyFill="1" applyBorder="1" applyAlignment="1">
      <alignment horizontal="left" indent="1"/>
    </xf>
    <xf numFmtId="173" fontId="3" fillId="0" borderId="0" xfId="0" applyFont="1" applyFill="1" applyAlignment="1">
      <alignment horizontal="left" indent="1"/>
    </xf>
    <xf numFmtId="167" fontId="0" fillId="6" borderId="0" xfId="8" applyNumberFormat="1" applyFont="1" applyFill="1"/>
    <xf numFmtId="173" fontId="0" fillId="0" borderId="0" xfId="0" applyFill="1"/>
    <xf numFmtId="43" fontId="0" fillId="0" borderId="0" xfId="1" applyFont="1" applyFill="1"/>
    <xf numFmtId="174" fontId="3" fillId="0" borderId="0" xfId="0" applyNumberFormat="1" applyFont="1" applyFill="1"/>
    <xf numFmtId="173" fontId="0" fillId="0" borderId="0" xfId="0" quotePrefix="1" applyFont="1" applyFill="1"/>
    <xf numFmtId="167" fontId="3" fillId="0" borderId="0" xfId="8" applyNumberFormat="1" applyFont="1" applyFill="1" applyAlignment="1">
      <alignment horizontal="center"/>
    </xf>
    <xf numFmtId="41" fontId="4" fillId="0" borderId="0" xfId="11" applyFont="1" applyFill="1" applyAlignment="1">
      <alignment horizontal="centerContinuous"/>
    </xf>
    <xf numFmtId="41" fontId="11" fillId="0" borderId="0" xfId="11" applyFont="1" applyFill="1" applyAlignment="1">
      <alignment horizontal="centerContinuous"/>
    </xf>
    <xf numFmtId="41" fontId="3" fillId="0" borderId="0" xfId="11" applyFont="1" applyFill="1" applyAlignment="1">
      <alignment horizontal="centerContinuous"/>
    </xf>
    <xf numFmtId="2" fontId="3" fillId="0" borderId="0" xfId="11" applyNumberFormat="1" applyFont="1" applyFill="1" applyAlignment="1">
      <alignment horizontal="center"/>
    </xf>
    <xf numFmtId="41" fontId="3" fillId="0" borderId="0" xfId="11" applyFont="1" applyFill="1" applyBorder="1"/>
    <xf numFmtId="41" fontId="3" fillId="0" borderId="0" xfId="11"/>
    <xf numFmtId="41" fontId="5" fillId="0" borderId="0" xfId="11" applyFont="1" applyFill="1" applyAlignment="1">
      <alignment horizontal="centerContinuous"/>
    </xf>
    <xf numFmtId="41" fontId="3" fillId="0" borderId="0" xfId="11" applyFont="1" applyFill="1"/>
    <xf numFmtId="41" fontId="3" fillId="0" borderId="0" xfId="11" applyFont="1" applyFill="1" applyAlignment="1">
      <alignment horizontal="center"/>
    </xf>
    <xf numFmtId="17" fontId="3" fillId="0" borderId="0" xfId="11" applyNumberFormat="1" applyFont="1" applyFill="1" applyAlignment="1">
      <alignment horizontal="center"/>
    </xf>
    <xf numFmtId="9" fontId="3" fillId="0" borderId="0" xfId="8" applyFont="1" applyFill="1" applyAlignment="1">
      <alignment horizontal="center"/>
    </xf>
    <xf numFmtId="41" fontId="3" fillId="0" borderId="0" xfId="11" applyFont="1" applyFill="1" applyBorder="1" applyAlignment="1">
      <alignment horizontal="center"/>
    </xf>
    <xf numFmtId="8" fontId="3" fillId="0" borderId="2" xfId="11" applyNumberFormat="1" applyFont="1" applyFill="1" applyBorder="1" applyAlignment="1">
      <alignment horizontal="center"/>
    </xf>
    <xf numFmtId="8" fontId="3" fillId="0" borderId="9" xfId="11" applyNumberFormat="1" applyFont="1" applyFill="1" applyBorder="1" applyAlignment="1">
      <alignment horizontal="center"/>
    </xf>
    <xf numFmtId="2" fontId="3" fillId="0" borderId="0" xfId="11" applyNumberFormat="1" applyFont="1" applyFill="1" applyBorder="1" applyAlignment="1">
      <alignment horizontal="center"/>
    </xf>
    <xf numFmtId="0" fontId="3" fillId="0" borderId="12" xfId="11" applyNumberFormat="1" applyFont="1" applyFill="1" applyBorder="1" applyAlignment="1">
      <alignment horizontal="center"/>
    </xf>
    <xf numFmtId="8" fontId="3" fillId="0" borderId="0" xfId="11" applyNumberFormat="1" applyFont="1" applyFill="1" applyBorder="1" applyAlignment="1">
      <alignment horizontal="center"/>
    </xf>
    <xf numFmtId="8" fontId="3" fillId="0" borderId="13" xfId="11" applyNumberFormat="1" applyFont="1" applyFill="1" applyBorder="1" applyAlignment="1">
      <alignment horizontal="center"/>
    </xf>
    <xf numFmtId="0" fontId="3" fillId="0" borderId="10" xfId="11" applyNumberFormat="1" applyFont="1" applyFill="1" applyBorder="1" applyAlignment="1">
      <alignment horizontal="center"/>
    </xf>
    <xf numFmtId="8" fontId="3" fillId="0" borderId="1" xfId="11" applyNumberFormat="1" applyFont="1" applyFill="1" applyBorder="1" applyAlignment="1">
      <alignment horizontal="center"/>
    </xf>
    <xf numFmtId="8" fontId="3" fillId="0" borderId="14" xfId="11" applyNumberFormat="1" applyFont="1" applyFill="1" applyBorder="1" applyAlignment="1">
      <alignment horizontal="center"/>
    </xf>
    <xf numFmtId="0" fontId="0" fillId="0" borderId="0" xfId="11" applyNumberFormat="1" applyFont="1" applyFill="1" applyAlignment="1">
      <alignment horizontal="left"/>
    </xf>
    <xf numFmtId="41" fontId="3" fillId="0" borderId="0" xfId="11" applyFont="1" applyFill="1" applyAlignment="1">
      <alignment horizontal="left" indent="1"/>
    </xf>
    <xf numFmtId="39" fontId="3" fillId="0" borderId="0" xfId="12" quotePrefix="1" applyNumberFormat="1" applyFont="1" applyFill="1" applyBorder="1" applyAlignment="1">
      <alignment horizontal="center"/>
    </xf>
    <xf numFmtId="39" fontId="3" fillId="0" borderId="0" xfId="11" applyNumberFormat="1" applyFont="1" applyFill="1" applyBorder="1" applyAlignment="1">
      <alignment horizontal="center"/>
    </xf>
    <xf numFmtId="8" fontId="3" fillId="0" borderId="0" xfId="11" applyNumberFormat="1" applyFont="1" applyFill="1"/>
    <xf numFmtId="0" fontId="0" fillId="0" borderId="0" xfId="7" applyFont="1" applyFill="1" applyBorder="1" applyAlignment="1">
      <alignment horizontal="center"/>
    </xf>
    <xf numFmtId="173" fontId="0" fillId="0" borderId="0" xfId="0" applyFont="1" applyFill="1" applyAlignment="1">
      <alignment horizontal="centerContinuous"/>
    </xf>
    <xf numFmtId="173" fontId="0" fillId="0" borderId="0" xfId="0" applyFont="1" applyFill="1"/>
    <xf numFmtId="173" fontId="0" fillId="0" borderId="0" xfId="0" applyFont="1" applyFill="1" applyBorder="1" applyAlignment="1">
      <alignment horizontal="centerContinuous"/>
    </xf>
    <xf numFmtId="173" fontId="0" fillId="0" borderId="0" xfId="0" applyFont="1" applyFill="1" applyBorder="1"/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0" fontId="0" fillId="0" borderId="18" xfId="0" applyNumberFormat="1" applyFont="1" applyFill="1" applyBorder="1"/>
    <xf numFmtId="165" fontId="0" fillId="0" borderId="18" xfId="0" applyNumberFormat="1" applyFont="1" applyFill="1" applyBorder="1" applyAlignment="1">
      <alignment horizontal="center"/>
    </xf>
    <xf numFmtId="8" fontId="0" fillId="0" borderId="18" xfId="0" applyNumberFormat="1" applyFont="1" applyFill="1" applyBorder="1"/>
    <xf numFmtId="8" fontId="0" fillId="0" borderId="18" xfId="0" applyNumberFormat="1" applyFont="1" applyFill="1" applyBorder="1" applyAlignment="1">
      <alignment horizontal="right"/>
    </xf>
    <xf numFmtId="170" fontId="0" fillId="0" borderId="0" xfId="0" applyNumberFormat="1" applyFont="1" applyFill="1"/>
    <xf numFmtId="41" fontId="0" fillId="0" borderId="0" xfId="4" applyFont="1" applyFill="1"/>
    <xf numFmtId="173" fontId="0" fillId="0" borderId="0" xfId="0" applyFont="1" applyFill="1" applyAlignment="1">
      <alignment horizontal="center"/>
    </xf>
    <xf numFmtId="41" fontId="0" fillId="0" borderId="0" xfId="0" applyNumberFormat="1" applyFont="1" applyFill="1" applyBorder="1"/>
    <xf numFmtId="169" fontId="0" fillId="0" borderId="0" xfId="0" applyNumberFormat="1" applyFont="1" applyFill="1" applyBorder="1"/>
    <xf numFmtId="173" fontId="0" fillId="0" borderId="22" xfId="0" applyFont="1" applyFill="1" applyBorder="1" applyAlignment="1">
      <alignment horizontal="centerContinuous"/>
    </xf>
    <xf numFmtId="41" fontId="0" fillId="0" borderId="0" xfId="0" applyNumberFormat="1" applyFont="1" applyFill="1"/>
    <xf numFmtId="6" fontId="0" fillId="0" borderId="0" xfId="2" applyNumberFormat="1" applyFont="1" applyFill="1"/>
    <xf numFmtId="8" fontId="0" fillId="0" borderId="0" xfId="2" applyNumberFormat="1" applyFont="1" applyFill="1"/>
    <xf numFmtId="173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73" fontId="0" fillId="0" borderId="11" xfId="0" applyFont="1" applyFill="1" applyBorder="1" applyAlignment="1">
      <alignment horizontal="centerContinuous"/>
    </xf>
    <xf numFmtId="173" fontId="0" fillId="0" borderId="4" xfId="0" applyFont="1" applyFill="1" applyBorder="1" applyAlignment="1">
      <alignment horizontal="centerContinuous"/>
    </xf>
    <xf numFmtId="171" fontId="0" fillId="0" borderId="0" xfId="2" applyNumberFormat="1" applyFont="1" applyFill="1"/>
    <xf numFmtId="10" fontId="0" fillId="0" borderId="0" xfId="0" applyNumberFormat="1" applyFont="1" applyFill="1" applyBorder="1"/>
    <xf numFmtId="9" fontId="0" fillId="0" borderId="0" xfId="0" applyNumberFormat="1" applyFont="1" applyFill="1"/>
    <xf numFmtId="1" fontId="0" fillId="0" borderId="0" xfId="6" applyNumberFormat="1" applyFont="1" applyFill="1" applyAlignment="1" applyProtection="1">
      <alignment horizontal="center"/>
      <protection locked="0"/>
    </xf>
    <xf numFmtId="8" fontId="3" fillId="0" borderId="0" xfId="11" applyNumberFormat="1"/>
    <xf numFmtId="0" fontId="3" fillId="0" borderId="8" xfId="11" applyNumberFormat="1" applyFont="1" applyFill="1" applyBorder="1" applyAlignment="1">
      <alignment horizontal="center"/>
    </xf>
    <xf numFmtId="174" fontId="0" fillId="0" borderId="0" xfId="0" applyNumberFormat="1"/>
    <xf numFmtId="175" fontId="3" fillId="0" borderId="0" xfId="11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7" fontId="3" fillId="0" borderId="0" xfId="8" applyNumberFormat="1" applyFont="1" applyFill="1"/>
    <xf numFmtId="17" fontId="3" fillId="0" borderId="0" xfId="11" applyNumberFormat="1" applyFont="1" applyFill="1" applyBorder="1" applyAlignment="1"/>
    <xf numFmtId="41" fontId="3" fillId="0" borderId="0" xfId="11" applyFont="1" applyFill="1" applyAlignment="1"/>
    <xf numFmtId="168" fontId="28" fillId="0" borderId="0" xfId="11" applyNumberFormat="1" applyFont="1" applyFill="1" applyBorder="1" applyAlignment="1">
      <alignment horizontal="centerContinuous"/>
    </xf>
    <xf numFmtId="173" fontId="1" fillId="3" borderId="0" xfId="0" applyFont="1" applyFill="1" applyBorder="1" applyAlignment="1">
      <alignment horizontal="centerContinuous" wrapText="1"/>
    </xf>
    <xf numFmtId="6" fontId="0" fillId="0" borderId="0" xfId="2" applyNumberFormat="1" applyFont="1" applyFill="1" applyAlignment="1">
      <alignment horizontal="center"/>
    </xf>
    <xf numFmtId="6" fontId="25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8" fontId="25" fillId="0" borderId="0" xfId="2" applyNumberFormat="1" applyFont="1" applyFill="1" applyAlignment="1">
      <alignment horizontal="center"/>
    </xf>
    <xf numFmtId="10" fontId="0" fillId="0" borderId="0" xfId="8" applyNumberFormat="1" applyFont="1" applyFill="1"/>
    <xf numFmtId="178" fontId="3" fillId="0" borderId="0" xfId="11" applyNumberFormat="1" applyFont="1" applyFill="1" applyBorder="1" applyAlignment="1">
      <alignment horizontal="center"/>
    </xf>
  </cellXfs>
  <cellStyles count="13">
    <cellStyle name="Comma" xfId="1" builtinId="3"/>
    <cellStyle name="Currency" xfId="2" builtinId="4"/>
    <cellStyle name="Input" xfId="3" builtinId="20" customBuiltin="1"/>
    <cellStyle name="Normal" xfId="0" builtinId="0" customBuiltin="1"/>
    <cellStyle name="Normal 2" xfId="9"/>
    <cellStyle name="Normal 3" xfId="10"/>
    <cellStyle name="Normal_DRR AC Study - Utah Valley - 53 MW 90 CF (2.28.2005)" xfId="4"/>
    <cellStyle name="Normal_Exhibit GND-1 - 5.24.2005" xfId="12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Percent" xfId="8" builtinId="5"/>
  </cellStyles>
  <dxfs count="3">
    <dxf>
      <font>
        <b/>
        <i/>
        <condense val="0"/>
        <extend val="0"/>
      </font>
      <fill>
        <patternFill>
          <bgColor indexed="42"/>
        </patternFill>
      </fill>
    </dxf>
    <dxf>
      <font>
        <b/>
        <i/>
        <condense val="0"/>
        <extend val="0"/>
      </font>
      <fill>
        <patternFill>
          <bgColor indexed="42"/>
        </patternFill>
      </fill>
    </dxf>
    <dxf>
      <numFmt numFmtId="179" formatCode="&quot;$&quot;#,##0.00_)&quot;x&quot;"/>
    </dxf>
  </dxfs>
  <tableStyles count="0" defaultTableStyle="TableStyleMedium9" defaultPivotStyle="PivotStyleLight16"/>
  <colors>
    <mruColors>
      <color rgb="FFCCECFF"/>
      <color rgb="FF99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42"/>
  <sheetViews>
    <sheetView tabSelected="1" zoomScale="110" zoomScaleNormal="110" workbookViewId="0"/>
  </sheetViews>
  <sheetFormatPr defaultRowHeight="12.75"/>
  <cols>
    <col min="1" max="1" width="2.83203125" style="157" customWidth="1"/>
    <col min="2" max="2" width="19.1640625" style="157" customWidth="1"/>
    <col min="3" max="5" width="21.6640625" style="157" customWidth="1"/>
    <col min="6" max="6" width="3" style="157" customWidth="1"/>
    <col min="7" max="7" width="9.33203125" style="157" customWidth="1"/>
    <col min="8" max="8" width="9.33203125" style="155" customWidth="1"/>
    <col min="9" max="16384" width="9.33203125" style="155"/>
  </cols>
  <sheetData>
    <row r="1" spans="2:7" ht="15.75">
      <c r="B1" s="150" t="s">
        <v>76</v>
      </c>
      <c r="C1" s="151"/>
      <c r="D1" s="151"/>
      <c r="E1" s="152"/>
      <c r="F1" s="153"/>
      <c r="G1" s="154"/>
    </row>
    <row r="2" spans="2:7" ht="15.75">
      <c r="B2" s="150"/>
      <c r="C2" s="151"/>
      <c r="D2" s="151"/>
      <c r="E2" s="152"/>
      <c r="F2" s="153"/>
      <c r="G2" s="154"/>
    </row>
    <row r="3" spans="2:7" ht="15.75">
      <c r="B3" s="156" t="s">
        <v>87</v>
      </c>
      <c r="C3" s="156"/>
      <c r="D3" s="156"/>
      <c r="E3" s="150"/>
      <c r="F3" s="153"/>
      <c r="G3" s="154"/>
    </row>
    <row r="4" spans="2:7" ht="15.75">
      <c r="B4" s="7" t="str">
        <f ca="1">'Table 1'!B5</f>
        <v>Utah Compliance Filing - 2012.Q4 - 100.0 MW and 85.0% CF</v>
      </c>
      <c r="C4" s="156"/>
      <c r="D4" s="156"/>
      <c r="E4" s="150"/>
      <c r="F4" s="153"/>
      <c r="G4" s="154"/>
    </row>
    <row r="5" spans="2:7" ht="25.5" customHeight="1">
      <c r="C5" s="158"/>
      <c r="F5" s="153"/>
      <c r="G5" s="154"/>
    </row>
    <row r="6" spans="2:7">
      <c r="B6" s="158" t="s">
        <v>0</v>
      </c>
      <c r="C6" s="159" t="s">
        <v>98</v>
      </c>
      <c r="D6" s="159" t="s">
        <v>103</v>
      </c>
      <c r="E6" s="160" t="s">
        <v>88</v>
      </c>
      <c r="F6" s="153"/>
      <c r="G6" s="217"/>
    </row>
    <row r="7" spans="2:7">
      <c r="B7" s="158"/>
      <c r="C7" s="45" t="str">
        <f ca="1">TEXT('Table 1'!G9,"0.0%")&amp;" CF (2)"</f>
        <v>85.0% CF (2)</v>
      </c>
      <c r="D7" s="152" t="s">
        <v>97</v>
      </c>
      <c r="E7" s="161"/>
      <c r="F7" s="153"/>
      <c r="G7" s="218"/>
    </row>
    <row r="8" spans="2:7">
      <c r="B8" s="212">
        <f ca="1">'Table 1'!B13</f>
        <v>2013</v>
      </c>
      <c r="C8" s="162">
        <f ca="1">'Table 1'!G13</f>
        <v>28.1</v>
      </c>
      <c r="D8" s="162">
        <v>28.44</v>
      </c>
      <c r="E8" s="163">
        <f t="shared" ref="E8:E27" ca="1" si="0">C8-D8</f>
        <v>-0.33999999999999986</v>
      </c>
      <c r="F8" s="153"/>
      <c r="G8" s="219"/>
    </row>
    <row r="9" spans="2:7">
      <c r="B9" s="165">
        <f t="shared" ref="B9:B27" ca="1" si="1">B8+1</f>
        <v>2014</v>
      </c>
      <c r="C9" s="166">
        <f ca="1">'Table 1'!G14</f>
        <v>28.34</v>
      </c>
      <c r="D9" s="166">
        <v>29.53</v>
      </c>
      <c r="E9" s="167">
        <f t="shared" ca="1" si="0"/>
        <v>-1.1900000000000013</v>
      </c>
      <c r="F9" s="153"/>
      <c r="G9" s="219"/>
    </row>
    <row r="10" spans="2:7">
      <c r="B10" s="165">
        <f t="shared" ca="1" si="1"/>
        <v>2015</v>
      </c>
      <c r="C10" s="166">
        <f ca="1">'Table 1'!G15</f>
        <v>30.22</v>
      </c>
      <c r="D10" s="166">
        <v>30.81</v>
      </c>
      <c r="E10" s="167">
        <f t="shared" ca="1" si="0"/>
        <v>-0.58999999999999986</v>
      </c>
      <c r="F10" s="153"/>
      <c r="G10" s="219"/>
    </row>
    <row r="11" spans="2:7">
      <c r="B11" s="165">
        <f t="shared" ca="1" si="1"/>
        <v>2016</v>
      </c>
      <c r="C11" s="166">
        <f ca="1">'Table 1'!G16</f>
        <v>31.23</v>
      </c>
      <c r="D11" s="166">
        <v>38.86</v>
      </c>
      <c r="E11" s="167">
        <f t="shared" ca="1" si="0"/>
        <v>-7.629999999999999</v>
      </c>
      <c r="F11" s="153"/>
      <c r="G11" s="219"/>
    </row>
    <row r="12" spans="2:7">
      <c r="B12" s="165">
        <f t="shared" ca="1" si="1"/>
        <v>2017</v>
      </c>
      <c r="C12" s="166">
        <f ca="1">'Table 1'!G17</f>
        <v>32.35</v>
      </c>
      <c r="D12" s="166">
        <v>47.79</v>
      </c>
      <c r="E12" s="167">
        <f t="shared" ca="1" si="0"/>
        <v>-15.439999999999998</v>
      </c>
      <c r="F12" s="153"/>
      <c r="G12" s="219"/>
    </row>
    <row r="13" spans="2:7">
      <c r="B13" s="165">
        <f t="shared" ca="1" si="1"/>
        <v>2018</v>
      </c>
      <c r="C13" s="166">
        <f ca="1">'Table 1'!G18</f>
        <v>34.69</v>
      </c>
      <c r="D13" s="166">
        <v>51.64</v>
      </c>
      <c r="E13" s="167">
        <f t="shared" ca="1" si="0"/>
        <v>-16.950000000000003</v>
      </c>
      <c r="F13" s="153"/>
      <c r="G13" s="219"/>
    </row>
    <row r="14" spans="2:7">
      <c r="B14" s="165">
        <f t="shared" ca="1" si="1"/>
        <v>2019</v>
      </c>
      <c r="C14" s="166">
        <f ca="1">'Table 1'!G19</f>
        <v>38.979999999999997</v>
      </c>
      <c r="D14" s="166">
        <v>56.29</v>
      </c>
      <c r="E14" s="167">
        <f t="shared" ca="1" si="0"/>
        <v>-17.310000000000002</v>
      </c>
      <c r="F14" s="153"/>
      <c r="G14" s="219"/>
    </row>
    <row r="15" spans="2:7">
      <c r="B15" s="165">
        <f t="shared" ca="1" si="1"/>
        <v>2020</v>
      </c>
      <c r="C15" s="166">
        <f ca="1">'Table 1'!G20</f>
        <v>43.02</v>
      </c>
      <c r="D15" s="166">
        <v>56.47</v>
      </c>
      <c r="E15" s="167">
        <f t="shared" ca="1" si="0"/>
        <v>-13.449999999999996</v>
      </c>
      <c r="F15" s="153"/>
      <c r="G15" s="219"/>
    </row>
    <row r="16" spans="2:7">
      <c r="B16" s="165">
        <f t="shared" ca="1" si="1"/>
        <v>2021</v>
      </c>
      <c r="C16" s="166">
        <f ca="1">'Table 1'!G21</f>
        <v>45.27</v>
      </c>
      <c r="D16" s="166">
        <v>59.4</v>
      </c>
      <c r="E16" s="167">
        <f t="shared" ca="1" si="0"/>
        <v>-14.129999999999995</v>
      </c>
      <c r="F16" s="153"/>
      <c r="G16" s="219"/>
    </row>
    <row r="17" spans="2:7">
      <c r="B17" s="165">
        <f t="shared" ca="1" si="1"/>
        <v>2022</v>
      </c>
      <c r="C17" s="166">
        <f ca="1">'Table 1'!G22</f>
        <v>52.23</v>
      </c>
      <c r="D17" s="166">
        <v>65.12</v>
      </c>
      <c r="E17" s="167">
        <f t="shared" ca="1" si="0"/>
        <v>-12.890000000000008</v>
      </c>
      <c r="F17" s="153"/>
      <c r="G17" s="219"/>
    </row>
    <row r="18" spans="2:7">
      <c r="B18" s="165">
        <f t="shared" ca="1" si="1"/>
        <v>2023</v>
      </c>
      <c r="C18" s="166">
        <f ca="1">'Table 1'!G23</f>
        <v>55.96</v>
      </c>
      <c r="D18" s="166">
        <v>66.709999999999994</v>
      </c>
      <c r="E18" s="167">
        <f t="shared" ca="1" si="0"/>
        <v>-10.749999999999993</v>
      </c>
      <c r="F18" s="153"/>
      <c r="G18" s="219"/>
    </row>
    <row r="19" spans="2:7">
      <c r="B19" s="165">
        <f t="shared" ca="1" si="1"/>
        <v>2024</v>
      </c>
      <c r="C19" s="166">
        <f ca="1">'Table 1'!G24</f>
        <v>58.83</v>
      </c>
      <c r="D19" s="166">
        <v>66.650000000000006</v>
      </c>
      <c r="E19" s="167">
        <f t="shared" ca="1" si="0"/>
        <v>-7.8200000000000074</v>
      </c>
      <c r="F19" s="153"/>
      <c r="G19" s="219"/>
    </row>
    <row r="20" spans="2:7">
      <c r="B20" s="165">
        <f t="shared" ca="1" si="1"/>
        <v>2025</v>
      </c>
      <c r="C20" s="166">
        <f ca="1">'Table 1'!G25</f>
        <v>58.4</v>
      </c>
      <c r="D20" s="166">
        <v>68.78</v>
      </c>
      <c r="E20" s="167">
        <f t="shared" ca="1" si="0"/>
        <v>-10.380000000000003</v>
      </c>
      <c r="F20" s="153"/>
      <c r="G20" s="219"/>
    </row>
    <row r="21" spans="2:7">
      <c r="B21" s="165">
        <f t="shared" ca="1" si="1"/>
        <v>2026</v>
      </c>
      <c r="C21" s="166">
        <f ca="1">'Table 1'!G26</f>
        <v>62.35</v>
      </c>
      <c r="D21" s="166">
        <v>70.69</v>
      </c>
      <c r="E21" s="167">
        <f t="shared" ca="1" si="0"/>
        <v>-8.3399999999999963</v>
      </c>
      <c r="F21" s="153"/>
      <c r="G21" s="219"/>
    </row>
    <row r="22" spans="2:7">
      <c r="B22" s="165">
        <f t="shared" ca="1" si="1"/>
        <v>2027</v>
      </c>
      <c r="C22" s="166">
        <f ca="1">'Table 1'!G27</f>
        <v>62.97</v>
      </c>
      <c r="D22" s="166">
        <v>73.010000000000005</v>
      </c>
      <c r="E22" s="167">
        <f t="shared" ca="1" si="0"/>
        <v>-10.040000000000006</v>
      </c>
      <c r="F22" s="153"/>
      <c r="G22" s="219"/>
    </row>
    <row r="23" spans="2:7">
      <c r="B23" s="165">
        <f t="shared" ca="1" si="1"/>
        <v>2028</v>
      </c>
      <c r="C23" s="166">
        <f ca="1">'Table 1'!G28</f>
        <v>64.349999999999994</v>
      </c>
      <c r="D23" s="166">
        <v>75.17</v>
      </c>
      <c r="E23" s="167">
        <f t="shared" ca="1" si="0"/>
        <v>-10.820000000000007</v>
      </c>
      <c r="F23" s="153"/>
      <c r="G23" s="219"/>
    </row>
    <row r="24" spans="2:7">
      <c r="B24" s="165">
        <f t="shared" ca="1" si="1"/>
        <v>2029</v>
      </c>
      <c r="C24" s="166">
        <f ca="1">'Table 1'!G29</f>
        <v>66.11</v>
      </c>
      <c r="D24" s="166">
        <v>76.56</v>
      </c>
      <c r="E24" s="167">
        <f t="shared" ca="1" si="0"/>
        <v>-10.450000000000003</v>
      </c>
      <c r="F24" s="153"/>
      <c r="G24" s="219"/>
    </row>
    <row r="25" spans="2:7">
      <c r="B25" s="165">
        <f t="shared" ca="1" si="1"/>
        <v>2030</v>
      </c>
      <c r="C25" s="166">
        <f ca="1">'Table 1'!G30</f>
        <v>66.97</v>
      </c>
      <c r="D25" s="166">
        <v>78.239999999999995</v>
      </c>
      <c r="E25" s="167">
        <f t="shared" ca="1" si="0"/>
        <v>-11.269999999999996</v>
      </c>
      <c r="F25" s="153"/>
      <c r="G25" s="219"/>
    </row>
    <row r="26" spans="2:7">
      <c r="B26" s="165">
        <f t="shared" ca="1" si="1"/>
        <v>2031</v>
      </c>
      <c r="C26" s="166">
        <f ca="1">'Table 1'!G31</f>
        <v>68.81</v>
      </c>
      <c r="D26" s="166">
        <v>79.84</v>
      </c>
      <c r="E26" s="167">
        <f t="shared" ca="1" si="0"/>
        <v>-11.030000000000001</v>
      </c>
      <c r="F26" s="164"/>
      <c r="G26" s="219"/>
    </row>
    <row r="27" spans="2:7">
      <c r="B27" s="168">
        <f t="shared" ca="1" si="1"/>
        <v>2032</v>
      </c>
      <c r="C27" s="169">
        <f ca="1">'Table 1'!G32</f>
        <v>69.98</v>
      </c>
      <c r="D27" s="169">
        <v>81.5</v>
      </c>
      <c r="E27" s="170">
        <f t="shared" ca="1" si="0"/>
        <v>-11.519999999999996</v>
      </c>
      <c r="F27" s="164"/>
      <c r="G27" s="219"/>
    </row>
    <row r="28" spans="2:7">
      <c r="D28" s="158"/>
      <c r="F28" s="153"/>
    </row>
    <row r="29" spans="2:7">
      <c r="B29" s="171" t="str">
        <f ca="1">"20-Year Levelized Prices (Nominal) @ "&amp;TEXT(Discount_Rate,"0.000%")&amp;" Discount Rate (1) (3)"</f>
        <v>20-Year Levelized Prices (Nominal) @ 7.154% Discount Rate (1) (3)</v>
      </c>
      <c r="D29" s="158"/>
      <c r="G29" s="145" t="s">
        <v>105</v>
      </c>
    </row>
    <row r="30" spans="2:7">
      <c r="B30" s="172" t="s">
        <v>62</v>
      </c>
      <c r="C30" s="214">
        <f ca="1">PMT($G$30,COUNT(C8:C27),-NPV($G$30,C8:C27))</f>
        <v>44.229963375517443</v>
      </c>
      <c r="D30" s="226">
        <f>PMT($G$30,COUNT(D8:D27),-NPV($G$30,D8:D27))</f>
        <v>53.545838507518731</v>
      </c>
      <c r="E30" s="166">
        <f t="shared" ref="E30" ca="1" si="2">C30-D30</f>
        <v>-9.3158751320012883</v>
      </c>
      <c r="F30" s="153"/>
      <c r="G30" s="216">
        <v>7.1540000000000006E-2</v>
      </c>
    </row>
    <row r="31" spans="2:7" ht="5.25" customHeight="1">
      <c r="B31" s="172"/>
      <c r="C31" s="166"/>
      <c r="D31" s="166"/>
      <c r="E31" s="166"/>
      <c r="F31" s="153"/>
    </row>
    <row r="32" spans="2:7">
      <c r="B32" s="172"/>
      <c r="C32" s="166"/>
      <c r="D32" s="166"/>
      <c r="E32" s="166"/>
      <c r="F32" s="153"/>
    </row>
    <row r="33" spans="2:6" ht="5.25" customHeight="1">
      <c r="D33" s="211"/>
      <c r="F33" s="153"/>
    </row>
    <row r="34" spans="2:6">
      <c r="B34" s="157" t="s">
        <v>34</v>
      </c>
      <c r="C34" s="173"/>
      <c r="D34" s="174"/>
      <c r="E34" s="174"/>
      <c r="F34" s="153"/>
    </row>
    <row r="35" spans="2:6">
      <c r="B35" s="44" t="s">
        <v>104</v>
      </c>
      <c r="D35" s="153"/>
      <c r="E35" s="153"/>
      <c r="F35" s="153"/>
    </row>
    <row r="36" spans="2:6">
      <c r="B36" s="44" t="s">
        <v>108</v>
      </c>
      <c r="F36" s="153"/>
    </row>
    <row r="37" spans="2:6">
      <c r="B37" s="157" t="str">
        <f ca="1">"(3)   20-Year NPC is "&amp;B8&amp;" - "&amp;B27</f>
        <v>(3)   20-Year NPC is 2013 - 2032</v>
      </c>
    </row>
    <row r="38" spans="2:6">
      <c r="B38" s="19" t="s">
        <v>109</v>
      </c>
    </row>
    <row r="40" spans="2:6">
      <c r="C40" s="166"/>
      <c r="D40" s="166"/>
    </row>
    <row r="42" spans="2:6">
      <c r="C42" s="175"/>
      <c r="D42" s="175"/>
      <c r="E42" s="175"/>
    </row>
  </sheetData>
  <conditionalFormatting sqref="D8:D25">
    <cfRule type="expression" dxfId="2" priority="1">
      <formula>ISNA(G8)</formula>
    </cfRule>
  </conditionalFormatting>
  <printOptions horizontalCentered="1"/>
  <pageMargins left="0.8" right="0.3" top="0.4" bottom="0.4" header="0.5" footer="0.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46"/>
  <sheetViews>
    <sheetView tabSelected="1" zoomScaleNormal="100" zoomScaleSheetLayoutView="100" workbookViewId="0"/>
  </sheetViews>
  <sheetFormatPr defaultRowHeight="12.75"/>
  <cols>
    <col min="1" max="1" width="2.83203125" style="6" customWidth="1"/>
    <col min="2" max="2" width="10.83203125" style="6" customWidth="1"/>
    <col min="3" max="3" width="18.83203125" style="6" customWidth="1"/>
    <col min="4" max="4" width="3.1640625" style="6" customWidth="1"/>
    <col min="5" max="5" width="18.83203125" style="6" customWidth="1"/>
    <col min="6" max="6" width="3.5" style="6" bestFit="1" customWidth="1"/>
    <col min="7" max="7" width="27.83203125" style="6" customWidth="1"/>
    <col min="8" max="8" width="3.83203125" style="6" customWidth="1"/>
    <col min="9" max="9" width="9.33203125" style="6" hidden="1" customWidth="1"/>
    <col min="10" max="10" width="9.33203125" customWidth="1"/>
  </cols>
  <sheetData>
    <row r="1" spans="2:9" ht="15.75">
      <c r="B1" s="1" t="s">
        <v>76</v>
      </c>
      <c r="C1" s="5"/>
      <c r="D1" s="5"/>
      <c r="E1" s="5"/>
      <c r="F1" s="5"/>
      <c r="G1" s="46"/>
      <c r="H1" s="125"/>
      <c r="I1" s="8"/>
    </row>
    <row r="2" spans="2:9" ht="15.75">
      <c r="B2" s="1"/>
      <c r="C2" s="5"/>
      <c r="D2" s="5"/>
      <c r="E2" s="5"/>
      <c r="G2" s="46"/>
      <c r="H2" s="125"/>
      <c r="I2" s="8"/>
    </row>
    <row r="3" spans="2:9" ht="15.75">
      <c r="B3" s="1" t="s">
        <v>39</v>
      </c>
      <c r="C3" s="5"/>
      <c r="D3" s="5"/>
      <c r="E3" s="5"/>
      <c r="F3" s="5"/>
      <c r="G3" s="46"/>
      <c r="H3" s="125"/>
      <c r="I3" s="8"/>
    </row>
    <row r="4" spans="2:9" ht="15.75">
      <c r="B4" s="7" t="s">
        <v>36</v>
      </c>
      <c r="C4" s="7"/>
      <c r="D4" s="7"/>
      <c r="E4" s="7"/>
      <c r="F4" s="7"/>
      <c r="G4" s="1"/>
      <c r="H4" s="125"/>
      <c r="I4" s="8"/>
    </row>
    <row r="5" spans="2:9" ht="15.75">
      <c r="B5" s="7" t="s">
        <v>110</v>
      </c>
      <c r="C5" s="7"/>
      <c r="D5" s="7"/>
      <c r="E5" s="7"/>
      <c r="F5" s="7"/>
      <c r="G5" s="1"/>
      <c r="H5" s="125"/>
      <c r="I5" s="8"/>
    </row>
    <row r="6" spans="2:9" ht="14.25">
      <c r="B6" s="7" t="s">
        <v>107</v>
      </c>
      <c r="C6" s="7"/>
      <c r="D6" s="7"/>
      <c r="E6" s="7"/>
      <c r="F6" s="7"/>
      <c r="G6" s="46"/>
      <c r="H6" s="125"/>
      <c r="I6" s="8"/>
    </row>
    <row r="7" spans="2:9">
      <c r="C7" s="10"/>
      <c r="D7" s="10"/>
      <c r="H7" s="125"/>
      <c r="I7" t="s">
        <v>89</v>
      </c>
    </row>
    <row r="8" spans="2:9">
      <c r="E8" s="47"/>
      <c r="F8" s="128"/>
      <c r="G8" s="9" t="s">
        <v>32</v>
      </c>
      <c r="H8" s="125"/>
      <c r="I8" s="144">
        <v>1</v>
      </c>
    </row>
    <row r="9" spans="2:9">
      <c r="C9" s="9" t="s">
        <v>7</v>
      </c>
      <c r="D9" s="9"/>
      <c r="E9" s="47" t="s">
        <v>37</v>
      </c>
      <c r="F9" s="128"/>
      <c r="G9" s="149">
        <v>0.85</v>
      </c>
      <c r="H9" s="125"/>
      <c r="I9"/>
    </row>
    <row r="10" spans="2:9">
      <c r="B10" s="9" t="s">
        <v>0</v>
      </c>
      <c r="C10" s="9" t="str">
        <f>"Price"&amp;IF(I8&lt;&gt;1," (6)","")</f>
        <v>Price</v>
      </c>
      <c r="D10" s="9"/>
      <c r="E10" s="47" t="s">
        <v>38</v>
      </c>
      <c r="F10" s="128"/>
      <c r="G10" s="47" t="s">
        <v>33</v>
      </c>
      <c r="H10" s="125"/>
      <c r="I10" s="213"/>
    </row>
    <row r="11" spans="2:9" ht="13.5">
      <c r="B11" s="9"/>
      <c r="C11" s="9" t="s">
        <v>35</v>
      </c>
      <c r="D11" s="9"/>
      <c r="E11" s="176" t="s">
        <v>92</v>
      </c>
      <c r="F11" s="128"/>
      <c r="G11" s="47" t="s">
        <v>62</v>
      </c>
      <c r="H11" s="125"/>
      <c r="I11" s="213"/>
    </row>
    <row r="12" spans="2:9">
      <c r="B12" s="9"/>
      <c r="C12" s="16"/>
      <c r="D12" s="47"/>
      <c r="E12" s="47"/>
      <c r="F12" s="47"/>
      <c r="H12" s="125"/>
      <c r="I12" s="213"/>
    </row>
    <row r="13" spans="2:9">
      <c r="B13" s="74">
        <f ca="1">'Table 2'!B12</f>
        <v>2013</v>
      </c>
      <c r="C13" s="11">
        <f ca="1">IF(VLOOKUP(B13,'Table 4'!$B$11:$K$41,9,FALSE)&lt;&gt;0,VLOOKUP(B13,'Table 4'!$B$11:$K$41,7,FALSE),0)*$I$8</f>
        <v>0</v>
      </c>
      <c r="D13" s="11"/>
      <c r="E13" s="11">
        <f ca="1">'Table 2'!C12</f>
        <v>28.096776648086468</v>
      </c>
      <c r="F13" s="138"/>
      <c r="G13" s="48">
        <f ca="1">ROUND((C13*1000/(IF(MOD(B13,4)=0,8784,8760)*$G$9)+E13),2)</f>
        <v>28.1</v>
      </c>
      <c r="H13" s="125"/>
      <c r="I13"/>
    </row>
    <row r="14" spans="2:9">
      <c r="B14" s="75">
        <f t="shared" ref="B14:B32" ca="1" si="0">B13+1</f>
        <v>2014</v>
      </c>
      <c r="C14" s="12">
        <f ca="1">IF(VLOOKUP(B14,'Table 4'!$B$11:$K$41,9,FALSE)&lt;&gt;0,VLOOKUP(B14,'Table 4'!$B$11:$K$41,7,FALSE),0)*$I$8</f>
        <v>0</v>
      </c>
      <c r="D14" s="140" t="str">
        <f t="shared" ref="D14:D32" ca="1" si="1">IF(B14=2025,"(4)","")</f>
        <v/>
      </c>
      <c r="E14" s="12">
        <f ca="1">'Table 2'!C13</f>
        <v>28.335574632810388</v>
      </c>
      <c r="F14" s="126"/>
      <c r="G14" s="49">
        <f ca="1">ROUND((C14*1000/(IF(MOD(B14,4)=0,8784,8760)*$G$9)+E14),2)</f>
        <v>28.34</v>
      </c>
      <c r="H14" s="125"/>
      <c r="I14"/>
    </row>
    <row r="15" spans="2:9">
      <c r="B15" s="75">
        <f t="shared" ca="1" si="0"/>
        <v>2015</v>
      </c>
      <c r="C15" s="12">
        <f ca="1">IF(VLOOKUP(B15,'Table 4'!$B$11:$K$41,9,FALSE)&lt;&gt;0,VLOOKUP(B15,'Table 4'!$B$11:$K$41,7,FALSE),0)*$I$8</f>
        <v>0</v>
      </c>
      <c r="D15" s="140" t="str">
        <f t="shared" ca="1" si="1"/>
        <v/>
      </c>
      <c r="E15" s="12">
        <f ca="1">'Table 2'!C14</f>
        <v>30.223283867662772</v>
      </c>
      <c r="F15" s="126"/>
      <c r="G15" s="49">
        <f t="shared" ref="G15:G32" ca="1" si="2">ROUND((C15*1000/(IF(MOD(B15,4)=0,8784,8760)*$G$9)+E15),2)</f>
        <v>30.22</v>
      </c>
      <c r="H15" s="125"/>
      <c r="I15"/>
    </row>
    <row r="16" spans="2:9">
      <c r="B16" s="75">
        <f t="shared" ca="1" si="0"/>
        <v>2016</v>
      </c>
      <c r="C16" s="12">
        <f ca="1">IF(VLOOKUP(B16,'Table 4'!$B$11:$K$41,9,FALSE)&lt;&gt;0,VLOOKUP(B16,'Table 4'!$B$11:$K$41,7,FALSE),0)*$I$8</f>
        <v>0</v>
      </c>
      <c r="D16" s="140" t="str">
        <f t="shared" ca="1" si="1"/>
        <v/>
      </c>
      <c r="E16" s="12">
        <f ca="1">'Table 2'!C15</f>
        <v>31.232666734088646</v>
      </c>
      <c r="F16" s="126"/>
      <c r="G16" s="49">
        <f t="shared" ca="1" si="2"/>
        <v>31.23</v>
      </c>
      <c r="H16" s="125"/>
      <c r="I16"/>
    </row>
    <row r="17" spans="2:9">
      <c r="B17" s="75">
        <f t="shared" ca="1" si="0"/>
        <v>2017</v>
      </c>
      <c r="C17" s="12">
        <f ca="1">IF(VLOOKUP(B17,'Table 4'!$B$11:$K$41,9,FALSE)&lt;&gt;0,VLOOKUP(B17,'Table 4'!$B$11:$K$41,7,FALSE),0)*$I$8</f>
        <v>0</v>
      </c>
      <c r="D17" s="140" t="str">
        <f t="shared" ca="1" si="1"/>
        <v/>
      </c>
      <c r="E17" s="12">
        <f ca="1">'Table 2'!C16</f>
        <v>32.348508213364944</v>
      </c>
      <c r="F17" s="126"/>
      <c r="G17" s="49">
        <f t="shared" ca="1" si="2"/>
        <v>32.35</v>
      </c>
      <c r="H17" s="125"/>
      <c r="I17"/>
    </row>
    <row r="18" spans="2:9">
      <c r="B18" s="75">
        <f t="shared" ca="1" si="0"/>
        <v>2018</v>
      </c>
      <c r="C18" s="12">
        <f ca="1">IF(VLOOKUP(B18,'Table 4'!$B$11:$K$41,9,FALSE)&lt;&gt;0,VLOOKUP(B18,'Table 4'!$B$11:$K$41,7,FALSE),0)*$I$8</f>
        <v>0</v>
      </c>
      <c r="D18" s="140" t="str">
        <f t="shared" ca="1" si="1"/>
        <v/>
      </c>
      <c r="E18" s="12">
        <f ca="1">'Table 2'!C17</f>
        <v>34.688357987059341</v>
      </c>
      <c r="F18" s="126"/>
      <c r="G18" s="49">
        <f t="shared" ca="1" si="2"/>
        <v>34.69</v>
      </c>
      <c r="H18" s="125"/>
      <c r="I18"/>
    </row>
    <row r="19" spans="2:9">
      <c r="B19" s="75">
        <f t="shared" ca="1" si="0"/>
        <v>2019</v>
      </c>
      <c r="C19" s="12">
        <f ca="1">IF(VLOOKUP(B19,'Table 4'!$B$11:$K$41,9,FALSE)&lt;&gt;0,VLOOKUP(B19,'Table 4'!$B$11:$K$41,7,FALSE),0)*$I$8</f>
        <v>0</v>
      </c>
      <c r="D19" s="140" t="str">
        <f t="shared" ca="1" si="1"/>
        <v/>
      </c>
      <c r="E19" s="12">
        <f ca="1">'Table 2'!C18</f>
        <v>38.983563233991163</v>
      </c>
      <c r="F19" s="126"/>
      <c r="G19" s="49">
        <f t="shared" ca="1" si="2"/>
        <v>38.979999999999997</v>
      </c>
      <c r="H19" s="125"/>
      <c r="I19"/>
    </row>
    <row r="20" spans="2:9">
      <c r="B20" s="75">
        <f t="shared" ca="1" si="0"/>
        <v>2020</v>
      </c>
      <c r="C20" s="12">
        <f ca="1">IF(VLOOKUP(B20,'Table 4'!$B$11:$K$41,9,FALSE)&lt;&gt;0,VLOOKUP(B20,'Table 4'!$B$11:$K$41,7,FALSE),0)*$I$8</f>
        <v>0</v>
      </c>
      <c r="D20" s="140" t="str">
        <f t="shared" ca="1" si="1"/>
        <v/>
      </c>
      <c r="E20" s="12">
        <f ca="1">'Table 2'!C19</f>
        <v>43.022559197270176</v>
      </c>
      <c r="F20" s="126"/>
      <c r="G20" s="49">
        <f ca="1">ROUND((C20*1000/(IF(MOD(B20,4)=0,8784,8760)*$G$9)+E20),2)</f>
        <v>43.02</v>
      </c>
      <c r="H20" s="125"/>
      <c r="I20"/>
    </row>
    <row r="21" spans="2:9">
      <c r="B21" s="75">
        <f t="shared" ca="1" si="0"/>
        <v>2021</v>
      </c>
      <c r="C21" s="12">
        <f ca="1">IF(VLOOKUP(B21,'Table 4'!$B$11:$K$41,9,FALSE)&lt;&gt;0,VLOOKUP(B21,'Table 4'!$B$11:$K$41,7,FALSE),0)*$I$8</f>
        <v>0</v>
      </c>
      <c r="D21" s="140" t="str">
        <f t="shared" ca="1" si="1"/>
        <v/>
      </c>
      <c r="E21" s="12">
        <f ca="1">'Table 2'!C20</f>
        <v>45.266593746051271</v>
      </c>
      <c r="F21" s="126"/>
      <c r="G21" s="49">
        <f t="shared" ca="1" si="2"/>
        <v>45.27</v>
      </c>
      <c r="H21" s="125"/>
      <c r="I21"/>
    </row>
    <row r="22" spans="2:9">
      <c r="B22" s="75">
        <f t="shared" ca="1" si="0"/>
        <v>2022</v>
      </c>
      <c r="C22" s="12">
        <f ca="1">IF(VLOOKUP(B22,'Table 4'!$B$11:$K$41,9,FALSE)&lt;&gt;0,VLOOKUP(B22,'Table 4'!$B$11:$K$41,7,FALSE),0)*$I$8</f>
        <v>0</v>
      </c>
      <c r="D22" s="140" t="str">
        <f t="shared" ca="1" si="1"/>
        <v/>
      </c>
      <c r="E22" s="12">
        <f ca="1">'Table 2'!C21</f>
        <v>52.232070130003159</v>
      </c>
      <c r="F22" s="126"/>
      <c r="G22" s="49">
        <f t="shared" ca="1" si="2"/>
        <v>52.23</v>
      </c>
      <c r="H22" s="125"/>
      <c r="I22"/>
    </row>
    <row r="23" spans="2:9">
      <c r="B23" s="75">
        <f t="shared" ca="1" si="0"/>
        <v>2023</v>
      </c>
      <c r="C23" s="12">
        <f ca="1">IF(VLOOKUP(B23,'Table 4'!$B$11:$K$41,9,FALSE)&lt;&gt;0,VLOOKUP(B23,'Table 4'!$B$11:$K$41,7,FALSE),0)*$I$8</f>
        <v>0</v>
      </c>
      <c r="D23" s="140" t="str">
        <f t="shared" ca="1" si="1"/>
        <v/>
      </c>
      <c r="E23" s="12">
        <f ca="1">'Table 2'!C22</f>
        <v>55.962016578660737</v>
      </c>
      <c r="F23" s="126"/>
      <c r="G23" s="49">
        <f t="shared" ca="1" si="2"/>
        <v>55.96</v>
      </c>
      <c r="H23" s="125"/>
      <c r="I23"/>
    </row>
    <row r="24" spans="2:9">
      <c r="B24" s="75">
        <f t="shared" ca="1" si="0"/>
        <v>2024</v>
      </c>
      <c r="C24" s="12">
        <f ca="1">IF(VLOOKUP(B24,'Table 4'!$B$11:$K$41,9,FALSE)&lt;&gt;0,VLOOKUP(B24,'Table 4'!$B$11:$K$41,7,FALSE),0)*$I$8</f>
        <v>0</v>
      </c>
      <c r="D24" s="140" t="str">
        <f t="shared" ca="1" si="1"/>
        <v/>
      </c>
      <c r="E24" s="12">
        <f ca="1">'Table 2'!C23</f>
        <v>58.827222294131047</v>
      </c>
      <c r="F24" s="126"/>
      <c r="G24" s="49">
        <f t="shared" ca="1" si="2"/>
        <v>58.83</v>
      </c>
      <c r="H24" s="125"/>
      <c r="I24"/>
    </row>
    <row r="25" spans="2:9">
      <c r="B25" s="75">
        <f t="shared" ca="1" si="0"/>
        <v>2025</v>
      </c>
      <c r="C25" s="12">
        <f ca="1">IF(VLOOKUP(B25,'Table 4'!$B$11:$K$41,9,FALSE)&lt;&gt;0,VLOOKUP(B25,'Table 4'!$B$11:$K$41,7,FALSE),0)*$I$8</f>
        <v>145.16</v>
      </c>
      <c r="D25" s="140" t="str">
        <f t="shared" ca="1" si="1"/>
        <v>(4)</v>
      </c>
      <c r="E25" s="12">
        <f ca="1">'Table 2'!C24</f>
        <v>38.907271009603882</v>
      </c>
      <c r="F25" s="126"/>
      <c r="G25" s="49">
        <f t="shared" ca="1" si="2"/>
        <v>58.4</v>
      </c>
      <c r="H25" s="125"/>
      <c r="I25"/>
    </row>
    <row r="26" spans="2:9">
      <c r="B26" s="75">
        <f t="shared" ca="1" si="0"/>
        <v>2026</v>
      </c>
      <c r="C26" s="12">
        <f ca="1">IF(VLOOKUP(B26,'Table 4'!$B$11:$K$41,9,FALSE)&lt;&gt;0,VLOOKUP(B26,'Table 4'!$B$11:$K$41,7,FALSE),0)*$I$8</f>
        <v>147.93</v>
      </c>
      <c r="D26" s="12" t="str">
        <f t="shared" ca="1" si="1"/>
        <v/>
      </c>
      <c r="E26" s="12">
        <f ca="1">'Table 2'!C25</f>
        <v>42.47908182725066</v>
      </c>
      <c r="F26" s="126"/>
      <c r="G26" s="49">
        <f ca="1">ROUND((C26*1000/(IF(MOD(B26,4)=0,8784,8760)*$G$9)+E26),2)</f>
        <v>62.35</v>
      </c>
      <c r="H26" s="125"/>
      <c r="I26"/>
    </row>
    <row r="27" spans="2:9">
      <c r="B27" s="75">
        <f t="shared" ca="1" si="0"/>
        <v>2027</v>
      </c>
      <c r="C27" s="12">
        <f ca="1">IF(VLOOKUP(B27,'Table 4'!$B$11:$K$41,9,FALSE)&lt;&gt;0,VLOOKUP(B27,'Table 4'!$B$11:$K$41,7,FALSE),0)*$I$8</f>
        <v>150.76</v>
      </c>
      <c r="D27" s="12" t="str">
        <f t="shared" ca="1" si="1"/>
        <v/>
      </c>
      <c r="E27" s="12">
        <f ca="1">'Table 2'!C26</f>
        <v>42.719201129403707</v>
      </c>
      <c r="F27" s="126"/>
      <c r="G27" s="49">
        <f t="shared" ca="1" si="2"/>
        <v>62.97</v>
      </c>
      <c r="H27" s="125"/>
      <c r="I27"/>
    </row>
    <row r="28" spans="2:9">
      <c r="B28" s="75">
        <f t="shared" ca="1" si="0"/>
        <v>2028</v>
      </c>
      <c r="C28" s="12">
        <f ca="1">IF(VLOOKUP(B28,'Table 4'!$B$11:$K$41,9,FALSE)&lt;&gt;0,VLOOKUP(B28,'Table 4'!$B$11:$K$41,7,FALSE),0)*$I$8</f>
        <v>153.63999999999999</v>
      </c>
      <c r="D28" s="12" t="str">
        <f t="shared" ca="1" si="1"/>
        <v/>
      </c>
      <c r="E28" s="12">
        <f ca="1">'Table 2'!C27</f>
        <v>43.769112523005958</v>
      </c>
      <c r="F28" s="126"/>
      <c r="G28" s="49">
        <f t="shared" ca="1" si="2"/>
        <v>64.349999999999994</v>
      </c>
      <c r="H28" s="125"/>
      <c r="I28"/>
    </row>
    <row r="29" spans="2:9">
      <c r="B29" s="75">
        <f t="shared" ca="1" si="0"/>
        <v>2029</v>
      </c>
      <c r="C29" s="12">
        <f ca="1">IF(VLOOKUP(B29,'Table 4'!$B$11:$K$41,9,FALSE)&lt;&gt;0,VLOOKUP(B29,'Table 4'!$B$11:$K$41,7,FALSE),0)*$I$8</f>
        <v>156.56</v>
      </c>
      <c r="D29" s="12" t="str">
        <f t="shared" ca="1" si="1"/>
        <v/>
      </c>
      <c r="E29" s="12">
        <f ca="1">'Table 2'!C28</f>
        <v>45.085953684269406</v>
      </c>
      <c r="F29" s="126"/>
      <c r="G29" s="49">
        <f t="shared" ca="1" si="2"/>
        <v>66.11</v>
      </c>
      <c r="H29" s="125"/>
      <c r="I29"/>
    </row>
    <row r="30" spans="2:9">
      <c r="B30" s="75">
        <f t="shared" ca="1" si="0"/>
        <v>2030</v>
      </c>
      <c r="C30" s="12">
        <f ca="1">IF(VLOOKUP(B30,'Table 4'!$B$11:$K$41,9,FALSE)&lt;&gt;0,VLOOKUP(B30,'Table 4'!$B$11:$K$41,7,FALSE),0)*$I$8</f>
        <v>159.53</v>
      </c>
      <c r="D30" s="12" t="str">
        <f t="shared" ca="1" si="1"/>
        <v/>
      </c>
      <c r="E30" s="12">
        <f ca="1">'Table 2'!C29</f>
        <v>45.540776364657304</v>
      </c>
      <c r="F30" s="126"/>
      <c r="G30" s="49">
        <f t="shared" ca="1" si="2"/>
        <v>66.97</v>
      </c>
      <c r="H30" s="125"/>
      <c r="I30"/>
    </row>
    <row r="31" spans="2:9">
      <c r="B31" s="75">
        <f t="shared" ca="1" si="0"/>
        <v>2031</v>
      </c>
      <c r="C31" s="12">
        <f ca="1">IF(VLOOKUP(B31,'Table 4'!$B$11:$K$41,9,FALSE)&lt;&gt;0,VLOOKUP(B31,'Table 4'!$B$11:$K$41,7,FALSE),0)*$I$8</f>
        <v>162.72999999999999</v>
      </c>
      <c r="D31" s="12" t="str">
        <f t="shared" ca="1" si="1"/>
        <v/>
      </c>
      <c r="E31" s="12">
        <f ca="1">'Table 2'!C30</f>
        <v>46.954926739876356</v>
      </c>
      <c r="F31" s="126"/>
      <c r="G31" s="49">
        <f t="shared" ca="1" si="2"/>
        <v>68.81</v>
      </c>
      <c r="H31" s="125"/>
      <c r="I31"/>
    </row>
    <row r="32" spans="2:9">
      <c r="B32" s="76">
        <f t="shared" ca="1" si="0"/>
        <v>2032</v>
      </c>
      <c r="C32" s="21">
        <f ca="1">IF(VLOOKUP(B32,'Table 4'!$B$11:$K$41,9,FALSE)&lt;&gt;0,VLOOKUP(B32,'Table 4'!$B$11:$K$41,7,FALSE),0)*$I$8</f>
        <v>166</v>
      </c>
      <c r="D32" s="21" t="str">
        <f t="shared" ca="1" si="1"/>
        <v/>
      </c>
      <c r="E32" s="21">
        <f ca="1">'Table 2'!C31</f>
        <v>47.745060643568742</v>
      </c>
      <c r="F32" s="139"/>
      <c r="G32" s="50">
        <f t="shared" ca="1" si="2"/>
        <v>69.98</v>
      </c>
      <c r="H32" s="125"/>
      <c r="I32"/>
    </row>
    <row r="33" spans="2:9">
      <c r="D33" s="12"/>
      <c r="F33" s="126"/>
      <c r="H33" s="125"/>
      <c r="I33" s="145" t="s">
        <v>105</v>
      </c>
    </row>
    <row r="34" spans="2:9">
      <c r="B34" s="171" t="str">
        <f>"20-Year Levelized Prices (Nominal) @ "&amp;TEXT(I34,"0.000%")&amp;" Discount Rate (1) (3) "</f>
        <v xml:space="preserve">20-Year Levelized Prices (Nominal) @ 7.154% Discount Rate (1) (3) </v>
      </c>
      <c r="E34" s="8"/>
      <c r="I34" s="216">
        <v>7.1540000000000006E-2</v>
      </c>
    </row>
    <row r="35" spans="2:9">
      <c r="B35" s="142" t="s">
        <v>9</v>
      </c>
      <c r="C35" s="12">
        <f ca="1">-PMT(Discount_Rate,COUNT(C13:C32),NPV(Discount_Rate,C13:C32))</f>
        <v>38.163031611263207</v>
      </c>
      <c r="D35" s="12"/>
      <c r="H35" s="125"/>
    </row>
    <row r="36" spans="2:9">
      <c r="B36" s="143" t="s">
        <v>62</v>
      </c>
      <c r="E36" s="12">
        <f ca="1">PMT(Discount_Rate,COUNT(E13:E32),-NPV(Discount_Rate,E13:E32))</f>
        <v>39.107338459252027</v>
      </c>
      <c r="G36" s="215">
        <f ca="1">PMT(Discount_Rate,COUNT(G13:G32),-NPV(Discount_Rate,G13:G32))</f>
        <v>44.229963375517443</v>
      </c>
      <c r="H36" s="125"/>
    </row>
    <row r="37" spans="2:9">
      <c r="F37" s="127"/>
      <c r="H37" s="125"/>
    </row>
    <row r="38" spans="2:9">
      <c r="B38" s="6" t="s">
        <v>34</v>
      </c>
      <c r="E38" s="127"/>
      <c r="G38" s="127"/>
      <c r="H38" s="125"/>
    </row>
    <row r="39" spans="2:9">
      <c r="B39" s="44" t="s">
        <v>104</v>
      </c>
      <c r="E39" s="125"/>
      <c r="F39" s="127"/>
      <c r="G39" s="125"/>
      <c r="H39" s="125"/>
    </row>
    <row r="40" spans="2:9">
      <c r="B40" s="6" t="s">
        <v>106</v>
      </c>
      <c r="F40" s="127"/>
      <c r="H40" s="125"/>
    </row>
    <row r="41" spans="2:9">
      <c r="B41" s="6" t="str">
        <f ca="1">"(3)   20 Year NPC is "&amp;TEXT(B13,"???0")&amp;" - "&amp;TEXT(B32,"???0")</f>
        <v>(3)   20 Year NPC is 2013 - 2032</v>
      </c>
    </row>
    <row r="42" spans="2:9">
      <c r="B42" s="19" t="str">
        <f ca="1">"(4)  Capacity payment are from "&amp;'Table 4'!C54</f>
        <v xml:space="preserve">(4)  Capacity payment are from 2025 CCCT (423 MW "J" 1x1) </v>
      </c>
      <c r="F42" s="125"/>
    </row>
    <row r="43" spans="2:9">
      <c r="B43" s="19" t="s">
        <v>111</v>
      </c>
      <c r="C43" s="10"/>
      <c r="D43" s="10"/>
      <c r="E43" s="10"/>
      <c r="G43" s="10"/>
    </row>
    <row r="44" spans="2:9">
      <c r="B44" s="19"/>
    </row>
    <row r="45" spans="2:9">
      <c r="B45" s="148" t="str">
        <f>IF(I8&lt;&gt;1,"(6) Capacity Payment is adjusted by "&amp;TEXT(I8,"0.0%")&amp;" Capacity Contribution.","")</f>
        <v/>
      </c>
    </row>
    <row r="46" spans="2:9">
      <c r="F46" s="10"/>
    </row>
  </sheetData>
  <phoneticPr fontId="6" type="noConversion"/>
  <printOptions horizontalCentered="1"/>
  <pageMargins left="0.8" right="0.3" top="0.4" bottom="0.4" header="0.5" footer="0.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B1:Q52"/>
  <sheetViews>
    <sheetView tabSelected="1" zoomScaleNormal="100" zoomScaleSheetLayoutView="85" workbookViewId="0"/>
  </sheetViews>
  <sheetFormatPr defaultRowHeight="12.75"/>
  <cols>
    <col min="1" max="1" width="2.83203125" style="6" customWidth="1"/>
    <col min="2" max="2" width="7" style="6" customWidth="1"/>
    <col min="3" max="12" width="9.33203125" style="6"/>
    <col min="13" max="13" width="9.33203125" style="8"/>
    <col min="14" max="15" width="9.33203125" style="6"/>
    <col min="16" max="16" width="1.6640625" style="6" customWidth="1"/>
    <col min="17" max="17" width="14.83203125" style="6" customWidth="1"/>
    <col min="18" max="16384" width="9.33203125" style="6"/>
  </cols>
  <sheetData>
    <row r="1" spans="2:17" s="14" customFormat="1" ht="15.75">
      <c r="B1" s="1" t="s">
        <v>76</v>
      </c>
      <c r="C1" s="1"/>
      <c r="D1" s="1"/>
      <c r="E1" s="1"/>
      <c r="F1" s="1"/>
      <c r="G1" s="17"/>
      <c r="H1" s="1"/>
      <c r="I1" s="1"/>
      <c r="J1" s="1"/>
      <c r="K1" s="1"/>
      <c r="L1" s="22"/>
      <c r="M1" s="23"/>
      <c r="N1" s="23"/>
      <c r="O1" s="23"/>
      <c r="P1" s="23"/>
      <c r="Q1" s="23"/>
    </row>
    <row r="2" spans="2:17" s="14" customFormat="1" ht="15.75">
      <c r="B2" s="1"/>
      <c r="C2" s="1"/>
      <c r="D2" s="1"/>
      <c r="E2" s="1"/>
      <c r="F2" s="1"/>
      <c r="G2" s="17"/>
      <c r="H2" s="1"/>
      <c r="I2" s="1"/>
      <c r="J2" s="1"/>
      <c r="K2" s="1"/>
      <c r="L2" s="22"/>
      <c r="M2" s="23"/>
      <c r="N2" s="23"/>
      <c r="O2" s="23"/>
      <c r="P2" s="23"/>
      <c r="Q2" s="23"/>
    </row>
    <row r="3" spans="2:17" s="14" customFormat="1" ht="15.75">
      <c r="B3" s="1" t="str">
        <f ca="1">"Table "&amp;RIGHT('Table 1'!B3,1)+1</f>
        <v>Table 2</v>
      </c>
      <c r="C3" s="1"/>
      <c r="D3" s="1"/>
      <c r="E3" s="1"/>
      <c r="F3" s="1"/>
      <c r="G3" s="17"/>
      <c r="H3" s="1"/>
      <c r="I3" s="1"/>
      <c r="J3" s="1"/>
      <c r="K3" s="1"/>
      <c r="L3" s="22"/>
      <c r="M3" s="23"/>
      <c r="N3" s="23"/>
      <c r="O3" s="23"/>
      <c r="P3" s="23"/>
      <c r="Q3" s="23"/>
    </row>
    <row r="4" spans="2:17" s="18" customFormat="1" ht="15">
      <c r="B4" s="7" t="s">
        <v>63</v>
      </c>
      <c r="C4" s="7"/>
      <c r="D4" s="7"/>
      <c r="E4" s="7"/>
      <c r="F4" s="7"/>
      <c r="G4" s="7"/>
      <c r="H4" s="7"/>
      <c r="I4" s="7"/>
      <c r="J4" s="7"/>
      <c r="K4" s="7"/>
      <c r="L4" s="7"/>
      <c r="M4" s="24"/>
      <c r="N4" s="24"/>
      <c r="O4" s="24"/>
      <c r="P4" s="24"/>
      <c r="Q4" s="24"/>
    </row>
    <row r="5" spans="2:17" s="18" customFormat="1" ht="15">
      <c r="B5" s="7" t="str">
        <f ca="1">'Table 1'!$B$5</f>
        <v>Utah Compliance Filing - 2012.Q4 - 100.0 MW and 85.0% CF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s="18" customFormat="1" ht="15">
      <c r="B6" s="7" t="str">
        <f ca="1">'Table 1'!$B$6</f>
        <v xml:space="preserve">Partial Displacement of East Side 423 MW  CCCT (Type "J" 1x1) </v>
      </c>
      <c r="C6" s="7"/>
      <c r="D6" s="7"/>
      <c r="E6" s="7"/>
      <c r="F6" s="7"/>
      <c r="G6" s="7"/>
      <c r="H6" s="7"/>
      <c r="I6" s="7"/>
      <c r="J6" s="7"/>
      <c r="K6" s="7"/>
      <c r="L6" s="7"/>
      <c r="M6" s="24"/>
      <c r="N6" s="24"/>
      <c r="O6" s="24"/>
      <c r="P6" s="24"/>
      <c r="Q6" s="24"/>
    </row>
    <row r="7" spans="2:17" s="3" customFormat="1">
      <c r="D7" s="32"/>
      <c r="E7" s="32"/>
      <c r="F7" s="32"/>
      <c r="G7" s="13"/>
      <c r="H7" s="13"/>
      <c r="I7" s="13"/>
      <c r="J7" s="13"/>
      <c r="K7" s="13"/>
      <c r="L7" s="13"/>
      <c r="M7" s="25"/>
    </row>
    <row r="8" spans="2:17" s="3" customFormat="1">
      <c r="B8" s="37" t="s">
        <v>0</v>
      </c>
      <c r="C8" s="37"/>
      <c r="D8" s="34" t="s">
        <v>29</v>
      </c>
      <c r="E8" s="39"/>
      <c r="F8" s="39"/>
      <c r="G8" s="34"/>
      <c r="H8" s="34"/>
      <c r="I8" s="29" t="s">
        <v>30</v>
      </c>
      <c r="J8" s="33"/>
      <c r="K8" s="33"/>
      <c r="L8" s="28"/>
      <c r="M8" s="35" t="s">
        <v>29</v>
      </c>
      <c r="N8" s="43"/>
      <c r="O8" s="36"/>
      <c r="Q8" s="30" t="s">
        <v>46</v>
      </c>
    </row>
    <row r="9" spans="2:17" s="3" customFormat="1">
      <c r="B9" s="38"/>
      <c r="C9" s="38" t="s">
        <v>40</v>
      </c>
      <c r="D9" s="40" t="s">
        <v>17</v>
      </c>
      <c r="E9" s="41" t="s">
        <v>18</v>
      </c>
      <c r="F9" s="41" t="s">
        <v>19</v>
      </c>
      <c r="G9" s="41" t="s">
        <v>20</v>
      </c>
      <c r="H9" s="42" t="s">
        <v>21</v>
      </c>
      <c r="I9" s="4" t="s">
        <v>22</v>
      </c>
      <c r="J9" s="4" t="s">
        <v>23</v>
      </c>
      <c r="K9" s="4" t="s">
        <v>24</v>
      </c>
      <c r="L9" s="4" t="s">
        <v>25</v>
      </c>
      <c r="M9" s="40" t="s">
        <v>26</v>
      </c>
      <c r="N9" s="41" t="s">
        <v>27</v>
      </c>
      <c r="O9" s="42" t="s">
        <v>28</v>
      </c>
      <c r="Q9" s="31" t="s">
        <v>1</v>
      </c>
    </row>
    <row r="10" spans="2:17" ht="12.75" customHeight="1">
      <c r="B10" s="9"/>
      <c r="C10" s="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8"/>
    </row>
    <row r="11" spans="2:17" ht="12.75" customHeight="1">
      <c r="B11" s="20" t="s">
        <v>45</v>
      </c>
      <c r="C11" s="20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8"/>
      <c r="Q11" s="9"/>
    </row>
    <row r="12" spans="2:17" ht="12.75" customHeight="1">
      <c r="B12" s="74">
        <v>2013</v>
      </c>
      <c r="C12" s="73">
        <v>28.096776648086468</v>
      </c>
      <c r="D12" s="11">
        <v>28.389579854954853</v>
      </c>
      <c r="E12" s="11">
        <v>28.164886025614848</v>
      </c>
      <c r="F12" s="11">
        <v>26.480054036982398</v>
      </c>
      <c r="G12" s="11">
        <v>23.979770364409518</v>
      </c>
      <c r="H12" s="48">
        <v>22.373722012410532</v>
      </c>
      <c r="I12" s="59">
        <v>21.836152205943964</v>
      </c>
      <c r="J12" s="11">
        <v>33.62058259041757</v>
      </c>
      <c r="K12" s="11">
        <v>33.414927012152418</v>
      </c>
      <c r="L12" s="48">
        <v>31.640794113436165</v>
      </c>
      <c r="M12" s="59">
        <v>28.436097360838257</v>
      </c>
      <c r="N12" s="11">
        <v>30.222774407742364</v>
      </c>
      <c r="O12" s="48">
        <v>28.456712457670783</v>
      </c>
      <c r="Q12" s="60">
        <f ca="1">VLOOKUP(B12,'Table 4'!$B$11:$K$41,9,FALSE)</f>
        <v>0</v>
      </c>
    </row>
    <row r="13" spans="2:17" ht="12.75" customHeight="1">
      <c r="B13" s="75">
        <f>B12+1</f>
        <v>2014</v>
      </c>
      <c r="C13" s="77">
        <v>28.335574632810388</v>
      </c>
      <c r="D13" s="12">
        <v>29.162424662114745</v>
      </c>
      <c r="E13" s="12">
        <v>32.786649933027455</v>
      </c>
      <c r="F13" s="12">
        <v>29.680231777656349</v>
      </c>
      <c r="G13" s="12">
        <v>26.396746431622972</v>
      </c>
      <c r="H13" s="49">
        <v>25.170431979268479</v>
      </c>
      <c r="I13" s="58">
        <v>22.836809749440626</v>
      </c>
      <c r="J13" s="12">
        <v>35.491324021114458</v>
      </c>
      <c r="K13" s="12">
        <v>35.527755638782189</v>
      </c>
      <c r="L13" s="49">
        <v>33.980639069370831</v>
      </c>
      <c r="M13" s="58">
        <v>26.293453605609706</v>
      </c>
      <c r="N13" s="12">
        <v>22.704373275215914</v>
      </c>
      <c r="O13" s="49">
        <v>20.187329511631429</v>
      </c>
      <c r="Q13" s="57">
        <f ca="1">VLOOKUP(B13,'Table 4'!$B$11:$K$41,9,FALSE)</f>
        <v>0</v>
      </c>
    </row>
    <row r="14" spans="2:17" ht="12.75" customHeight="1">
      <c r="B14" s="75">
        <f t="shared" ref="B14:B31" si="0">B13+1</f>
        <v>2015</v>
      </c>
      <c r="C14" s="77">
        <v>30.223283867662772</v>
      </c>
      <c r="D14" s="12">
        <v>26.921588940710858</v>
      </c>
      <c r="E14" s="12">
        <v>27.356639852540447</v>
      </c>
      <c r="F14" s="12">
        <v>30.271540531025497</v>
      </c>
      <c r="G14" s="12">
        <v>28.378784574291675</v>
      </c>
      <c r="H14" s="49">
        <v>25.499158948102636</v>
      </c>
      <c r="I14" s="58">
        <v>25.279383216652459</v>
      </c>
      <c r="J14" s="12">
        <v>39.698628960202512</v>
      </c>
      <c r="K14" s="12">
        <v>40.802294988335973</v>
      </c>
      <c r="L14" s="49">
        <v>39.381913612379748</v>
      </c>
      <c r="M14" s="58">
        <v>30.626521690994746</v>
      </c>
      <c r="N14" s="12">
        <v>23.988859388093204</v>
      </c>
      <c r="O14" s="49">
        <v>24.072023104599651</v>
      </c>
      <c r="Q14" s="57">
        <f ca="1">VLOOKUP(B14,'Table 4'!$B$11:$K$41,9,FALSE)</f>
        <v>0</v>
      </c>
    </row>
    <row r="15" spans="2:17" ht="12.75" customHeight="1">
      <c r="B15" s="75">
        <f t="shared" si="0"/>
        <v>2016</v>
      </c>
      <c r="C15" s="77">
        <v>31.232666734088646</v>
      </c>
      <c r="D15" s="12">
        <v>27.124672767730367</v>
      </c>
      <c r="E15" s="12">
        <v>29.736449166964626</v>
      </c>
      <c r="F15" s="12">
        <v>33.521299861088998</v>
      </c>
      <c r="G15" s="12">
        <v>29.235750911968207</v>
      </c>
      <c r="H15" s="49">
        <v>27.303184417978986</v>
      </c>
      <c r="I15" s="58">
        <v>26.624704650296202</v>
      </c>
      <c r="J15" s="12">
        <v>41.642419584503116</v>
      </c>
      <c r="K15" s="12">
        <v>43.681816364600451</v>
      </c>
      <c r="L15" s="49">
        <v>41.375189616782649</v>
      </c>
      <c r="M15" s="58">
        <v>29.530871235653709</v>
      </c>
      <c r="N15" s="12">
        <v>24.281012104518371</v>
      </c>
      <c r="O15" s="49">
        <v>20.527970617723277</v>
      </c>
      <c r="Q15" s="57">
        <f ca="1">VLOOKUP(B15,'Table 4'!$B$11:$K$41,9,FALSE)</f>
        <v>0</v>
      </c>
    </row>
    <row r="16" spans="2:17" ht="12.75" customHeight="1">
      <c r="B16" s="75">
        <f t="shared" si="0"/>
        <v>2017</v>
      </c>
      <c r="C16" s="77">
        <v>32.348508213364944</v>
      </c>
      <c r="D16" s="12">
        <v>27.374947638777634</v>
      </c>
      <c r="E16" s="12">
        <v>25.226303167359418</v>
      </c>
      <c r="F16" s="12">
        <v>32.764952459712006</v>
      </c>
      <c r="G16" s="12">
        <v>30.993008291043974</v>
      </c>
      <c r="H16" s="49">
        <v>29.081639566081165</v>
      </c>
      <c r="I16" s="58">
        <v>29.217674286939886</v>
      </c>
      <c r="J16" s="12">
        <v>43.507733902459577</v>
      </c>
      <c r="K16" s="12">
        <v>45.916013433756916</v>
      </c>
      <c r="L16" s="49">
        <v>43.334181114280341</v>
      </c>
      <c r="M16" s="58">
        <v>32.232573466202282</v>
      </c>
      <c r="N16" s="12">
        <v>26.166393568516508</v>
      </c>
      <c r="O16" s="49">
        <v>21.687665061038139</v>
      </c>
      <c r="Q16" s="57">
        <f ca="1">VLOOKUP(B16,'Table 4'!$B$11:$K$41,9,FALSE)</f>
        <v>0</v>
      </c>
    </row>
    <row r="17" spans="2:17" ht="12.75" customHeight="1">
      <c r="B17" s="75">
        <f t="shared" si="0"/>
        <v>2018</v>
      </c>
      <c r="C17" s="77">
        <v>34.688357987059341</v>
      </c>
      <c r="D17" s="12">
        <v>28.608707459485377</v>
      </c>
      <c r="E17" s="12">
        <v>29.040951202590154</v>
      </c>
      <c r="F17" s="12">
        <v>35.080862227141161</v>
      </c>
      <c r="G17" s="12">
        <v>33.055498430065178</v>
      </c>
      <c r="H17" s="49">
        <v>30.968074039690041</v>
      </c>
      <c r="I17" s="58">
        <v>30.810560683660647</v>
      </c>
      <c r="J17" s="12">
        <v>46.840041812776974</v>
      </c>
      <c r="K17" s="12">
        <v>49.062053981814991</v>
      </c>
      <c r="L17" s="49">
        <v>45.760673778594708</v>
      </c>
      <c r="M17" s="58">
        <v>34.466958301391863</v>
      </c>
      <c r="N17" s="12">
        <v>27.464382580065113</v>
      </c>
      <c r="O17" s="49">
        <v>24.501384998102079</v>
      </c>
      <c r="Q17" s="57">
        <f ca="1">VLOOKUP(B17,'Table 4'!$B$11:$K$41,9,FALSE)</f>
        <v>0</v>
      </c>
    </row>
    <row r="18" spans="2:17" ht="12.75" customHeight="1">
      <c r="B18" s="75">
        <f t="shared" si="0"/>
        <v>2019</v>
      </c>
      <c r="C18" s="77">
        <v>38.983563233991163</v>
      </c>
      <c r="D18" s="12">
        <v>32.462883003005153</v>
      </c>
      <c r="E18" s="12">
        <v>34.916275909314514</v>
      </c>
      <c r="F18" s="12">
        <v>38.126848419986615</v>
      </c>
      <c r="G18" s="12">
        <v>34.955702303758052</v>
      </c>
      <c r="H18" s="49">
        <v>34.937107809297956</v>
      </c>
      <c r="I18" s="58">
        <v>35.819426183985925</v>
      </c>
      <c r="J18" s="12">
        <v>54.323539737507858</v>
      </c>
      <c r="K18" s="12">
        <v>56.216940558349251</v>
      </c>
      <c r="L18" s="49">
        <v>49.326066916666775</v>
      </c>
      <c r="M18" s="58">
        <v>38.494096808507329</v>
      </c>
      <c r="N18" s="12">
        <v>31.292648340522806</v>
      </c>
      <c r="O18" s="49">
        <v>26.391149553605683</v>
      </c>
      <c r="Q18" s="57">
        <f ca="1">VLOOKUP(B18,'Table 4'!$B$11:$K$41,9,FALSE)</f>
        <v>0</v>
      </c>
    </row>
    <row r="19" spans="2:17" ht="12.75" customHeight="1">
      <c r="B19" s="75">
        <f t="shared" si="0"/>
        <v>2020</v>
      </c>
      <c r="C19" s="77">
        <v>43.022559197270176</v>
      </c>
      <c r="D19" s="12">
        <v>35.088241437855565</v>
      </c>
      <c r="E19" s="12">
        <v>38.358960054260685</v>
      </c>
      <c r="F19" s="12">
        <v>41.683660391840206</v>
      </c>
      <c r="G19" s="12">
        <v>39.638722028105086</v>
      </c>
      <c r="H19" s="49">
        <v>39.408066511385094</v>
      </c>
      <c r="I19" s="58">
        <v>39.136441346404986</v>
      </c>
      <c r="J19" s="12">
        <v>59.618553081593561</v>
      </c>
      <c r="K19" s="12">
        <v>60.435353640258633</v>
      </c>
      <c r="L19" s="49">
        <v>58.246758422385533</v>
      </c>
      <c r="M19" s="58">
        <v>41.718957175205567</v>
      </c>
      <c r="N19" s="12">
        <v>33.188210439869977</v>
      </c>
      <c r="O19" s="49">
        <v>29.387259940069303</v>
      </c>
      <c r="Q19" s="57">
        <f ca="1">VLOOKUP(B19,'Table 4'!$B$11:$K$41,9,FALSE)</f>
        <v>0</v>
      </c>
    </row>
    <row r="20" spans="2:17" ht="12.75" customHeight="1">
      <c r="B20" s="75">
        <f t="shared" si="0"/>
        <v>2021</v>
      </c>
      <c r="C20" s="77">
        <v>45.266593746051271</v>
      </c>
      <c r="D20" s="12">
        <v>38.792759859583597</v>
      </c>
      <c r="E20" s="12">
        <v>39.237646561099808</v>
      </c>
      <c r="F20" s="12">
        <v>45.628262978494355</v>
      </c>
      <c r="G20" s="12">
        <v>40.375433124346671</v>
      </c>
      <c r="H20" s="49">
        <v>42.994002930582475</v>
      </c>
      <c r="I20" s="58">
        <v>40.507922327778502</v>
      </c>
      <c r="J20" s="12">
        <v>57.695604500948328</v>
      </c>
      <c r="K20" s="12">
        <v>57.015629249999677</v>
      </c>
      <c r="L20" s="49">
        <v>54.13821057957469</v>
      </c>
      <c r="M20" s="58">
        <v>46.240423160815901</v>
      </c>
      <c r="N20" s="12">
        <v>40.728523598529542</v>
      </c>
      <c r="O20" s="49">
        <v>39.089766503162188</v>
      </c>
      <c r="Q20" s="57">
        <f ca="1">VLOOKUP(B20,'Table 4'!$B$11:$K$41,9,FALSE)</f>
        <v>0</v>
      </c>
    </row>
    <row r="21" spans="2:17" ht="12.75" customHeight="1">
      <c r="B21" s="75">
        <f t="shared" si="0"/>
        <v>2022</v>
      </c>
      <c r="C21" s="78">
        <v>52.232070130003159</v>
      </c>
      <c r="D21" s="12">
        <v>49.389647890892704</v>
      </c>
      <c r="E21" s="12">
        <v>50.34103526803208</v>
      </c>
      <c r="F21" s="12">
        <v>48.555415889785721</v>
      </c>
      <c r="G21" s="12">
        <v>47.813475646078587</v>
      </c>
      <c r="H21" s="49">
        <v>48.414682880138706</v>
      </c>
      <c r="I21" s="58">
        <v>47.656248001797621</v>
      </c>
      <c r="J21" s="12">
        <v>60.722700232131658</v>
      </c>
      <c r="K21" s="12">
        <v>61.474562565938989</v>
      </c>
      <c r="L21" s="49">
        <v>60.195176768790859</v>
      </c>
      <c r="M21" s="58">
        <v>52.831979054712576</v>
      </c>
      <c r="N21" s="12">
        <v>51.989091630555642</v>
      </c>
      <c r="O21" s="49">
        <v>47.176716277672476</v>
      </c>
      <c r="Q21" s="57">
        <f ca="1">VLOOKUP(B21,'Table 4'!$B$11:$K$41,9,FALSE)</f>
        <v>0</v>
      </c>
    </row>
    <row r="22" spans="2:17" ht="12.75" customHeight="1">
      <c r="B22" s="113">
        <f t="shared" si="0"/>
        <v>2023</v>
      </c>
      <c r="C22" s="77">
        <v>55.962016578660737</v>
      </c>
      <c r="D22" s="11">
        <v>51.575646211891176</v>
      </c>
      <c r="E22" s="11">
        <v>52.735873331757738</v>
      </c>
      <c r="F22" s="11">
        <v>52.211073911290882</v>
      </c>
      <c r="G22" s="11">
        <v>51.026081763235666</v>
      </c>
      <c r="H22" s="48">
        <v>51.28312533111945</v>
      </c>
      <c r="I22" s="59">
        <v>50.596059641012666</v>
      </c>
      <c r="J22" s="11">
        <v>66.608606365908372</v>
      </c>
      <c r="K22" s="11">
        <v>68.000789000000154</v>
      </c>
      <c r="L22" s="48">
        <v>67.107314512745234</v>
      </c>
      <c r="M22" s="59">
        <v>54.943805539056633</v>
      </c>
      <c r="N22" s="11">
        <v>54.44888307434671</v>
      </c>
      <c r="O22" s="48">
        <v>50.673128743358497</v>
      </c>
      <c r="Q22" s="60">
        <f ca="1">VLOOKUP(B22,'Table 4'!$B$11:$K$41,9,FALSE)</f>
        <v>0</v>
      </c>
    </row>
    <row r="23" spans="2:17" ht="12.75" customHeight="1">
      <c r="B23" s="75">
        <f t="shared" si="0"/>
        <v>2024</v>
      </c>
      <c r="C23" s="77">
        <v>58.827222294131047</v>
      </c>
      <c r="D23" s="12">
        <v>56.885594982605319</v>
      </c>
      <c r="E23" s="12">
        <v>58.295823289215704</v>
      </c>
      <c r="F23" s="12">
        <v>54.782008507432138</v>
      </c>
      <c r="G23" s="12">
        <v>50.306067329410929</v>
      </c>
      <c r="H23" s="49">
        <v>52.356551062776589</v>
      </c>
      <c r="I23" s="58">
        <v>52.382335470260848</v>
      </c>
      <c r="J23" s="12">
        <v>68.991745072739889</v>
      </c>
      <c r="K23" s="12">
        <v>70.953570909551203</v>
      </c>
      <c r="L23" s="49">
        <v>69.531984199020116</v>
      </c>
      <c r="M23" s="58">
        <v>58.069472175521291</v>
      </c>
      <c r="N23" s="12">
        <v>57.924795326797501</v>
      </c>
      <c r="O23" s="49">
        <v>55.245864208728776</v>
      </c>
      <c r="Q23" s="57">
        <f ca="1">VLOOKUP(B23,'Table 4'!$B$11:$K$41,9,FALSE)</f>
        <v>0</v>
      </c>
    </row>
    <row r="24" spans="2:17" ht="12.75" customHeight="1">
      <c r="B24" s="75">
        <f t="shared" si="0"/>
        <v>2025</v>
      </c>
      <c r="C24" s="77">
        <v>38.907271009603882</v>
      </c>
      <c r="D24" s="12">
        <v>38.564453396584739</v>
      </c>
      <c r="E24" s="12">
        <v>39.266599507352304</v>
      </c>
      <c r="F24" s="12">
        <v>38.476182333807884</v>
      </c>
      <c r="G24" s="12">
        <v>37.439318111765814</v>
      </c>
      <c r="H24" s="49">
        <v>37.603518589184034</v>
      </c>
      <c r="I24" s="58">
        <v>37.693164769706186</v>
      </c>
      <c r="J24" s="12">
        <v>38.591614127925851</v>
      </c>
      <c r="K24" s="12">
        <v>38.491274051549198</v>
      </c>
      <c r="L24" s="49">
        <v>39.652734145343402</v>
      </c>
      <c r="M24" s="58">
        <v>38.527569705882193</v>
      </c>
      <c r="N24" s="12">
        <v>40.399164449345633</v>
      </c>
      <c r="O24" s="49">
        <v>42.20208740844371</v>
      </c>
      <c r="Q24" s="57">
        <f ca="1">VLOOKUP(B24,'Table 4'!$B$11:$K$41,9,FALSE)</f>
        <v>41.46</v>
      </c>
    </row>
    <row r="25" spans="2:17" ht="12.75" customHeight="1">
      <c r="B25" s="75">
        <f t="shared" si="0"/>
        <v>2026</v>
      </c>
      <c r="C25" s="77">
        <v>42.47908182725066</v>
      </c>
      <c r="D25" s="12">
        <v>41.20258805597652</v>
      </c>
      <c r="E25" s="12">
        <v>42.539614416946883</v>
      </c>
      <c r="F25" s="12">
        <v>48.418452204775669</v>
      </c>
      <c r="G25" s="12">
        <v>42.849628248202549</v>
      </c>
      <c r="H25" s="49">
        <v>41.117977765812327</v>
      </c>
      <c r="I25" s="58">
        <v>40.861948657761893</v>
      </c>
      <c r="J25" s="12">
        <v>41.765148015653949</v>
      </c>
      <c r="K25" s="12">
        <v>41.971005796964867</v>
      </c>
      <c r="L25" s="49">
        <v>42.74626011307187</v>
      </c>
      <c r="M25" s="58">
        <v>41.364411663502963</v>
      </c>
      <c r="N25" s="12">
        <v>41.65632469738572</v>
      </c>
      <c r="O25" s="49">
        <v>43.203345909550229</v>
      </c>
      <c r="Q25" s="57">
        <f ca="1">VLOOKUP(B25,'Table 4'!$B$11:$K$41,9,FALSE)</f>
        <v>44.28</v>
      </c>
    </row>
    <row r="26" spans="2:17" ht="12.75" customHeight="1">
      <c r="B26" s="75">
        <f t="shared" si="0"/>
        <v>2027</v>
      </c>
      <c r="C26" s="77">
        <v>42.719201129403707</v>
      </c>
      <c r="D26" s="12">
        <v>41.805141573846527</v>
      </c>
      <c r="E26" s="12">
        <v>43.045181008403816</v>
      </c>
      <c r="F26" s="12">
        <v>49.538612600410289</v>
      </c>
      <c r="G26" s="12">
        <v>42.120739835949216</v>
      </c>
      <c r="H26" s="49">
        <v>41.255432980614117</v>
      </c>
      <c r="I26" s="58">
        <v>40.927734569346207</v>
      </c>
      <c r="J26" s="12">
        <v>42.142033300601575</v>
      </c>
      <c r="K26" s="12">
        <v>42.106482785768634</v>
      </c>
      <c r="L26" s="49">
        <v>42.77606271284273</v>
      </c>
      <c r="M26" s="58">
        <v>41.360723252846121</v>
      </c>
      <c r="N26" s="12">
        <v>42.009274202744457</v>
      </c>
      <c r="O26" s="49">
        <v>43.476380098514035</v>
      </c>
      <c r="Q26" s="57">
        <f ca="1">VLOOKUP(B26,'Table 4'!$B$11:$K$41,9,FALSE)</f>
        <v>44.54</v>
      </c>
    </row>
    <row r="27" spans="2:17" ht="12.75" customHeight="1">
      <c r="B27" s="75">
        <f t="shared" si="0"/>
        <v>2028</v>
      </c>
      <c r="C27" s="77">
        <v>43.769112523005958</v>
      </c>
      <c r="D27" s="12">
        <v>43.189679493753687</v>
      </c>
      <c r="E27" s="12">
        <v>43.972206258180378</v>
      </c>
      <c r="F27" s="12">
        <v>51.825577009804334</v>
      </c>
      <c r="G27" s="12">
        <v>41.805047402615152</v>
      </c>
      <c r="H27" s="49">
        <v>42.478024434061709</v>
      </c>
      <c r="I27" s="58">
        <v>42.335713069378549</v>
      </c>
      <c r="J27" s="12">
        <v>43.152576445888997</v>
      </c>
      <c r="K27" s="12">
        <v>43.293818725174283</v>
      </c>
      <c r="L27" s="49">
        <v>44.11827128352877</v>
      </c>
      <c r="M27" s="58">
        <v>42.656580643295051</v>
      </c>
      <c r="N27" s="12">
        <v>42.267372930229101</v>
      </c>
      <c r="O27" s="49">
        <v>44.000809743516925</v>
      </c>
      <c r="Q27" s="57">
        <f ca="1">VLOOKUP(B27,'Table 4'!$B$11:$K$41,9,FALSE)</f>
        <v>45.26</v>
      </c>
    </row>
    <row r="28" spans="2:17" ht="12.75" customHeight="1">
      <c r="B28" s="75">
        <f t="shared" si="0"/>
        <v>2029</v>
      </c>
      <c r="C28" s="77">
        <v>45.085953684269406</v>
      </c>
      <c r="D28" s="12">
        <v>44.843029263282901</v>
      </c>
      <c r="E28" s="12">
        <v>45.534386689775211</v>
      </c>
      <c r="F28" s="12">
        <v>52.625108095825397</v>
      </c>
      <c r="G28" s="12">
        <v>43.460505993954499</v>
      </c>
      <c r="H28" s="49">
        <v>43.104143126691582</v>
      </c>
      <c r="I28" s="58">
        <v>43.844667025980314</v>
      </c>
      <c r="J28" s="12">
        <v>44.092105709520567</v>
      </c>
      <c r="K28" s="12">
        <v>44.465712456198752</v>
      </c>
      <c r="L28" s="49">
        <v>45.341122701389146</v>
      </c>
      <c r="M28" s="58">
        <v>43.820607000632258</v>
      </c>
      <c r="N28" s="12">
        <v>44.047458801308004</v>
      </c>
      <c r="O28" s="49">
        <v>45.778250211259561</v>
      </c>
      <c r="Q28" s="57">
        <f ca="1">VLOOKUP(B28,'Table 4'!$B$11:$K$41,9,FALSE)</f>
        <v>46.25</v>
      </c>
    </row>
    <row r="29" spans="2:17" ht="12.75" customHeight="1">
      <c r="B29" s="75">
        <f t="shared" si="0"/>
        <v>2030</v>
      </c>
      <c r="C29" s="77">
        <v>45.540776364657304</v>
      </c>
      <c r="D29" s="12">
        <v>45.363926322264319</v>
      </c>
      <c r="E29" s="12">
        <v>46.230967868242089</v>
      </c>
      <c r="F29" s="12">
        <v>52.81587064120869</v>
      </c>
      <c r="G29" s="12">
        <v>43.671637914084826</v>
      </c>
      <c r="H29" s="49">
        <v>43.595125559376697</v>
      </c>
      <c r="I29" s="58">
        <v>44.362101116993657</v>
      </c>
      <c r="J29" s="12">
        <v>44.84096879259949</v>
      </c>
      <c r="K29" s="12">
        <v>44.845743714010013</v>
      </c>
      <c r="L29" s="49">
        <v>46.249190944608522</v>
      </c>
      <c r="M29" s="58">
        <v>44.314749442124807</v>
      </c>
      <c r="N29" s="12">
        <v>44.290775802451023</v>
      </c>
      <c r="O29" s="49">
        <v>45.859263897612735</v>
      </c>
      <c r="Q29" s="57">
        <f ca="1">VLOOKUP(B29,'Table 4'!$B$11:$K$41,9,FALSE)</f>
        <v>46.71</v>
      </c>
    </row>
    <row r="30" spans="2:17" ht="12.75" customHeight="1">
      <c r="B30" s="75">
        <f t="shared" si="0"/>
        <v>2031</v>
      </c>
      <c r="C30" s="77">
        <v>46.954926739876356</v>
      </c>
      <c r="D30" s="12">
        <v>45.937068895002206</v>
      </c>
      <c r="E30" s="12">
        <v>46.850272436624167</v>
      </c>
      <c r="F30" s="12">
        <v>54.487735047785634</v>
      </c>
      <c r="G30" s="12">
        <v>44.876837272059198</v>
      </c>
      <c r="H30" s="49">
        <v>45.143152519133103</v>
      </c>
      <c r="I30" s="58">
        <v>45.766189365195586</v>
      </c>
      <c r="J30" s="12">
        <v>46.597151632985877</v>
      </c>
      <c r="K30" s="12">
        <v>46.349257674415526</v>
      </c>
      <c r="L30" s="49">
        <v>47.701976121895846</v>
      </c>
      <c r="M30" s="58">
        <v>45.959627340923923</v>
      </c>
      <c r="N30" s="12">
        <v>45.984041297548735</v>
      </c>
      <c r="O30" s="49">
        <v>47.683081410024116</v>
      </c>
      <c r="Q30" s="57">
        <f ca="1">VLOOKUP(B30,'Table 4'!$B$11:$K$41,9,FALSE)</f>
        <v>48.22</v>
      </c>
    </row>
    <row r="31" spans="2:17" ht="12.75" customHeight="1">
      <c r="B31" s="76">
        <f t="shared" si="0"/>
        <v>2032</v>
      </c>
      <c r="C31" s="78">
        <v>47.745060643568742</v>
      </c>
      <c r="D31" s="21">
        <v>46.612344614199586</v>
      </c>
      <c r="E31" s="21">
        <v>47.668153718660982</v>
      </c>
      <c r="F31" s="21">
        <v>54.141701908918556</v>
      </c>
      <c r="G31" s="21">
        <v>47.350815059804155</v>
      </c>
      <c r="H31" s="50">
        <v>46.162540968057478</v>
      </c>
      <c r="I31" s="114">
        <v>46.652850982842885</v>
      </c>
      <c r="J31" s="21">
        <v>47.172205676311826</v>
      </c>
      <c r="K31" s="21">
        <v>47.257459985137288</v>
      </c>
      <c r="L31" s="50">
        <v>47.839638427940066</v>
      </c>
      <c r="M31" s="114">
        <v>46.787602025237</v>
      </c>
      <c r="N31" s="21">
        <v>46.687105653921471</v>
      </c>
      <c r="O31" s="50">
        <v>48.524320111480279</v>
      </c>
      <c r="Q31" s="115">
        <f ca="1">VLOOKUP(B31,'Table 4'!$B$11:$K$41,9,FALSE)</f>
        <v>49.2</v>
      </c>
    </row>
    <row r="32" spans="2:17" ht="12.75" customHeight="1">
      <c r="D32" s="19"/>
      <c r="E32" s="19"/>
      <c r="F32" s="19"/>
      <c r="M32" s="27"/>
    </row>
    <row r="33" spans="2:6">
      <c r="B33" s="15"/>
      <c r="C33" s="6" t="s">
        <v>52</v>
      </c>
    </row>
    <row r="34" spans="2:6">
      <c r="C34" s="15"/>
    </row>
    <row r="36" spans="2:6" hidden="1">
      <c r="D36" s="9" t="s">
        <v>48</v>
      </c>
    </row>
    <row r="37" spans="2:6" hidden="1">
      <c r="C37" s="51"/>
      <c r="D37" s="61" t="s">
        <v>47</v>
      </c>
    </row>
    <row r="38" spans="2:6" hidden="1"/>
    <row r="39" spans="2:6" hidden="1"/>
    <row r="40" spans="2:6" hidden="1"/>
    <row r="41" spans="2:6" hidden="1"/>
    <row r="42" spans="2:6" hidden="1"/>
    <row r="43" spans="2:6" hidden="1">
      <c r="F43" s="81" t="s">
        <v>50</v>
      </c>
    </row>
    <row r="44" spans="2:6" hidden="1">
      <c r="F44" s="80">
        <v>1.9E-2</v>
      </c>
    </row>
    <row r="46" spans="2:6">
      <c r="C46" s="147"/>
    </row>
    <row r="47" spans="2:6">
      <c r="C47" s="147"/>
    </row>
    <row r="48" spans="2:6">
      <c r="C48" s="147"/>
    </row>
    <row r="49" spans="3:3">
      <c r="C49" s="147"/>
    </row>
    <row r="50" spans="3:3">
      <c r="C50" s="147"/>
    </row>
    <row r="51" spans="3:3">
      <c r="C51" s="147"/>
    </row>
    <row r="52" spans="3:3">
      <c r="C52" s="147"/>
    </row>
  </sheetData>
  <phoneticPr fontId="6" type="noConversion"/>
  <conditionalFormatting sqref="C17:O31">
    <cfRule type="cellIs" dxfId="1" priority="1" stopIfTrue="1" operator="equal">
      <formula>$Q17</formula>
    </cfRule>
  </conditionalFormatting>
  <printOptions horizontalCentered="1"/>
  <pageMargins left="0.8" right="0.3" top="0.4" bottom="0.4" header="0.5" footer="0.2"/>
  <pageSetup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B1:Q34"/>
  <sheetViews>
    <sheetView tabSelected="1" zoomScaleNormal="100" zoomScaleSheetLayoutView="85" workbookViewId="0"/>
  </sheetViews>
  <sheetFormatPr defaultRowHeight="12.75"/>
  <cols>
    <col min="1" max="1" width="2.83203125" style="6" customWidth="1"/>
    <col min="2" max="2" width="7" style="6" customWidth="1"/>
    <col min="3" max="12" width="9.33203125" style="6"/>
    <col min="13" max="13" width="9.33203125" style="8"/>
    <col min="14" max="15" width="9.33203125" style="6"/>
    <col min="16" max="16" width="1.6640625" style="6" customWidth="1"/>
    <col min="17" max="17" width="14.83203125" style="6" customWidth="1"/>
    <col min="18" max="16384" width="9.33203125" style="6"/>
  </cols>
  <sheetData>
    <row r="1" spans="2:17" s="14" customFormat="1" ht="15.75">
      <c r="B1" s="1" t="s">
        <v>76</v>
      </c>
      <c r="C1" s="1"/>
      <c r="D1" s="1"/>
      <c r="E1" s="1"/>
      <c r="F1" s="1"/>
      <c r="G1" s="17"/>
      <c r="H1" s="1"/>
      <c r="I1" s="1"/>
      <c r="J1" s="1"/>
      <c r="K1" s="1"/>
      <c r="L1" s="22"/>
      <c r="M1" s="23"/>
      <c r="N1" s="23"/>
      <c r="O1" s="23"/>
      <c r="P1" s="23"/>
      <c r="Q1" s="23"/>
    </row>
    <row r="2" spans="2:17" s="14" customFormat="1" ht="15.75">
      <c r="B2" s="1"/>
      <c r="C2" s="1"/>
      <c r="D2" s="1"/>
      <c r="E2" s="1"/>
      <c r="F2" s="1"/>
      <c r="G2" s="17"/>
      <c r="H2" s="1"/>
      <c r="I2" s="1"/>
      <c r="J2" s="1"/>
      <c r="K2" s="1"/>
      <c r="L2" s="22"/>
      <c r="M2" s="23"/>
      <c r="N2" s="23"/>
      <c r="O2" s="23"/>
      <c r="P2" s="23"/>
      <c r="Q2" s="23"/>
    </row>
    <row r="3" spans="2:17" s="14" customFormat="1" ht="15.75">
      <c r="B3" s="1" t="str">
        <f ca="1">"Table "&amp;RIGHT('Table 2'!B3,1)+1</f>
        <v>Table 3</v>
      </c>
      <c r="C3" s="1"/>
      <c r="D3" s="1"/>
      <c r="E3" s="1"/>
      <c r="F3" s="1"/>
      <c r="G3" s="17"/>
      <c r="H3" s="1"/>
      <c r="I3" s="1"/>
      <c r="J3" s="1"/>
      <c r="K3" s="1"/>
      <c r="L3" s="22"/>
      <c r="M3" s="23"/>
      <c r="N3" s="23"/>
      <c r="O3" s="23"/>
      <c r="P3" s="23"/>
      <c r="Q3" s="23"/>
    </row>
    <row r="4" spans="2:17" s="18" customFormat="1" ht="15">
      <c r="B4" s="7" t="s">
        <v>85</v>
      </c>
      <c r="C4" s="7"/>
      <c r="D4" s="7"/>
      <c r="E4" s="7"/>
      <c r="F4" s="7"/>
      <c r="G4" s="7"/>
      <c r="H4" s="7"/>
      <c r="I4" s="7"/>
      <c r="J4" s="7"/>
      <c r="K4" s="7"/>
      <c r="L4" s="7"/>
      <c r="M4" s="24"/>
      <c r="N4" s="24"/>
      <c r="O4" s="24"/>
      <c r="P4" s="24"/>
      <c r="Q4" s="24"/>
    </row>
    <row r="5" spans="2:17" s="18" customFormat="1" ht="15">
      <c r="B5" s="7" t="str">
        <f ca="1">'Table 1'!$B$5</f>
        <v>Utah Compliance Filing - 2012.Q4 - 100.0 MW and 85.0% CF</v>
      </c>
      <c r="C5" s="7"/>
      <c r="D5" s="7"/>
      <c r="E5" s="7"/>
      <c r="F5" s="7"/>
      <c r="G5" s="7"/>
      <c r="H5" s="7"/>
      <c r="I5" s="7"/>
      <c r="J5" s="7"/>
      <c r="K5" s="7"/>
      <c r="L5" s="7"/>
      <c r="M5" s="24"/>
      <c r="N5" s="24"/>
      <c r="O5" s="24"/>
      <c r="P5" s="24"/>
      <c r="Q5" s="24"/>
    </row>
    <row r="6" spans="2:17" s="18" customFormat="1" ht="15">
      <c r="B6" s="7" t="str">
        <f ca="1">'Table 1'!$B$6</f>
        <v xml:space="preserve">Partial Displacement of East Side 423 MW  CCCT (Type "J" 1x1) </v>
      </c>
      <c r="C6" s="7"/>
      <c r="D6" s="7"/>
      <c r="E6" s="7"/>
      <c r="F6" s="7"/>
      <c r="G6" s="7"/>
      <c r="H6" s="7"/>
      <c r="I6" s="7"/>
      <c r="J6" s="7"/>
      <c r="K6" s="7"/>
      <c r="L6" s="7"/>
      <c r="M6" s="24"/>
      <c r="N6" s="24"/>
      <c r="O6" s="24"/>
      <c r="P6" s="24"/>
      <c r="Q6" s="24"/>
    </row>
    <row r="7" spans="2:17">
      <c r="D7" s="16"/>
      <c r="E7" s="16"/>
      <c r="F7" s="16"/>
      <c r="G7" s="13"/>
      <c r="H7" s="13"/>
      <c r="I7" s="13"/>
      <c r="J7" s="13"/>
      <c r="K7" s="13"/>
      <c r="L7" s="13"/>
      <c r="M7" s="25"/>
    </row>
    <row r="8" spans="2:17">
      <c r="B8" s="62" t="s">
        <v>0</v>
      </c>
      <c r="C8" s="62"/>
      <c r="D8" s="63" t="s">
        <v>29</v>
      </c>
      <c r="E8" s="64"/>
      <c r="F8" s="64"/>
      <c r="G8" s="63"/>
      <c r="H8" s="63"/>
      <c r="I8" s="53" t="s">
        <v>30</v>
      </c>
      <c r="J8" s="52"/>
      <c r="K8" s="52"/>
      <c r="L8" s="65"/>
      <c r="M8" s="54" t="s">
        <v>29</v>
      </c>
      <c r="N8" s="55"/>
      <c r="O8" s="56"/>
      <c r="Q8" s="66" t="s">
        <v>46</v>
      </c>
    </row>
    <row r="9" spans="2:17">
      <c r="B9" s="67"/>
      <c r="C9" s="67" t="s">
        <v>40</v>
      </c>
      <c r="D9" s="68" t="s">
        <v>17</v>
      </c>
      <c r="E9" s="69" t="s">
        <v>18</v>
      </c>
      <c r="F9" s="69" t="s">
        <v>19</v>
      </c>
      <c r="G9" s="69" t="s">
        <v>20</v>
      </c>
      <c r="H9" s="70" t="s">
        <v>21</v>
      </c>
      <c r="I9" s="71" t="s">
        <v>22</v>
      </c>
      <c r="J9" s="71" t="s">
        <v>23</v>
      </c>
      <c r="K9" s="71" t="s">
        <v>24</v>
      </c>
      <c r="L9" s="71" t="s">
        <v>25</v>
      </c>
      <c r="M9" s="68" t="s">
        <v>26</v>
      </c>
      <c r="N9" s="69" t="s">
        <v>27</v>
      </c>
      <c r="O9" s="70" t="s">
        <v>28</v>
      </c>
      <c r="Q9" s="72" t="s">
        <v>1</v>
      </c>
    </row>
    <row r="10" spans="2:17" ht="12.75" customHeight="1">
      <c r="B10" s="9"/>
      <c r="C10" s="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8"/>
    </row>
    <row r="11" spans="2:17" ht="12.75" customHeight="1">
      <c r="B11" s="20" t="s">
        <v>45</v>
      </c>
      <c r="C11" s="20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8"/>
      <c r="Q11" s="9"/>
    </row>
    <row r="12" spans="2:17" ht="12.75" customHeight="1">
      <c r="B12" s="74">
        <f ca="1">'Table 2'!B12</f>
        <v>2013</v>
      </c>
      <c r="C12" s="73">
        <v>28.096776648086468</v>
      </c>
      <c r="D12" s="11">
        <f ca="1">IF($Q12&lt;&gt;0,MIN('Table 2'!D12,'Table 3'!$Q12),'Table 2'!D12)</f>
        <v>28.389579854954853</v>
      </c>
      <c r="E12" s="11">
        <f ca="1">IF($Q12&lt;&gt;0,MIN('Table 2'!E12,'Table 3'!$Q12),'Table 2'!E12)</f>
        <v>28.164886025614848</v>
      </c>
      <c r="F12" s="11">
        <f ca="1">IF($Q12&lt;&gt;0,MIN('Table 2'!F12,'Table 3'!$Q12),'Table 2'!F12)</f>
        <v>26.480054036982398</v>
      </c>
      <c r="G12" s="11">
        <f ca="1">IF($Q12&lt;&gt;0,MIN('Table 2'!G12,'Table 3'!$Q12),'Table 2'!G12)</f>
        <v>23.979770364409518</v>
      </c>
      <c r="H12" s="48">
        <f ca="1">IF($Q12&lt;&gt;0,MIN('Table 2'!H12,'Table 3'!$Q12),'Table 2'!H12)</f>
        <v>22.373722012410532</v>
      </c>
      <c r="I12" s="11">
        <f ca="1">IF($Q12&lt;&gt;0,MIN('Table 2'!I12,'Table 3'!$Q12),'Table 2'!I12)</f>
        <v>21.836152205943964</v>
      </c>
      <c r="J12" s="11">
        <f ca="1">IF($Q12&lt;&gt;0,MIN('Table 2'!J12,'Table 3'!$Q12),'Table 2'!J12)</f>
        <v>33.62058259041757</v>
      </c>
      <c r="K12" s="11">
        <f ca="1">IF($Q12&lt;&gt;0,MIN('Table 2'!K12,'Table 3'!$Q12),'Table 2'!K12)</f>
        <v>33.414927012152418</v>
      </c>
      <c r="L12" s="48">
        <f ca="1">IF($Q12&lt;&gt;0,MIN('Table 2'!L12,'Table 3'!$Q12),'Table 2'!L12)</f>
        <v>31.640794113436165</v>
      </c>
      <c r="M12" s="59">
        <f ca="1">IF($Q12&lt;&gt;0,MIN('Table 2'!M12,'Table 3'!$Q12),'Table 2'!M12)</f>
        <v>28.436097360838257</v>
      </c>
      <c r="N12" s="11">
        <f ca="1">IF($Q12&lt;&gt;0,MIN('Table 2'!N12,'Table 3'!$Q12),'Table 2'!N12)</f>
        <v>30.222774407742364</v>
      </c>
      <c r="O12" s="48">
        <f ca="1">IF($Q12&lt;&gt;0,MIN('Table 2'!O12,'Table 3'!$Q12),'Table 2'!O12)</f>
        <v>28.456712457670783</v>
      </c>
      <c r="Q12" s="60">
        <f ca="1">VLOOKUP(B12,'Table 4'!$B$11:$K$41,9,FALSE)</f>
        <v>0</v>
      </c>
    </row>
    <row r="13" spans="2:17" ht="12.75" customHeight="1">
      <c r="B13" s="75">
        <f t="shared" ref="B13:B31" ca="1" si="0">B12+1</f>
        <v>2014</v>
      </c>
      <c r="C13" s="77">
        <v>28.335574632810388</v>
      </c>
      <c r="D13" s="12">
        <f ca="1">IF($Q13&lt;&gt;0,MIN('Table 2'!D13,'Table 3'!$Q13),'Table 2'!D13)</f>
        <v>29.162424662114745</v>
      </c>
      <c r="E13" s="12">
        <f ca="1">IF($Q13&lt;&gt;0,MIN('Table 2'!E13,'Table 3'!$Q13),'Table 2'!E13)</f>
        <v>32.786649933027455</v>
      </c>
      <c r="F13" s="12">
        <f ca="1">IF($Q13&lt;&gt;0,MIN('Table 2'!F13,'Table 3'!$Q13),'Table 2'!F13)</f>
        <v>29.680231777656349</v>
      </c>
      <c r="G13" s="12">
        <f ca="1">IF($Q13&lt;&gt;0,MIN('Table 2'!G13,'Table 3'!$Q13),'Table 2'!G13)</f>
        <v>26.396746431622972</v>
      </c>
      <c r="H13" s="49">
        <f ca="1">IF($Q13&lt;&gt;0,MIN('Table 2'!H13,'Table 3'!$Q13),'Table 2'!H13)</f>
        <v>25.170431979268479</v>
      </c>
      <c r="I13" s="12">
        <f ca="1">IF($Q13&lt;&gt;0,MIN('Table 2'!I13,'Table 3'!$Q13),'Table 2'!I13)</f>
        <v>22.836809749440626</v>
      </c>
      <c r="J13" s="12">
        <f ca="1">IF($Q13&lt;&gt;0,MIN('Table 2'!J13,'Table 3'!$Q13),'Table 2'!J13)</f>
        <v>35.491324021114458</v>
      </c>
      <c r="K13" s="12">
        <f ca="1">IF($Q13&lt;&gt;0,MIN('Table 2'!K13,'Table 3'!$Q13),'Table 2'!K13)</f>
        <v>35.527755638782189</v>
      </c>
      <c r="L13" s="49">
        <f ca="1">IF($Q13&lt;&gt;0,MIN('Table 2'!L13,'Table 3'!$Q13),'Table 2'!L13)</f>
        <v>33.980639069370831</v>
      </c>
      <c r="M13" s="58">
        <f ca="1">IF($Q13&lt;&gt;0,MIN('Table 2'!M13,'Table 3'!$Q13),'Table 2'!M13)</f>
        <v>26.293453605609706</v>
      </c>
      <c r="N13" s="12">
        <f ca="1">IF($Q13&lt;&gt;0,MIN('Table 2'!N13,'Table 3'!$Q13),'Table 2'!N13)</f>
        <v>22.704373275215914</v>
      </c>
      <c r="O13" s="49">
        <f ca="1">IF($Q13&lt;&gt;0,MIN('Table 2'!O13,'Table 3'!$Q13),'Table 2'!O13)</f>
        <v>20.187329511631429</v>
      </c>
      <c r="Q13" s="57">
        <f ca="1">VLOOKUP(B13,'Table 4'!$B$11:$K$41,9,FALSE)</f>
        <v>0</v>
      </c>
    </row>
    <row r="14" spans="2:17" ht="12.75" customHeight="1">
      <c r="B14" s="75">
        <f t="shared" ca="1" si="0"/>
        <v>2015</v>
      </c>
      <c r="C14" s="77">
        <v>30.223283867662772</v>
      </c>
      <c r="D14" s="12">
        <f ca="1">IF($Q14&lt;&gt;0,MIN('Table 2'!D14,'Table 3'!$Q14),'Table 2'!D14)</f>
        <v>26.921588940710858</v>
      </c>
      <c r="E14" s="12">
        <f ca="1">IF($Q14&lt;&gt;0,MIN('Table 2'!E14,'Table 3'!$Q14),'Table 2'!E14)</f>
        <v>27.356639852540447</v>
      </c>
      <c r="F14" s="12">
        <f ca="1">IF($Q14&lt;&gt;0,MIN('Table 2'!F14,'Table 3'!$Q14),'Table 2'!F14)</f>
        <v>30.271540531025497</v>
      </c>
      <c r="G14" s="12">
        <f ca="1">IF($Q14&lt;&gt;0,MIN('Table 2'!G14,'Table 3'!$Q14),'Table 2'!G14)</f>
        <v>28.378784574291675</v>
      </c>
      <c r="H14" s="49">
        <f ca="1">IF($Q14&lt;&gt;0,MIN('Table 2'!H14,'Table 3'!$Q14),'Table 2'!H14)</f>
        <v>25.499158948102636</v>
      </c>
      <c r="I14" s="12">
        <f ca="1">IF($Q14&lt;&gt;0,MIN('Table 2'!I14,'Table 3'!$Q14),'Table 2'!I14)</f>
        <v>25.279383216652459</v>
      </c>
      <c r="J14" s="12">
        <f ca="1">IF($Q14&lt;&gt;0,MIN('Table 2'!J14,'Table 3'!$Q14),'Table 2'!J14)</f>
        <v>39.698628960202512</v>
      </c>
      <c r="K14" s="12">
        <f ca="1">IF($Q14&lt;&gt;0,MIN('Table 2'!K14,'Table 3'!$Q14),'Table 2'!K14)</f>
        <v>40.802294988335973</v>
      </c>
      <c r="L14" s="49">
        <f ca="1">IF($Q14&lt;&gt;0,MIN('Table 2'!L14,'Table 3'!$Q14),'Table 2'!L14)</f>
        <v>39.381913612379748</v>
      </c>
      <c r="M14" s="58">
        <f ca="1">IF($Q14&lt;&gt;0,MIN('Table 2'!M14,'Table 3'!$Q14),'Table 2'!M14)</f>
        <v>30.626521690994746</v>
      </c>
      <c r="N14" s="12">
        <f ca="1">IF($Q14&lt;&gt;0,MIN('Table 2'!N14,'Table 3'!$Q14),'Table 2'!N14)</f>
        <v>23.988859388093204</v>
      </c>
      <c r="O14" s="49">
        <f ca="1">IF($Q14&lt;&gt;0,MIN('Table 2'!O14,'Table 3'!$Q14),'Table 2'!O14)</f>
        <v>24.072023104599651</v>
      </c>
      <c r="Q14" s="57">
        <f ca="1">VLOOKUP(B14,'Table 4'!$B$11:$K$41,9,FALSE)</f>
        <v>0</v>
      </c>
    </row>
    <row r="15" spans="2:17" ht="12.75" customHeight="1">
      <c r="B15" s="75">
        <f t="shared" ca="1" si="0"/>
        <v>2016</v>
      </c>
      <c r="C15" s="77">
        <v>31.232666734088646</v>
      </c>
      <c r="D15" s="12">
        <f ca="1">IF($Q15&lt;&gt;0,MIN('Table 2'!D15,'Table 3'!$Q15),'Table 2'!D15)</f>
        <v>27.124672767730367</v>
      </c>
      <c r="E15" s="12">
        <f ca="1">IF($Q15&lt;&gt;0,MIN('Table 2'!E15,'Table 3'!$Q15),'Table 2'!E15)</f>
        <v>29.736449166964626</v>
      </c>
      <c r="F15" s="12">
        <f ca="1">IF($Q15&lt;&gt;0,MIN('Table 2'!F15,'Table 3'!$Q15),'Table 2'!F15)</f>
        <v>33.521299861088998</v>
      </c>
      <c r="G15" s="12">
        <f ca="1">IF($Q15&lt;&gt;0,MIN('Table 2'!G15,'Table 3'!$Q15),'Table 2'!G15)</f>
        <v>29.235750911968207</v>
      </c>
      <c r="H15" s="49">
        <f ca="1">IF($Q15&lt;&gt;0,MIN('Table 2'!H15,'Table 3'!$Q15),'Table 2'!H15)</f>
        <v>27.303184417978986</v>
      </c>
      <c r="I15" s="12">
        <f ca="1">IF($Q15&lt;&gt;0,MIN('Table 2'!I15,'Table 3'!$Q15),'Table 2'!I15)</f>
        <v>26.624704650296202</v>
      </c>
      <c r="J15" s="12">
        <f ca="1">IF($Q15&lt;&gt;0,MIN('Table 2'!J15,'Table 3'!$Q15),'Table 2'!J15)</f>
        <v>41.642419584503116</v>
      </c>
      <c r="K15" s="12">
        <f ca="1">IF($Q15&lt;&gt;0,MIN('Table 2'!K15,'Table 3'!$Q15),'Table 2'!K15)</f>
        <v>43.681816364600451</v>
      </c>
      <c r="L15" s="49">
        <f ca="1">IF($Q15&lt;&gt;0,MIN('Table 2'!L15,'Table 3'!$Q15),'Table 2'!L15)</f>
        <v>41.375189616782649</v>
      </c>
      <c r="M15" s="58">
        <f ca="1">IF($Q15&lt;&gt;0,MIN('Table 2'!M15,'Table 3'!$Q15),'Table 2'!M15)</f>
        <v>29.530871235653709</v>
      </c>
      <c r="N15" s="12">
        <f ca="1">IF($Q15&lt;&gt;0,MIN('Table 2'!N15,'Table 3'!$Q15),'Table 2'!N15)</f>
        <v>24.281012104518371</v>
      </c>
      <c r="O15" s="49">
        <f ca="1">IF($Q15&lt;&gt;0,MIN('Table 2'!O15,'Table 3'!$Q15),'Table 2'!O15)</f>
        <v>20.527970617723277</v>
      </c>
      <c r="Q15" s="57">
        <f ca="1">VLOOKUP(B15,'Table 4'!$B$11:$K$41,9,FALSE)</f>
        <v>0</v>
      </c>
    </row>
    <row r="16" spans="2:17" ht="12.75" customHeight="1">
      <c r="B16" s="75">
        <f t="shared" ca="1" si="0"/>
        <v>2017</v>
      </c>
      <c r="C16" s="77">
        <v>32.348508213364944</v>
      </c>
      <c r="D16" s="12">
        <f ca="1">IF($Q16&lt;&gt;0,MIN('Table 2'!D16,'Table 3'!$Q16),'Table 2'!D16)</f>
        <v>27.374947638777634</v>
      </c>
      <c r="E16" s="12">
        <f ca="1">IF($Q16&lt;&gt;0,MIN('Table 2'!E16,'Table 3'!$Q16),'Table 2'!E16)</f>
        <v>25.226303167359418</v>
      </c>
      <c r="F16" s="12">
        <f ca="1">IF($Q16&lt;&gt;0,MIN('Table 2'!F16,'Table 3'!$Q16),'Table 2'!F16)</f>
        <v>32.764952459712006</v>
      </c>
      <c r="G16" s="12">
        <f ca="1">IF($Q16&lt;&gt;0,MIN('Table 2'!G16,'Table 3'!$Q16),'Table 2'!G16)</f>
        <v>30.993008291043974</v>
      </c>
      <c r="H16" s="49">
        <f ca="1">IF($Q16&lt;&gt;0,MIN('Table 2'!H16,'Table 3'!$Q16),'Table 2'!H16)</f>
        <v>29.081639566081165</v>
      </c>
      <c r="I16" s="12">
        <f ca="1">IF($Q16&lt;&gt;0,MIN('Table 2'!I16,'Table 3'!$Q16),'Table 2'!I16)</f>
        <v>29.217674286939886</v>
      </c>
      <c r="J16" s="12">
        <f ca="1">IF($Q16&lt;&gt;0,MIN('Table 2'!J16,'Table 3'!$Q16),'Table 2'!J16)</f>
        <v>43.507733902459577</v>
      </c>
      <c r="K16" s="12">
        <f ca="1">IF($Q16&lt;&gt;0,MIN('Table 2'!K16,'Table 3'!$Q16),'Table 2'!K16)</f>
        <v>45.916013433756916</v>
      </c>
      <c r="L16" s="49">
        <f ca="1">IF($Q16&lt;&gt;0,MIN('Table 2'!L16,'Table 3'!$Q16),'Table 2'!L16)</f>
        <v>43.334181114280341</v>
      </c>
      <c r="M16" s="58">
        <f ca="1">IF($Q16&lt;&gt;0,MIN('Table 2'!M16,'Table 3'!$Q16),'Table 2'!M16)</f>
        <v>32.232573466202282</v>
      </c>
      <c r="N16" s="12">
        <f ca="1">IF($Q16&lt;&gt;0,MIN('Table 2'!N16,'Table 3'!$Q16),'Table 2'!N16)</f>
        <v>26.166393568516508</v>
      </c>
      <c r="O16" s="49">
        <f ca="1">IF($Q16&lt;&gt;0,MIN('Table 2'!O16,'Table 3'!$Q16),'Table 2'!O16)</f>
        <v>21.687665061038139</v>
      </c>
      <c r="Q16" s="57">
        <f ca="1">VLOOKUP(B16,'Table 4'!$B$11:$K$41,9,FALSE)</f>
        <v>0</v>
      </c>
    </row>
    <row r="17" spans="2:17" ht="12.75" customHeight="1">
      <c r="B17" s="75">
        <f t="shared" ca="1" si="0"/>
        <v>2018</v>
      </c>
      <c r="C17" s="77">
        <v>34.688357987059341</v>
      </c>
      <c r="D17" s="12">
        <f ca="1">'Table 2'!D17</f>
        <v>28.608707459485377</v>
      </c>
      <c r="E17" s="12">
        <f ca="1">'Table 2'!E17</f>
        <v>29.040951202590154</v>
      </c>
      <c r="F17" s="12">
        <f ca="1">'Table 2'!F17</f>
        <v>35.080862227141161</v>
      </c>
      <c r="G17" s="12">
        <f ca="1">'Table 2'!G17</f>
        <v>33.055498430065178</v>
      </c>
      <c r="H17" s="49">
        <f ca="1">'Table 2'!H17</f>
        <v>30.968074039690041</v>
      </c>
      <c r="I17" s="12">
        <f ca="1">IF($Q17&lt;&gt;0,MIN('Table 2'!I17,'Table 3'!$Q17),'Table 2'!I17)</f>
        <v>30.810560683660647</v>
      </c>
      <c r="J17" s="12">
        <f ca="1">IF($Q17&lt;&gt;0,MIN('Table 2'!J17,'Table 3'!$Q17),'Table 2'!J17)</f>
        <v>46.840041812776974</v>
      </c>
      <c r="K17" s="12">
        <f ca="1">IF($Q17&lt;&gt;0,MIN('Table 2'!K17,'Table 3'!$Q17),'Table 2'!K17)</f>
        <v>49.062053981814991</v>
      </c>
      <c r="L17" s="49">
        <f ca="1">IF($Q17&lt;&gt;0,MIN('Table 2'!L17,'Table 3'!$Q17),'Table 2'!L17)</f>
        <v>45.760673778594708</v>
      </c>
      <c r="M17" s="58">
        <f ca="1">IF($Q17&lt;&gt;0,MIN('Table 2'!M17,'Table 3'!$Q17),'Table 2'!M17)</f>
        <v>34.466958301391863</v>
      </c>
      <c r="N17" s="12">
        <f ca="1">IF($Q17&lt;&gt;0,MIN('Table 2'!N17,'Table 3'!$Q17),'Table 2'!N17)</f>
        <v>27.464382580065113</v>
      </c>
      <c r="O17" s="49">
        <f ca="1">IF($Q17&lt;&gt;0,MIN('Table 2'!O17,'Table 3'!$Q17),'Table 2'!O17)</f>
        <v>24.501384998102079</v>
      </c>
      <c r="Q17" s="57">
        <f ca="1">VLOOKUP(B17,'Table 4'!$B$11:$K$41,9,FALSE)</f>
        <v>0</v>
      </c>
    </row>
    <row r="18" spans="2:17" ht="12.75" customHeight="1">
      <c r="B18" s="75">
        <f t="shared" ca="1" si="0"/>
        <v>2019</v>
      </c>
      <c r="C18" s="77">
        <v>38.983563233991163</v>
      </c>
      <c r="D18" s="12">
        <f ca="1">IF($Q18&lt;&gt;0,MIN('Table 2'!D18,'Table 3'!$Q18),'Table 2'!D18)</f>
        <v>32.462883003005153</v>
      </c>
      <c r="E18" s="12">
        <f ca="1">IF($Q18&lt;&gt;0,MIN('Table 2'!E18,'Table 3'!$Q18),'Table 2'!E18)</f>
        <v>34.916275909314514</v>
      </c>
      <c r="F18" s="12">
        <f ca="1">IF($Q18&lt;&gt;0,MIN('Table 2'!F18,'Table 3'!$Q18),'Table 2'!F18)</f>
        <v>38.126848419986615</v>
      </c>
      <c r="G18" s="12">
        <f ca="1">IF($Q18&lt;&gt;0,MIN('Table 2'!G18,'Table 3'!$Q18),'Table 2'!G18)</f>
        <v>34.955702303758052</v>
      </c>
      <c r="H18" s="49">
        <f ca="1">IF($Q18&lt;&gt;0,MIN('Table 2'!H18,'Table 3'!$Q18),'Table 2'!H18)</f>
        <v>34.937107809297956</v>
      </c>
      <c r="I18" s="12">
        <f ca="1">IF($Q18&lt;&gt;0,MIN('Table 2'!I18,'Table 3'!$Q18),'Table 2'!I18)</f>
        <v>35.819426183985925</v>
      </c>
      <c r="J18" s="12">
        <f ca="1">IF($Q18&lt;&gt;0,MIN('Table 2'!J18,'Table 3'!$Q18),'Table 2'!J18)</f>
        <v>54.323539737507858</v>
      </c>
      <c r="K18" s="12">
        <f ca="1">IF($Q18&lt;&gt;0,MIN('Table 2'!K18,'Table 3'!$Q18),'Table 2'!K18)</f>
        <v>56.216940558349251</v>
      </c>
      <c r="L18" s="49">
        <f ca="1">IF($Q18&lt;&gt;0,MIN('Table 2'!L18,'Table 3'!$Q18),'Table 2'!L18)</f>
        <v>49.326066916666775</v>
      </c>
      <c r="M18" s="58">
        <f ca="1">IF($Q18&lt;&gt;0,MIN('Table 2'!M18,'Table 3'!$Q18),'Table 2'!M18)</f>
        <v>38.494096808507329</v>
      </c>
      <c r="N18" s="12">
        <f ca="1">IF($Q18&lt;&gt;0,MIN('Table 2'!N18,'Table 3'!$Q18),'Table 2'!N18)</f>
        <v>31.292648340522806</v>
      </c>
      <c r="O18" s="49">
        <f ca="1">IF($Q18&lt;&gt;0,MIN('Table 2'!O18,'Table 3'!$Q18),'Table 2'!O18)</f>
        <v>26.391149553605683</v>
      </c>
      <c r="Q18" s="57">
        <f ca="1">VLOOKUP(B18,'Table 4'!$B$11:$K$41,9,FALSE)</f>
        <v>0</v>
      </c>
    </row>
    <row r="19" spans="2:17" ht="12.75" customHeight="1">
      <c r="B19" s="75">
        <f t="shared" ca="1" si="0"/>
        <v>2020</v>
      </c>
      <c r="C19" s="77">
        <v>43.022559197270176</v>
      </c>
      <c r="D19" s="12">
        <f ca="1">IF($Q19&lt;&gt;0,MIN('Table 2'!D19,'Table 3'!$Q19),'Table 2'!D19)</f>
        <v>35.088241437855565</v>
      </c>
      <c r="E19" s="12">
        <f ca="1">IF($Q19&lt;&gt;0,MIN('Table 2'!E19,'Table 3'!$Q19),'Table 2'!E19)</f>
        <v>38.358960054260685</v>
      </c>
      <c r="F19" s="12">
        <f ca="1">IF($Q19&lt;&gt;0,MIN('Table 2'!F19,'Table 3'!$Q19),'Table 2'!F19)</f>
        <v>41.683660391840206</v>
      </c>
      <c r="G19" s="12">
        <f ca="1">IF($Q19&lt;&gt;0,MIN('Table 2'!G19,'Table 3'!$Q19),'Table 2'!G19)</f>
        <v>39.638722028105086</v>
      </c>
      <c r="H19" s="49">
        <f ca="1">IF($Q19&lt;&gt;0,MIN('Table 2'!H19,'Table 3'!$Q19),'Table 2'!H19)</f>
        <v>39.408066511385094</v>
      </c>
      <c r="I19" s="12">
        <f ca="1">IF($Q19&lt;&gt;0,MIN('Table 2'!I19,'Table 3'!$Q19),'Table 2'!I19)</f>
        <v>39.136441346404986</v>
      </c>
      <c r="J19" s="12">
        <f ca="1">IF($Q19&lt;&gt;0,MIN('Table 2'!J19,'Table 3'!$Q19),'Table 2'!J19)</f>
        <v>59.618553081593561</v>
      </c>
      <c r="K19" s="12">
        <f ca="1">IF($Q19&lt;&gt;0,MIN('Table 2'!K19,'Table 3'!$Q19),'Table 2'!K19)</f>
        <v>60.435353640258633</v>
      </c>
      <c r="L19" s="49">
        <f ca="1">IF($Q19&lt;&gt;0,MIN('Table 2'!L19,'Table 3'!$Q19),'Table 2'!L19)</f>
        <v>58.246758422385533</v>
      </c>
      <c r="M19" s="58">
        <f ca="1">IF($Q19&lt;&gt;0,MIN('Table 2'!M19,'Table 3'!$Q19),'Table 2'!M19)</f>
        <v>41.718957175205567</v>
      </c>
      <c r="N19" s="12">
        <f ca="1">IF($Q19&lt;&gt;0,MIN('Table 2'!N19,'Table 3'!$Q19),'Table 2'!N19)</f>
        <v>33.188210439869977</v>
      </c>
      <c r="O19" s="49">
        <f ca="1">IF($Q19&lt;&gt;0,MIN('Table 2'!O19,'Table 3'!$Q19),'Table 2'!O19)</f>
        <v>29.387259940069303</v>
      </c>
      <c r="Q19" s="57">
        <f ca="1">VLOOKUP(B19,'Table 4'!$B$11:$K$41,9,FALSE)</f>
        <v>0</v>
      </c>
    </row>
    <row r="20" spans="2:17" ht="12.75" customHeight="1">
      <c r="B20" s="75">
        <f t="shared" ca="1" si="0"/>
        <v>2021</v>
      </c>
      <c r="C20" s="77">
        <v>45.266593746051271</v>
      </c>
      <c r="D20" s="12">
        <f ca="1">IF($Q20&lt;&gt;0,MIN('Table 2'!D20,'Table 3'!$Q20),'Table 2'!D20)</f>
        <v>38.792759859583597</v>
      </c>
      <c r="E20" s="12">
        <f ca="1">IF($Q20&lt;&gt;0,MIN('Table 2'!E20,'Table 3'!$Q20),'Table 2'!E20)</f>
        <v>39.237646561099808</v>
      </c>
      <c r="F20" s="12">
        <f ca="1">IF($Q20&lt;&gt;0,MIN('Table 2'!F20,'Table 3'!$Q20),'Table 2'!F20)</f>
        <v>45.628262978494355</v>
      </c>
      <c r="G20" s="12">
        <f ca="1">IF($Q20&lt;&gt;0,MIN('Table 2'!G20,'Table 3'!$Q20),'Table 2'!G20)</f>
        <v>40.375433124346671</v>
      </c>
      <c r="H20" s="49">
        <f ca="1">IF($Q20&lt;&gt;0,MIN('Table 2'!H20,'Table 3'!$Q20),'Table 2'!H20)</f>
        <v>42.994002930582475</v>
      </c>
      <c r="I20" s="12">
        <f ca="1">IF($Q20&lt;&gt;0,MIN('Table 2'!I20,'Table 3'!$Q20),'Table 2'!I20)</f>
        <v>40.507922327778502</v>
      </c>
      <c r="J20" s="12">
        <f ca="1">IF($Q20&lt;&gt;0,MIN('Table 2'!J20,'Table 3'!$Q20),'Table 2'!J20)</f>
        <v>57.695604500948328</v>
      </c>
      <c r="K20" s="12">
        <f ca="1">IF($Q20&lt;&gt;0,MIN('Table 2'!K20,'Table 3'!$Q20),'Table 2'!K20)</f>
        <v>57.015629249999677</v>
      </c>
      <c r="L20" s="49">
        <f ca="1">IF($Q20&lt;&gt;0,MIN('Table 2'!L20,'Table 3'!$Q20),'Table 2'!L20)</f>
        <v>54.13821057957469</v>
      </c>
      <c r="M20" s="58">
        <f ca="1">IF($Q20&lt;&gt;0,MIN('Table 2'!M20,'Table 3'!$Q20),'Table 2'!M20)</f>
        <v>46.240423160815901</v>
      </c>
      <c r="N20" s="12">
        <f ca="1">IF($Q20&lt;&gt;0,MIN('Table 2'!N20,'Table 3'!$Q20),'Table 2'!N20)</f>
        <v>40.728523598529542</v>
      </c>
      <c r="O20" s="49">
        <f ca="1">IF($Q20&lt;&gt;0,MIN('Table 2'!O20,'Table 3'!$Q20),'Table 2'!O20)</f>
        <v>39.089766503162188</v>
      </c>
      <c r="Q20" s="57">
        <f ca="1">VLOOKUP(B20,'Table 4'!$B$11:$K$41,9,FALSE)</f>
        <v>0</v>
      </c>
    </row>
    <row r="21" spans="2:17" ht="12.75" customHeight="1">
      <c r="B21" s="76">
        <f t="shared" ca="1" si="0"/>
        <v>2022</v>
      </c>
      <c r="C21" s="78">
        <v>52.232070130003159</v>
      </c>
      <c r="D21" s="21">
        <f ca="1">IF($Q21&lt;&gt;0,MIN('Table 2'!D21,'Table 3'!$Q21),'Table 2'!D21)</f>
        <v>49.389647890892704</v>
      </c>
      <c r="E21" s="21">
        <f ca="1">IF($Q21&lt;&gt;0,MIN('Table 2'!E21,'Table 3'!$Q21),'Table 2'!E21)</f>
        <v>50.34103526803208</v>
      </c>
      <c r="F21" s="21">
        <f ca="1">IF($Q21&lt;&gt;0,MIN('Table 2'!F21,'Table 3'!$Q21),'Table 2'!F21)</f>
        <v>48.555415889785721</v>
      </c>
      <c r="G21" s="21">
        <f ca="1">IF($Q21&lt;&gt;0,MIN('Table 2'!G21,'Table 3'!$Q21),'Table 2'!G21)</f>
        <v>47.813475646078587</v>
      </c>
      <c r="H21" s="50">
        <f ca="1">IF($Q21&lt;&gt;0,MIN('Table 2'!H21,'Table 3'!$Q21),'Table 2'!H21)</f>
        <v>48.414682880138706</v>
      </c>
      <c r="I21" s="12">
        <f ca="1">IF($Q21&lt;&gt;0,MIN('Table 2'!I21,'Table 3'!$Q21),'Table 2'!I21)</f>
        <v>47.656248001797621</v>
      </c>
      <c r="J21" s="12">
        <f ca="1">IF($Q21&lt;&gt;0,MIN('Table 2'!J21,'Table 3'!$Q21),'Table 2'!J21)</f>
        <v>60.722700232131658</v>
      </c>
      <c r="K21" s="12">
        <f ca="1">IF($Q21&lt;&gt;0,MIN('Table 2'!K21,'Table 3'!$Q21),'Table 2'!K21)</f>
        <v>61.474562565938989</v>
      </c>
      <c r="L21" s="49">
        <f ca="1">IF($Q21&lt;&gt;0,MIN('Table 2'!L21,'Table 3'!$Q21),'Table 2'!L21)</f>
        <v>60.195176768790859</v>
      </c>
      <c r="M21" s="58">
        <f ca="1">IF($Q21&lt;&gt;0,MIN('Table 2'!M21,'Table 3'!$Q21),'Table 2'!M21)</f>
        <v>52.831979054712576</v>
      </c>
      <c r="N21" s="12">
        <f ca="1">IF($Q21&lt;&gt;0,MIN('Table 2'!N21,'Table 3'!$Q21),'Table 2'!N21)</f>
        <v>51.989091630555642</v>
      </c>
      <c r="O21" s="49">
        <f ca="1">IF($Q21&lt;&gt;0,MIN('Table 2'!O21,'Table 3'!$Q21),'Table 2'!O21)</f>
        <v>47.176716277672476</v>
      </c>
      <c r="Q21" s="57">
        <f ca="1">VLOOKUP(B21,'Table 4'!$B$11:$K$41,9,FALSE)</f>
        <v>0</v>
      </c>
    </row>
    <row r="22" spans="2:17" ht="12.75" customHeight="1">
      <c r="B22" s="113">
        <f t="shared" ca="1" si="0"/>
        <v>2023</v>
      </c>
      <c r="C22" s="77">
        <v>55.962016578660737</v>
      </c>
      <c r="D22" s="11">
        <f ca="1">IF($Q22&lt;&gt;0,MIN('Table 2'!D22,'Table 3'!$Q22),'Table 2'!D22)</f>
        <v>51.575646211891176</v>
      </c>
      <c r="E22" s="11">
        <f ca="1">IF($Q22&lt;&gt;0,MIN('Table 2'!E22,'Table 3'!$Q22),'Table 2'!E22)</f>
        <v>52.735873331757738</v>
      </c>
      <c r="F22" s="11">
        <f ca="1">IF($Q22&lt;&gt;0,MIN('Table 2'!F22,'Table 3'!$Q22),'Table 2'!F22)</f>
        <v>52.211073911290882</v>
      </c>
      <c r="G22" s="11">
        <f ca="1">IF($Q22&lt;&gt;0,MIN('Table 2'!G22,'Table 3'!$Q22),'Table 2'!G22)</f>
        <v>51.026081763235666</v>
      </c>
      <c r="H22" s="48">
        <f ca="1">IF($Q22&lt;&gt;0,MIN('Table 2'!H22,'Table 3'!$Q22),'Table 2'!H22)</f>
        <v>51.28312533111945</v>
      </c>
      <c r="I22" s="59">
        <f ca="1">IF($Q22&lt;&gt;0,MIN('Table 2'!I22,'Table 3'!$Q22),'Table 2'!I22)</f>
        <v>50.596059641012666</v>
      </c>
      <c r="J22" s="11">
        <f ca="1">IF($Q22&lt;&gt;0,MIN('Table 2'!J22,'Table 3'!$Q22),'Table 2'!J22)</f>
        <v>66.608606365908372</v>
      </c>
      <c r="K22" s="11">
        <f ca="1">IF($Q22&lt;&gt;0,MIN('Table 2'!K22,'Table 3'!$Q22),'Table 2'!K22)</f>
        <v>68.000789000000154</v>
      </c>
      <c r="L22" s="48">
        <f ca="1">IF($Q22&lt;&gt;0,MIN('Table 2'!L22,'Table 3'!$Q22),'Table 2'!L22)</f>
        <v>67.107314512745234</v>
      </c>
      <c r="M22" s="59">
        <f ca="1">IF($Q22&lt;&gt;0,MIN('Table 2'!M22,'Table 3'!$Q22),'Table 2'!M22)</f>
        <v>54.943805539056633</v>
      </c>
      <c r="N22" s="11">
        <f ca="1">IF($Q22&lt;&gt;0,MIN('Table 2'!N22,'Table 3'!$Q22),'Table 2'!N22)</f>
        <v>54.44888307434671</v>
      </c>
      <c r="O22" s="48">
        <f ca="1">IF($Q22&lt;&gt;0,MIN('Table 2'!O22,'Table 3'!$Q22),'Table 2'!O22)</f>
        <v>50.673128743358497</v>
      </c>
      <c r="Q22" s="60">
        <f ca="1">VLOOKUP(B22,'Table 4'!$B$11:$K$41,9,FALSE)</f>
        <v>0</v>
      </c>
    </row>
    <row r="23" spans="2:17" ht="12.75" customHeight="1">
      <c r="B23" s="75">
        <f t="shared" ca="1" si="0"/>
        <v>2024</v>
      </c>
      <c r="C23" s="77">
        <v>58.827222294131047</v>
      </c>
      <c r="D23" s="12">
        <f ca="1">IF($Q23&lt;&gt;0,MIN('Table 2'!D23,'Table 3'!$Q23),'Table 2'!D23)</f>
        <v>56.885594982605319</v>
      </c>
      <c r="E23" s="12">
        <f ca="1">IF($Q23&lt;&gt;0,MIN('Table 2'!E23,'Table 3'!$Q23),'Table 2'!E23)</f>
        <v>58.295823289215704</v>
      </c>
      <c r="F23" s="12">
        <f ca="1">IF($Q23&lt;&gt;0,MIN('Table 2'!F23,'Table 3'!$Q23),'Table 2'!F23)</f>
        <v>54.782008507432138</v>
      </c>
      <c r="G23" s="12">
        <f ca="1">IF($Q23&lt;&gt;0,MIN('Table 2'!G23,'Table 3'!$Q23),'Table 2'!G23)</f>
        <v>50.306067329410929</v>
      </c>
      <c r="H23" s="49">
        <f ca="1">IF($Q23&lt;&gt;0,MIN('Table 2'!H23,'Table 3'!$Q23),'Table 2'!H23)</f>
        <v>52.356551062776589</v>
      </c>
      <c r="I23" s="58">
        <f ca="1">IF($Q23&lt;&gt;0,MIN('Table 2'!I23,'Table 3'!$Q23),'Table 2'!I23)</f>
        <v>52.382335470260848</v>
      </c>
      <c r="J23" s="12">
        <f ca="1">IF($Q23&lt;&gt;0,MIN('Table 2'!J23,'Table 3'!$Q23),'Table 2'!J23)</f>
        <v>68.991745072739889</v>
      </c>
      <c r="K23" s="12">
        <f ca="1">IF($Q23&lt;&gt;0,MIN('Table 2'!K23,'Table 3'!$Q23),'Table 2'!K23)</f>
        <v>70.953570909551203</v>
      </c>
      <c r="L23" s="49">
        <f ca="1">IF($Q23&lt;&gt;0,MIN('Table 2'!L23,'Table 3'!$Q23),'Table 2'!L23)</f>
        <v>69.531984199020116</v>
      </c>
      <c r="M23" s="58">
        <f ca="1">IF($Q23&lt;&gt;0,MIN('Table 2'!M23,'Table 3'!$Q23),'Table 2'!M23)</f>
        <v>58.069472175521291</v>
      </c>
      <c r="N23" s="12">
        <f ca="1">IF($Q23&lt;&gt;0,MIN('Table 2'!N23,'Table 3'!$Q23),'Table 2'!N23)</f>
        <v>57.924795326797501</v>
      </c>
      <c r="O23" s="49">
        <f ca="1">IF($Q23&lt;&gt;0,MIN('Table 2'!O23,'Table 3'!$Q23),'Table 2'!O23)</f>
        <v>55.245864208728776</v>
      </c>
      <c r="Q23" s="57">
        <f ca="1">VLOOKUP(B23,'Table 4'!$B$11:$K$41,9,FALSE)</f>
        <v>0</v>
      </c>
    </row>
    <row r="24" spans="2:17" ht="12.75" customHeight="1">
      <c r="B24" s="75">
        <f t="shared" ca="1" si="0"/>
        <v>2025</v>
      </c>
      <c r="C24" s="77">
        <v>38.847132765703932</v>
      </c>
      <c r="D24" s="12">
        <f ca="1">IF($Q24&lt;&gt;0,MIN('Table 2'!D24,'Table 3'!$Q24),'Table 2'!D24)</f>
        <v>38.564453396584739</v>
      </c>
      <c r="E24" s="12">
        <f ca="1">IF($Q24&lt;&gt;0,MIN('Table 2'!E24,'Table 3'!$Q24),'Table 2'!E24)</f>
        <v>39.266599507352304</v>
      </c>
      <c r="F24" s="12">
        <f ca="1">IF($Q24&lt;&gt;0,MIN('Table 2'!F24,'Table 3'!$Q24),'Table 2'!F24)</f>
        <v>38.476182333807884</v>
      </c>
      <c r="G24" s="12">
        <f ca="1">IF($Q24&lt;&gt;0,MIN('Table 2'!G24,'Table 3'!$Q24),'Table 2'!G24)</f>
        <v>37.439318111765814</v>
      </c>
      <c r="H24" s="49">
        <f ca="1">IF($Q24&lt;&gt;0,MIN('Table 2'!H24,'Table 3'!$Q24),'Table 2'!H24)</f>
        <v>37.603518589184034</v>
      </c>
      <c r="I24" s="58">
        <f ca="1">IF($Q24&lt;&gt;0,MIN('Table 2'!I24,'Table 3'!$Q24),'Table 2'!I24)</f>
        <v>37.693164769706186</v>
      </c>
      <c r="J24" s="12">
        <f ca="1">IF($Q24&lt;&gt;0,MIN('Table 2'!J24,'Table 3'!$Q24),'Table 2'!J24)</f>
        <v>38.591614127925851</v>
      </c>
      <c r="K24" s="12">
        <f ca="1">IF($Q24&lt;&gt;0,MIN('Table 2'!K24,'Table 3'!$Q24),'Table 2'!K24)</f>
        <v>38.491274051549198</v>
      </c>
      <c r="L24" s="49">
        <f ca="1">IF($Q24&lt;&gt;0,MIN('Table 2'!L24,'Table 3'!$Q24),'Table 2'!L24)</f>
        <v>39.652734145343402</v>
      </c>
      <c r="M24" s="58">
        <f ca="1">IF($Q24&lt;&gt;0,MIN('Table 2'!M24,'Table 3'!$Q24),'Table 2'!M24)</f>
        <v>38.527569705882193</v>
      </c>
      <c r="N24" s="12">
        <f ca="1">IF($Q24&lt;&gt;0,MIN('Table 2'!N24,'Table 3'!$Q24),'Table 2'!N24)</f>
        <v>40.399164449345633</v>
      </c>
      <c r="O24" s="49">
        <f ca="1">IF($Q24&lt;&gt;0,MIN('Table 2'!O24,'Table 3'!$Q24),'Table 2'!O24)</f>
        <v>41.46</v>
      </c>
      <c r="Q24" s="57">
        <f ca="1">VLOOKUP(B24,'Table 4'!$B$11:$K$41,9,FALSE)</f>
        <v>41.46</v>
      </c>
    </row>
    <row r="25" spans="2:17" ht="12.75" customHeight="1">
      <c r="B25" s="75">
        <f t="shared" ca="1" si="0"/>
        <v>2026</v>
      </c>
      <c r="C25" s="77">
        <v>42.129854445069149</v>
      </c>
      <c r="D25" s="12">
        <f ca="1">IF($Q25&lt;&gt;0,MIN('Table 2'!D25,'Table 3'!$Q25),'Table 2'!D25)</f>
        <v>41.20258805597652</v>
      </c>
      <c r="E25" s="12">
        <f ca="1">IF($Q25&lt;&gt;0,MIN('Table 2'!E25,'Table 3'!$Q25),'Table 2'!E25)</f>
        <v>42.539614416946883</v>
      </c>
      <c r="F25" s="12">
        <f ca="1">IF($Q25&lt;&gt;0,MIN('Table 2'!F25,'Table 3'!$Q25),'Table 2'!F25)</f>
        <v>44.28</v>
      </c>
      <c r="G25" s="12">
        <f ca="1">IF($Q25&lt;&gt;0,MIN('Table 2'!G25,'Table 3'!$Q25),'Table 2'!G25)</f>
        <v>42.849628248202549</v>
      </c>
      <c r="H25" s="49">
        <f ca="1">IF($Q25&lt;&gt;0,MIN('Table 2'!H25,'Table 3'!$Q25),'Table 2'!H25)</f>
        <v>41.117977765812327</v>
      </c>
      <c r="I25" s="58">
        <f ca="1">IF($Q25&lt;&gt;0,MIN('Table 2'!I25,'Table 3'!$Q25),'Table 2'!I25)</f>
        <v>40.861948657761893</v>
      </c>
      <c r="J25" s="12">
        <f ca="1">IF($Q25&lt;&gt;0,MIN('Table 2'!J25,'Table 3'!$Q25),'Table 2'!J25)</f>
        <v>41.765148015653949</v>
      </c>
      <c r="K25" s="12">
        <f ca="1">IF($Q25&lt;&gt;0,MIN('Table 2'!K25,'Table 3'!$Q25),'Table 2'!K25)</f>
        <v>41.971005796964867</v>
      </c>
      <c r="L25" s="49">
        <f ca="1">IF($Q25&lt;&gt;0,MIN('Table 2'!L25,'Table 3'!$Q25),'Table 2'!L25)</f>
        <v>42.74626011307187</v>
      </c>
      <c r="M25" s="58">
        <f ca="1">IF($Q25&lt;&gt;0,MIN('Table 2'!M25,'Table 3'!$Q25),'Table 2'!M25)</f>
        <v>41.364411663502963</v>
      </c>
      <c r="N25" s="12">
        <f ca="1">IF($Q25&lt;&gt;0,MIN('Table 2'!N25,'Table 3'!$Q25),'Table 2'!N25)</f>
        <v>41.65632469738572</v>
      </c>
      <c r="O25" s="49">
        <f ca="1">IF($Q25&lt;&gt;0,MIN('Table 2'!O25,'Table 3'!$Q25),'Table 2'!O25)</f>
        <v>43.203345909550229</v>
      </c>
      <c r="Q25" s="57">
        <f ca="1">VLOOKUP(B25,'Table 4'!$B$11:$K$41,9,FALSE)</f>
        <v>44.28</v>
      </c>
    </row>
    <row r="26" spans="2:17" ht="12.75" customHeight="1">
      <c r="B26" s="75">
        <f t="shared" ca="1" si="0"/>
        <v>2027</v>
      </c>
      <c r="C26" s="77">
        <v>42.297098860123121</v>
      </c>
      <c r="D26" s="12">
        <f ca="1">IF($Q26&lt;&gt;0,MIN('Table 2'!D26,'Table 3'!$Q26),'Table 2'!D26)</f>
        <v>41.805141573846527</v>
      </c>
      <c r="E26" s="12">
        <f ca="1">IF($Q26&lt;&gt;0,MIN('Table 2'!E26,'Table 3'!$Q26),'Table 2'!E26)</f>
        <v>43.045181008403816</v>
      </c>
      <c r="F26" s="12">
        <f ca="1">IF($Q26&lt;&gt;0,MIN('Table 2'!F26,'Table 3'!$Q26),'Table 2'!F26)</f>
        <v>44.54</v>
      </c>
      <c r="G26" s="12">
        <f ca="1">IF($Q26&lt;&gt;0,MIN('Table 2'!G26,'Table 3'!$Q26),'Table 2'!G26)</f>
        <v>42.120739835949216</v>
      </c>
      <c r="H26" s="49">
        <f ca="1">IF($Q26&lt;&gt;0,MIN('Table 2'!H26,'Table 3'!$Q26),'Table 2'!H26)</f>
        <v>41.255432980614117</v>
      </c>
      <c r="I26" s="58">
        <f ca="1">IF($Q26&lt;&gt;0,MIN('Table 2'!I26,'Table 3'!$Q26),'Table 2'!I26)</f>
        <v>40.927734569346207</v>
      </c>
      <c r="J26" s="12">
        <f ca="1">IF($Q26&lt;&gt;0,MIN('Table 2'!J26,'Table 3'!$Q26),'Table 2'!J26)</f>
        <v>42.142033300601575</v>
      </c>
      <c r="K26" s="12">
        <f ca="1">IF($Q26&lt;&gt;0,MIN('Table 2'!K26,'Table 3'!$Q26),'Table 2'!K26)</f>
        <v>42.106482785768634</v>
      </c>
      <c r="L26" s="49">
        <f ca="1">IF($Q26&lt;&gt;0,MIN('Table 2'!L26,'Table 3'!$Q26),'Table 2'!L26)</f>
        <v>42.77606271284273</v>
      </c>
      <c r="M26" s="58">
        <f ca="1">IF($Q26&lt;&gt;0,MIN('Table 2'!M26,'Table 3'!$Q26),'Table 2'!M26)</f>
        <v>41.360723252846121</v>
      </c>
      <c r="N26" s="12">
        <f ca="1">IF($Q26&lt;&gt;0,MIN('Table 2'!N26,'Table 3'!$Q26),'Table 2'!N26)</f>
        <v>42.009274202744457</v>
      </c>
      <c r="O26" s="49">
        <f ca="1">IF($Q26&lt;&gt;0,MIN('Table 2'!O26,'Table 3'!$Q26),'Table 2'!O26)</f>
        <v>43.476380098514035</v>
      </c>
      <c r="Q26" s="57">
        <f ca="1">VLOOKUP(B26,'Table 4'!$B$11:$K$41,9,FALSE)</f>
        <v>44.54</v>
      </c>
    </row>
    <row r="27" spans="2:17" ht="12.75" customHeight="1">
      <c r="B27" s="75">
        <f t="shared" ca="1" si="0"/>
        <v>2028</v>
      </c>
      <c r="C27" s="77">
        <v>43.210841702468542</v>
      </c>
      <c r="D27" s="12">
        <f ca="1">IF($Q27&lt;&gt;0,MIN('Table 2'!D27,'Table 3'!$Q27),'Table 2'!D27)</f>
        <v>43.189679493753687</v>
      </c>
      <c r="E27" s="12">
        <f ca="1">IF($Q27&lt;&gt;0,MIN('Table 2'!E27,'Table 3'!$Q27),'Table 2'!E27)</f>
        <v>43.972206258180378</v>
      </c>
      <c r="F27" s="12">
        <f ca="1">IF($Q27&lt;&gt;0,MIN('Table 2'!F27,'Table 3'!$Q27),'Table 2'!F27)</f>
        <v>45.26</v>
      </c>
      <c r="G27" s="12">
        <f ca="1">IF($Q27&lt;&gt;0,MIN('Table 2'!G27,'Table 3'!$Q27),'Table 2'!G27)</f>
        <v>41.805047402615152</v>
      </c>
      <c r="H27" s="49">
        <f ca="1">IF($Q27&lt;&gt;0,MIN('Table 2'!H27,'Table 3'!$Q27),'Table 2'!H27)</f>
        <v>42.478024434061709</v>
      </c>
      <c r="I27" s="58">
        <f ca="1">IF($Q27&lt;&gt;0,MIN('Table 2'!I27,'Table 3'!$Q27),'Table 2'!I27)</f>
        <v>42.335713069378549</v>
      </c>
      <c r="J27" s="12">
        <f ca="1">IF($Q27&lt;&gt;0,MIN('Table 2'!J27,'Table 3'!$Q27),'Table 2'!J27)</f>
        <v>43.152576445888997</v>
      </c>
      <c r="K27" s="12">
        <f ca="1">IF($Q27&lt;&gt;0,MIN('Table 2'!K27,'Table 3'!$Q27),'Table 2'!K27)</f>
        <v>43.293818725174283</v>
      </c>
      <c r="L27" s="49">
        <f ca="1">IF($Q27&lt;&gt;0,MIN('Table 2'!L27,'Table 3'!$Q27),'Table 2'!L27)</f>
        <v>44.11827128352877</v>
      </c>
      <c r="M27" s="58">
        <f ca="1">IF($Q27&lt;&gt;0,MIN('Table 2'!M27,'Table 3'!$Q27),'Table 2'!M27)</f>
        <v>42.656580643295051</v>
      </c>
      <c r="N27" s="12">
        <f ca="1">IF($Q27&lt;&gt;0,MIN('Table 2'!N27,'Table 3'!$Q27),'Table 2'!N27)</f>
        <v>42.267372930229101</v>
      </c>
      <c r="O27" s="49">
        <f ca="1">IF($Q27&lt;&gt;0,MIN('Table 2'!O27,'Table 3'!$Q27),'Table 2'!O27)</f>
        <v>44.000809743516925</v>
      </c>
      <c r="Q27" s="57">
        <f ca="1">VLOOKUP(B27,'Table 4'!$B$11:$K$41,9,FALSE)</f>
        <v>45.26</v>
      </c>
    </row>
    <row r="28" spans="2:17" ht="12.75" customHeight="1">
      <c r="B28" s="75">
        <f t="shared" ca="1" si="0"/>
        <v>2029</v>
      </c>
      <c r="C28" s="77">
        <v>44.548499081666073</v>
      </c>
      <c r="D28" s="12">
        <f ca="1">IF($Q28&lt;&gt;0,MIN('Table 2'!D28,'Table 3'!$Q28),'Table 2'!D28)</f>
        <v>44.843029263282901</v>
      </c>
      <c r="E28" s="12">
        <f ca="1">IF($Q28&lt;&gt;0,MIN('Table 2'!E28,'Table 3'!$Q28),'Table 2'!E28)</f>
        <v>45.534386689775211</v>
      </c>
      <c r="F28" s="12">
        <f ca="1">IF($Q28&lt;&gt;0,MIN('Table 2'!F28,'Table 3'!$Q28),'Table 2'!F28)</f>
        <v>46.25</v>
      </c>
      <c r="G28" s="12">
        <f ca="1">IF($Q28&lt;&gt;0,MIN('Table 2'!G28,'Table 3'!$Q28),'Table 2'!G28)</f>
        <v>43.460505993954499</v>
      </c>
      <c r="H28" s="49">
        <f ca="1">IF($Q28&lt;&gt;0,MIN('Table 2'!H28,'Table 3'!$Q28),'Table 2'!H28)</f>
        <v>43.104143126691582</v>
      </c>
      <c r="I28" s="58">
        <f ca="1">IF($Q28&lt;&gt;0,MIN('Table 2'!I28,'Table 3'!$Q28),'Table 2'!I28)</f>
        <v>43.844667025980314</v>
      </c>
      <c r="J28" s="12">
        <f ca="1">IF($Q28&lt;&gt;0,MIN('Table 2'!J28,'Table 3'!$Q28),'Table 2'!J28)</f>
        <v>44.092105709520567</v>
      </c>
      <c r="K28" s="12">
        <f ca="1">IF($Q28&lt;&gt;0,MIN('Table 2'!K28,'Table 3'!$Q28),'Table 2'!K28)</f>
        <v>44.465712456198752</v>
      </c>
      <c r="L28" s="49">
        <f ca="1">IF($Q28&lt;&gt;0,MIN('Table 2'!L28,'Table 3'!$Q28),'Table 2'!L28)</f>
        <v>45.341122701389146</v>
      </c>
      <c r="M28" s="58">
        <f ca="1">IF($Q28&lt;&gt;0,MIN('Table 2'!M28,'Table 3'!$Q28),'Table 2'!M28)</f>
        <v>43.820607000632258</v>
      </c>
      <c r="N28" s="12">
        <f ca="1">IF($Q28&lt;&gt;0,MIN('Table 2'!N28,'Table 3'!$Q28),'Table 2'!N28)</f>
        <v>44.047458801308004</v>
      </c>
      <c r="O28" s="49">
        <f ca="1">IF($Q28&lt;&gt;0,MIN('Table 2'!O28,'Table 3'!$Q28),'Table 2'!O28)</f>
        <v>45.778250211259561</v>
      </c>
      <c r="Q28" s="57">
        <f ca="1">VLOOKUP(B28,'Table 4'!$B$11:$K$41,9,FALSE)</f>
        <v>46.25</v>
      </c>
    </row>
    <row r="29" spans="2:17" ht="12.75" customHeight="1">
      <c r="B29" s="75">
        <f t="shared" ca="1" si="0"/>
        <v>2030</v>
      </c>
      <c r="C29" s="77">
        <v>45.027870947864017</v>
      </c>
      <c r="D29" s="12">
        <f ca="1">IF($Q29&lt;&gt;0,MIN('Table 2'!D29,'Table 3'!$Q29),'Table 2'!D29)</f>
        <v>45.363926322264319</v>
      </c>
      <c r="E29" s="12">
        <f ca="1">IF($Q29&lt;&gt;0,MIN('Table 2'!E29,'Table 3'!$Q29),'Table 2'!E29)</f>
        <v>46.230967868242089</v>
      </c>
      <c r="F29" s="12">
        <f ca="1">IF($Q29&lt;&gt;0,MIN('Table 2'!F29,'Table 3'!$Q29),'Table 2'!F29)</f>
        <v>46.71</v>
      </c>
      <c r="G29" s="12">
        <f ca="1">IF($Q29&lt;&gt;0,MIN('Table 2'!G29,'Table 3'!$Q29),'Table 2'!G29)</f>
        <v>43.671637914084826</v>
      </c>
      <c r="H29" s="49">
        <f ca="1">IF($Q29&lt;&gt;0,MIN('Table 2'!H29,'Table 3'!$Q29),'Table 2'!H29)</f>
        <v>43.595125559376697</v>
      </c>
      <c r="I29" s="58">
        <f ca="1">IF($Q29&lt;&gt;0,MIN('Table 2'!I29,'Table 3'!$Q29),'Table 2'!I29)</f>
        <v>44.362101116993657</v>
      </c>
      <c r="J29" s="12">
        <f ca="1">IF($Q29&lt;&gt;0,MIN('Table 2'!J29,'Table 3'!$Q29),'Table 2'!J29)</f>
        <v>44.84096879259949</v>
      </c>
      <c r="K29" s="12">
        <f ca="1">IF($Q29&lt;&gt;0,MIN('Table 2'!K29,'Table 3'!$Q29),'Table 2'!K29)</f>
        <v>44.845743714010013</v>
      </c>
      <c r="L29" s="49">
        <f ca="1">IF($Q29&lt;&gt;0,MIN('Table 2'!L29,'Table 3'!$Q29),'Table 2'!L29)</f>
        <v>46.249190944608522</v>
      </c>
      <c r="M29" s="58">
        <f ca="1">IF($Q29&lt;&gt;0,MIN('Table 2'!M29,'Table 3'!$Q29),'Table 2'!M29)</f>
        <v>44.314749442124807</v>
      </c>
      <c r="N29" s="12">
        <f ca="1">IF($Q29&lt;&gt;0,MIN('Table 2'!N29,'Table 3'!$Q29),'Table 2'!N29)</f>
        <v>44.290775802451023</v>
      </c>
      <c r="O29" s="49">
        <f ca="1">IF($Q29&lt;&gt;0,MIN('Table 2'!O29,'Table 3'!$Q29),'Table 2'!O29)</f>
        <v>45.859263897612735</v>
      </c>
      <c r="Q29" s="57">
        <f ca="1">VLOOKUP(B29,'Table 4'!$B$11:$K$41,9,FALSE)</f>
        <v>46.71</v>
      </c>
    </row>
    <row r="30" spans="2:17" ht="12.75" customHeight="1">
      <c r="B30" s="75">
        <f t="shared" ca="1" si="0"/>
        <v>2031</v>
      </c>
      <c r="C30" s="77">
        <v>46.422387997150686</v>
      </c>
      <c r="D30" s="12">
        <f ca="1">IF($Q30&lt;&gt;0,MIN('Table 2'!D30,'Table 3'!$Q30),'Table 2'!D30)</f>
        <v>45.937068895002206</v>
      </c>
      <c r="E30" s="12">
        <f ca="1">IF($Q30&lt;&gt;0,MIN('Table 2'!E30,'Table 3'!$Q30),'Table 2'!E30)</f>
        <v>46.850272436624167</v>
      </c>
      <c r="F30" s="12">
        <f ca="1">IF($Q30&lt;&gt;0,MIN('Table 2'!F30,'Table 3'!$Q30),'Table 2'!F30)</f>
        <v>48.22</v>
      </c>
      <c r="G30" s="12">
        <f ca="1">IF($Q30&lt;&gt;0,MIN('Table 2'!G30,'Table 3'!$Q30),'Table 2'!G30)</f>
        <v>44.876837272059198</v>
      </c>
      <c r="H30" s="49">
        <f ca="1">IF($Q30&lt;&gt;0,MIN('Table 2'!H30,'Table 3'!$Q30),'Table 2'!H30)</f>
        <v>45.143152519133103</v>
      </c>
      <c r="I30" s="58">
        <f ca="1">IF($Q30&lt;&gt;0,MIN('Table 2'!I30,'Table 3'!$Q30),'Table 2'!I30)</f>
        <v>45.766189365195586</v>
      </c>
      <c r="J30" s="12">
        <f ca="1">IF($Q30&lt;&gt;0,MIN('Table 2'!J30,'Table 3'!$Q30),'Table 2'!J30)</f>
        <v>46.597151632985877</v>
      </c>
      <c r="K30" s="12">
        <f ca="1">IF($Q30&lt;&gt;0,MIN('Table 2'!K30,'Table 3'!$Q30),'Table 2'!K30)</f>
        <v>46.349257674415526</v>
      </c>
      <c r="L30" s="49">
        <f ca="1">IF($Q30&lt;&gt;0,MIN('Table 2'!L30,'Table 3'!$Q30),'Table 2'!L30)</f>
        <v>47.701976121895846</v>
      </c>
      <c r="M30" s="58">
        <f ca="1">IF($Q30&lt;&gt;0,MIN('Table 2'!M30,'Table 3'!$Q30),'Table 2'!M30)</f>
        <v>45.959627340923923</v>
      </c>
      <c r="N30" s="12">
        <f ca="1">IF($Q30&lt;&gt;0,MIN('Table 2'!N30,'Table 3'!$Q30),'Table 2'!N30)</f>
        <v>45.984041297548735</v>
      </c>
      <c r="O30" s="49">
        <f ca="1">IF($Q30&lt;&gt;0,MIN('Table 2'!O30,'Table 3'!$Q30),'Table 2'!O30)</f>
        <v>47.683081410024116</v>
      </c>
      <c r="Q30" s="57">
        <f ca="1">VLOOKUP(B30,'Table 4'!$B$11:$K$41,9,FALSE)</f>
        <v>48.22</v>
      </c>
    </row>
    <row r="31" spans="2:17" ht="12.75" customHeight="1">
      <c r="B31" s="76">
        <f t="shared" ca="1" si="0"/>
        <v>2032</v>
      </c>
      <c r="C31" s="78">
        <v>47.326253101966081</v>
      </c>
      <c r="D31" s="21">
        <f ca="1">IF($Q31&lt;&gt;0,MIN('Table 2'!D31,'Table 3'!$Q31),'Table 2'!D31)</f>
        <v>46.612344614199586</v>
      </c>
      <c r="E31" s="21">
        <f ca="1">IF($Q31&lt;&gt;0,MIN('Table 2'!E31,'Table 3'!$Q31),'Table 2'!E31)</f>
        <v>47.668153718660982</v>
      </c>
      <c r="F31" s="21">
        <f ca="1">IF($Q31&lt;&gt;0,MIN('Table 2'!F31,'Table 3'!$Q31),'Table 2'!F31)</f>
        <v>49.2</v>
      </c>
      <c r="G31" s="21">
        <f ca="1">IF($Q31&lt;&gt;0,MIN('Table 2'!G31,'Table 3'!$Q31),'Table 2'!G31)</f>
        <v>47.350815059804155</v>
      </c>
      <c r="H31" s="50">
        <f ca="1">IF($Q31&lt;&gt;0,MIN('Table 2'!H31,'Table 3'!$Q31),'Table 2'!H31)</f>
        <v>46.162540968057478</v>
      </c>
      <c r="I31" s="114">
        <f ca="1">IF($Q31&lt;&gt;0,MIN('Table 2'!I31,'Table 3'!$Q31),'Table 2'!I31)</f>
        <v>46.652850982842885</v>
      </c>
      <c r="J31" s="21">
        <f ca="1">IF($Q31&lt;&gt;0,MIN('Table 2'!J31,'Table 3'!$Q31),'Table 2'!J31)</f>
        <v>47.172205676311826</v>
      </c>
      <c r="K31" s="21">
        <f ca="1">IF($Q31&lt;&gt;0,MIN('Table 2'!K31,'Table 3'!$Q31),'Table 2'!K31)</f>
        <v>47.257459985137288</v>
      </c>
      <c r="L31" s="50">
        <f ca="1">IF($Q31&lt;&gt;0,MIN('Table 2'!L31,'Table 3'!$Q31),'Table 2'!L31)</f>
        <v>47.839638427940066</v>
      </c>
      <c r="M31" s="114">
        <f ca="1">IF($Q31&lt;&gt;0,MIN('Table 2'!M31,'Table 3'!$Q31),'Table 2'!M31)</f>
        <v>46.787602025237</v>
      </c>
      <c r="N31" s="21">
        <f ca="1">IF($Q31&lt;&gt;0,MIN('Table 2'!N31,'Table 3'!$Q31),'Table 2'!N31)</f>
        <v>46.687105653921471</v>
      </c>
      <c r="O31" s="50">
        <f ca="1">IF($Q31&lt;&gt;0,MIN('Table 2'!O31,'Table 3'!$Q31),'Table 2'!O31)</f>
        <v>48.524320111480279</v>
      </c>
      <c r="Q31" s="115">
        <f ca="1">VLOOKUP(B31,'Table 4'!$B$11:$K$41,9,FALSE)</f>
        <v>49.2</v>
      </c>
    </row>
    <row r="32" spans="2:17" ht="12.75" customHeight="1">
      <c r="D32" s="19"/>
      <c r="E32" s="19"/>
      <c r="F32" s="19"/>
      <c r="M32" s="27"/>
    </row>
    <row r="33" spans="3:14">
      <c r="C33" s="6" t="s">
        <v>51</v>
      </c>
    </row>
    <row r="34" spans="3:14">
      <c r="C34" s="79" t="s">
        <v>49</v>
      </c>
      <c r="D34" s="79"/>
      <c r="E34" s="79"/>
      <c r="F34" s="79"/>
      <c r="G34" s="79"/>
      <c r="M34" s="6"/>
      <c r="N34" s="8"/>
    </row>
  </sheetData>
  <phoneticPr fontId="6" type="noConversion"/>
  <conditionalFormatting sqref="D13:O31">
    <cfRule type="cellIs" dxfId="0" priority="1" stopIfTrue="1" operator="equal">
      <formula>$Q13</formula>
    </cfRule>
  </conditionalFormatting>
  <printOptions horizontalCentered="1"/>
  <pageMargins left="0.8" right="0.3" top="0.4" bottom="0.4" header="0.5" footer="0.2"/>
  <pageSetup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O95"/>
  <sheetViews>
    <sheetView tabSelected="1" zoomScaleNormal="100" zoomScaleSheetLayoutView="85" workbookViewId="0"/>
  </sheetViews>
  <sheetFormatPr defaultColWidth="9.33203125" defaultRowHeight="12.75"/>
  <cols>
    <col min="1" max="1" width="2.83203125" style="178" customWidth="1"/>
    <col min="2" max="2" width="10.83203125" style="178" customWidth="1"/>
    <col min="3" max="3" width="14.1640625" style="178" customWidth="1"/>
    <col min="4" max="4" width="12.33203125" style="178" customWidth="1"/>
    <col min="5" max="5" width="9.1640625" style="178" customWidth="1"/>
    <col min="6" max="6" width="10.5" style="178" customWidth="1"/>
    <col min="7" max="7" width="10.5" style="178" bestFit="1" customWidth="1"/>
    <col min="8" max="8" width="11.6640625" style="178" bestFit="1" customWidth="1"/>
    <col min="9" max="9" width="11.1640625" style="178" customWidth="1"/>
    <col min="10" max="10" width="12" style="178" bestFit="1" customWidth="1"/>
    <col min="11" max="11" width="12" style="178" customWidth="1"/>
    <col min="12" max="13" width="9.33203125" style="178"/>
    <col min="14" max="15" width="9.33203125" style="178" customWidth="1"/>
    <col min="16" max="16384" width="9.33203125" style="178"/>
  </cols>
  <sheetData>
    <row r="1" spans="2:14" ht="15.75">
      <c r="B1" s="1" t="s">
        <v>76</v>
      </c>
      <c r="C1" s="177"/>
      <c r="D1" s="177"/>
      <c r="E1" s="177"/>
      <c r="F1" s="177"/>
      <c r="G1" s="177"/>
      <c r="H1" s="177"/>
      <c r="I1" s="177"/>
      <c r="J1" s="177"/>
      <c r="K1" s="177"/>
    </row>
    <row r="2" spans="2:14" ht="15.75">
      <c r="B2" s="1"/>
      <c r="C2" s="177"/>
      <c r="D2" s="177"/>
      <c r="E2" s="177"/>
      <c r="F2" s="177"/>
      <c r="G2" s="177"/>
      <c r="H2" s="177"/>
      <c r="I2" s="177"/>
      <c r="J2" s="177"/>
      <c r="K2" s="177"/>
    </row>
    <row r="3" spans="2:14" ht="15.75">
      <c r="B3" s="1" t="str">
        <f ca="1">"Table "&amp;RIGHT('Table 3'!B3,1)+1</f>
        <v>Table 4</v>
      </c>
      <c r="C3" s="177"/>
      <c r="D3" s="177"/>
      <c r="E3" s="177"/>
      <c r="F3" s="177"/>
      <c r="G3" s="177"/>
      <c r="H3" s="177"/>
      <c r="I3" s="177"/>
      <c r="J3" s="177"/>
      <c r="K3" s="177"/>
    </row>
    <row r="4" spans="2:14" ht="15.75">
      <c r="B4" s="1" t="s">
        <v>102</v>
      </c>
      <c r="C4" s="177"/>
      <c r="D4" s="177"/>
      <c r="E4" s="177"/>
      <c r="F4" s="177"/>
      <c r="G4" s="177"/>
      <c r="H4" s="177"/>
      <c r="I4" s="177"/>
      <c r="J4" s="177"/>
      <c r="K4" s="177"/>
    </row>
    <row r="5" spans="2:14" ht="15.75">
      <c r="B5" s="1" t="str">
        <f>C54</f>
        <v xml:space="preserve">2025 CCCT (423 MW "J" 1x1) </v>
      </c>
      <c r="C5" s="177"/>
      <c r="D5" s="177"/>
      <c r="E5" s="177"/>
      <c r="F5" s="177"/>
      <c r="G5" s="177"/>
      <c r="H5" s="177"/>
      <c r="I5" s="177"/>
      <c r="J5" s="177"/>
      <c r="K5" s="177"/>
    </row>
    <row r="6" spans="2:14" ht="15.75">
      <c r="B6" s="1"/>
      <c r="C6" s="177"/>
      <c r="D6" s="177"/>
      <c r="E6" s="177"/>
      <c r="F6" s="177"/>
      <c r="G6" s="177"/>
      <c r="H6" s="177"/>
      <c r="I6" s="177"/>
      <c r="K6" s="82"/>
    </row>
    <row r="7" spans="2:14">
      <c r="B7" s="179"/>
      <c r="C7" s="179"/>
      <c r="D7" s="179"/>
      <c r="E7" s="179"/>
      <c r="F7" s="179"/>
      <c r="G7" s="179"/>
      <c r="H7" s="179"/>
      <c r="I7" s="177"/>
      <c r="J7" s="180"/>
      <c r="K7" s="180"/>
      <c r="L7" s="180"/>
      <c r="M7" s="180"/>
      <c r="N7" s="180"/>
    </row>
    <row r="8" spans="2:14" ht="51.75" customHeight="1">
      <c r="B8" s="83" t="s">
        <v>0</v>
      </c>
      <c r="C8" s="84" t="s">
        <v>11</v>
      </c>
      <c r="D8" s="84" t="s">
        <v>12</v>
      </c>
      <c r="E8" s="84" t="s">
        <v>13</v>
      </c>
      <c r="F8" s="84" t="s">
        <v>14</v>
      </c>
      <c r="G8" s="84" t="s">
        <v>15</v>
      </c>
      <c r="H8" s="84" t="s">
        <v>16</v>
      </c>
      <c r="I8" s="85" t="s">
        <v>41</v>
      </c>
      <c r="J8" s="85" t="s">
        <v>90</v>
      </c>
      <c r="K8" s="84" t="s">
        <v>91</v>
      </c>
      <c r="L8" s="180"/>
    </row>
    <row r="9" spans="2:14" ht="18.75" customHeight="1">
      <c r="B9" s="86"/>
      <c r="C9" s="87" t="s">
        <v>9</v>
      </c>
      <c r="D9" s="88" t="s">
        <v>10</v>
      </c>
      <c r="E9" s="88" t="s">
        <v>10</v>
      </c>
      <c r="F9" s="87" t="s">
        <v>62</v>
      </c>
      <c r="G9" s="88" t="s">
        <v>10</v>
      </c>
      <c r="H9" s="88" t="s">
        <v>10</v>
      </c>
      <c r="I9" s="88" t="s">
        <v>42</v>
      </c>
      <c r="J9" s="87" t="s">
        <v>62</v>
      </c>
      <c r="K9" s="87" t="s">
        <v>62</v>
      </c>
      <c r="L9" s="180"/>
    </row>
    <row r="10" spans="2:14"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8</v>
      </c>
      <c r="I10" s="2" t="s">
        <v>43</v>
      </c>
      <c r="J10" s="2" t="s">
        <v>44</v>
      </c>
      <c r="K10" s="2" t="s">
        <v>53</v>
      </c>
    </row>
    <row r="11" spans="2:14" ht="6" customHeight="1"/>
    <row r="12" spans="2:14" ht="15.75">
      <c r="B12" s="137" t="str">
        <f>C54</f>
        <v xml:space="preserve">2025 CCCT (423 MW "J" 1x1) </v>
      </c>
      <c r="C12" s="180"/>
      <c r="E12" s="180"/>
      <c r="F12" s="180"/>
      <c r="G12" s="180"/>
      <c r="H12" s="180"/>
      <c r="I12" s="179"/>
      <c r="J12" s="179"/>
      <c r="K12" s="179"/>
      <c r="L12" s="180"/>
    </row>
    <row r="13" spans="2:14" ht="4.5" customHeight="1">
      <c r="B13" s="181"/>
      <c r="C13" s="182"/>
      <c r="D13" s="183"/>
      <c r="E13" s="184"/>
      <c r="F13" s="184"/>
      <c r="G13" s="185"/>
      <c r="H13" s="185"/>
      <c r="I13" s="185"/>
      <c r="J13" s="185"/>
      <c r="K13" s="185"/>
    </row>
    <row r="14" spans="2:14">
      <c r="B14" s="181">
        <v>2010</v>
      </c>
      <c r="C14" s="182">
        <f>$H$60</f>
        <v>905</v>
      </c>
      <c r="D14" s="183">
        <f>ROUND(C14*$C$76,2)</f>
        <v>74.209999999999994</v>
      </c>
      <c r="E14" s="184">
        <f>$I$60</f>
        <v>24.78</v>
      </c>
      <c r="F14" s="184">
        <f>$J$65</f>
        <v>2.63</v>
      </c>
      <c r="G14" s="185">
        <f t="shared" ref="G14:G42" si="0">ROUND(F14*(8.76*$G$65)+E14,2)</f>
        <v>36.74</v>
      </c>
      <c r="H14" s="185">
        <f t="shared" ref="H14:H42" si="1">ROUND(D14+G14,2)</f>
        <v>110.95</v>
      </c>
      <c r="I14" s="185"/>
      <c r="J14" s="185"/>
      <c r="K14" s="185"/>
    </row>
    <row r="15" spans="2:14">
      <c r="B15" s="181">
        <f t="shared" ref="B15:B42" si="2">B14+1</f>
        <v>2011</v>
      </c>
      <c r="C15" s="186"/>
      <c r="D15" s="183">
        <f t="shared" ref="D15:F22" si="3">ROUND(D14*(1+$D84),2)</f>
        <v>76.14</v>
      </c>
      <c r="E15" s="183">
        <f t="shared" si="3"/>
        <v>25.42</v>
      </c>
      <c r="F15" s="183">
        <f t="shared" si="3"/>
        <v>2.7</v>
      </c>
      <c r="G15" s="187">
        <f t="shared" si="0"/>
        <v>37.700000000000003</v>
      </c>
      <c r="H15" s="187">
        <f t="shared" si="1"/>
        <v>113.84</v>
      </c>
      <c r="I15" s="185"/>
      <c r="J15" s="185"/>
      <c r="K15" s="185"/>
    </row>
    <row r="16" spans="2:14">
      <c r="B16" s="181">
        <f t="shared" si="2"/>
        <v>2012</v>
      </c>
      <c r="C16" s="186"/>
      <c r="D16" s="183">
        <f t="shared" si="3"/>
        <v>77.430000000000007</v>
      </c>
      <c r="E16" s="183">
        <f t="shared" si="3"/>
        <v>25.85</v>
      </c>
      <c r="F16" s="183">
        <f t="shared" si="3"/>
        <v>2.75</v>
      </c>
      <c r="G16" s="185">
        <f t="shared" si="0"/>
        <v>38.35</v>
      </c>
      <c r="H16" s="185">
        <f t="shared" si="1"/>
        <v>115.78</v>
      </c>
      <c r="I16" s="185"/>
      <c r="J16" s="185"/>
      <c r="K16" s="185"/>
    </row>
    <row r="17" spans="2:11">
      <c r="B17" s="181">
        <f t="shared" si="2"/>
        <v>2013</v>
      </c>
      <c r="C17" s="186"/>
      <c r="D17" s="187">
        <f t="shared" si="3"/>
        <v>78.44</v>
      </c>
      <c r="E17" s="187">
        <f t="shared" si="3"/>
        <v>26.19</v>
      </c>
      <c r="F17" s="187">
        <f t="shared" si="3"/>
        <v>2.79</v>
      </c>
      <c r="G17" s="185">
        <f t="shared" si="0"/>
        <v>38.869999999999997</v>
      </c>
      <c r="H17" s="185">
        <f t="shared" si="1"/>
        <v>117.31</v>
      </c>
      <c r="I17" s="185"/>
      <c r="J17" s="185"/>
      <c r="K17" s="185"/>
    </row>
    <row r="18" spans="2:11">
      <c r="B18" s="181">
        <f t="shared" si="2"/>
        <v>2014</v>
      </c>
      <c r="C18" s="186"/>
      <c r="D18" s="187">
        <f t="shared" si="3"/>
        <v>80.010000000000005</v>
      </c>
      <c r="E18" s="187">
        <f t="shared" si="3"/>
        <v>26.71</v>
      </c>
      <c r="F18" s="187">
        <f t="shared" si="3"/>
        <v>2.85</v>
      </c>
      <c r="G18" s="185">
        <f t="shared" si="0"/>
        <v>39.67</v>
      </c>
      <c r="H18" s="185">
        <f t="shared" si="1"/>
        <v>119.68</v>
      </c>
      <c r="I18" s="185"/>
      <c r="J18" s="185"/>
      <c r="K18" s="185"/>
    </row>
    <row r="19" spans="2:11">
      <c r="B19" s="181">
        <f t="shared" si="2"/>
        <v>2015</v>
      </c>
      <c r="C19" s="186"/>
      <c r="D19" s="187">
        <f t="shared" si="3"/>
        <v>81.53</v>
      </c>
      <c r="E19" s="187">
        <f t="shared" si="3"/>
        <v>27.22</v>
      </c>
      <c r="F19" s="187">
        <f t="shared" si="3"/>
        <v>2.9</v>
      </c>
      <c r="G19" s="185">
        <f t="shared" si="0"/>
        <v>40.4</v>
      </c>
      <c r="H19" s="185">
        <f t="shared" si="1"/>
        <v>121.93</v>
      </c>
      <c r="I19" s="185"/>
      <c r="J19" s="185"/>
      <c r="K19" s="185"/>
    </row>
    <row r="20" spans="2:11">
      <c r="B20" s="181">
        <f t="shared" si="2"/>
        <v>2016</v>
      </c>
      <c r="C20" s="186"/>
      <c r="D20" s="187">
        <f t="shared" si="3"/>
        <v>82.92</v>
      </c>
      <c r="E20" s="187">
        <f t="shared" si="3"/>
        <v>27.68</v>
      </c>
      <c r="F20" s="187">
        <f t="shared" si="3"/>
        <v>2.95</v>
      </c>
      <c r="G20" s="185">
        <f t="shared" si="0"/>
        <v>41.09</v>
      </c>
      <c r="H20" s="185">
        <f t="shared" si="1"/>
        <v>124.01</v>
      </c>
      <c r="I20" s="185"/>
      <c r="J20" s="185"/>
      <c r="K20" s="185"/>
    </row>
    <row r="21" spans="2:11">
      <c r="B21" s="181">
        <f t="shared" si="2"/>
        <v>2017</v>
      </c>
      <c r="C21" s="186"/>
      <c r="D21" s="187">
        <f t="shared" si="3"/>
        <v>84.25</v>
      </c>
      <c r="E21" s="187">
        <f t="shared" si="3"/>
        <v>28.12</v>
      </c>
      <c r="F21" s="187">
        <f t="shared" si="3"/>
        <v>3</v>
      </c>
      <c r="G21" s="185">
        <f t="shared" si="0"/>
        <v>41.76</v>
      </c>
      <c r="H21" s="185">
        <f t="shared" si="1"/>
        <v>126.01</v>
      </c>
      <c r="I21" s="185"/>
      <c r="J21" s="185"/>
      <c r="K21" s="185"/>
    </row>
    <row r="22" spans="2:11">
      <c r="B22" s="181">
        <f t="shared" si="2"/>
        <v>2018</v>
      </c>
      <c r="C22" s="186"/>
      <c r="D22" s="187">
        <f t="shared" si="3"/>
        <v>85.6</v>
      </c>
      <c r="E22" s="187">
        <f t="shared" si="3"/>
        <v>28.57</v>
      </c>
      <c r="F22" s="187">
        <f t="shared" si="3"/>
        <v>3.05</v>
      </c>
      <c r="G22" s="185">
        <f t="shared" si="0"/>
        <v>42.44</v>
      </c>
      <c r="H22" s="185">
        <f t="shared" si="1"/>
        <v>128.04</v>
      </c>
      <c r="I22" s="185"/>
      <c r="J22" s="185"/>
      <c r="K22" s="185"/>
    </row>
    <row r="23" spans="2:11">
      <c r="B23" s="181">
        <f t="shared" si="2"/>
        <v>2019</v>
      </c>
      <c r="C23" s="186"/>
      <c r="D23" s="187">
        <f t="shared" ref="D23:F31" si="4">ROUND(D22*(1+$G83),2)</f>
        <v>86.97</v>
      </c>
      <c r="E23" s="187">
        <f t="shared" si="4"/>
        <v>29.03</v>
      </c>
      <c r="F23" s="187">
        <f t="shared" si="4"/>
        <v>3.1</v>
      </c>
      <c r="G23" s="185">
        <f t="shared" si="0"/>
        <v>43.12</v>
      </c>
      <c r="H23" s="185">
        <f t="shared" si="1"/>
        <v>130.09</v>
      </c>
      <c r="I23" s="185"/>
      <c r="J23" s="185"/>
      <c r="K23" s="185"/>
    </row>
    <row r="24" spans="2:11">
      <c r="B24" s="181">
        <f t="shared" si="2"/>
        <v>2020</v>
      </c>
      <c r="C24" s="186"/>
      <c r="D24" s="187">
        <f t="shared" si="4"/>
        <v>88.36</v>
      </c>
      <c r="E24" s="187">
        <f t="shared" si="4"/>
        <v>29.49</v>
      </c>
      <c r="F24" s="187">
        <f t="shared" si="4"/>
        <v>3.15</v>
      </c>
      <c r="G24" s="185">
        <f t="shared" si="0"/>
        <v>43.81</v>
      </c>
      <c r="H24" s="185">
        <f t="shared" si="1"/>
        <v>132.16999999999999</v>
      </c>
      <c r="I24" s="185"/>
      <c r="J24" s="185"/>
      <c r="K24" s="185"/>
    </row>
    <row r="25" spans="2:11">
      <c r="B25" s="181">
        <f t="shared" si="2"/>
        <v>2021</v>
      </c>
      <c r="C25" s="186"/>
      <c r="D25" s="187">
        <f t="shared" si="4"/>
        <v>90.04</v>
      </c>
      <c r="E25" s="187">
        <f t="shared" si="4"/>
        <v>30.05</v>
      </c>
      <c r="F25" s="187">
        <f t="shared" si="4"/>
        <v>3.21</v>
      </c>
      <c r="G25" s="185">
        <f t="shared" si="0"/>
        <v>44.64</v>
      </c>
      <c r="H25" s="185">
        <f t="shared" si="1"/>
        <v>134.68</v>
      </c>
      <c r="I25" s="185"/>
      <c r="J25" s="185"/>
      <c r="K25" s="185"/>
    </row>
    <row r="26" spans="2:11">
      <c r="B26" s="181">
        <f t="shared" si="2"/>
        <v>2022</v>
      </c>
      <c r="C26" s="186"/>
      <c r="D26" s="187">
        <f t="shared" si="4"/>
        <v>91.75</v>
      </c>
      <c r="E26" s="187">
        <f t="shared" si="4"/>
        <v>30.62</v>
      </c>
      <c r="F26" s="187">
        <f t="shared" si="4"/>
        <v>3.27</v>
      </c>
      <c r="G26" s="185">
        <f t="shared" si="0"/>
        <v>45.49</v>
      </c>
      <c r="H26" s="185">
        <f t="shared" si="1"/>
        <v>137.24</v>
      </c>
      <c r="I26" s="185"/>
      <c r="J26" s="185"/>
      <c r="K26" s="185"/>
    </row>
    <row r="27" spans="2:11">
      <c r="B27" s="181">
        <f t="shared" si="2"/>
        <v>2023</v>
      </c>
      <c r="C27" s="186"/>
      <c r="D27" s="187">
        <f t="shared" si="4"/>
        <v>93.49</v>
      </c>
      <c r="E27" s="187">
        <f t="shared" si="4"/>
        <v>31.2</v>
      </c>
      <c r="F27" s="187">
        <f t="shared" si="4"/>
        <v>3.33</v>
      </c>
      <c r="G27" s="185">
        <f t="shared" si="0"/>
        <v>46.34</v>
      </c>
      <c r="H27" s="185">
        <f t="shared" si="1"/>
        <v>139.83000000000001</v>
      </c>
      <c r="I27" s="185"/>
      <c r="J27" s="185"/>
      <c r="K27" s="185"/>
    </row>
    <row r="28" spans="2:11" ht="13.5" thickBot="1">
      <c r="B28" s="188">
        <f t="shared" si="2"/>
        <v>2024</v>
      </c>
      <c r="C28" s="189"/>
      <c r="D28" s="190">
        <f t="shared" si="4"/>
        <v>95.27</v>
      </c>
      <c r="E28" s="191">
        <f t="shared" si="4"/>
        <v>31.79</v>
      </c>
      <c r="F28" s="191">
        <f t="shared" si="4"/>
        <v>3.39</v>
      </c>
      <c r="G28" s="190">
        <f t="shared" si="0"/>
        <v>47.2</v>
      </c>
      <c r="H28" s="190">
        <f t="shared" si="1"/>
        <v>142.47</v>
      </c>
      <c r="I28" s="190"/>
      <c r="J28" s="190"/>
      <c r="K28" s="190"/>
    </row>
    <row r="29" spans="2:11">
      <c r="B29" s="181">
        <f t="shared" si="2"/>
        <v>2025</v>
      </c>
      <c r="C29" s="186"/>
      <c r="D29" s="185">
        <f t="shared" si="4"/>
        <v>97.08</v>
      </c>
      <c r="E29" s="183">
        <f t="shared" si="4"/>
        <v>32.39</v>
      </c>
      <c r="F29" s="183">
        <f t="shared" si="4"/>
        <v>3.45</v>
      </c>
      <c r="G29" s="185">
        <f t="shared" si="0"/>
        <v>48.08</v>
      </c>
      <c r="H29" s="185">
        <f t="shared" si="1"/>
        <v>145.16</v>
      </c>
      <c r="I29" s="185">
        <f ca="1">VLOOKUP(B29,'Table 5'!$B$12:$C$34,2,FALSE)</f>
        <v>6.32</v>
      </c>
      <c r="J29" s="185">
        <f t="shared" ref="J29" ca="1" si="5">ROUND($K$65*I29/1000,2)</f>
        <v>41.46</v>
      </c>
      <c r="K29" s="185">
        <f t="shared" ref="K29" ca="1" si="6">ROUND(H29*1000/8760/$G$65+J29,2)</f>
        <v>73.39</v>
      </c>
    </row>
    <row r="30" spans="2:11">
      <c r="B30" s="181">
        <f t="shared" si="2"/>
        <v>2026</v>
      </c>
      <c r="C30" s="186"/>
      <c r="D30" s="185">
        <f t="shared" si="4"/>
        <v>98.92</v>
      </c>
      <c r="E30" s="183">
        <f t="shared" si="4"/>
        <v>33.01</v>
      </c>
      <c r="F30" s="183">
        <f t="shared" si="4"/>
        <v>3.52</v>
      </c>
      <c r="G30" s="185">
        <f>ROUND(F30*(8.76*$G$65)+E30,2)</f>
        <v>49.01</v>
      </c>
      <c r="H30" s="185">
        <f t="shared" si="1"/>
        <v>147.93</v>
      </c>
      <c r="I30" s="185">
        <f ca="1">VLOOKUP(B30,'Table 5'!$B$12:$C$34,2,FALSE)</f>
        <v>6.75</v>
      </c>
      <c r="J30" s="185">
        <f t="shared" ref="J30:J42" ca="1" si="7">ROUND($K$65*I30/1000,2)</f>
        <v>44.28</v>
      </c>
      <c r="K30" s="185">
        <f t="shared" ref="K30:K42" ca="1" si="8">ROUND(H30*1000/8760/$G$65+J30,2)</f>
        <v>76.819999999999993</v>
      </c>
    </row>
    <row r="31" spans="2:11">
      <c r="B31" s="181">
        <f t="shared" si="2"/>
        <v>2027</v>
      </c>
      <c r="C31" s="186"/>
      <c r="D31" s="185">
        <f t="shared" si="4"/>
        <v>100.8</v>
      </c>
      <c r="E31" s="183">
        <f t="shared" si="4"/>
        <v>33.64</v>
      </c>
      <c r="F31" s="183">
        <f t="shared" si="4"/>
        <v>3.59</v>
      </c>
      <c r="G31" s="185">
        <f t="shared" si="0"/>
        <v>49.96</v>
      </c>
      <c r="H31" s="185">
        <f t="shared" si="1"/>
        <v>150.76</v>
      </c>
      <c r="I31" s="185">
        <f ca="1">VLOOKUP(B31,'Table 5'!$B$12:$C$34,2,FALSE)</f>
        <v>6.79</v>
      </c>
      <c r="J31" s="185">
        <f t="shared" ca="1" si="7"/>
        <v>44.54</v>
      </c>
      <c r="K31" s="185">
        <f t="shared" ca="1" si="8"/>
        <v>77.7</v>
      </c>
    </row>
    <row r="32" spans="2:11">
      <c r="B32" s="181">
        <f t="shared" si="2"/>
        <v>2028</v>
      </c>
      <c r="C32" s="186"/>
      <c r="D32" s="185">
        <f t="shared" ref="D32:F42" si="9">ROUND(D31*(1+$J83),2)</f>
        <v>102.72</v>
      </c>
      <c r="E32" s="183">
        <f t="shared" si="9"/>
        <v>34.28</v>
      </c>
      <c r="F32" s="183">
        <f t="shared" si="9"/>
        <v>3.66</v>
      </c>
      <c r="G32" s="185">
        <f t="shared" si="0"/>
        <v>50.92</v>
      </c>
      <c r="H32" s="185">
        <f t="shared" si="1"/>
        <v>153.63999999999999</v>
      </c>
      <c r="I32" s="185">
        <f ca="1">VLOOKUP(B32,'Table 5'!$B$12:$C$34,2,FALSE)</f>
        <v>6.9</v>
      </c>
      <c r="J32" s="185">
        <f t="shared" ca="1" si="7"/>
        <v>45.26</v>
      </c>
      <c r="K32" s="185">
        <f t="shared" ca="1" si="8"/>
        <v>79.05</v>
      </c>
    </row>
    <row r="33" spans="2:15">
      <c r="B33" s="181">
        <f t="shared" si="2"/>
        <v>2029</v>
      </c>
      <c r="C33" s="186"/>
      <c r="D33" s="185">
        <f t="shared" si="9"/>
        <v>104.67</v>
      </c>
      <c r="E33" s="183">
        <f t="shared" si="9"/>
        <v>34.93</v>
      </c>
      <c r="F33" s="183">
        <f t="shared" si="9"/>
        <v>3.73</v>
      </c>
      <c r="G33" s="185">
        <f t="shared" si="0"/>
        <v>51.89</v>
      </c>
      <c r="H33" s="185">
        <f t="shared" si="1"/>
        <v>156.56</v>
      </c>
      <c r="I33" s="185">
        <f ca="1">VLOOKUP(B33,'Table 5'!$B$12:$C$34,2,FALSE)</f>
        <v>7.05</v>
      </c>
      <c r="J33" s="185">
        <f t="shared" ca="1" si="7"/>
        <v>46.25</v>
      </c>
      <c r="K33" s="185">
        <f t="shared" ca="1" si="8"/>
        <v>80.69</v>
      </c>
    </row>
    <row r="34" spans="2:15">
      <c r="B34" s="181">
        <f t="shared" si="2"/>
        <v>2030</v>
      </c>
      <c r="C34" s="186"/>
      <c r="D34" s="185">
        <f t="shared" si="9"/>
        <v>106.66</v>
      </c>
      <c r="E34" s="183">
        <f t="shared" si="9"/>
        <v>35.590000000000003</v>
      </c>
      <c r="F34" s="183">
        <f t="shared" si="9"/>
        <v>3.8</v>
      </c>
      <c r="G34" s="185">
        <f t="shared" si="0"/>
        <v>52.87</v>
      </c>
      <c r="H34" s="185">
        <f t="shared" si="1"/>
        <v>159.53</v>
      </c>
      <c r="I34" s="185">
        <f ca="1">VLOOKUP(B34,'Table 5'!$B$12:$C$34,2,FALSE)</f>
        <v>7.12</v>
      </c>
      <c r="J34" s="185">
        <f t="shared" ca="1" si="7"/>
        <v>46.71</v>
      </c>
      <c r="K34" s="185">
        <f t="shared" ca="1" si="8"/>
        <v>81.8</v>
      </c>
    </row>
    <row r="35" spans="2:15">
      <c r="B35" s="181">
        <f t="shared" si="2"/>
        <v>2031</v>
      </c>
      <c r="C35" s="186"/>
      <c r="D35" s="185">
        <f t="shared" si="9"/>
        <v>108.79</v>
      </c>
      <c r="E35" s="183">
        <f t="shared" si="9"/>
        <v>36.299999999999997</v>
      </c>
      <c r="F35" s="183">
        <f t="shared" si="9"/>
        <v>3.88</v>
      </c>
      <c r="G35" s="185">
        <f t="shared" si="0"/>
        <v>53.94</v>
      </c>
      <c r="H35" s="185">
        <f t="shared" si="1"/>
        <v>162.72999999999999</v>
      </c>
      <c r="I35" s="185">
        <f ca="1">VLOOKUP(B35,'Table 5'!$B$12:$C$34,2,FALSE)</f>
        <v>7.35</v>
      </c>
      <c r="J35" s="185">
        <f t="shared" ca="1" si="7"/>
        <v>48.22</v>
      </c>
      <c r="K35" s="185">
        <f t="shared" ca="1" si="8"/>
        <v>84.01</v>
      </c>
    </row>
    <row r="36" spans="2:15">
      <c r="B36" s="181">
        <f t="shared" si="2"/>
        <v>2032</v>
      </c>
      <c r="C36" s="186"/>
      <c r="D36" s="185">
        <f t="shared" si="9"/>
        <v>110.97</v>
      </c>
      <c r="E36" s="183">
        <f t="shared" si="9"/>
        <v>37.03</v>
      </c>
      <c r="F36" s="183">
        <f t="shared" si="9"/>
        <v>3.96</v>
      </c>
      <c r="G36" s="185">
        <f t="shared" si="0"/>
        <v>55.03</v>
      </c>
      <c r="H36" s="185">
        <f t="shared" si="1"/>
        <v>166</v>
      </c>
      <c r="I36" s="185">
        <f ca="1">VLOOKUP(B36,'Table 5'!$B$12:$C$34,2,FALSE)</f>
        <v>7.5</v>
      </c>
      <c r="J36" s="185">
        <f t="shared" ca="1" si="7"/>
        <v>49.2</v>
      </c>
      <c r="K36" s="185">
        <f t="shared" ca="1" si="8"/>
        <v>85.71</v>
      </c>
    </row>
    <row r="37" spans="2:15" hidden="1">
      <c r="B37" s="181">
        <f t="shared" si="2"/>
        <v>2033</v>
      </c>
      <c r="C37" s="186"/>
      <c r="D37" s="185">
        <f t="shared" si="9"/>
        <v>113.19</v>
      </c>
      <c r="E37" s="183">
        <f t="shared" si="9"/>
        <v>37.770000000000003</v>
      </c>
      <c r="F37" s="183">
        <f t="shared" si="9"/>
        <v>4.04</v>
      </c>
      <c r="G37" s="185">
        <f t="shared" si="0"/>
        <v>56.14</v>
      </c>
      <c r="H37" s="185">
        <f t="shared" si="1"/>
        <v>169.33</v>
      </c>
      <c r="I37" s="185">
        <f ca="1">VLOOKUP(B37,'Table 5'!$B$12:$C$34,2,FALSE)</f>
        <v>7.65</v>
      </c>
      <c r="J37" s="185">
        <f t="shared" ca="1" si="7"/>
        <v>50.18</v>
      </c>
      <c r="K37" s="185">
        <f t="shared" ca="1" si="8"/>
        <v>87.42</v>
      </c>
    </row>
    <row r="38" spans="2:15" hidden="1">
      <c r="B38" s="181">
        <f t="shared" si="2"/>
        <v>2034</v>
      </c>
      <c r="C38" s="186"/>
      <c r="D38" s="185">
        <f t="shared" si="9"/>
        <v>115.45</v>
      </c>
      <c r="E38" s="183">
        <f t="shared" si="9"/>
        <v>38.53</v>
      </c>
      <c r="F38" s="183">
        <f t="shared" si="9"/>
        <v>4.12</v>
      </c>
      <c r="G38" s="185">
        <f t="shared" si="0"/>
        <v>57.26</v>
      </c>
      <c r="H38" s="185">
        <f t="shared" si="1"/>
        <v>172.71</v>
      </c>
      <c r="I38" s="185">
        <f ca="1">VLOOKUP(B38,'Table 5'!$B$12:$C$34,2,FALSE)</f>
        <v>7.8</v>
      </c>
      <c r="J38" s="185">
        <f t="shared" ca="1" si="7"/>
        <v>51.17</v>
      </c>
      <c r="K38" s="185">
        <f t="shared" ca="1" si="8"/>
        <v>89.16</v>
      </c>
    </row>
    <row r="39" spans="2:15" hidden="1">
      <c r="B39" s="181">
        <f t="shared" si="2"/>
        <v>2035</v>
      </c>
      <c r="C39" s="186"/>
      <c r="D39" s="185">
        <f t="shared" si="9"/>
        <v>117.76</v>
      </c>
      <c r="E39" s="183">
        <f t="shared" si="9"/>
        <v>39.299999999999997</v>
      </c>
      <c r="F39" s="183">
        <f t="shared" si="9"/>
        <v>4.2</v>
      </c>
      <c r="G39" s="185">
        <f t="shared" si="0"/>
        <v>58.4</v>
      </c>
      <c r="H39" s="185">
        <f t="shared" si="1"/>
        <v>176.16</v>
      </c>
      <c r="I39" s="185">
        <f ca="1">VLOOKUP(B39,'Table 5'!$B$12:$C$34,2,FALSE)</f>
        <v>7.96</v>
      </c>
      <c r="J39" s="185">
        <f t="shared" ca="1" si="7"/>
        <v>52.22</v>
      </c>
      <c r="K39" s="185">
        <f t="shared" ca="1" si="8"/>
        <v>90.97</v>
      </c>
    </row>
    <row r="40" spans="2:15" hidden="1">
      <c r="B40" s="181">
        <f t="shared" si="2"/>
        <v>2036</v>
      </c>
      <c r="C40" s="186"/>
      <c r="D40" s="185">
        <f t="shared" si="9"/>
        <v>120.12</v>
      </c>
      <c r="E40" s="183">
        <f t="shared" si="9"/>
        <v>40.090000000000003</v>
      </c>
      <c r="F40" s="183">
        <f t="shared" si="9"/>
        <v>4.28</v>
      </c>
      <c r="G40" s="185">
        <f t="shared" si="0"/>
        <v>59.55</v>
      </c>
      <c r="H40" s="185">
        <f t="shared" si="1"/>
        <v>179.67</v>
      </c>
      <c r="I40" s="185">
        <f ca="1">VLOOKUP(B40,'Table 5'!$B$12:$C$34,2,FALSE)</f>
        <v>8.1199999999999992</v>
      </c>
      <c r="J40" s="185">
        <f t="shared" ca="1" si="7"/>
        <v>53.27</v>
      </c>
      <c r="K40" s="185">
        <f t="shared" ca="1" si="8"/>
        <v>92.79</v>
      </c>
    </row>
    <row r="41" spans="2:15" hidden="1">
      <c r="B41" s="181">
        <f t="shared" si="2"/>
        <v>2037</v>
      </c>
      <c r="C41" s="186"/>
      <c r="D41" s="185">
        <f t="shared" si="9"/>
        <v>122.52</v>
      </c>
      <c r="E41" s="183">
        <f t="shared" si="9"/>
        <v>40.89</v>
      </c>
      <c r="F41" s="183">
        <f t="shared" si="9"/>
        <v>4.37</v>
      </c>
      <c r="G41" s="185">
        <f t="shared" si="0"/>
        <v>60.76</v>
      </c>
      <c r="H41" s="185">
        <f t="shared" si="1"/>
        <v>183.28</v>
      </c>
      <c r="I41" s="185">
        <f ca="1">VLOOKUP(B41,'Table 5'!$B$12:$C$34,2,FALSE)</f>
        <v>8.2799999999999994</v>
      </c>
      <c r="J41" s="185">
        <f t="shared" ca="1" si="7"/>
        <v>54.32</v>
      </c>
      <c r="K41" s="185">
        <f t="shared" ca="1" si="8"/>
        <v>94.63</v>
      </c>
    </row>
    <row r="42" spans="2:15" hidden="1">
      <c r="B42" s="181">
        <f t="shared" si="2"/>
        <v>2038</v>
      </c>
      <c r="C42" s="186"/>
      <c r="D42" s="185">
        <f t="shared" si="9"/>
        <v>124.97</v>
      </c>
      <c r="E42" s="183">
        <f t="shared" si="9"/>
        <v>41.71</v>
      </c>
      <c r="F42" s="183">
        <f t="shared" si="9"/>
        <v>4.46</v>
      </c>
      <c r="G42" s="185">
        <f t="shared" si="0"/>
        <v>61.99</v>
      </c>
      <c r="H42" s="185">
        <f t="shared" si="1"/>
        <v>186.96</v>
      </c>
      <c r="I42" s="185">
        <f ca="1">VLOOKUP(B42,'Table 5'!$B$12:$C$34,2,FALSE)</f>
        <v>8.4499999999999993</v>
      </c>
      <c r="J42" s="185">
        <f t="shared" ca="1" si="7"/>
        <v>55.43</v>
      </c>
      <c r="K42" s="185">
        <f t="shared" ca="1" si="8"/>
        <v>96.55</v>
      </c>
    </row>
    <row r="43" spans="2:15">
      <c r="M43" s="181"/>
      <c r="O43" s="192"/>
    </row>
    <row r="44" spans="2:15" ht="14.25">
      <c r="B44" s="7" t="s">
        <v>54</v>
      </c>
      <c r="C44" s="89"/>
      <c r="D44" s="89"/>
      <c r="E44" s="89"/>
      <c r="F44" s="89"/>
      <c r="G44" s="89"/>
      <c r="H44" s="89"/>
      <c r="I44" s="89"/>
      <c r="J44" s="89"/>
      <c r="K44" s="89"/>
      <c r="M44" s="181"/>
      <c r="N44" s="192"/>
      <c r="O44" s="192"/>
    </row>
    <row r="46" spans="2:15">
      <c r="B46" s="178" t="s">
        <v>31</v>
      </c>
      <c r="D46" s="193" t="s">
        <v>112</v>
      </c>
    </row>
    <row r="47" spans="2:15">
      <c r="C47" s="194" t="str">
        <f>D10</f>
        <v>(b)</v>
      </c>
      <c r="D47" s="185" t="str">
        <f>"= "&amp;C10&amp;" x "&amp;C76</f>
        <v>= (a) x 0.082</v>
      </c>
    </row>
    <row r="48" spans="2:15">
      <c r="C48" s="194" t="str">
        <f>G10</f>
        <v>(e)</v>
      </c>
      <c r="D48" s="185" t="str">
        <f>"= "&amp;$F$10&amp;" x  (8.76 x "&amp;TEXT(G65,"0.0%")&amp;") + "&amp;$E$10</f>
        <v>= (d) x  (8.76 x 51.9%) + (c)</v>
      </c>
    </row>
    <row r="49" spans="3:11">
      <c r="C49" s="194" t="str">
        <f>H10</f>
        <v>(f)</v>
      </c>
      <c r="D49" s="185" t="str">
        <f>"= "&amp;D10&amp;" + "&amp;G10</f>
        <v>= (b) + (e)</v>
      </c>
    </row>
    <row r="50" spans="3:11">
      <c r="C50" s="194" t="str">
        <f>I10</f>
        <v>(g)</v>
      </c>
      <c r="D50" s="195" t="str">
        <f ca="1">'Table 5'!B3&amp;" - "&amp;'Table 5'!B4</f>
        <v>Table 5 - Burnertip Natural Gas Price Forecast</v>
      </c>
    </row>
    <row r="51" spans="3:11">
      <c r="C51" s="194" t="str">
        <f>J10</f>
        <v>(h)</v>
      </c>
      <c r="D51" s="185" t="str">
        <f>"= "&amp;K65&amp;" x "&amp;I10&amp;" / 1000"</f>
        <v>= 6560 x (g) / 1000</v>
      </c>
    </row>
    <row r="52" spans="3:11">
      <c r="C52" s="194" t="str">
        <f>K10</f>
        <v>(i)</v>
      </c>
      <c r="D52" s="196" t="str">
        <f>"= "&amp;H10&amp;" / (8.76 x 'Capacity Factor' ) + "&amp;J10</f>
        <v>= (f) / (8.76 x 'Capacity Factor' ) + (h)</v>
      </c>
    </row>
    <row r="53" spans="3:11" ht="13.5" thickBot="1"/>
    <row r="54" spans="3:11" ht="13.5" thickBot="1">
      <c r="C54" s="135" t="s">
        <v>101</v>
      </c>
      <c r="D54" s="132"/>
      <c r="E54" s="132"/>
      <c r="F54" s="132"/>
      <c r="G54" s="132"/>
      <c r="H54" s="132"/>
      <c r="I54" s="132"/>
      <c r="J54" s="133"/>
      <c r="K54" s="197"/>
    </row>
    <row r="55" spans="3:11" ht="5.25" customHeight="1"/>
    <row r="56" spans="3:11" ht="5.25" customHeight="1"/>
    <row r="57" spans="3:11">
      <c r="C57" s="117" t="s">
        <v>64</v>
      </c>
      <c r="D57" s="97"/>
      <c r="E57" s="117"/>
      <c r="F57" s="116" t="s">
        <v>65</v>
      </c>
      <c r="G57" s="116" t="s">
        <v>66</v>
      </c>
      <c r="H57" s="116" t="s">
        <v>67</v>
      </c>
      <c r="I57" s="116" t="s">
        <v>68</v>
      </c>
    </row>
    <row r="58" spans="3:11">
      <c r="C58" s="178" t="s">
        <v>99</v>
      </c>
      <c r="F58" s="198">
        <f>C69</f>
        <v>380</v>
      </c>
      <c r="G58" s="134">
        <f>F58/F60</f>
        <v>0.89834515366430256</v>
      </c>
      <c r="H58" s="221">
        <f>C70</f>
        <v>964.99543997383046</v>
      </c>
      <c r="I58" s="223">
        <f>C73</f>
        <v>25.386645404280593</v>
      </c>
    </row>
    <row r="59" spans="3:11">
      <c r="C59" s="178" t="s">
        <v>100</v>
      </c>
      <c r="F59" s="123">
        <f>D69</f>
        <v>43</v>
      </c>
      <c r="G59" s="119">
        <f>1-G58</f>
        <v>0.10165484633569744</v>
      </c>
      <c r="H59" s="222">
        <f>D70</f>
        <v>376.80543997383052</v>
      </c>
      <c r="I59" s="224">
        <f>D73</f>
        <v>19.411049070961116</v>
      </c>
    </row>
    <row r="60" spans="3:11">
      <c r="C60" s="178" t="s">
        <v>69</v>
      </c>
      <c r="F60" s="198">
        <f>F58+F59</f>
        <v>423</v>
      </c>
      <c r="G60" s="134">
        <f>G58+G59</f>
        <v>1</v>
      </c>
      <c r="H60" s="221">
        <f>ROUND(((F58*H58)+(F59*H59))/F60,0)</f>
        <v>905</v>
      </c>
      <c r="I60" s="223">
        <f>ROUND(((F58*I58)+(F59*I59))/F60,2)</f>
        <v>24.78</v>
      </c>
    </row>
    <row r="61" spans="3:11">
      <c r="F61" s="198"/>
      <c r="G61" s="134"/>
      <c r="H61" s="199"/>
      <c r="I61" s="200"/>
    </row>
    <row r="62" spans="3:11">
      <c r="C62" s="117" t="s">
        <v>64</v>
      </c>
      <c r="D62" s="97"/>
      <c r="E62" s="117"/>
      <c r="F62" s="116" t="s">
        <v>65</v>
      </c>
      <c r="G62" s="116" t="s">
        <v>70</v>
      </c>
      <c r="H62" s="116" t="s">
        <v>71</v>
      </c>
      <c r="I62" s="116" t="s">
        <v>66</v>
      </c>
      <c r="J62" s="116" t="s">
        <v>72</v>
      </c>
      <c r="K62" s="116" t="s">
        <v>73</v>
      </c>
    </row>
    <row r="63" spans="3:11">
      <c r="C63" s="178" t="s">
        <v>99</v>
      </c>
      <c r="D63" s="201"/>
      <c r="E63" s="201"/>
      <c r="F63" s="178">
        <f>C69</f>
        <v>380</v>
      </c>
      <c r="G63" s="134">
        <f>C77</f>
        <v>0.56000000000000005</v>
      </c>
      <c r="H63" s="178">
        <f>G63*F63</f>
        <v>212.8</v>
      </c>
      <c r="I63" s="134">
        <f>H63/H65</f>
        <v>0.96868171886380194</v>
      </c>
      <c r="J63" s="200">
        <f>C74</f>
        <v>2.7149999999999999</v>
      </c>
      <c r="K63" s="202">
        <f>C75</f>
        <v>6495</v>
      </c>
    </row>
    <row r="64" spans="3:11">
      <c r="C64" s="178" t="s">
        <v>100</v>
      </c>
      <c r="D64" s="201"/>
      <c r="E64" s="201"/>
      <c r="F64" s="118">
        <f>D69</f>
        <v>43</v>
      </c>
      <c r="G64" s="119">
        <f>D77</f>
        <v>0.16</v>
      </c>
      <c r="H64" s="118">
        <f>G64*F64</f>
        <v>6.88</v>
      </c>
      <c r="I64" s="119">
        <f>1-I63</f>
        <v>3.1318281136198056E-2</v>
      </c>
      <c r="J64" s="120">
        <f>D74</f>
        <v>7.9000000000000001E-2</v>
      </c>
      <c r="K64" s="121">
        <f>D75</f>
        <v>8611</v>
      </c>
    </row>
    <row r="65" spans="3:11">
      <c r="C65" s="178" t="s">
        <v>74</v>
      </c>
      <c r="F65" s="178">
        <f>F63+F64</f>
        <v>423</v>
      </c>
      <c r="G65" s="203">
        <f>ROUND(H65/F65,3)</f>
        <v>0.51900000000000002</v>
      </c>
      <c r="H65" s="178">
        <f>SUM(H63:H64)</f>
        <v>219.68</v>
      </c>
      <c r="I65" s="134">
        <f>I63+I64</f>
        <v>1</v>
      </c>
      <c r="J65" s="200">
        <f>ROUND(($I63*J63)+($I64*J64),2)</f>
        <v>2.63</v>
      </c>
      <c r="K65" s="204">
        <f>ROUND(($I63*K63)+($I64*K64),-1)</f>
        <v>6560</v>
      </c>
    </row>
    <row r="66" spans="3:11">
      <c r="G66" s="203"/>
      <c r="I66" s="134"/>
      <c r="J66" s="200"/>
      <c r="K66" s="122" t="s">
        <v>75</v>
      </c>
    </row>
    <row r="68" spans="3:11">
      <c r="C68" s="116" t="s">
        <v>57</v>
      </c>
      <c r="D68" s="116" t="s">
        <v>58</v>
      </c>
      <c r="E68" s="136" t="str">
        <f>D46</f>
        <v>Plant Costs  - 2012 RFP - Needs Assessment - [as modeled by System Optimizer]</v>
      </c>
      <c r="F68" s="205"/>
      <c r="G68" s="205"/>
      <c r="H68" s="205"/>
      <c r="I68" s="205"/>
      <c r="J68" s="205"/>
      <c r="K68" s="206"/>
    </row>
    <row r="69" spans="3:11">
      <c r="C69" s="178">
        <v>380</v>
      </c>
      <c r="D69" s="178">
        <v>43</v>
      </c>
      <c r="E69" s="178" t="s">
        <v>79</v>
      </c>
      <c r="H69" s="207"/>
    </row>
    <row r="70" spans="3:11">
      <c r="C70" s="199">
        <v>964.99543997383046</v>
      </c>
      <c r="D70" s="199">
        <v>376.80543997383052</v>
      </c>
      <c r="E70" s="178" t="s">
        <v>83</v>
      </c>
    </row>
    <row r="71" spans="3:11">
      <c r="C71" s="200">
        <v>10.74642695919899</v>
      </c>
      <c r="D71" s="200">
        <v>0</v>
      </c>
      <c r="E71" s="178" t="s">
        <v>94</v>
      </c>
    </row>
    <row r="72" spans="3:11">
      <c r="C72" s="124">
        <v>14.640218445081603</v>
      </c>
      <c r="D72" s="124">
        <v>19.411049070961116</v>
      </c>
      <c r="E72" s="178" t="s">
        <v>95</v>
      </c>
    </row>
    <row r="73" spans="3:11">
      <c r="C73" s="200">
        <f>C71+C72</f>
        <v>25.386645404280593</v>
      </c>
      <c r="D73" s="200">
        <f>D71+D72</f>
        <v>19.411049070961116</v>
      </c>
      <c r="E73" s="178" t="s">
        <v>96</v>
      </c>
    </row>
    <row r="74" spans="3:11">
      <c r="C74" s="200">
        <v>2.7149999999999999</v>
      </c>
      <c r="D74" s="200">
        <v>7.9000000000000001E-2</v>
      </c>
      <c r="E74" s="178" t="s">
        <v>93</v>
      </c>
    </row>
    <row r="75" spans="3:11">
      <c r="C75" s="204">
        <v>6495</v>
      </c>
      <c r="D75" s="204">
        <v>8611</v>
      </c>
      <c r="E75" s="178" t="s">
        <v>80</v>
      </c>
    </row>
    <row r="76" spans="3:11">
      <c r="C76" s="208">
        <v>8.2000000000000003E-2</v>
      </c>
      <c r="D76" s="208">
        <f>C76</f>
        <v>8.2000000000000003E-2</v>
      </c>
      <c r="E76" s="178" t="s">
        <v>81</v>
      </c>
    </row>
    <row r="77" spans="3:11">
      <c r="C77" s="209">
        <v>0.56000000000000005</v>
      </c>
      <c r="D77" s="209">
        <v>0.16</v>
      </c>
      <c r="E77" s="178" t="s">
        <v>82</v>
      </c>
    </row>
    <row r="78" spans="3:11">
      <c r="D78" s="134">
        <f>ROUND(H65/F65,3)</f>
        <v>0.51900000000000002</v>
      </c>
      <c r="E78" s="178" t="s">
        <v>84</v>
      </c>
    </row>
    <row r="79" spans="3:11">
      <c r="D79" s="203">
        <f>MIN(1,ROUND(D78/0.57,3))</f>
        <v>0.91100000000000003</v>
      </c>
      <c r="E79" s="146" t="str">
        <f>"  Capacity Factor - On-peak     "&amp;TEXT(D78,"0.0%")&amp;" / 57% (percent of hours on-peak) "</f>
        <v xml:space="preserve">  Capacity Factor - On-peak     51.9% / 57% (percent of hours on-peak) </v>
      </c>
    </row>
    <row r="80" spans="3:11">
      <c r="C80" s="209"/>
      <c r="D80" s="209"/>
    </row>
    <row r="82" spans="3:15" ht="13.5" hidden="1" thickBot="1">
      <c r="C82" s="131" t="str">
        <f ca="1">"Company Official Inflation Forecast Dated "&amp;TEXT('Table 5'!G5,"mmmm dd, yyyy")</f>
        <v>Company Official Inflation Forecast Dated September 28, 2012</v>
      </c>
      <c r="D82" s="132"/>
      <c r="E82" s="132"/>
      <c r="F82" s="132"/>
      <c r="G82" s="132"/>
      <c r="H82" s="132"/>
      <c r="I82" s="132"/>
      <c r="J82" s="133"/>
      <c r="K82" s="197"/>
    </row>
    <row r="83" spans="3:15" hidden="1">
      <c r="C83" s="210">
        <v>2010</v>
      </c>
      <c r="D83" s="134">
        <v>1.2999999999999999E-2</v>
      </c>
      <c r="F83" s="210">
        <f>C91+1</f>
        <v>2019</v>
      </c>
      <c r="G83" s="134">
        <v>1.6E-2</v>
      </c>
      <c r="I83" s="210">
        <f>F91+1</f>
        <v>2028</v>
      </c>
      <c r="J83" s="134">
        <v>1.9E-2</v>
      </c>
    </row>
    <row r="84" spans="3:15" hidden="1">
      <c r="C84" s="210">
        <f t="shared" ref="C84:C91" si="10">C83+1</f>
        <v>2011</v>
      </c>
      <c r="D84" s="134">
        <v>2.5999999999999999E-2</v>
      </c>
      <c r="F84" s="210">
        <f t="shared" ref="F84:F91" si="11">F83+1</f>
        <v>2020</v>
      </c>
      <c r="G84" s="134">
        <v>1.6E-2</v>
      </c>
      <c r="I84" s="210">
        <f t="shared" ref="I84:I93" si="12">I83+1</f>
        <v>2029</v>
      </c>
      <c r="J84" s="134">
        <v>1.9E-2</v>
      </c>
    </row>
    <row r="85" spans="3:15" hidden="1">
      <c r="C85" s="210">
        <f t="shared" si="10"/>
        <v>2012</v>
      </c>
      <c r="D85" s="134">
        <v>1.7000000000000001E-2</v>
      </c>
      <c r="F85" s="210">
        <f t="shared" si="11"/>
        <v>2021</v>
      </c>
      <c r="G85" s="134">
        <v>1.9E-2</v>
      </c>
      <c r="I85" s="210">
        <f t="shared" si="12"/>
        <v>2030</v>
      </c>
      <c r="J85" s="134">
        <v>1.9E-2</v>
      </c>
    </row>
    <row r="86" spans="3:15" hidden="1">
      <c r="C86" s="210">
        <f t="shared" si="10"/>
        <v>2013</v>
      </c>
      <c r="D86" s="134">
        <v>1.2999999999999999E-2</v>
      </c>
      <c r="F86" s="210">
        <f t="shared" si="11"/>
        <v>2022</v>
      </c>
      <c r="G86" s="134">
        <v>1.9E-2</v>
      </c>
      <c r="I86" s="210">
        <f t="shared" si="12"/>
        <v>2031</v>
      </c>
      <c r="J86" s="134">
        <v>0.02</v>
      </c>
    </row>
    <row r="87" spans="3:15" hidden="1">
      <c r="C87" s="210">
        <f t="shared" si="10"/>
        <v>2014</v>
      </c>
      <c r="D87" s="134">
        <v>0.02</v>
      </c>
      <c r="F87" s="210">
        <f t="shared" si="11"/>
        <v>2023</v>
      </c>
      <c r="G87" s="134">
        <v>1.9E-2</v>
      </c>
      <c r="I87" s="210">
        <f t="shared" si="12"/>
        <v>2032</v>
      </c>
      <c r="J87" s="134">
        <v>0.02</v>
      </c>
    </row>
    <row r="88" spans="3:15" hidden="1">
      <c r="C88" s="210">
        <f t="shared" si="10"/>
        <v>2015</v>
      </c>
      <c r="D88" s="134">
        <v>1.9E-2</v>
      </c>
      <c r="F88" s="210">
        <f t="shared" si="11"/>
        <v>2024</v>
      </c>
      <c r="G88" s="134">
        <v>1.9E-2</v>
      </c>
      <c r="I88" s="210">
        <f t="shared" si="12"/>
        <v>2033</v>
      </c>
      <c r="J88" s="134">
        <v>0.02</v>
      </c>
    </row>
    <row r="89" spans="3:15" s="180" customFormat="1" hidden="1">
      <c r="C89" s="210">
        <f t="shared" si="10"/>
        <v>2016</v>
      </c>
      <c r="D89" s="134">
        <v>1.7000000000000001E-2</v>
      </c>
      <c r="F89" s="210">
        <f t="shared" si="11"/>
        <v>2025</v>
      </c>
      <c r="G89" s="134">
        <v>1.9E-2</v>
      </c>
      <c r="I89" s="210">
        <f t="shared" si="12"/>
        <v>2034</v>
      </c>
      <c r="J89" s="134">
        <v>0.02</v>
      </c>
      <c r="N89" s="178"/>
      <c r="O89" s="178"/>
    </row>
    <row r="90" spans="3:15" s="180" customFormat="1" hidden="1">
      <c r="C90" s="210">
        <f t="shared" si="10"/>
        <v>2017</v>
      </c>
      <c r="D90" s="134">
        <v>1.6E-2</v>
      </c>
      <c r="F90" s="210">
        <f t="shared" si="11"/>
        <v>2026</v>
      </c>
      <c r="G90" s="134">
        <v>1.9E-2</v>
      </c>
      <c r="I90" s="210">
        <f t="shared" si="12"/>
        <v>2035</v>
      </c>
      <c r="J90" s="134">
        <v>0.02</v>
      </c>
      <c r="N90" s="178"/>
      <c r="O90" s="178"/>
    </row>
    <row r="91" spans="3:15" s="180" customFormat="1" hidden="1">
      <c r="C91" s="210">
        <f t="shared" si="10"/>
        <v>2018</v>
      </c>
      <c r="D91" s="134">
        <v>1.6E-2</v>
      </c>
      <c r="F91" s="210">
        <f t="shared" si="11"/>
        <v>2027</v>
      </c>
      <c r="G91" s="134">
        <v>1.9E-2</v>
      </c>
      <c r="I91" s="210">
        <f t="shared" si="12"/>
        <v>2036</v>
      </c>
      <c r="J91" s="134">
        <v>0.02</v>
      </c>
      <c r="N91" s="178"/>
      <c r="O91" s="178"/>
    </row>
    <row r="92" spans="3:15" s="180" customFormat="1" hidden="1">
      <c r="I92" s="210">
        <f t="shared" si="12"/>
        <v>2037</v>
      </c>
      <c r="J92" s="134">
        <v>0.02</v>
      </c>
      <c r="N92" s="178"/>
      <c r="O92" s="178"/>
    </row>
    <row r="93" spans="3:15" s="180" customFormat="1" hidden="1">
      <c r="I93" s="210">
        <f t="shared" si="12"/>
        <v>2038</v>
      </c>
      <c r="J93" s="134">
        <v>0.02</v>
      </c>
      <c r="N93" s="178"/>
      <c r="O93" s="178"/>
    </row>
    <row r="94" spans="3:15">
      <c r="D94" s="225"/>
    </row>
    <row r="95" spans="3:15">
      <c r="D95" s="225"/>
    </row>
  </sheetData>
  <phoneticPr fontId="6" type="noConversion"/>
  <printOptions horizontalCentered="1"/>
  <pageMargins left="0.8" right="0.3" top="0.4" bottom="0.4" header="0.5" footer="0.2"/>
  <pageSetup scale="90" fitToHeight="0" orientation="portrait" r:id="rId1"/>
  <headerFooter alignWithMargins="0"/>
  <rowBreaks count="1" manualBreakCount="1">
    <brk id="5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K322"/>
  <sheetViews>
    <sheetView tabSelected="1" zoomScale="115" zoomScaleNormal="115" workbookViewId="0"/>
  </sheetViews>
  <sheetFormatPr defaultRowHeight="12.75"/>
  <cols>
    <col min="1" max="1" width="9.33203125" style="6"/>
    <col min="2" max="3" width="39" style="6" customWidth="1"/>
    <col min="4" max="6" width="9.33203125" style="6"/>
    <col min="7" max="7" width="15" style="141" hidden="1" customWidth="1"/>
    <col min="8" max="8" width="9.33203125" style="104" hidden="1" customWidth="1"/>
    <col min="9" max="10" width="9.33203125" style="6" hidden="1" customWidth="1"/>
    <col min="11" max="11" width="11.5" style="6" hidden="1" customWidth="1"/>
    <col min="12" max="12" width="9.33203125" style="6" customWidth="1"/>
    <col min="13" max="16384" width="9.33203125" style="6"/>
  </cols>
  <sheetData>
    <row r="1" spans="2:11" ht="15.75">
      <c r="B1" s="1" t="s">
        <v>76</v>
      </c>
      <c r="C1" s="1"/>
      <c r="G1" s="99"/>
    </row>
    <row r="2" spans="2:11" ht="15.75">
      <c r="B2" s="1"/>
      <c r="C2" s="1"/>
      <c r="G2" s="99"/>
    </row>
    <row r="3" spans="2:11" ht="15.75">
      <c r="B3" s="1" t="str">
        <f ca="1">"Table "&amp;RIGHT('Table 4'!B3,1)+1</f>
        <v>Table 5</v>
      </c>
      <c r="C3" s="1"/>
      <c r="G3" s="99"/>
    </row>
    <row r="4" spans="2:11" ht="15.75">
      <c r="B4" s="1" t="s">
        <v>61</v>
      </c>
      <c r="C4" s="1"/>
      <c r="G4" s="109" t="s">
        <v>60</v>
      </c>
    </row>
    <row r="5" spans="2:11" ht="15.75">
      <c r="B5" s="1" t="str">
        <f ca="1">'Table 1'!$B$5</f>
        <v>Utah Compliance Filing - 2012.Q4 - 100.0 MW and 85.0% CF</v>
      </c>
      <c r="C5" s="1"/>
      <c r="G5" s="110">
        <v>41180</v>
      </c>
    </row>
    <row r="6" spans="2:11">
      <c r="B6" s="46"/>
      <c r="C6" s="46"/>
      <c r="G6" s="99"/>
    </row>
    <row r="7" spans="2:11" ht="14.25">
      <c r="B7" s="90"/>
      <c r="C7" s="98" t="s">
        <v>55</v>
      </c>
      <c r="G7" s="99"/>
    </row>
    <row r="8" spans="2:11">
      <c r="B8" s="91"/>
      <c r="C8" s="83" t="s">
        <v>56</v>
      </c>
      <c r="G8" s="99"/>
    </row>
    <row r="9" spans="2:11">
      <c r="B9" s="91" t="s">
        <v>0</v>
      </c>
      <c r="C9" s="91" t="s">
        <v>78</v>
      </c>
      <c r="G9" s="99"/>
    </row>
    <row r="10" spans="2:11">
      <c r="B10" s="92"/>
      <c r="C10" s="93" t="s">
        <v>41</v>
      </c>
      <c r="G10" s="100"/>
      <c r="H10" s="105"/>
    </row>
    <row r="11" spans="2:11">
      <c r="C11" s="47"/>
      <c r="G11" s="100"/>
      <c r="H11" s="105"/>
    </row>
    <row r="12" spans="2:11">
      <c r="C12" s="94"/>
      <c r="G12" s="100"/>
      <c r="H12" s="105"/>
    </row>
    <row r="13" spans="2:11" ht="6" customHeight="1">
      <c r="G13" s="101"/>
      <c r="H13" s="106"/>
    </row>
    <row r="14" spans="2:11">
      <c r="B14" s="95">
        <v>2019</v>
      </c>
      <c r="C14" s="96">
        <f t="shared" ref="C14:C34" si="0">ROUND(SUMIF($I$17:$I$268,B14,$H$17:$H$268)/COUNTIF($I$17:$I$268,B14),2)</f>
        <v>5.41</v>
      </c>
      <c r="G14" s="220"/>
      <c r="H14" s="107"/>
    </row>
    <row r="15" spans="2:11" ht="13.5" thickBot="1">
      <c r="B15" s="95">
        <f t="shared" ref="B15:B34" si="1">B14+1</f>
        <v>2020</v>
      </c>
      <c r="C15" s="96">
        <f t="shared" si="0"/>
        <v>5.85</v>
      </c>
      <c r="G15" s="102"/>
      <c r="H15" s="108" t="s">
        <v>86</v>
      </c>
    </row>
    <row r="16" spans="2:11" ht="13.5" thickBot="1">
      <c r="B16" s="95">
        <f t="shared" si="1"/>
        <v>2021</v>
      </c>
      <c r="C16" s="96">
        <f t="shared" si="0"/>
        <v>6.04</v>
      </c>
      <c r="G16" s="102" t="s">
        <v>59</v>
      </c>
      <c r="H16" s="108" t="s">
        <v>56</v>
      </c>
      <c r="I16" s="9" t="s">
        <v>0</v>
      </c>
      <c r="K16" s="130" t="s">
        <v>77</v>
      </c>
    </row>
    <row r="17" spans="2:11" ht="13.5" thickBot="1">
      <c r="B17" s="95">
        <f t="shared" si="1"/>
        <v>2022</v>
      </c>
      <c r="C17" s="96">
        <f t="shared" si="0"/>
        <v>6.04</v>
      </c>
      <c r="G17" s="103">
        <v>43466</v>
      </c>
      <c r="H17" s="111">
        <v>5.5126351283091601</v>
      </c>
      <c r="I17" s="112">
        <f t="shared" ref="I17:I80" si="2">YEAR(G17)</f>
        <v>2019</v>
      </c>
      <c r="K17" s="129">
        <v>41</v>
      </c>
    </row>
    <row r="18" spans="2:11">
      <c r="B18" s="95">
        <f t="shared" si="1"/>
        <v>2023</v>
      </c>
      <c r="C18" s="96">
        <f t="shared" si="0"/>
        <v>6.23</v>
      </c>
      <c r="G18" s="103">
        <v>43497</v>
      </c>
      <c r="H18" s="111">
        <v>5.511417966325185</v>
      </c>
      <c r="I18" s="112">
        <f t="shared" si="2"/>
        <v>2019</v>
      </c>
    </row>
    <row r="19" spans="2:11">
      <c r="B19" s="95">
        <f t="shared" si="1"/>
        <v>2024</v>
      </c>
      <c r="C19" s="96">
        <f t="shared" si="0"/>
        <v>6.18</v>
      </c>
      <c r="G19" s="103">
        <v>43525</v>
      </c>
      <c r="H19" s="111">
        <v>5.400656225783548</v>
      </c>
      <c r="I19" s="112">
        <f t="shared" si="2"/>
        <v>2019</v>
      </c>
    </row>
    <row r="20" spans="2:11">
      <c r="B20" s="95">
        <f t="shared" si="1"/>
        <v>2025</v>
      </c>
      <c r="C20" s="96">
        <f t="shared" si="0"/>
        <v>6.32</v>
      </c>
      <c r="G20" s="103">
        <v>43556</v>
      </c>
      <c r="H20" s="111">
        <v>5.1946515599959433</v>
      </c>
      <c r="I20" s="112">
        <f t="shared" si="2"/>
        <v>2019</v>
      </c>
    </row>
    <row r="21" spans="2:11">
      <c r="B21" s="95">
        <f t="shared" si="1"/>
        <v>2026</v>
      </c>
      <c r="C21" s="96">
        <f t="shared" si="0"/>
        <v>6.75</v>
      </c>
      <c r="G21" s="103">
        <v>43586</v>
      </c>
      <c r="H21" s="111">
        <v>5.195665861649255</v>
      </c>
      <c r="I21" s="112">
        <f t="shared" si="2"/>
        <v>2019</v>
      </c>
    </row>
    <row r="22" spans="2:11">
      <c r="B22" s="95">
        <f t="shared" si="1"/>
        <v>2027</v>
      </c>
      <c r="C22" s="96">
        <f t="shared" si="0"/>
        <v>6.79</v>
      </c>
      <c r="G22" s="103">
        <v>43617</v>
      </c>
      <c r="H22" s="111">
        <v>5.2242691682726452</v>
      </c>
      <c r="I22" s="112">
        <f t="shared" si="2"/>
        <v>2019</v>
      </c>
    </row>
    <row r="23" spans="2:11">
      <c r="B23" s="95">
        <f t="shared" si="1"/>
        <v>2028</v>
      </c>
      <c r="C23" s="96">
        <f t="shared" si="0"/>
        <v>6.9</v>
      </c>
      <c r="G23" s="103">
        <v>43647</v>
      </c>
      <c r="H23" s="111">
        <v>5.2763028430875343</v>
      </c>
      <c r="I23" s="112">
        <f t="shared" si="2"/>
        <v>2019</v>
      </c>
    </row>
    <row r="24" spans="2:11">
      <c r="B24" s="95">
        <f t="shared" si="1"/>
        <v>2029</v>
      </c>
      <c r="C24" s="96">
        <f t="shared" si="0"/>
        <v>7.05</v>
      </c>
      <c r="G24" s="103">
        <v>43678</v>
      </c>
      <c r="H24" s="111">
        <v>5.3004432224363534</v>
      </c>
      <c r="I24" s="112">
        <f t="shared" si="2"/>
        <v>2019</v>
      </c>
    </row>
    <row r="25" spans="2:11">
      <c r="B25" s="95">
        <f t="shared" si="1"/>
        <v>2030</v>
      </c>
      <c r="C25" s="96">
        <f t="shared" si="0"/>
        <v>7.12</v>
      </c>
      <c r="G25" s="103">
        <v>43709</v>
      </c>
      <c r="H25" s="111">
        <v>5.2906044963992294</v>
      </c>
      <c r="I25" s="112">
        <f t="shared" si="2"/>
        <v>2019</v>
      </c>
    </row>
    <row r="26" spans="2:11">
      <c r="B26" s="95">
        <f t="shared" si="1"/>
        <v>2031</v>
      </c>
      <c r="C26" s="96">
        <f t="shared" si="0"/>
        <v>7.35</v>
      </c>
      <c r="G26" s="103">
        <v>43739</v>
      </c>
      <c r="H26" s="111">
        <v>5.3361466406329248</v>
      </c>
      <c r="I26" s="112">
        <f t="shared" si="2"/>
        <v>2019</v>
      </c>
    </row>
    <row r="27" spans="2:11">
      <c r="B27" s="95">
        <f t="shared" si="1"/>
        <v>2032</v>
      </c>
      <c r="C27" s="96">
        <f t="shared" si="0"/>
        <v>7.5</v>
      </c>
      <c r="G27" s="103">
        <v>43770</v>
      </c>
      <c r="H27" s="111">
        <v>5.8053625854549145</v>
      </c>
      <c r="I27" s="112">
        <f t="shared" si="2"/>
        <v>2019</v>
      </c>
    </row>
    <row r="28" spans="2:11" hidden="1">
      <c r="B28" s="95">
        <f t="shared" si="1"/>
        <v>2033</v>
      </c>
      <c r="C28" s="96">
        <f t="shared" si="0"/>
        <v>7.65</v>
      </c>
      <c r="G28" s="103">
        <v>43800</v>
      </c>
      <c r="H28" s="111">
        <v>5.8813337792879601</v>
      </c>
      <c r="I28" s="112">
        <f t="shared" si="2"/>
        <v>2019</v>
      </c>
    </row>
    <row r="29" spans="2:11" hidden="1">
      <c r="B29" s="95">
        <f t="shared" si="1"/>
        <v>2034</v>
      </c>
      <c r="C29" s="96">
        <f t="shared" si="0"/>
        <v>7.8</v>
      </c>
      <c r="G29" s="103">
        <v>43831</v>
      </c>
      <c r="H29" s="111">
        <v>5.9617679003955786</v>
      </c>
      <c r="I29" s="112">
        <f t="shared" si="2"/>
        <v>2020</v>
      </c>
    </row>
    <row r="30" spans="2:11" hidden="1">
      <c r="B30" s="95">
        <f t="shared" si="1"/>
        <v>2035</v>
      </c>
      <c r="C30" s="96">
        <f t="shared" si="0"/>
        <v>7.96</v>
      </c>
      <c r="G30" s="103">
        <v>43862</v>
      </c>
      <c r="H30" s="111">
        <v>5.9921969499949288</v>
      </c>
      <c r="I30" s="112">
        <f t="shared" si="2"/>
        <v>2020</v>
      </c>
    </row>
    <row r="31" spans="2:11" hidden="1">
      <c r="B31" s="95">
        <f t="shared" si="1"/>
        <v>2036</v>
      </c>
      <c r="C31" s="96">
        <f t="shared" si="0"/>
        <v>8.1199999999999992</v>
      </c>
      <c r="G31" s="103">
        <v>43891</v>
      </c>
      <c r="H31" s="111">
        <v>5.8601348747337463</v>
      </c>
      <c r="I31" s="112">
        <f t="shared" si="2"/>
        <v>2020</v>
      </c>
    </row>
    <row r="32" spans="2:11" hidden="1">
      <c r="B32" s="95">
        <f t="shared" si="1"/>
        <v>2037</v>
      </c>
      <c r="C32" s="96">
        <f t="shared" si="0"/>
        <v>8.2799999999999994</v>
      </c>
      <c r="G32" s="103">
        <v>43922</v>
      </c>
      <c r="H32" s="111">
        <v>5.7187412242620956</v>
      </c>
      <c r="I32" s="112">
        <f t="shared" si="2"/>
        <v>2020</v>
      </c>
    </row>
    <row r="33" spans="2:9" hidden="1">
      <c r="B33" s="95">
        <f t="shared" si="1"/>
        <v>2038</v>
      </c>
      <c r="C33" s="96">
        <f t="shared" si="0"/>
        <v>8.4499999999999993</v>
      </c>
      <c r="G33" s="103">
        <v>43952</v>
      </c>
      <c r="H33" s="111">
        <v>5.7004837945024853</v>
      </c>
      <c r="I33" s="112">
        <f t="shared" si="2"/>
        <v>2020</v>
      </c>
    </row>
    <row r="34" spans="2:9" hidden="1">
      <c r="B34" s="95">
        <f t="shared" si="1"/>
        <v>2039</v>
      </c>
      <c r="C34" s="96">
        <f t="shared" si="0"/>
        <v>8.6199999999999992</v>
      </c>
      <c r="G34" s="103">
        <v>43983</v>
      </c>
      <c r="H34" s="111">
        <v>5.7272613581499145</v>
      </c>
      <c r="I34" s="112">
        <f t="shared" si="2"/>
        <v>2020</v>
      </c>
    </row>
    <row r="35" spans="2:9">
      <c r="G35" s="103">
        <v>44013</v>
      </c>
      <c r="H35" s="111">
        <v>5.7857865635459982</v>
      </c>
      <c r="I35" s="112">
        <f t="shared" si="2"/>
        <v>2020</v>
      </c>
    </row>
    <row r="36" spans="2:9">
      <c r="B36" s="95" t="str">
        <f>"OFPC Forecast dated   "&amp;TEXT(G5,"MMM dd, YYYY")</f>
        <v>OFPC Forecast dated   Sep 28, 2012</v>
      </c>
      <c r="G36" s="103">
        <v>44044</v>
      </c>
      <c r="H36" s="111">
        <v>5.8116512557054465</v>
      </c>
      <c r="I36" s="112">
        <f t="shared" si="2"/>
        <v>2020</v>
      </c>
    </row>
    <row r="37" spans="2:9">
      <c r="G37" s="103">
        <v>44075</v>
      </c>
      <c r="H37" s="111">
        <v>5.7859894238766616</v>
      </c>
      <c r="I37" s="112">
        <f t="shared" si="2"/>
        <v>2020</v>
      </c>
    </row>
    <row r="38" spans="2:9">
      <c r="G38" s="103">
        <v>44105</v>
      </c>
      <c r="H38" s="111">
        <v>5.8364002160462523</v>
      </c>
      <c r="I38" s="112">
        <f t="shared" si="2"/>
        <v>2020</v>
      </c>
    </row>
    <row r="39" spans="2:9">
      <c r="G39" s="103">
        <v>44136</v>
      </c>
      <c r="H39" s="111">
        <v>5.9797210396591947</v>
      </c>
      <c r="I39" s="112">
        <f t="shared" si="2"/>
        <v>2020</v>
      </c>
    </row>
    <row r="40" spans="2:9">
      <c r="G40" s="103">
        <v>44166</v>
      </c>
      <c r="H40" s="111">
        <v>6.0818612161476819</v>
      </c>
      <c r="I40" s="112">
        <f t="shared" si="2"/>
        <v>2020</v>
      </c>
    </row>
    <row r="41" spans="2:9">
      <c r="G41" s="103">
        <v>44197</v>
      </c>
      <c r="H41" s="111">
        <v>6.1859285657774619</v>
      </c>
      <c r="I41" s="112">
        <f t="shared" si="2"/>
        <v>2021</v>
      </c>
    </row>
    <row r="42" spans="2:9">
      <c r="G42" s="103">
        <v>44228</v>
      </c>
      <c r="H42" s="111">
        <v>6.2162561852114822</v>
      </c>
      <c r="I42" s="112">
        <f t="shared" si="2"/>
        <v>2021</v>
      </c>
    </row>
    <row r="43" spans="2:9">
      <c r="G43" s="103">
        <v>44256</v>
      </c>
      <c r="H43" s="111">
        <v>6.1148260198803133</v>
      </c>
      <c r="I43" s="112">
        <f t="shared" si="2"/>
        <v>2021</v>
      </c>
    </row>
    <row r="44" spans="2:9">
      <c r="G44" s="103">
        <v>44287</v>
      </c>
      <c r="H44" s="111">
        <v>5.9471619565878893</v>
      </c>
      <c r="I44" s="112">
        <f t="shared" si="2"/>
        <v>2021</v>
      </c>
    </row>
    <row r="45" spans="2:9">
      <c r="G45" s="103">
        <v>44317</v>
      </c>
      <c r="H45" s="111">
        <v>5.9331645937721884</v>
      </c>
      <c r="I45" s="112">
        <f t="shared" si="2"/>
        <v>2021</v>
      </c>
    </row>
    <row r="46" spans="2:9">
      <c r="G46" s="103">
        <v>44348</v>
      </c>
      <c r="H46" s="111">
        <v>5.9664336880008122</v>
      </c>
      <c r="I46" s="112">
        <f t="shared" si="2"/>
        <v>2021</v>
      </c>
    </row>
    <row r="47" spans="2:9">
      <c r="G47" s="103">
        <v>44378</v>
      </c>
      <c r="H47" s="111">
        <v>6.0499107140683641</v>
      </c>
      <c r="I47" s="112">
        <f t="shared" si="2"/>
        <v>2021</v>
      </c>
    </row>
    <row r="48" spans="2:9">
      <c r="G48" s="103">
        <v>44409</v>
      </c>
      <c r="H48" s="111">
        <v>6.063806646718735</v>
      </c>
      <c r="I48" s="112">
        <f t="shared" si="2"/>
        <v>2021</v>
      </c>
    </row>
    <row r="49" spans="7:9">
      <c r="G49" s="103">
        <v>44440</v>
      </c>
      <c r="H49" s="111">
        <v>5.886303857389187</v>
      </c>
      <c r="I49" s="112">
        <f t="shared" si="2"/>
        <v>2021</v>
      </c>
    </row>
    <row r="50" spans="7:9">
      <c r="G50" s="103">
        <v>44470</v>
      </c>
      <c r="H50" s="111">
        <v>5.9240358788923828</v>
      </c>
      <c r="I50" s="112">
        <f t="shared" si="2"/>
        <v>2021</v>
      </c>
    </row>
    <row r="51" spans="7:9">
      <c r="G51" s="103">
        <v>44501</v>
      </c>
      <c r="H51" s="111">
        <v>6.0759782665584749</v>
      </c>
      <c r="I51" s="112">
        <f t="shared" si="2"/>
        <v>2021</v>
      </c>
    </row>
    <row r="52" spans="7:9">
      <c r="G52" s="103">
        <v>44531</v>
      </c>
      <c r="H52" s="111">
        <v>6.1529637620448323</v>
      </c>
      <c r="I52" s="112">
        <f t="shared" si="2"/>
        <v>2021</v>
      </c>
    </row>
    <row r="53" spans="7:9">
      <c r="G53" s="103">
        <v>44562</v>
      </c>
      <c r="H53" s="111">
        <v>6.2520610335733853</v>
      </c>
      <c r="I53" s="112">
        <f t="shared" si="2"/>
        <v>2022</v>
      </c>
    </row>
    <row r="54" spans="7:9">
      <c r="G54" s="103">
        <v>44593</v>
      </c>
      <c r="H54" s="111">
        <v>6.2807657703621063</v>
      </c>
      <c r="I54" s="112">
        <f t="shared" si="2"/>
        <v>2022</v>
      </c>
    </row>
    <row r="55" spans="7:9">
      <c r="G55" s="103">
        <v>44621</v>
      </c>
      <c r="H55" s="111">
        <v>6.0123815528958309</v>
      </c>
      <c r="I55" s="112">
        <f t="shared" si="2"/>
        <v>2022</v>
      </c>
    </row>
    <row r="56" spans="7:9">
      <c r="G56" s="103">
        <v>44652</v>
      </c>
      <c r="H56" s="111">
        <v>5.8531361933258959</v>
      </c>
      <c r="I56" s="112">
        <f t="shared" si="2"/>
        <v>2022</v>
      </c>
    </row>
    <row r="57" spans="7:9">
      <c r="G57" s="103">
        <v>44682</v>
      </c>
      <c r="H57" s="111">
        <v>5.8717993437468303</v>
      </c>
      <c r="I57" s="112">
        <f t="shared" si="2"/>
        <v>2022</v>
      </c>
    </row>
    <row r="58" spans="7:9">
      <c r="G58" s="103">
        <v>44713</v>
      </c>
      <c r="H58" s="111">
        <v>5.9042569966528049</v>
      </c>
      <c r="I58" s="112">
        <f t="shared" si="2"/>
        <v>2022</v>
      </c>
    </row>
    <row r="59" spans="7:9">
      <c r="G59" s="103">
        <v>44743</v>
      </c>
      <c r="H59" s="111">
        <v>5.9637965037022012</v>
      </c>
      <c r="I59" s="112">
        <f t="shared" si="2"/>
        <v>2022</v>
      </c>
    </row>
    <row r="60" spans="7:9">
      <c r="G60" s="103">
        <v>44774</v>
      </c>
      <c r="H60" s="111">
        <v>5.9962541566081757</v>
      </c>
      <c r="I60" s="112">
        <f t="shared" si="2"/>
        <v>2022</v>
      </c>
    </row>
    <row r="61" spans="7:9">
      <c r="G61" s="103">
        <v>44805</v>
      </c>
      <c r="H61" s="111">
        <v>5.9456405041079217</v>
      </c>
      <c r="I61" s="112">
        <f t="shared" si="2"/>
        <v>2022</v>
      </c>
    </row>
    <row r="62" spans="7:9">
      <c r="G62" s="103">
        <v>44835</v>
      </c>
      <c r="H62" s="111">
        <v>5.9801267603205197</v>
      </c>
      <c r="I62" s="112">
        <f t="shared" si="2"/>
        <v>2022</v>
      </c>
    </row>
    <row r="63" spans="7:9">
      <c r="G63" s="103">
        <v>44866</v>
      </c>
      <c r="H63" s="111">
        <v>6.1636139294046055</v>
      </c>
      <c r="I63" s="112">
        <f t="shared" si="2"/>
        <v>2022</v>
      </c>
    </row>
    <row r="64" spans="7:9">
      <c r="G64" s="103">
        <v>44896</v>
      </c>
      <c r="H64" s="111">
        <v>6.2552053686986513</v>
      </c>
      <c r="I64" s="112">
        <f t="shared" si="2"/>
        <v>2022</v>
      </c>
    </row>
    <row r="65" spans="7:9">
      <c r="G65" s="103">
        <v>44927</v>
      </c>
      <c r="H65" s="111">
        <v>6.3697200253575419</v>
      </c>
      <c r="I65" s="112">
        <f t="shared" si="2"/>
        <v>2023</v>
      </c>
    </row>
    <row r="66" spans="7:9">
      <c r="G66" s="103">
        <v>44958</v>
      </c>
      <c r="H66" s="111">
        <v>6.4053220133887816</v>
      </c>
      <c r="I66" s="112">
        <f t="shared" si="2"/>
        <v>2023</v>
      </c>
    </row>
    <row r="67" spans="7:9">
      <c r="G67" s="103">
        <v>44986</v>
      </c>
      <c r="H67" s="111">
        <v>6.2866487199513141</v>
      </c>
      <c r="I67" s="112">
        <f t="shared" si="2"/>
        <v>2023</v>
      </c>
    </row>
    <row r="68" spans="7:9">
      <c r="G68" s="103">
        <v>45017</v>
      </c>
      <c r="H68" s="111">
        <v>6.0890627578861958</v>
      </c>
      <c r="I68" s="112">
        <f t="shared" si="2"/>
        <v>2023</v>
      </c>
    </row>
    <row r="69" spans="7:9">
      <c r="G69" s="103">
        <v>45047</v>
      </c>
      <c r="H69" s="111">
        <v>6.1204046789735269</v>
      </c>
      <c r="I69" s="112">
        <f t="shared" si="2"/>
        <v>2023</v>
      </c>
    </row>
    <row r="70" spans="7:9">
      <c r="G70" s="103">
        <v>45078</v>
      </c>
      <c r="H70" s="111">
        <v>6.1448493488183384</v>
      </c>
      <c r="I70" s="112">
        <f t="shared" si="2"/>
        <v>2023</v>
      </c>
    </row>
    <row r="71" spans="7:9">
      <c r="G71" s="103">
        <v>45108</v>
      </c>
      <c r="H71" s="111">
        <v>6.2070260401663457</v>
      </c>
      <c r="I71" s="112">
        <f t="shared" si="2"/>
        <v>2023</v>
      </c>
    </row>
    <row r="72" spans="7:9">
      <c r="G72" s="103">
        <v>45139</v>
      </c>
      <c r="H72" s="111">
        <v>6.2389765422456644</v>
      </c>
      <c r="I72" s="112">
        <f t="shared" si="2"/>
        <v>2023</v>
      </c>
    </row>
    <row r="73" spans="7:9">
      <c r="G73" s="103">
        <v>45170</v>
      </c>
      <c r="H73" s="111">
        <v>6.1077259083071302</v>
      </c>
      <c r="I73" s="112">
        <f t="shared" si="2"/>
        <v>2023</v>
      </c>
    </row>
    <row r="74" spans="7:9">
      <c r="G74" s="103">
        <v>45200</v>
      </c>
      <c r="H74" s="111">
        <v>6.1398792707171115</v>
      </c>
      <c r="I74" s="112">
        <f t="shared" si="2"/>
        <v>2023</v>
      </c>
    </row>
    <row r="75" spans="7:9">
      <c r="G75" s="103">
        <v>45231</v>
      </c>
      <c r="H75" s="111">
        <v>6.2816786418500863</v>
      </c>
      <c r="I75" s="112">
        <f t="shared" si="2"/>
        <v>2023</v>
      </c>
    </row>
    <row r="76" spans="7:9">
      <c r="G76" s="103">
        <v>45261</v>
      </c>
      <c r="H76" s="111">
        <v>6.3698214555228727</v>
      </c>
      <c r="I76" s="112">
        <f t="shared" si="2"/>
        <v>2023</v>
      </c>
    </row>
    <row r="77" spans="7:9">
      <c r="G77" s="103">
        <v>45292</v>
      </c>
      <c r="H77" s="111">
        <v>6.4313895658788924</v>
      </c>
      <c r="I77" s="112">
        <f t="shared" si="2"/>
        <v>2024</v>
      </c>
    </row>
    <row r="78" spans="7:9">
      <c r="G78" s="103">
        <v>45323</v>
      </c>
      <c r="H78" s="111">
        <v>6.4674987047367889</v>
      </c>
      <c r="I78" s="112">
        <f t="shared" si="2"/>
        <v>2024</v>
      </c>
    </row>
    <row r="79" spans="7:9">
      <c r="G79" s="103">
        <v>45352</v>
      </c>
      <c r="H79" s="111">
        <v>6.1090445004564362</v>
      </c>
      <c r="I79" s="112">
        <f t="shared" si="2"/>
        <v>2024</v>
      </c>
    </row>
    <row r="80" spans="7:9">
      <c r="G80" s="103">
        <v>45383</v>
      </c>
      <c r="H80" s="111">
        <v>6.0132944243838118</v>
      </c>
      <c r="I80" s="112">
        <f t="shared" si="2"/>
        <v>2024</v>
      </c>
    </row>
    <row r="81" spans="7:9">
      <c r="G81" s="103">
        <v>45413</v>
      </c>
      <c r="H81" s="111">
        <v>5.9598407272542859</v>
      </c>
      <c r="I81" s="112">
        <f t="shared" ref="I81:I144" si="3">YEAR(G81)</f>
        <v>2024</v>
      </c>
    </row>
    <row r="82" spans="7:9">
      <c r="G82" s="103">
        <v>45444</v>
      </c>
      <c r="H82" s="111">
        <v>5.9838796764377733</v>
      </c>
      <c r="I82" s="112">
        <f t="shared" si="3"/>
        <v>2024</v>
      </c>
    </row>
    <row r="83" spans="7:9">
      <c r="G83" s="103">
        <v>45474</v>
      </c>
      <c r="H83" s="111">
        <v>6.0967714504513646</v>
      </c>
      <c r="I83" s="112">
        <f t="shared" si="3"/>
        <v>2024</v>
      </c>
    </row>
    <row r="84" spans="7:9">
      <c r="G84" s="103">
        <v>45505</v>
      </c>
      <c r="H84" s="111">
        <v>6.1316634273252868</v>
      </c>
      <c r="I84" s="112">
        <f t="shared" si="3"/>
        <v>2024</v>
      </c>
    </row>
    <row r="85" spans="7:9">
      <c r="G85" s="103">
        <v>45536</v>
      </c>
      <c r="H85" s="111">
        <v>6.0911927913581501</v>
      </c>
      <c r="I85" s="112">
        <f t="shared" si="3"/>
        <v>2024</v>
      </c>
    </row>
    <row r="86" spans="7:9">
      <c r="G86" s="103">
        <v>45566</v>
      </c>
      <c r="H86" s="111">
        <v>6.1646282310579164</v>
      </c>
      <c r="I86" s="112">
        <f t="shared" si="3"/>
        <v>2024</v>
      </c>
    </row>
    <row r="87" spans="7:9">
      <c r="G87" s="103">
        <v>45597</v>
      </c>
      <c r="H87" s="111">
        <v>6.2805629100314437</v>
      </c>
      <c r="I87" s="112">
        <f t="shared" si="3"/>
        <v>2024</v>
      </c>
    </row>
    <row r="88" spans="7:9">
      <c r="G88" s="103">
        <v>45627</v>
      </c>
      <c r="H88" s="111">
        <v>6.4113063931433203</v>
      </c>
      <c r="I88" s="112">
        <f t="shared" si="3"/>
        <v>2024</v>
      </c>
    </row>
    <row r="89" spans="7:9">
      <c r="G89" s="103">
        <v>45658</v>
      </c>
      <c r="H89" s="111">
        <v>6.5356597758393349</v>
      </c>
      <c r="I89" s="112">
        <f t="shared" si="3"/>
        <v>2025</v>
      </c>
    </row>
    <row r="90" spans="7:9">
      <c r="G90" s="103">
        <v>45689</v>
      </c>
      <c r="H90" s="111">
        <v>6.571464624201238</v>
      </c>
      <c r="I90" s="112">
        <f t="shared" si="3"/>
        <v>2025</v>
      </c>
    </row>
    <row r="91" spans="7:9">
      <c r="G91" s="103">
        <v>45717</v>
      </c>
      <c r="H91" s="111">
        <v>6.3227578588092097</v>
      </c>
      <c r="I91" s="112">
        <f t="shared" si="3"/>
        <v>2025</v>
      </c>
    </row>
    <row r="92" spans="7:9">
      <c r="G92" s="103">
        <v>45748</v>
      </c>
      <c r="H92" s="111">
        <v>6.082672657470332</v>
      </c>
      <c r="I92" s="112">
        <f t="shared" si="3"/>
        <v>2025</v>
      </c>
    </row>
    <row r="93" spans="7:9">
      <c r="G93" s="103">
        <v>45778</v>
      </c>
      <c r="H93" s="111">
        <v>5.9985870504107925</v>
      </c>
      <c r="I93" s="112">
        <f t="shared" si="3"/>
        <v>2025</v>
      </c>
    </row>
    <row r="94" spans="7:9">
      <c r="G94" s="103">
        <v>45809</v>
      </c>
      <c r="H94" s="111">
        <v>6.0288132396794811</v>
      </c>
      <c r="I94" s="112">
        <f t="shared" si="3"/>
        <v>2025</v>
      </c>
    </row>
    <row r="95" spans="7:9">
      <c r="G95" s="103">
        <v>45839</v>
      </c>
      <c r="H95" s="111">
        <v>6.161179605436657</v>
      </c>
      <c r="I95" s="112">
        <f t="shared" si="3"/>
        <v>2025</v>
      </c>
    </row>
    <row r="96" spans="7:9">
      <c r="G96" s="103">
        <v>45870</v>
      </c>
      <c r="H96" s="111">
        <v>6.1929272471853132</v>
      </c>
      <c r="I96" s="112">
        <f t="shared" si="3"/>
        <v>2025</v>
      </c>
    </row>
    <row r="97" spans="7:9">
      <c r="G97" s="103">
        <v>45901</v>
      </c>
      <c r="H97" s="111">
        <v>6.1886671802414046</v>
      </c>
      <c r="I97" s="112">
        <f t="shared" si="3"/>
        <v>2025</v>
      </c>
    </row>
    <row r="98" spans="7:9">
      <c r="G98" s="103">
        <v>45931</v>
      </c>
      <c r="H98" s="111">
        <v>6.2694055918450147</v>
      </c>
      <c r="I98" s="112">
        <f t="shared" si="3"/>
        <v>2025</v>
      </c>
    </row>
    <row r="99" spans="7:9">
      <c r="G99" s="103">
        <v>45962</v>
      </c>
      <c r="H99" s="111">
        <v>6.695310856070595</v>
      </c>
      <c r="I99" s="112">
        <f t="shared" si="3"/>
        <v>2025</v>
      </c>
    </row>
    <row r="100" spans="7:9">
      <c r="G100" s="103">
        <v>45992</v>
      </c>
      <c r="H100" s="111">
        <v>6.8242285962065123</v>
      </c>
      <c r="I100" s="112">
        <f t="shared" si="3"/>
        <v>2025</v>
      </c>
    </row>
    <row r="101" spans="7:9">
      <c r="G101" s="103">
        <v>46023</v>
      </c>
      <c r="H101" s="111">
        <v>6.977286715691247</v>
      </c>
      <c r="I101" s="112">
        <f t="shared" si="3"/>
        <v>2026</v>
      </c>
    </row>
    <row r="102" spans="7:9">
      <c r="G102" s="103">
        <v>46054</v>
      </c>
      <c r="H102" s="111">
        <v>7.0173516309970587</v>
      </c>
      <c r="I102" s="112">
        <f t="shared" si="3"/>
        <v>2026</v>
      </c>
    </row>
    <row r="103" spans="7:9">
      <c r="G103" s="103">
        <v>46082</v>
      </c>
      <c r="H103" s="111">
        <v>6.6739090911857186</v>
      </c>
      <c r="I103" s="112">
        <f t="shared" si="3"/>
        <v>2026</v>
      </c>
    </row>
    <row r="104" spans="7:9">
      <c r="G104" s="103">
        <v>46113</v>
      </c>
      <c r="H104" s="111">
        <v>6.5384998204686076</v>
      </c>
      <c r="I104" s="112">
        <f t="shared" si="3"/>
        <v>2026</v>
      </c>
    </row>
    <row r="105" spans="7:9">
      <c r="G105" s="103">
        <v>46143</v>
      </c>
      <c r="H105" s="111">
        <v>6.5506714403083475</v>
      </c>
      <c r="I105" s="112">
        <f t="shared" si="3"/>
        <v>2026</v>
      </c>
    </row>
    <row r="106" spans="7:9">
      <c r="G106" s="103">
        <v>46174</v>
      </c>
      <c r="H106" s="111">
        <v>6.5884034618115432</v>
      </c>
      <c r="I106" s="112">
        <f t="shared" si="3"/>
        <v>2026</v>
      </c>
    </row>
    <row r="107" spans="7:9">
      <c r="G107" s="103">
        <v>46204</v>
      </c>
      <c r="H107" s="111">
        <v>6.6912536494573489</v>
      </c>
      <c r="I107" s="112">
        <f t="shared" si="3"/>
        <v>2026</v>
      </c>
    </row>
    <row r="108" spans="7:9">
      <c r="G108" s="103">
        <v>46235</v>
      </c>
      <c r="H108" s="111">
        <v>6.7234070118673293</v>
      </c>
      <c r="I108" s="112">
        <f t="shared" si="3"/>
        <v>2026</v>
      </c>
    </row>
    <row r="109" spans="7:9">
      <c r="G109" s="103">
        <v>46266</v>
      </c>
      <c r="H109" s="111">
        <v>6.69571657673192</v>
      </c>
      <c r="I109" s="112">
        <f t="shared" si="3"/>
        <v>2026</v>
      </c>
    </row>
    <row r="110" spans="7:9">
      <c r="G110" s="103">
        <v>46296</v>
      </c>
      <c r="H110" s="111">
        <v>6.7291885312912063</v>
      </c>
      <c r="I110" s="112">
        <f t="shared" si="3"/>
        <v>2026</v>
      </c>
    </row>
    <row r="111" spans="7:9">
      <c r="G111" s="103">
        <v>46327</v>
      </c>
      <c r="H111" s="111">
        <v>6.8757551201947464</v>
      </c>
      <c r="I111" s="112">
        <f t="shared" si="3"/>
        <v>2026</v>
      </c>
    </row>
    <row r="112" spans="7:9">
      <c r="G112" s="103">
        <v>46357</v>
      </c>
      <c r="H112" s="111">
        <v>6.977286715691247</v>
      </c>
      <c r="I112" s="112">
        <f t="shared" si="3"/>
        <v>2026</v>
      </c>
    </row>
    <row r="113" spans="7:9">
      <c r="G113" s="103">
        <v>46388</v>
      </c>
      <c r="H113" s="111">
        <v>7.0918013723501367</v>
      </c>
      <c r="I113" s="112">
        <f t="shared" si="3"/>
        <v>2027</v>
      </c>
    </row>
    <row r="114" spans="7:9">
      <c r="G114" s="103">
        <v>46419</v>
      </c>
      <c r="H114" s="111">
        <v>7.1243604554214421</v>
      </c>
      <c r="I114" s="112">
        <f t="shared" si="3"/>
        <v>2027</v>
      </c>
    </row>
    <row r="115" spans="7:9">
      <c r="G115" s="103">
        <v>46447</v>
      </c>
      <c r="H115" s="111">
        <v>6.6909493589613556</v>
      </c>
      <c r="I115" s="112">
        <f t="shared" si="3"/>
        <v>2027</v>
      </c>
    </row>
    <row r="116" spans="7:9">
      <c r="G116" s="103">
        <v>46478</v>
      </c>
      <c r="H116" s="111">
        <v>6.5410355746018869</v>
      </c>
      <c r="I116" s="112">
        <f t="shared" si="3"/>
        <v>2027</v>
      </c>
    </row>
    <row r="117" spans="7:9">
      <c r="G117" s="103">
        <v>46508</v>
      </c>
      <c r="H117" s="111">
        <v>6.5776518642864392</v>
      </c>
      <c r="I117" s="112">
        <f t="shared" si="3"/>
        <v>2027</v>
      </c>
    </row>
    <row r="118" spans="7:9">
      <c r="G118" s="103">
        <v>46539</v>
      </c>
      <c r="H118" s="111">
        <v>6.6156881762856274</v>
      </c>
      <c r="I118" s="112">
        <f t="shared" si="3"/>
        <v>2027</v>
      </c>
    </row>
    <row r="119" spans="7:9">
      <c r="G119" s="103">
        <v>46569</v>
      </c>
      <c r="H119" s="111">
        <v>6.698860911857186</v>
      </c>
      <c r="I119" s="112">
        <f t="shared" si="3"/>
        <v>2027</v>
      </c>
    </row>
    <row r="120" spans="7:9">
      <c r="G120" s="103">
        <v>46600</v>
      </c>
      <c r="H120" s="111">
        <v>6.7352743412110767</v>
      </c>
      <c r="I120" s="112">
        <f t="shared" si="3"/>
        <v>2027</v>
      </c>
    </row>
    <row r="121" spans="7:9">
      <c r="G121" s="103">
        <v>46631</v>
      </c>
      <c r="H121" s="111">
        <v>6.7143797271528562</v>
      </c>
      <c r="I121" s="112">
        <f t="shared" si="3"/>
        <v>2027</v>
      </c>
    </row>
    <row r="122" spans="7:9">
      <c r="G122" s="103">
        <v>46661</v>
      </c>
      <c r="H122" s="111">
        <v>6.7461273689015115</v>
      </c>
      <c r="I122" s="112">
        <f t="shared" si="3"/>
        <v>2027</v>
      </c>
    </row>
    <row r="123" spans="7:9">
      <c r="G123" s="103">
        <v>46692</v>
      </c>
      <c r="H123" s="111">
        <v>6.8993883487169088</v>
      </c>
      <c r="I123" s="112">
        <f t="shared" si="3"/>
        <v>2027</v>
      </c>
    </row>
    <row r="124" spans="7:9">
      <c r="G124" s="103">
        <v>46722</v>
      </c>
      <c r="H124" s="111">
        <v>7.019481664469013</v>
      </c>
      <c r="I124" s="112">
        <f t="shared" si="3"/>
        <v>2027</v>
      </c>
    </row>
    <row r="125" spans="7:9">
      <c r="G125" s="103">
        <v>46753</v>
      </c>
      <c r="H125" s="111">
        <v>7.1445450583223451</v>
      </c>
      <c r="I125" s="112">
        <f t="shared" si="3"/>
        <v>2028</v>
      </c>
    </row>
    <row r="126" spans="7:9">
      <c r="G126" s="103">
        <v>46784</v>
      </c>
      <c r="H126" s="111">
        <v>7.1621939070899687</v>
      </c>
      <c r="I126" s="112">
        <f t="shared" si="3"/>
        <v>2028</v>
      </c>
    </row>
    <row r="127" spans="7:9">
      <c r="G127" s="103">
        <v>46813</v>
      </c>
      <c r="H127" s="111">
        <v>6.7855837032153365</v>
      </c>
      <c r="I127" s="112">
        <f t="shared" si="3"/>
        <v>2028</v>
      </c>
    </row>
    <row r="128" spans="7:9">
      <c r="G128" s="103">
        <v>46844</v>
      </c>
      <c r="H128" s="111">
        <v>6.68182064408155</v>
      </c>
      <c r="I128" s="112">
        <f t="shared" si="3"/>
        <v>2028</v>
      </c>
    </row>
    <row r="129" spans="7:9">
      <c r="G129" s="103">
        <v>46874</v>
      </c>
      <c r="H129" s="111">
        <v>6.7093082188862967</v>
      </c>
      <c r="I129" s="112">
        <f t="shared" si="3"/>
        <v>2028</v>
      </c>
    </row>
    <row r="130" spans="7:9">
      <c r="G130" s="103">
        <v>46905</v>
      </c>
      <c r="H130" s="111">
        <v>6.7470402403894916</v>
      </c>
      <c r="I130" s="112">
        <f t="shared" si="3"/>
        <v>2028</v>
      </c>
    </row>
    <row r="131" spans="7:9">
      <c r="G131" s="103">
        <v>46935</v>
      </c>
      <c r="H131" s="111">
        <v>6.8464418024140379</v>
      </c>
      <c r="I131" s="112">
        <f t="shared" si="3"/>
        <v>2028</v>
      </c>
    </row>
    <row r="132" spans="7:9">
      <c r="G132" s="103">
        <v>46966</v>
      </c>
      <c r="H132" s="111">
        <v>6.8817394999492851</v>
      </c>
      <c r="I132" s="112">
        <f t="shared" si="3"/>
        <v>2028</v>
      </c>
    </row>
    <row r="133" spans="7:9">
      <c r="G133" s="103">
        <v>46997</v>
      </c>
      <c r="H133" s="111">
        <v>6.8255471883558174</v>
      </c>
      <c r="I133" s="112">
        <f t="shared" si="3"/>
        <v>2028</v>
      </c>
    </row>
    <row r="134" spans="7:9">
      <c r="G134" s="103">
        <v>47027</v>
      </c>
      <c r="H134" s="111">
        <v>6.8617577573790447</v>
      </c>
      <c r="I134" s="112">
        <f t="shared" si="3"/>
        <v>2028</v>
      </c>
    </row>
    <row r="135" spans="7:9">
      <c r="G135" s="103">
        <v>47058</v>
      </c>
      <c r="H135" s="111">
        <v>7.0294218206714678</v>
      </c>
      <c r="I135" s="112">
        <f t="shared" si="3"/>
        <v>2028</v>
      </c>
    </row>
    <row r="136" spans="7:9">
      <c r="G136" s="103">
        <v>47088</v>
      </c>
      <c r="H136" s="111">
        <v>7.1571223988234101</v>
      </c>
      <c r="I136" s="112">
        <f t="shared" si="3"/>
        <v>2028</v>
      </c>
    </row>
    <row r="137" spans="7:9">
      <c r="G137" s="103">
        <v>47119</v>
      </c>
      <c r="H137" s="111">
        <v>7.285837278628664</v>
      </c>
      <c r="I137" s="112">
        <f t="shared" si="3"/>
        <v>2029</v>
      </c>
    </row>
    <row r="138" spans="7:9">
      <c r="G138" s="103">
        <v>47150</v>
      </c>
      <c r="H138" s="111">
        <v>7.3220478476518922</v>
      </c>
      <c r="I138" s="112">
        <f t="shared" si="3"/>
        <v>2029</v>
      </c>
    </row>
    <row r="139" spans="7:9">
      <c r="G139" s="103">
        <v>47178</v>
      </c>
      <c r="H139" s="111">
        <v>6.9399604148493763</v>
      </c>
      <c r="I139" s="112">
        <f t="shared" si="3"/>
        <v>2029</v>
      </c>
    </row>
    <row r="140" spans="7:9">
      <c r="G140" s="103">
        <v>47209</v>
      </c>
      <c r="H140" s="111">
        <v>6.8262571995131358</v>
      </c>
      <c r="I140" s="112">
        <f t="shared" si="3"/>
        <v>2029</v>
      </c>
    </row>
    <row r="141" spans="7:9">
      <c r="G141" s="103">
        <v>47239</v>
      </c>
      <c r="H141" s="111">
        <v>6.8207799705852521</v>
      </c>
      <c r="I141" s="112">
        <f t="shared" si="3"/>
        <v>2029</v>
      </c>
    </row>
    <row r="142" spans="7:9">
      <c r="G142" s="103">
        <v>47270</v>
      </c>
      <c r="H142" s="111">
        <v>6.8626706288670247</v>
      </c>
      <c r="I142" s="112">
        <f t="shared" si="3"/>
        <v>2029</v>
      </c>
    </row>
    <row r="143" spans="7:9">
      <c r="G143" s="103">
        <v>47300</v>
      </c>
      <c r="H143" s="111">
        <v>6.9908783578456237</v>
      </c>
      <c r="I143" s="112">
        <f t="shared" si="3"/>
        <v>2029</v>
      </c>
    </row>
    <row r="144" spans="7:9">
      <c r="G144" s="103">
        <v>47331</v>
      </c>
      <c r="H144" s="111">
        <v>7.0268860665381885</v>
      </c>
      <c r="I144" s="112">
        <f t="shared" si="3"/>
        <v>2029</v>
      </c>
    </row>
    <row r="145" spans="7:9">
      <c r="G145" s="103">
        <v>47362</v>
      </c>
      <c r="H145" s="111">
        <v>7.0022385363627144</v>
      </c>
      <c r="I145" s="112">
        <f t="shared" ref="I145:I208" si="4">YEAR(G145)</f>
        <v>2029</v>
      </c>
    </row>
    <row r="146" spans="7:9">
      <c r="G146" s="103">
        <v>47392</v>
      </c>
      <c r="H146" s="111">
        <v>7.0373333735672992</v>
      </c>
      <c r="I146" s="112">
        <f t="shared" si="4"/>
        <v>2029</v>
      </c>
    </row>
    <row r="147" spans="7:9">
      <c r="G147" s="103">
        <v>47423</v>
      </c>
      <c r="H147" s="111">
        <v>7.1531666223754948</v>
      </c>
      <c r="I147" s="112">
        <f t="shared" si="4"/>
        <v>2029</v>
      </c>
    </row>
    <row r="148" spans="7:9">
      <c r="G148" s="103">
        <v>47453</v>
      </c>
      <c r="H148" s="111">
        <v>7.2876630216046259</v>
      </c>
      <c r="I148" s="112">
        <f t="shared" si="4"/>
        <v>2029</v>
      </c>
    </row>
    <row r="149" spans="7:9">
      <c r="G149" s="103">
        <v>47484</v>
      </c>
      <c r="H149" s="111">
        <v>7.4098863708286844</v>
      </c>
      <c r="I149" s="112">
        <f t="shared" si="4"/>
        <v>2030</v>
      </c>
    </row>
    <row r="150" spans="7:9">
      <c r="G150" s="103">
        <v>47515</v>
      </c>
      <c r="H150" s="111">
        <v>7.4465026605132376</v>
      </c>
      <c r="I150" s="112">
        <f t="shared" si="4"/>
        <v>2030</v>
      </c>
    </row>
    <row r="151" spans="7:9">
      <c r="G151" s="103">
        <v>47543</v>
      </c>
      <c r="H151" s="111">
        <v>6.9458433644385842</v>
      </c>
      <c r="I151" s="112">
        <f t="shared" si="4"/>
        <v>2030</v>
      </c>
    </row>
    <row r="152" spans="7:9">
      <c r="G152" s="103">
        <v>47574</v>
      </c>
      <c r="H152" s="111">
        <v>6.8639892210163307</v>
      </c>
      <c r="I152" s="112">
        <f t="shared" si="4"/>
        <v>2030</v>
      </c>
    </row>
    <row r="153" spans="7:9">
      <c r="G153" s="103">
        <v>47604</v>
      </c>
      <c r="H153" s="111">
        <v>6.8926939578050517</v>
      </c>
      <c r="I153" s="112">
        <f t="shared" si="4"/>
        <v>2030</v>
      </c>
    </row>
    <row r="154" spans="7:9">
      <c r="G154" s="103">
        <v>47635</v>
      </c>
      <c r="H154" s="111">
        <v>6.9348889065828176</v>
      </c>
      <c r="I154" s="112">
        <f t="shared" si="4"/>
        <v>2030</v>
      </c>
    </row>
    <row r="155" spans="7:9">
      <c r="G155" s="103">
        <v>47665</v>
      </c>
      <c r="H155" s="111">
        <v>7.0326675859620655</v>
      </c>
      <c r="I155" s="112">
        <f t="shared" si="4"/>
        <v>2030</v>
      </c>
    </row>
    <row r="156" spans="7:9">
      <c r="G156" s="103">
        <v>47696</v>
      </c>
      <c r="H156" s="111">
        <v>7.0697910264732737</v>
      </c>
      <c r="I156" s="112">
        <f t="shared" si="4"/>
        <v>2030</v>
      </c>
    </row>
    <row r="157" spans="7:9">
      <c r="G157" s="103">
        <v>47727</v>
      </c>
      <c r="H157" s="111">
        <v>7.0902799198701691</v>
      </c>
      <c r="I157" s="112">
        <f t="shared" si="4"/>
        <v>2030</v>
      </c>
    </row>
    <row r="158" spans="7:9">
      <c r="G158" s="103">
        <v>47757</v>
      </c>
      <c r="H158" s="111">
        <v>7.1311562764986309</v>
      </c>
      <c r="I158" s="112">
        <f t="shared" si="4"/>
        <v>2030</v>
      </c>
    </row>
    <row r="159" spans="7:9">
      <c r="G159" s="103">
        <v>47788</v>
      </c>
      <c r="H159" s="111">
        <v>7.2444537711735473</v>
      </c>
      <c r="I159" s="112">
        <f t="shared" si="4"/>
        <v>2030</v>
      </c>
    </row>
    <row r="160" spans="7:9">
      <c r="G160" s="103">
        <v>47818</v>
      </c>
      <c r="H160" s="111">
        <v>7.4072491865300742</v>
      </c>
      <c r="I160" s="112">
        <f t="shared" si="4"/>
        <v>2030</v>
      </c>
    </row>
    <row r="161" spans="7:9">
      <c r="G161" s="103">
        <v>47849</v>
      </c>
      <c r="H161" s="111">
        <v>7.5615244679987832</v>
      </c>
      <c r="I161" s="112">
        <f t="shared" si="4"/>
        <v>2031</v>
      </c>
    </row>
    <row r="162" spans="7:9">
      <c r="G162" s="103">
        <v>47880</v>
      </c>
      <c r="H162" s="111">
        <v>7.606458031240491</v>
      </c>
      <c r="I162" s="112">
        <f t="shared" si="4"/>
        <v>2031</v>
      </c>
    </row>
    <row r="163" spans="7:9">
      <c r="G163" s="103">
        <v>47908</v>
      </c>
      <c r="H163" s="111">
        <v>7.1648310913885789</v>
      </c>
      <c r="I163" s="112">
        <f t="shared" si="4"/>
        <v>2031</v>
      </c>
    </row>
    <row r="164" spans="7:9">
      <c r="G164" s="103">
        <v>47939</v>
      </c>
      <c r="H164" s="111">
        <v>7.1004229364032865</v>
      </c>
      <c r="I164" s="112">
        <f t="shared" si="4"/>
        <v>2031</v>
      </c>
    </row>
    <row r="165" spans="7:9">
      <c r="G165" s="103">
        <v>47969</v>
      </c>
      <c r="H165" s="111">
        <v>7.14231359468506</v>
      </c>
      <c r="I165" s="112">
        <f t="shared" si="4"/>
        <v>2031</v>
      </c>
    </row>
    <row r="166" spans="7:9">
      <c r="G166" s="103">
        <v>48000</v>
      </c>
      <c r="H166" s="111">
        <v>7.1860299959427936</v>
      </c>
      <c r="I166" s="112">
        <f t="shared" si="4"/>
        <v>2031</v>
      </c>
    </row>
    <row r="167" spans="7:9">
      <c r="G167" s="103">
        <v>48030</v>
      </c>
      <c r="H167" s="111">
        <v>7.2909087868952227</v>
      </c>
      <c r="I167" s="112">
        <f t="shared" si="4"/>
        <v>2031</v>
      </c>
    </row>
    <row r="168" spans="7:9">
      <c r="G168" s="103">
        <v>48061</v>
      </c>
      <c r="H168" s="111">
        <v>7.3209321158332497</v>
      </c>
      <c r="I168" s="112">
        <f t="shared" si="4"/>
        <v>2031</v>
      </c>
    </row>
    <row r="169" spans="7:9">
      <c r="G169" s="103">
        <v>48092</v>
      </c>
      <c r="H169" s="111">
        <v>7.3273222162491125</v>
      </c>
      <c r="I169" s="112">
        <f t="shared" si="4"/>
        <v>2031</v>
      </c>
    </row>
    <row r="170" spans="7:9">
      <c r="G170" s="103">
        <v>48122</v>
      </c>
      <c r="H170" s="111">
        <v>7.3633299249416773</v>
      </c>
      <c r="I170" s="112">
        <f t="shared" si="4"/>
        <v>2031</v>
      </c>
    </row>
    <row r="171" spans="7:9">
      <c r="G171" s="103">
        <v>48153</v>
      </c>
      <c r="H171" s="111">
        <v>7.5097950836798866</v>
      </c>
      <c r="I171" s="112">
        <f t="shared" si="4"/>
        <v>2031</v>
      </c>
    </row>
    <row r="172" spans="7:9">
      <c r="G172" s="103">
        <v>48183</v>
      </c>
      <c r="H172" s="111">
        <v>7.672387638705751</v>
      </c>
      <c r="I172" s="112">
        <f t="shared" si="4"/>
        <v>2031</v>
      </c>
    </row>
    <row r="173" spans="7:9">
      <c r="G173" s="103">
        <v>48214</v>
      </c>
      <c r="H173" s="111">
        <v>7.7126554143422252</v>
      </c>
      <c r="I173" s="112">
        <f t="shared" si="4"/>
        <v>2032</v>
      </c>
    </row>
    <row r="174" spans="7:9">
      <c r="G174" s="103">
        <v>48245</v>
      </c>
      <c r="H174" s="111">
        <v>7.7584004189065823</v>
      </c>
      <c r="I174" s="112">
        <f t="shared" si="4"/>
        <v>2032</v>
      </c>
    </row>
    <row r="175" spans="7:9">
      <c r="G175" s="103">
        <v>48274</v>
      </c>
      <c r="H175" s="111">
        <v>7.3080504848361905</v>
      </c>
      <c r="I175" s="112">
        <f t="shared" si="4"/>
        <v>2032</v>
      </c>
    </row>
    <row r="176" spans="7:9">
      <c r="G176" s="103">
        <v>48305</v>
      </c>
      <c r="H176" s="111">
        <v>7.2423237377015921</v>
      </c>
      <c r="I176" s="112">
        <f t="shared" si="4"/>
        <v>2032</v>
      </c>
    </row>
    <row r="177" spans="7:9">
      <c r="G177" s="103">
        <v>48335</v>
      </c>
      <c r="H177" s="111">
        <v>7.2851272674713456</v>
      </c>
      <c r="I177" s="112">
        <f t="shared" si="4"/>
        <v>2032</v>
      </c>
    </row>
    <row r="178" spans="7:9">
      <c r="G178" s="103">
        <v>48366</v>
      </c>
      <c r="H178" s="111">
        <v>7.3296551100517293</v>
      </c>
      <c r="I178" s="112">
        <f t="shared" si="4"/>
        <v>2032</v>
      </c>
    </row>
    <row r="179" spans="7:9">
      <c r="G179" s="103">
        <v>48396</v>
      </c>
      <c r="H179" s="111">
        <v>7.4366639344761136</v>
      </c>
      <c r="I179" s="112">
        <f t="shared" si="4"/>
        <v>2032</v>
      </c>
    </row>
    <row r="180" spans="7:9">
      <c r="G180" s="103">
        <v>48427</v>
      </c>
      <c r="H180" s="111">
        <v>7.4672958444061264</v>
      </c>
      <c r="I180" s="112">
        <f t="shared" si="4"/>
        <v>2032</v>
      </c>
    </row>
    <row r="181" spans="7:9">
      <c r="G181" s="103">
        <v>48458</v>
      </c>
      <c r="H181" s="111">
        <v>7.4737873749873209</v>
      </c>
      <c r="I181" s="112">
        <f t="shared" si="4"/>
        <v>2032</v>
      </c>
    </row>
    <row r="182" spans="7:9">
      <c r="G182" s="103">
        <v>48488</v>
      </c>
      <c r="H182" s="111">
        <v>7.510505094837205</v>
      </c>
      <c r="I182" s="112">
        <f t="shared" si="4"/>
        <v>2032</v>
      </c>
    </row>
    <row r="183" spans="7:9">
      <c r="G183" s="103">
        <v>48519</v>
      </c>
      <c r="H183" s="111">
        <v>7.6599117283700178</v>
      </c>
      <c r="I183" s="112">
        <f t="shared" si="4"/>
        <v>2032</v>
      </c>
    </row>
    <row r="184" spans="7:9">
      <c r="G184" s="103">
        <v>48549</v>
      </c>
      <c r="H184" s="111">
        <v>7.8257500486864799</v>
      </c>
      <c r="I184" s="112">
        <f t="shared" si="4"/>
        <v>2032</v>
      </c>
    </row>
    <row r="185" spans="7:9">
      <c r="G185" s="103">
        <v>48580</v>
      </c>
      <c r="H185" s="111">
        <v>7.8668292656456034</v>
      </c>
      <c r="I185" s="112">
        <f t="shared" si="4"/>
        <v>2033</v>
      </c>
    </row>
    <row r="186" spans="7:9">
      <c r="G186" s="103">
        <v>48611</v>
      </c>
      <c r="H186" s="111">
        <v>7.9134871416979413</v>
      </c>
      <c r="I186" s="112">
        <f t="shared" si="4"/>
        <v>2033</v>
      </c>
    </row>
    <row r="187" spans="7:9">
      <c r="G187" s="103">
        <v>48639</v>
      </c>
      <c r="H187" s="111">
        <v>7.4541099229130747</v>
      </c>
      <c r="I187" s="112">
        <f t="shared" si="4"/>
        <v>2033</v>
      </c>
    </row>
    <row r="188" spans="7:9">
      <c r="G188" s="103">
        <v>48670</v>
      </c>
      <c r="H188" s="111">
        <v>7.3870645836291713</v>
      </c>
      <c r="I188" s="112">
        <f t="shared" si="4"/>
        <v>2033</v>
      </c>
    </row>
    <row r="189" spans="7:9">
      <c r="G189" s="103">
        <v>48700</v>
      </c>
      <c r="H189" s="111">
        <v>7.4306795547215749</v>
      </c>
      <c r="I189" s="112">
        <f t="shared" si="4"/>
        <v>2033</v>
      </c>
    </row>
    <row r="190" spans="7:9">
      <c r="G190" s="103">
        <v>48731</v>
      </c>
      <c r="H190" s="111">
        <v>7.4761202687899377</v>
      </c>
      <c r="I190" s="112">
        <f t="shared" si="4"/>
        <v>2033</v>
      </c>
    </row>
    <row r="191" spans="7:9">
      <c r="G191" s="103">
        <v>48761</v>
      </c>
      <c r="H191" s="111">
        <v>7.5852591266862772</v>
      </c>
      <c r="I191" s="112">
        <f t="shared" si="4"/>
        <v>2033</v>
      </c>
    </row>
    <row r="192" spans="7:9">
      <c r="G192" s="103">
        <v>48792</v>
      </c>
      <c r="H192" s="111">
        <v>7.6164996176082767</v>
      </c>
      <c r="I192" s="112">
        <f t="shared" si="4"/>
        <v>2033</v>
      </c>
    </row>
    <row r="193" spans="7:9">
      <c r="G193" s="103">
        <v>48823</v>
      </c>
      <c r="H193" s="111">
        <v>7.6230925783548029</v>
      </c>
      <c r="I193" s="112">
        <f t="shared" si="4"/>
        <v>2033</v>
      </c>
    </row>
    <row r="194" spans="7:9">
      <c r="G194" s="103">
        <v>48853</v>
      </c>
      <c r="H194" s="111">
        <v>7.6606217395273353</v>
      </c>
      <c r="I194" s="112">
        <f t="shared" si="4"/>
        <v>2033</v>
      </c>
    </row>
    <row r="195" spans="7:9">
      <c r="G195" s="103">
        <v>48884</v>
      </c>
      <c r="H195" s="111">
        <v>7.8129698478547525</v>
      </c>
      <c r="I195" s="112">
        <f t="shared" si="4"/>
        <v>2033</v>
      </c>
    </row>
    <row r="196" spans="7:9">
      <c r="G196" s="103">
        <v>48914</v>
      </c>
      <c r="H196" s="111">
        <v>7.9821553636271423</v>
      </c>
      <c r="I196" s="112">
        <f t="shared" si="4"/>
        <v>2033</v>
      </c>
    </row>
    <row r="197" spans="7:9">
      <c r="G197" s="103">
        <v>48945</v>
      </c>
      <c r="H197" s="111">
        <v>8.0240460219089158</v>
      </c>
      <c r="I197" s="112">
        <f t="shared" si="4"/>
        <v>2034</v>
      </c>
    </row>
    <row r="198" spans="7:9">
      <c r="G198" s="103">
        <v>48976</v>
      </c>
      <c r="H198" s="111">
        <v>8.0717181996145655</v>
      </c>
      <c r="I198" s="112">
        <f t="shared" si="4"/>
        <v>2034</v>
      </c>
    </row>
    <row r="199" spans="7:9">
      <c r="G199" s="103">
        <v>49004</v>
      </c>
      <c r="H199" s="111">
        <v>7.6031108357845625</v>
      </c>
      <c r="I199" s="112">
        <f t="shared" si="4"/>
        <v>2034</v>
      </c>
    </row>
    <row r="200" spans="7:9">
      <c r="G200" s="103">
        <v>49035</v>
      </c>
      <c r="H200" s="111">
        <v>7.534746904351354</v>
      </c>
      <c r="I200" s="112">
        <f t="shared" si="4"/>
        <v>2034</v>
      </c>
    </row>
    <row r="201" spans="7:9">
      <c r="G201" s="103">
        <v>49065</v>
      </c>
      <c r="H201" s="111">
        <v>7.5792747469317376</v>
      </c>
      <c r="I201" s="112">
        <f t="shared" si="4"/>
        <v>2034</v>
      </c>
    </row>
    <row r="202" spans="7:9">
      <c r="G202" s="103">
        <v>49096</v>
      </c>
      <c r="H202" s="111">
        <v>7.6256283324880823</v>
      </c>
      <c r="I202" s="112">
        <f t="shared" si="4"/>
        <v>2034</v>
      </c>
    </row>
    <row r="203" spans="7:9">
      <c r="G203" s="103">
        <v>49126</v>
      </c>
      <c r="H203" s="111">
        <v>7.7368972238563751</v>
      </c>
      <c r="I203" s="112">
        <f t="shared" si="4"/>
        <v>2034</v>
      </c>
    </row>
    <row r="204" spans="7:9">
      <c r="G204" s="103">
        <v>49157</v>
      </c>
      <c r="H204" s="111">
        <v>7.7687462957703621</v>
      </c>
      <c r="I204" s="112">
        <f t="shared" si="4"/>
        <v>2034</v>
      </c>
    </row>
    <row r="205" spans="7:9">
      <c r="G205" s="103">
        <v>49188</v>
      </c>
      <c r="H205" s="111">
        <v>7.7755421168475509</v>
      </c>
      <c r="I205" s="112">
        <f t="shared" si="4"/>
        <v>2034</v>
      </c>
    </row>
    <row r="206" spans="7:9">
      <c r="G206" s="103">
        <v>49218</v>
      </c>
      <c r="H206" s="111">
        <v>7.8137812891774017</v>
      </c>
      <c r="I206" s="112">
        <f t="shared" si="4"/>
        <v>2034</v>
      </c>
    </row>
    <row r="207" spans="7:9">
      <c r="G207" s="103">
        <v>49249</v>
      </c>
      <c r="H207" s="111">
        <v>7.9691723024647532</v>
      </c>
      <c r="I207" s="112">
        <f t="shared" si="4"/>
        <v>2034</v>
      </c>
    </row>
    <row r="208" spans="7:9">
      <c r="G208" s="103">
        <v>49279</v>
      </c>
      <c r="H208" s="111">
        <v>8.1417050136930733</v>
      </c>
      <c r="I208" s="112">
        <f t="shared" si="4"/>
        <v>2034</v>
      </c>
    </row>
    <row r="209" spans="7:9">
      <c r="G209" s="103">
        <v>49310</v>
      </c>
      <c r="H209" s="111">
        <v>8.184508543462826</v>
      </c>
      <c r="I209" s="112">
        <f t="shared" ref="I209:I268" si="5">YEAR(G209)</f>
        <v>2035</v>
      </c>
    </row>
    <row r="210" spans="7:9">
      <c r="G210" s="103">
        <v>49341</v>
      </c>
      <c r="H210" s="111">
        <v>8.2330935926564557</v>
      </c>
      <c r="I210" s="112">
        <f t="shared" si="5"/>
        <v>2035</v>
      </c>
    </row>
    <row r="211" spans="7:9">
      <c r="G211" s="103">
        <v>49369</v>
      </c>
      <c r="H211" s="111">
        <v>7.7550532234506546</v>
      </c>
      <c r="I211" s="112">
        <f t="shared" si="5"/>
        <v>2035</v>
      </c>
    </row>
    <row r="212" spans="7:9">
      <c r="G212" s="103">
        <v>49400</v>
      </c>
      <c r="H212" s="111">
        <v>7.6852692697028093</v>
      </c>
      <c r="I212" s="112">
        <f t="shared" si="5"/>
        <v>2035</v>
      </c>
    </row>
    <row r="213" spans="7:9">
      <c r="G213" s="103">
        <v>49430</v>
      </c>
      <c r="H213" s="111">
        <v>7.7307099837711739</v>
      </c>
      <c r="I213" s="112">
        <f t="shared" si="5"/>
        <v>2035</v>
      </c>
    </row>
    <row r="214" spans="7:9">
      <c r="G214" s="103">
        <v>49461</v>
      </c>
      <c r="H214" s="111">
        <v>7.7779764408154985</v>
      </c>
      <c r="I214" s="112">
        <f t="shared" si="5"/>
        <v>2035</v>
      </c>
    </row>
    <row r="215" spans="7:9">
      <c r="G215" s="103">
        <v>49491</v>
      </c>
      <c r="H215" s="111">
        <v>7.8915782259864082</v>
      </c>
      <c r="I215" s="112">
        <f t="shared" si="5"/>
        <v>2035</v>
      </c>
    </row>
    <row r="216" spans="7:9">
      <c r="G216" s="103">
        <v>49522</v>
      </c>
      <c r="H216" s="111">
        <v>7.9240358788923828</v>
      </c>
      <c r="I216" s="112">
        <f t="shared" si="5"/>
        <v>2035</v>
      </c>
    </row>
    <row r="217" spans="7:9">
      <c r="G217" s="103">
        <v>49553</v>
      </c>
      <c r="H217" s="111">
        <v>7.9309331301349024</v>
      </c>
      <c r="I217" s="112">
        <f t="shared" si="5"/>
        <v>2035</v>
      </c>
    </row>
    <row r="218" spans="7:9">
      <c r="G218" s="103">
        <v>49583</v>
      </c>
      <c r="H218" s="111">
        <v>7.9698823136220716</v>
      </c>
      <c r="I218" s="112">
        <f t="shared" si="5"/>
        <v>2035</v>
      </c>
    </row>
    <row r="219" spans="7:9">
      <c r="G219" s="103">
        <v>49614</v>
      </c>
      <c r="H219" s="111">
        <v>8.1284176620346873</v>
      </c>
      <c r="I219" s="112">
        <f t="shared" si="5"/>
        <v>2035</v>
      </c>
    </row>
    <row r="220" spans="7:9">
      <c r="G220" s="103">
        <v>49644</v>
      </c>
      <c r="H220" s="111">
        <v>8.3045004290495985</v>
      </c>
      <c r="I220" s="112">
        <f t="shared" si="5"/>
        <v>2035</v>
      </c>
    </row>
    <row r="221" spans="7:9">
      <c r="G221" s="103">
        <v>49675</v>
      </c>
      <c r="H221" s="111">
        <v>8.348115400142003</v>
      </c>
      <c r="I221" s="112">
        <f t="shared" si="5"/>
        <v>2036</v>
      </c>
    </row>
    <row r="222" spans="7:9">
      <c r="G222" s="103">
        <v>49706</v>
      </c>
      <c r="H222" s="111">
        <v>8.3976133208236128</v>
      </c>
      <c r="I222" s="112">
        <f t="shared" si="5"/>
        <v>2036</v>
      </c>
    </row>
    <row r="223" spans="7:9">
      <c r="G223" s="103">
        <v>49735</v>
      </c>
      <c r="H223" s="111">
        <v>7.910038516076682</v>
      </c>
      <c r="I223" s="112">
        <f t="shared" si="5"/>
        <v>2036</v>
      </c>
    </row>
    <row r="224" spans="7:9">
      <c r="G224" s="103">
        <v>49766</v>
      </c>
      <c r="H224" s="111">
        <v>7.8389359701795316</v>
      </c>
      <c r="I224" s="112">
        <f t="shared" si="5"/>
        <v>2036</v>
      </c>
    </row>
    <row r="225" spans="7:9">
      <c r="G225" s="103">
        <v>49796</v>
      </c>
      <c r="H225" s="111">
        <v>7.8852895557358762</v>
      </c>
      <c r="I225" s="112">
        <f t="shared" si="5"/>
        <v>2036</v>
      </c>
    </row>
    <row r="226" spans="7:9">
      <c r="G226" s="103">
        <v>49827</v>
      </c>
      <c r="H226" s="111">
        <v>7.9334688842681809</v>
      </c>
      <c r="I226" s="112">
        <f t="shared" si="5"/>
        <v>2036</v>
      </c>
    </row>
    <row r="227" spans="7:9">
      <c r="G227" s="103">
        <v>49857</v>
      </c>
      <c r="H227" s="111">
        <v>8.0493021330763757</v>
      </c>
      <c r="I227" s="112">
        <f t="shared" si="5"/>
        <v>2036</v>
      </c>
    </row>
    <row r="228" spans="7:9">
      <c r="G228" s="103">
        <v>49888</v>
      </c>
      <c r="H228" s="111">
        <v>8.0824697971396695</v>
      </c>
      <c r="I228" s="112">
        <f t="shared" si="5"/>
        <v>2036</v>
      </c>
    </row>
    <row r="229" spans="7:9">
      <c r="G229" s="103">
        <v>49919</v>
      </c>
      <c r="H229" s="111">
        <v>8.0894684785475199</v>
      </c>
      <c r="I229" s="112">
        <f t="shared" si="5"/>
        <v>2036</v>
      </c>
    </row>
    <row r="230" spans="7:9">
      <c r="G230" s="103">
        <v>49949</v>
      </c>
      <c r="H230" s="111">
        <v>8.1292291033573374</v>
      </c>
      <c r="I230" s="112">
        <f t="shared" si="5"/>
        <v>2036</v>
      </c>
    </row>
    <row r="231" spans="7:9">
      <c r="G231" s="103">
        <v>49980</v>
      </c>
      <c r="H231" s="111">
        <v>8.2909087868952227</v>
      </c>
      <c r="I231" s="112">
        <f t="shared" si="5"/>
        <v>2036</v>
      </c>
    </row>
    <row r="232" spans="7:9">
      <c r="G232" s="103">
        <v>50010</v>
      </c>
      <c r="H232" s="111">
        <v>8.4704401795313924</v>
      </c>
      <c r="I232" s="112">
        <f t="shared" si="5"/>
        <v>2036</v>
      </c>
    </row>
    <row r="233" spans="7:9">
      <c r="G233" s="103">
        <v>50041</v>
      </c>
      <c r="H233" s="111">
        <v>8.5149680221117752</v>
      </c>
      <c r="I233" s="112">
        <f t="shared" si="5"/>
        <v>2037</v>
      </c>
    </row>
    <row r="234" spans="7:9">
      <c r="G234" s="103">
        <v>50072</v>
      </c>
      <c r="H234" s="111">
        <v>8.5654802444466984</v>
      </c>
      <c r="I234" s="112">
        <f t="shared" si="5"/>
        <v>2037</v>
      </c>
    </row>
    <row r="235" spans="7:9">
      <c r="G235" s="103">
        <v>50100</v>
      </c>
      <c r="H235" s="111">
        <v>8.0681681438279735</v>
      </c>
      <c r="I235" s="112">
        <f t="shared" si="5"/>
        <v>2037</v>
      </c>
    </row>
    <row r="236" spans="7:9">
      <c r="G236" s="103">
        <v>50131</v>
      </c>
      <c r="H236" s="111">
        <v>7.9956455756161882</v>
      </c>
      <c r="I236" s="112">
        <f t="shared" si="5"/>
        <v>2037</v>
      </c>
    </row>
    <row r="237" spans="7:9">
      <c r="G237" s="103">
        <v>50161</v>
      </c>
      <c r="H237" s="111">
        <v>8.0429120326605119</v>
      </c>
      <c r="I237" s="112">
        <f t="shared" si="5"/>
        <v>2037</v>
      </c>
    </row>
    <row r="238" spans="7:9">
      <c r="G238" s="103">
        <v>50192</v>
      </c>
      <c r="H238" s="111">
        <v>8.0921056628461301</v>
      </c>
      <c r="I238" s="112">
        <f t="shared" si="5"/>
        <v>2037</v>
      </c>
    </row>
    <row r="239" spans="7:9">
      <c r="G239" s="103">
        <v>50222</v>
      </c>
      <c r="H239" s="111">
        <v>8.2101703752916109</v>
      </c>
      <c r="I239" s="112">
        <f t="shared" si="5"/>
        <v>2037</v>
      </c>
    </row>
    <row r="240" spans="7:9">
      <c r="G240" s="103">
        <v>50253</v>
      </c>
      <c r="H240" s="111">
        <v>8.2439466203468914</v>
      </c>
      <c r="I240" s="112">
        <f t="shared" si="5"/>
        <v>2037</v>
      </c>
    </row>
    <row r="241" spans="7:9">
      <c r="G241" s="103">
        <v>50284</v>
      </c>
      <c r="H241" s="111">
        <v>8.2511481620854035</v>
      </c>
      <c r="I241" s="112">
        <f t="shared" si="5"/>
        <v>2037</v>
      </c>
    </row>
    <row r="242" spans="7:9">
      <c r="G242" s="103">
        <v>50314</v>
      </c>
      <c r="H242" s="111">
        <v>8.2917202282178728</v>
      </c>
      <c r="I242" s="112">
        <f t="shared" si="5"/>
        <v>2037</v>
      </c>
    </row>
    <row r="243" spans="7:9">
      <c r="G243" s="103">
        <v>50345</v>
      </c>
      <c r="H243" s="111">
        <v>8.4566456770463532</v>
      </c>
      <c r="I243" s="112">
        <f t="shared" si="5"/>
        <v>2037</v>
      </c>
    </row>
    <row r="244" spans="7:9">
      <c r="G244" s="103">
        <v>50375</v>
      </c>
      <c r="H244" s="111">
        <v>8.6398285556344447</v>
      </c>
      <c r="I244" s="112">
        <f t="shared" si="5"/>
        <v>2037</v>
      </c>
    </row>
    <row r="245" spans="7:9">
      <c r="G245" s="103">
        <v>50406</v>
      </c>
      <c r="H245" s="111">
        <v>8.6851678395374776</v>
      </c>
      <c r="I245" s="112">
        <f t="shared" si="5"/>
        <v>2038</v>
      </c>
    </row>
    <row r="246" spans="7:9">
      <c r="G246" s="103">
        <v>50437</v>
      </c>
      <c r="H246" s="111">
        <v>8.7366943635257108</v>
      </c>
      <c r="I246" s="112">
        <f t="shared" si="5"/>
        <v>2038</v>
      </c>
    </row>
    <row r="247" spans="7:9">
      <c r="G247" s="103">
        <v>50465</v>
      </c>
      <c r="H247" s="111">
        <v>8.2294421067045338</v>
      </c>
      <c r="I247" s="112">
        <f t="shared" si="5"/>
        <v>2038</v>
      </c>
    </row>
    <row r="248" spans="7:9">
      <c r="G248" s="103">
        <v>50496</v>
      </c>
      <c r="H248" s="111">
        <v>8.155398086012779</v>
      </c>
      <c r="I248" s="112">
        <f t="shared" si="5"/>
        <v>2038</v>
      </c>
    </row>
    <row r="249" spans="7:9">
      <c r="G249" s="103">
        <v>50526</v>
      </c>
      <c r="H249" s="111">
        <v>8.2036788447104172</v>
      </c>
      <c r="I249" s="112">
        <f t="shared" si="5"/>
        <v>2038</v>
      </c>
    </row>
    <row r="250" spans="7:9">
      <c r="G250" s="103">
        <v>50557</v>
      </c>
      <c r="H250" s="111">
        <v>8.2537853463840136</v>
      </c>
      <c r="I250" s="112">
        <f t="shared" si="5"/>
        <v>2038</v>
      </c>
    </row>
    <row r="251" spans="7:9">
      <c r="G251" s="103">
        <v>50587</v>
      </c>
      <c r="H251" s="111">
        <v>8.3742843827974429</v>
      </c>
      <c r="I251" s="112">
        <f t="shared" si="5"/>
        <v>2038</v>
      </c>
    </row>
    <row r="252" spans="7:9">
      <c r="G252" s="103">
        <v>50618</v>
      </c>
      <c r="H252" s="111">
        <v>8.4087706390100401</v>
      </c>
      <c r="I252" s="112">
        <f t="shared" si="5"/>
        <v>2038</v>
      </c>
    </row>
    <row r="253" spans="7:9">
      <c r="G253" s="103">
        <v>50649</v>
      </c>
      <c r="H253" s="111">
        <v>8.4160736109138838</v>
      </c>
      <c r="I253" s="112">
        <f t="shared" si="5"/>
        <v>2038</v>
      </c>
    </row>
    <row r="254" spans="7:9">
      <c r="G254" s="103">
        <v>50679</v>
      </c>
      <c r="H254" s="111">
        <v>8.4574571183690015</v>
      </c>
      <c r="I254" s="112">
        <f t="shared" si="5"/>
        <v>2038</v>
      </c>
    </row>
    <row r="255" spans="7:9">
      <c r="G255" s="103">
        <v>50710</v>
      </c>
      <c r="H255" s="111">
        <v>8.6257297626534122</v>
      </c>
      <c r="I255" s="112">
        <f t="shared" si="5"/>
        <v>2038</v>
      </c>
    </row>
    <row r="256" spans="7:9">
      <c r="G256" s="103">
        <v>50740</v>
      </c>
      <c r="H256" s="111">
        <v>8.8124626970280957</v>
      </c>
      <c r="I256" s="112">
        <f t="shared" si="5"/>
        <v>2038</v>
      </c>
    </row>
    <row r="257" spans="7:9">
      <c r="G257" s="103">
        <v>50771</v>
      </c>
      <c r="H257" s="111">
        <v>8.8588162825844403</v>
      </c>
      <c r="I257" s="112">
        <f t="shared" si="5"/>
        <v>2039</v>
      </c>
    </row>
    <row r="258" spans="7:9">
      <c r="G258" s="103">
        <v>50802</v>
      </c>
      <c r="H258" s="111">
        <v>8.9113571082259853</v>
      </c>
      <c r="I258" s="112">
        <f t="shared" si="5"/>
        <v>2039</v>
      </c>
    </row>
    <row r="259" spans="7:9">
      <c r="G259" s="103">
        <v>50830</v>
      </c>
      <c r="H259" s="111">
        <v>8.3939618348716909</v>
      </c>
      <c r="I259" s="112">
        <f t="shared" si="5"/>
        <v>2039</v>
      </c>
    </row>
    <row r="260" spans="7:9">
      <c r="G260" s="103">
        <v>50861</v>
      </c>
      <c r="H260" s="111">
        <v>8.3184977918652994</v>
      </c>
      <c r="I260" s="112">
        <f t="shared" si="5"/>
        <v>2039</v>
      </c>
    </row>
    <row r="261" spans="7:9">
      <c r="G261" s="103">
        <v>50891</v>
      </c>
      <c r="H261" s="111">
        <v>8.3675899918855858</v>
      </c>
      <c r="I261" s="112">
        <f t="shared" si="5"/>
        <v>2039</v>
      </c>
    </row>
    <row r="262" spans="7:9">
      <c r="G262" s="103">
        <v>50922</v>
      </c>
      <c r="H262" s="111">
        <v>8.4188122253778275</v>
      </c>
      <c r="I262" s="112">
        <f t="shared" si="5"/>
        <v>2039</v>
      </c>
    </row>
    <row r="263" spans="7:9">
      <c r="G263" s="103">
        <v>50952</v>
      </c>
      <c r="H263" s="111">
        <v>8.5417455857592035</v>
      </c>
      <c r="I263" s="112">
        <f t="shared" si="5"/>
        <v>2039</v>
      </c>
    </row>
    <row r="264" spans="7:9">
      <c r="G264" s="103">
        <v>50983</v>
      </c>
      <c r="H264" s="111">
        <v>8.5768404229637873</v>
      </c>
      <c r="I264" s="112">
        <f t="shared" si="5"/>
        <v>2039</v>
      </c>
    </row>
    <row r="265" spans="7:9">
      <c r="G265" s="103">
        <v>51014</v>
      </c>
      <c r="H265" s="111">
        <v>8.5843462551982945</v>
      </c>
      <c r="I265" s="112">
        <f t="shared" si="5"/>
        <v>2039</v>
      </c>
    </row>
    <row r="266" spans="7:9">
      <c r="G266" s="103">
        <v>51044</v>
      </c>
      <c r="H266" s="111">
        <v>8.6265412039760623</v>
      </c>
      <c r="I266" s="112">
        <f t="shared" si="5"/>
        <v>2039</v>
      </c>
    </row>
    <row r="267" spans="7:9">
      <c r="G267" s="103">
        <v>51075</v>
      </c>
      <c r="H267" s="111">
        <v>8.7981610437164015</v>
      </c>
      <c r="I267" s="112">
        <f t="shared" si="5"/>
        <v>2039</v>
      </c>
    </row>
    <row r="268" spans="7:9">
      <c r="G268" s="103">
        <v>51105</v>
      </c>
      <c r="H268" s="111">
        <v>8.9886468942083368</v>
      </c>
      <c r="I268" s="112">
        <f t="shared" si="5"/>
        <v>2039</v>
      </c>
    </row>
    <row r="273" spans="7:8">
      <c r="G273" s="6"/>
      <c r="H273" s="6"/>
    </row>
    <row r="274" spans="7:8">
      <c r="G274" s="6"/>
      <c r="H274" s="6"/>
    </row>
    <row r="275" spans="7:8">
      <c r="G275" s="6"/>
      <c r="H275" s="6"/>
    </row>
    <row r="276" spans="7:8">
      <c r="G276" s="6"/>
      <c r="H276" s="6"/>
    </row>
    <row r="277" spans="7:8">
      <c r="G277" s="6"/>
      <c r="H277" s="6"/>
    </row>
    <row r="278" spans="7:8">
      <c r="G278" s="6"/>
      <c r="H278" s="6"/>
    </row>
    <row r="279" spans="7:8">
      <c r="G279" s="6"/>
      <c r="H279" s="6"/>
    </row>
    <row r="280" spans="7:8">
      <c r="G280" s="6"/>
      <c r="H280" s="6"/>
    </row>
    <row r="281" spans="7:8">
      <c r="G281" s="6"/>
      <c r="H281" s="6"/>
    </row>
    <row r="282" spans="7:8">
      <c r="G282" s="6"/>
      <c r="H282" s="6"/>
    </row>
    <row r="283" spans="7:8">
      <c r="G283" s="6"/>
      <c r="H283" s="6"/>
    </row>
    <row r="284" spans="7:8">
      <c r="G284" s="6"/>
      <c r="H284" s="6"/>
    </row>
    <row r="285" spans="7:8">
      <c r="G285" s="6"/>
      <c r="H285" s="6"/>
    </row>
    <row r="286" spans="7:8">
      <c r="G286" s="6"/>
      <c r="H286" s="6"/>
    </row>
    <row r="287" spans="7:8">
      <c r="G287" s="6"/>
      <c r="H287" s="6"/>
    </row>
    <row r="288" spans="7:8">
      <c r="G288" s="6"/>
      <c r="H288" s="6"/>
    </row>
    <row r="289" spans="7:8">
      <c r="G289" s="6"/>
      <c r="H289" s="6"/>
    </row>
    <row r="290" spans="7:8">
      <c r="G290" s="6"/>
      <c r="H290" s="6"/>
    </row>
    <row r="291" spans="7:8">
      <c r="G291" s="6"/>
      <c r="H291" s="6"/>
    </row>
    <row r="292" spans="7:8">
      <c r="G292" s="6"/>
      <c r="H292" s="6"/>
    </row>
    <row r="293" spans="7:8">
      <c r="G293" s="6"/>
      <c r="H293" s="6"/>
    </row>
    <row r="294" spans="7:8">
      <c r="G294" s="6"/>
      <c r="H294" s="6"/>
    </row>
    <row r="295" spans="7:8">
      <c r="G295" s="6"/>
      <c r="H295" s="6"/>
    </row>
    <row r="296" spans="7:8">
      <c r="G296" s="6"/>
      <c r="H296" s="6"/>
    </row>
    <row r="297" spans="7:8">
      <c r="G297" s="6"/>
      <c r="H297" s="6"/>
    </row>
    <row r="298" spans="7:8">
      <c r="G298" s="6"/>
      <c r="H298" s="6"/>
    </row>
    <row r="299" spans="7:8">
      <c r="G299" s="6"/>
      <c r="H299" s="6"/>
    </row>
    <row r="300" spans="7:8">
      <c r="G300" s="6"/>
      <c r="H300" s="6"/>
    </row>
    <row r="301" spans="7:8">
      <c r="G301" s="6"/>
      <c r="H301" s="6"/>
    </row>
    <row r="302" spans="7:8">
      <c r="G302" s="6"/>
      <c r="H302" s="6"/>
    </row>
    <row r="303" spans="7:8">
      <c r="G303" s="6"/>
      <c r="H303" s="6"/>
    </row>
    <row r="304" spans="7:8">
      <c r="G304" s="6"/>
      <c r="H304" s="6"/>
    </row>
    <row r="305" spans="7:8">
      <c r="G305" s="6"/>
      <c r="H305" s="6"/>
    </row>
    <row r="306" spans="7:8">
      <c r="G306" s="6"/>
      <c r="H306" s="6"/>
    </row>
    <row r="307" spans="7:8">
      <c r="G307" s="6"/>
      <c r="H307" s="6"/>
    </row>
    <row r="308" spans="7:8">
      <c r="G308" s="6"/>
      <c r="H308" s="6"/>
    </row>
    <row r="309" spans="7:8">
      <c r="G309" s="6"/>
      <c r="H309" s="6"/>
    </row>
    <row r="310" spans="7:8">
      <c r="G310" s="6"/>
      <c r="H310" s="6"/>
    </row>
    <row r="311" spans="7:8">
      <c r="G311" s="6"/>
      <c r="H311" s="6"/>
    </row>
    <row r="312" spans="7:8">
      <c r="G312" s="6"/>
      <c r="H312" s="6"/>
    </row>
    <row r="313" spans="7:8">
      <c r="G313" s="6"/>
      <c r="H313" s="6"/>
    </row>
    <row r="314" spans="7:8">
      <c r="G314" s="6"/>
      <c r="H314" s="6"/>
    </row>
    <row r="315" spans="7:8">
      <c r="G315" s="6"/>
      <c r="H315" s="6"/>
    </row>
    <row r="316" spans="7:8">
      <c r="G316" s="6"/>
      <c r="H316" s="6"/>
    </row>
    <row r="317" spans="7:8">
      <c r="G317" s="6"/>
      <c r="H317" s="6"/>
    </row>
    <row r="318" spans="7:8">
      <c r="G318" s="6"/>
      <c r="H318" s="6"/>
    </row>
    <row r="319" spans="7:8">
      <c r="G319" s="6"/>
      <c r="H319" s="6"/>
    </row>
    <row r="320" spans="7:8">
      <c r="G320" s="6"/>
      <c r="H320" s="6"/>
    </row>
    <row r="321" spans="7:8">
      <c r="G321" s="6"/>
      <c r="H321" s="6"/>
    </row>
    <row r="322" spans="7:8">
      <c r="G322" s="6"/>
      <c r="H322" s="6"/>
    </row>
  </sheetData>
  <phoneticPr fontId="6" type="noConversion"/>
  <printOptions horizontalCentered="1"/>
  <pageMargins left="0.8" right="0.3" top="0.4" bottom="0.4" header="0.5" footer="0.2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Appendix B</vt:lpstr>
      <vt:lpstr>Table 1</vt:lpstr>
      <vt:lpstr>Table 2</vt:lpstr>
      <vt:lpstr>Table 3</vt:lpstr>
      <vt:lpstr>Table 4</vt:lpstr>
      <vt:lpstr>Table 5</vt:lpstr>
      <vt:lpstr>Discount_Rate</vt:lpstr>
      <vt:lpstr>'Appendix B'!Print_Area</vt:lpstr>
      <vt:lpstr>'Table 1'!Print_Area</vt:lpstr>
      <vt:lpstr>'Table 2'!Print_Area</vt:lpstr>
      <vt:lpstr>'Table 3'!Print_Area</vt:lpstr>
      <vt:lpstr>'Table 4'!Print_Area</vt:lpstr>
      <vt:lpstr>'Table 5'!Print_Area</vt:lpstr>
      <vt:lpstr>'Table 2'!Print_Titles</vt:lpstr>
      <vt:lpstr>'Table 3'!Print_Titles</vt:lpstr>
      <vt:lpstr>'Table 4'!Print_Titles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Melissa Robyn Paschal</cp:lastModifiedBy>
  <cp:lastPrinted>2012-12-27T15:20:46Z</cp:lastPrinted>
  <dcterms:created xsi:type="dcterms:W3CDTF">2001-03-19T15:45:46Z</dcterms:created>
  <dcterms:modified xsi:type="dcterms:W3CDTF">2012-12-28T20:44:10Z</dcterms:modified>
</cp:coreProperties>
</file>