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updateLinks="never" codeName="ThisWorkbook" defaultThemeVersion="124226"/>
  <bookViews>
    <workbookView xWindow="15" yWindow="-15" windowWidth="15015" windowHeight="10440"/>
  </bookViews>
  <sheets>
    <sheet name="Incremental" sheetId="6" r:id="rId1"/>
    <sheet name="Total" sheetId="5" r:id="rId2"/>
    <sheet name="Energy" sheetId="3" r:id="rId3"/>
    <sheet name="Capacity" sheetId="2" r:id="rId4"/>
  </sheets>
  <definedNames>
    <definedName name="Discount_Rate">Total!$B$42</definedName>
    <definedName name="_xlnm.Print_Area" localSheetId="3">Capacity!$A$1:$H$37</definedName>
    <definedName name="_xlnm.Print_Area" localSheetId="2">Energy!$A$1:$I$39</definedName>
    <definedName name="_xlnm.Print_Area" localSheetId="0">Incremental!$A$1:$H$39</definedName>
    <definedName name="_xlnm.Print_Area" localSheetId="1">Total!$A$1:$H$39</definedName>
  </definedNames>
  <calcPr calcId="125725"/>
</workbook>
</file>

<file path=xl/calcChain.xml><?xml version="1.0" encoding="utf-8"?>
<calcChain xmlns="http://schemas.openxmlformats.org/spreadsheetml/2006/main">
  <c r="B4" i="2"/>
  <c r="F7" i="5" l="1"/>
  <c r="G7"/>
  <c r="F8"/>
  <c r="G8"/>
  <c r="E7" i="6"/>
  <c r="F7"/>
  <c r="E8"/>
  <c r="F8"/>
  <c r="D8" l="1"/>
  <c r="D7"/>
  <c r="B32" i="2"/>
  <c r="G8"/>
  <c r="F8"/>
  <c r="G10" l="1"/>
  <c r="B11"/>
  <c r="B12" l="1"/>
  <c r="G12" l="1"/>
  <c r="G11"/>
  <c r="B13"/>
  <c r="B41" i="3"/>
  <c r="G13" i="2" l="1"/>
  <c r="B14"/>
  <c r="B37" i="5"/>
  <c r="G14" i="2" l="1"/>
  <c r="B15"/>
  <c r="I30" i="5"/>
  <c r="G15" i="2" l="1"/>
  <c r="B16"/>
  <c r="B4" i="5"/>
  <c r="B4" i="3"/>
  <c r="B4" i="6"/>
  <c r="B32" i="5"/>
  <c r="G16" i="2" l="1"/>
  <c r="B17"/>
  <c r="G17" l="1"/>
  <c r="B18"/>
  <c r="B37" i="3"/>
  <c r="B37" i="6"/>
  <c r="G18" i="2" l="1"/>
  <c r="B19"/>
  <c r="G19" l="1"/>
  <c r="B20"/>
  <c r="G20" l="1"/>
  <c r="B21"/>
  <c r="G21" l="1"/>
  <c r="B22"/>
  <c r="B38" i="3"/>
  <c r="B36"/>
  <c r="B38" i="6"/>
  <c r="B39"/>
  <c r="B36"/>
  <c r="G22" i="2" l="1"/>
  <c r="B23"/>
  <c r="E8" i="5"/>
  <c r="D8"/>
  <c r="E7"/>
  <c r="D7"/>
  <c r="G23" i="2" l="1"/>
  <c r="B24"/>
  <c r="J33" i="6"/>
  <c r="B42" i="3"/>
  <c r="G24" i="2" l="1"/>
  <c r="B25"/>
  <c r="B32" i="3"/>
  <c r="B32" i="6"/>
  <c r="G25" i="2" l="1"/>
  <c r="B26"/>
  <c r="C8" i="6"/>
  <c r="C8" i="3"/>
  <c r="C7"/>
  <c r="B10"/>
  <c r="B10" i="6"/>
  <c r="B11" i="5"/>
  <c r="B3" i="3"/>
  <c r="B1"/>
  <c r="B3" i="6"/>
  <c r="B1"/>
  <c r="G26" i="2" l="1"/>
  <c r="B27"/>
  <c r="B11" i="6"/>
  <c r="B12" i="5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3" s="1"/>
  <c r="B11" i="3"/>
  <c r="G27" i="2" l="1"/>
  <c r="B28"/>
  <c r="B12" i="6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3" s="1"/>
  <c r="B30" i="5"/>
  <c r="B12" i="3"/>
  <c r="G28" i="2" l="1"/>
  <c r="B29"/>
  <c r="B30" i="6"/>
  <c r="B13" i="3"/>
  <c r="B30" i="2" l="1"/>
  <c r="B33"/>
  <c r="B14" i="3"/>
  <c r="G29" i="2" l="1"/>
  <c r="D33"/>
  <c r="B15" i="3"/>
  <c r="G33" i="2" l="1"/>
  <c r="B16" i="3"/>
  <c r="B17" l="1"/>
  <c r="B18" l="1"/>
  <c r="B19" l="1"/>
  <c r="B20" l="1"/>
  <c r="B21" l="1"/>
  <c r="B22" l="1"/>
  <c r="B23" l="1"/>
  <c r="B24" l="1"/>
  <c r="B25" l="1"/>
  <c r="B26" s="1"/>
  <c r="B27" l="1"/>
  <c r="B28" l="1"/>
  <c r="B29" l="1"/>
  <c r="B33" l="1"/>
  <c r="C7" i="6"/>
  <c r="C33" i="3" l="1"/>
  <c r="I30" i="6" l="1"/>
  <c r="F10" i="2" l="1"/>
  <c r="C10" i="5" l="1"/>
  <c r="F11" i="2" l="1"/>
  <c r="F12"/>
  <c r="C12" i="5" l="1"/>
  <c r="C11"/>
  <c r="F13" i="2" l="1"/>
  <c r="F14"/>
  <c r="C14" i="5" l="1"/>
  <c r="C13"/>
  <c r="F15" i="2"/>
  <c r="C15" i="5" l="1"/>
  <c r="F16" i="2"/>
  <c r="C16" i="5" l="1"/>
  <c r="F17" i="2"/>
  <c r="C17" i="5" l="1"/>
  <c r="F18" i="2"/>
  <c r="C18" i="5" l="1"/>
  <c r="F19" i="2"/>
  <c r="C19" i="5" l="1"/>
  <c r="F20" i="2"/>
  <c r="C20" i="5" l="1"/>
  <c r="F21" i="2"/>
  <c r="C21" i="5" l="1"/>
  <c r="F22" i="2"/>
  <c r="C22" i="5" l="1"/>
  <c r="F23" i="2"/>
  <c r="C23" i="5" l="1"/>
  <c r="F24" i="2"/>
  <c r="C24" i="5" l="1"/>
  <c r="F25" i="2"/>
  <c r="C25" i="5" l="1"/>
  <c r="F26" i="2"/>
  <c r="C26" i="5" l="1"/>
  <c r="F27" i="2"/>
  <c r="C27" i="5" l="1"/>
  <c r="F28" i="2"/>
  <c r="C28" i="5" l="1"/>
  <c r="F29" i="2" l="1"/>
  <c r="C33"/>
  <c r="F33" l="1"/>
  <c r="C29" i="5"/>
  <c r="C33" l="1"/>
  <c r="D10" l="1"/>
  <c r="F10" l="1"/>
  <c r="G10"/>
  <c r="E10"/>
  <c r="C10" i="6"/>
  <c r="F10" l="1"/>
  <c r="E10"/>
  <c r="D13" i="5"/>
  <c r="C13" i="6" s="1"/>
  <c r="D19" i="5"/>
  <c r="C19" i="6" s="1"/>
  <c r="D26" i="5"/>
  <c r="C26" i="6" s="1"/>
  <c r="D17" i="5"/>
  <c r="C17" i="6" s="1"/>
  <c r="D11" i="5"/>
  <c r="D28"/>
  <c r="C28" i="6" s="1"/>
  <c r="D21" i="5"/>
  <c r="C21" i="6" s="1"/>
  <c r="D23" i="5"/>
  <c r="C23" i="6" s="1"/>
  <c r="D18" i="5"/>
  <c r="C18" i="6" s="1"/>
  <c r="D10"/>
  <c r="D12" i="5"/>
  <c r="C12" i="6" s="1"/>
  <c r="D15" i="5"/>
  <c r="C15" i="6" s="1"/>
  <c r="D22" i="5"/>
  <c r="C22" i="6" s="1"/>
  <c r="D20" i="5"/>
  <c r="C20" i="6" s="1"/>
  <c r="D25" i="5"/>
  <c r="C25" i="6" s="1"/>
  <c r="D27" i="5"/>
  <c r="C27" i="6" s="1"/>
  <c r="D29" i="5"/>
  <c r="C29" i="6" s="1"/>
  <c r="D16" i="5"/>
  <c r="C16" i="6" s="1"/>
  <c r="D24" i="5"/>
  <c r="C24" i="6" s="1"/>
  <c r="G10" l="1"/>
  <c r="I10" s="1"/>
  <c r="D14" i="5"/>
  <c r="C14" i="6" s="1"/>
  <c r="D33" i="3"/>
  <c r="C11" i="6"/>
  <c r="C33" l="1"/>
  <c r="D33" i="5"/>
  <c r="G13" l="1"/>
  <c r="F13"/>
  <c r="E13"/>
  <c r="D13" i="6" s="1"/>
  <c r="F11" i="5" l="1"/>
  <c r="G11"/>
  <c r="F13" i="6"/>
  <c r="E11" i="5"/>
  <c r="F11" i="6" l="1"/>
  <c r="D11"/>
  <c r="F26" i="5" l="1"/>
  <c r="G26"/>
  <c r="F19"/>
  <c r="G19"/>
  <c r="F14"/>
  <c r="G14"/>
  <c r="E19"/>
  <c r="D19" i="6" s="1"/>
  <c r="E26" i="5"/>
  <c r="D26" i="6" s="1"/>
  <c r="E14" i="5"/>
  <c r="D14" i="6" s="1"/>
  <c r="F14" l="1"/>
  <c r="F26"/>
  <c r="G17" i="5"/>
  <c r="F17"/>
  <c r="G16"/>
  <c r="F16"/>
  <c r="F19" i="6"/>
  <c r="F27" i="5"/>
  <c r="G27"/>
  <c r="F22"/>
  <c r="G22"/>
  <c r="G25"/>
  <c r="F25"/>
  <c r="G21"/>
  <c r="F21"/>
  <c r="E22"/>
  <c r="D22" i="6" s="1"/>
  <c r="E25" i="5"/>
  <c r="D25" i="6" s="1"/>
  <c r="E16" i="5"/>
  <c r="D16" i="6" s="1"/>
  <c r="E27" i="5"/>
  <c r="D27" i="6" s="1"/>
  <c r="E17" i="5"/>
  <c r="D17" i="6" s="1"/>
  <c r="E21" i="5"/>
  <c r="D21" i="6" s="1"/>
  <c r="F27" l="1"/>
  <c r="F16"/>
  <c r="F22"/>
  <c r="F23" i="5"/>
  <c r="G23"/>
  <c r="F23" i="6" s="1"/>
  <c r="G29" i="5"/>
  <c r="I29" s="1"/>
  <c r="F29"/>
  <c r="G20"/>
  <c r="F20"/>
  <c r="F21" i="6"/>
  <c r="G24" i="5"/>
  <c r="F24"/>
  <c r="F25" i="6"/>
  <c r="F15" i="5"/>
  <c r="G15"/>
  <c r="F18"/>
  <c r="G18"/>
  <c r="G28"/>
  <c r="F28"/>
  <c r="F17" i="6"/>
  <c r="I17" i="5"/>
  <c r="E13" i="6"/>
  <c r="E11"/>
  <c r="E21"/>
  <c r="E15" i="5"/>
  <c r="D15" i="6" s="1"/>
  <c r="E26"/>
  <c r="E19"/>
  <c r="E14"/>
  <c r="E18" i="5"/>
  <c r="D18" i="6" s="1"/>
  <c r="E23" i="5"/>
  <c r="D23" i="6" s="1"/>
  <c r="E24" i="5"/>
  <c r="D24" i="6" s="1"/>
  <c r="E28" i="5"/>
  <c r="D28" i="6" s="1"/>
  <c r="E20" i="5"/>
  <c r="D20" i="6" s="1"/>
  <c r="E29" i="5"/>
  <c r="D29" i="6" s="1"/>
  <c r="G19" l="1"/>
  <c r="I19" s="1"/>
  <c r="I11"/>
  <c r="G11"/>
  <c r="F18"/>
  <c r="G21"/>
  <c r="I21" s="1"/>
  <c r="G14"/>
  <c r="I14" s="1"/>
  <c r="G26"/>
  <c r="I26" s="1"/>
  <c r="I13"/>
  <c r="G13"/>
  <c r="F29"/>
  <c r="F15"/>
  <c r="F24"/>
  <c r="G12" i="5"/>
  <c r="F12"/>
  <c r="F33" s="1"/>
  <c r="F33" i="3"/>
  <c r="F28" i="6"/>
  <c r="F20"/>
  <c r="G33" i="3"/>
  <c r="E28" i="6"/>
  <c r="E29"/>
  <c r="E15"/>
  <c r="E24"/>
  <c r="E23"/>
  <c r="G23" s="1"/>
  <c r="E20"/>
  <c r="G20" s="1"/>
  <c r="E27"/>
  <c r="E22"/>
  <c r="E16"/>
  <c r="E17"/>
  <c r="E25"/>
  <c r="E12" i="5"/>
  <c r="E33" i="3"/>
  <c r="E18" i="6"/>
  <c r="G17" l="1"/>
  <c r="I17" s="1"/>
  <c r="G22"/>
  <c r="I22" s="1"/>
  <c r="I23"/>
  <c r="G28"/>
  <c r="I28" s="1"/>
  <c r="G29"/>
  <c r="I29" s="1"/>
  <c r="G15"/>
  <c r="I15" s="1"/>
  <c r="G18"/>
  <c r="I18" s="1"/>
  <c r="G24"/>
  <c r="I24" s="1"/>
  <c r="I20"/>
  <c r="G25"/>
  <c r="I25" s="1"/>
  <c r="G16"/>
  <c r="I16" s="1"/>
  <c r="G27"/>
  <c r="I27" s="1"/>
  <c r="F12"/>
  <c r="F33" s="1"/>
  <c r="E12"/>
  <c r="E33" s="1"/>
  <c r="D12"/>
  <c r="E33" i="5"/>
  <c r="I12" i="6" l="1"/>
  <c r="G12"/>
  <c r="G33" s="1"/>
  <c r="D33"/>
  <c r="I22" i="5"/>
  <c r="I21"/>
  <c r="I33" i="6" l="1"/>
  <c r="I23" i="5"/>
  <c r="I26" l="1"/>
  <c r="I25"/>
  <c r="I24"/>
  <c r="I28"/>
  <c r="I27"/>
  <c r="I20" l="1"/>
  <c r="I11" l="1"/>
  <c r="I12"/>
  <c r="I13" l="1"/>
  <c r="I19" l="1"/>
  <c r="I18"/>
  <c r="I15"/>
  <c r="I14"/>
  <c r="I16"/>
  <c r="I10" l="1"/>
  <c r="G33"/>
  <c r="I33" l="1"/>
</calcChain>
</file>

<file path=xl/sharedStrings.xml><?xml version="1.0" encoding="utf-8"?>
<sst xmlns="http://schemas.openxmlformats.org/spreadsheetml/2006/main" count="41" uniqueCount="33">
  <si>
    <t>Year</t>
  </si>
  <si>
    <t>Discount Rate</t>
  </si>
  <si>
    <t>Utah Quarterly Compliance Filing</t>
  </si>
  <si>
    <t>$/kW-Year</t>
  </si>
  <si>
    <t xml:space="preserve">(1)   Capacity costs are allocated assuming an 85% capacity factor. </t>
  </si>
  <si>
    <t>Appendix C</t>
  </si>
  <si>
    <t>(1)   Studies are sequential.  The order of the studies would effect the price impact.</t>
  </si>
  <si>
    <t>Total</t>
  </si>
  <si>
    <t>Change</t>
  </si>
  <si>
    <t>GRID Calculated Energy Avoided Cost Prices $/MWH (1)</t>
  </si>
  <si>
    <t>As Filed</t>
  </si>
  <si>
    <t>$/MWH  (1)</t>
  </si>
  <si>
    <t>Capacity Avoided Cost Prices</t>
  </si>
  <si>
    <t>Official Forward</t>
  </si>
  <si>
    <t>Price Curve (2)</t>
  </si>
  <si>
    <t xml:space="preserve">(4)   Capacity costs are allocated assuming an 85% capacity factor. </t>
  </si>
  <si>
    <t>Total Avoided Cost Prices $/MWH (1) (4)</t>
  </si>
  <si>
    <t>Avoided Cost Impact of Changing Assumptions $/MWH (1) (4)</t>
  </si>
  <si>
    <t>Check</t>
  </si>
  <si>
    <t>2012 Q2</t>
  </si>
  <si>
    <t>July Load</t>
  </si>
  <si>
    <t>Forecast</t>
  </si>
  <si>
    <t>OFPC Date</t>
  </si>
  <si>
    <t>2011 IRP Update - Discount Rate</t>
  </si>
  <si>
    <t>Changes</t>
  </si>
  <si>
    <t>All Other</t>
  </si>
  <si>
    <t>2016 RFP</t>
  </si>
  <si>
    <t>Need Assess</t>
  </si>
  <si>
    <t>2012.Q4</t>
  </si>
  <si>
    <t xml:space="preserve">Total </t>
  </si>
  <si>
    <t>2012.Q2</t>
  </si>
  <si>
    <t>(3)   2012 Needs Assessment - Discount Rate</t>
  </si>
  <si>
    <t>(2)   2012 Needs Assessment - Discount Rate</t>
  </si>
</sst>
</file>

<file path=xl/styles.xml><?xml version="1.0" encoding="utf-8"?>
<styleSheet xmlns="http://schemas.openxmlformats.org/spreadsheetml/2006/main">
  <numFmts count="10">
    <numFmt numFmtId="7" formatCode="&quot;$&quot;#,##0.00_);\(&quot;$&quot;#,##0.00\)"/>
    <numFmt numFmtId="8" formatCode="&quot;$&quot;#,##0.00_);[Red]\(&quot;$&quot;#,##0.00\)"/>
    <numFmt numFmtId="164" formatCode="0.0%"/>
    <numFmt numFmtId="165" formatCode="_(* #,##0.00_);_(* \(#,##0.00\);_(* &quot;-&quot;_);_(@_)"/>
    <numFmt numFmtId="166" formatCode="_(* #,##0_);[Red]_(* \(#,##0\);_(* &quot;-&quot;_);_(@_)"/>
    <numFmt numFmtId="167" formatCode="_(* #,##0.00_);[Red]_(* \(#,##0.00\);_(* &quot;-&quot;_);_(@_)"/>
    <numFmt numFmtId="168" formatCode="_(&quot;$&quot;\ #,##0.00_);[Red]_(&quot;$&quot;\ \(#,##0.00\);_(\ &quot;-&quot;?_);_(@_)"/>
    <numFmt numFmtId="169" formatCode="0.000%"/>
    <numFmt numFmtId="170" formatCode="_(* #,##0.000_);[Red]_(* \(#,##0.000\);_(* &quot;-&quot;_);_(@_)"/>
    <numFmt numFmtId="171" formatCode="_(* #,##0.00000_);[Red]_(* \(#,##0.00000\);_(* &quot;-&quot;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166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6" fontId="1" fillId="0" borderId="0"/>
  </cellStyleXfs>
  <cellXfs count="56">
    <xf numFmtId="166" fontId="0" fillId="0" borderId="0" xfId="0"/>
    <xf numFmtId="166" fontId="4" fillId="0" borderId="0" xfId="0" applyFont="1"/>
    <xf numFmtId="166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6" fontId="4" fillId="0" borderId="0" xfId="0" applyFont="1" applyFill="1"/>
    <xf numFmtId="7" fontId="4" fillId="0" borderId="2" xfId="0" applyNumberFormat="1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center"/>
    </xf>
    <xf numFmtId="1" fontId="1" fillId="0" borderId="0" xfId="2" applyNumberFormat="1" applyFill="1" applyAlignment="1" applyProtection="1">
      <alignment horizontal="center"/>
      <protection locked="0"/>
    </xf>
    <xf numFmtId="166" fontId="3" fillId="0" borderId="0" xfId="0" applyFont="1" applyAlignment="1">
      <alignment horizontal="centerContinuous"/>
    </xf>
    <xf numFmtId="166" fontId="3" fillId="0" borderId="3" xfId="0" applyFont="1" applyBorder="1"/>
    <xf numFmtId="166" fontId="3" fillId="0" borderId="4" xfId="0" applyFont="1" applyBorder="1" applyAlignment="1">
      <alignment horizontal="center"/>
    </xf>
    <xf numFmtId="166" fontId="3" fillId="0" borderId="5" xfId="0" applyFont="1" applyBorder="1" applyAlignment="1">
      <alignment horizontal="center"/>
    </xf>
    <xf numFmtId="10" fontId="4" fillId="0" borderId="0" xfId="0" applyNumberFormat="1" applyFont="1"/>
    <xf numFmtId="166" fontId="4" fillId="0" borderId="0" xfId="0" quotePrefix="1" applyFont="1"/>
    <xf numFmtId="7" fontId="4" fillId="0" borderId="0" xfId="0" applyNumberFormat="1" applyFont="1"/>
    <xf numFmtId="166" fontId="4" fillId="0" borderId="0" xfId="0" applyFont="1" applyAlignment="1">
      <alignment horizontal="center"/>
    </xf>
    <xf numFmtId="165" fontId="4" fillId="0" borderId="0" xfId="0" applyNumberFormat="1" applyFont="1"/>
    <xf numFmtId="164" fontId="4" fillId="0" borderId="0" xfId="3" applyNumberFormat="1" applyFont="1"/>
    <xf numFmtId="167" fontId="4" fillId="0" borderId="0" xfId="0" applyNumberFormat="1" applyFont="1"/>
    <xf numFmtId="166" fontId="3" fillId="0" borderId="5" xfId="0" applyFont="1" applyFill="1" applyBorder="1" applyAlignment="1">
      <alignment horizontal="center"/>
    </xf>
    <xf numFmtId="166" fontId="3" fillId="0" borderId="1" xfId="0" applyFont="1" applyFill="1" applyBorder="1" applyAlignment="1">
      <alignment horizontal="center"/>
    </xf>
    <xf numFmtId="166" fontId="4" fillId="0" borderId="0" xfId="0" applyFont="1" applyFill="1" applyAlignment="1"/>
    <xf numFmtId="166" fontId="3" fillId="0" borderId="3" xfId="0" applyFont="1" applyFill="1" applyBorder="1"/>
    <xf numFmtId="166" fontId="3" fillId="0" borderId="4" xfId="0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8" fontId="4" fillId="0" borderId="0" xfId="0" applyNumberFormat="1" applyFont="1" applyAlignment="1">
      <alignment horizontal="center"/>
    </xf>
    <xf numFmtId="8" fontId="4" fillId="0" borderId="0" xfId="0" applyNumberFormat="1" applyFont="1" applyFill="1" applyAlignment="1">
      <alignment horizontal="center"/>
    </xf>
    <xf numFmtId="167" fontId="4" fillId="0" borderId="0" xfId="0" applyNumberFormat="1" applyFont="1" applyAlignment="1">
      <alignment horizontal="center"/>
    </xf>
    <xf numFmtId="166" fontId="3" fillId="0" borderId="0" xfId="0" applyFont="1" applyFill="1" applyBorder="1" applyAlignment="1">
      <alignment horizontal="centerContinuous"/>
    </xf>
    <xf numFmtId="166" fontId="3" fillId="0" borderId="0" xfId="0" applyFont="1" applyFill="1" applyBorder="1" applyAlignment="1">
      <alignment horizontal="center"/>
    </xf>
    <xf numFmtId="166" fontId="4" fillId="0" borderId="0" xfId="0" applyFont="1" applyFill="1" applyBorder="1"/>
    <xf numFmtId="170" fontId="4" fillId="0" borderId="0" xfId="0" applyNumberFormat="1" applyFont="1"/>
    <xf numFmtId="169" fontId="4" fillId="0" borderId="0" xfId="0" applyNumberFormat="1" applyFont="1"/>
    <xf numFmtId="166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6" fontId="4" fillId="0" borderId="2" xfId="0" quotePrefix="1" applyFont="1" applyBorder="1"/>
    <xf numFmtId="166" fontId="3" fillId="0" borderId="0" xfId="4" applyFont="1" applyAlignment="1">
      <alignment horizontal="centerContinuous"/>
    </xf>
    <xf numFmtId="166" fontId="4" fillId="0" borderId="0" xfId="4" applyFont="1" applyAlignment="1">
      <alignment horizontal="centerContinuous"/>
    </xf>
    <xf numFmtId="166" fontId="4" fillId="0" borderId="0" xfId="4" applyFont="1"/>
    <xf numFmtId="166" fontId="3" fillId="0" borderId="3" xfId="4" applyFont="1" applyBorder="1"/>
    <xf numFmtId="166" fontId="3" fillId="0" borderId="3" xfId="4" applyFont="1" applyBorder="1" applyAlignment="1">
      <alignment horizontal="centerContinuous"/>
    </xf>
    <xf numFmtId="166" fontId="3" fillId="0" borderId="5" xfId="4" applyFont="1" applyBorder="1" applyAlignment="1">
      <alignment horizontal="centerContinuous"/>
    </xf>
    <xf numFmtId="166" fontId="3" fillId="0" borderId="4" xfId="4" applyFont="1" applyBorder="1" applyAlignment="1">
      <alignment horizontal="center"/>
    </xf>
    <xf numFmtId="166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8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6" fontId="4" fillId="0" borderId="0" xfId="4" applyFont="1" applyFill="1"/>
    <xf numFmtId="166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0" fontId="4" fillId="0" borderId="0" xfId="4" applyNumberFormat="1" applyFont="1" applyAlignment="1">
      <alignment horizontal="center"/>
    </xf>
    <xf numFmtId="166" fontId="4" fillId="0" borderId="0" xfId="4" applyFont="1" applyAlignment="1"/>
    <xf numFmtId="169" fontId="4" fillId="0" borderId="0" xfId="4" applyNumberFormat="1" applyFont="1" applyAlignment="1">
      <alignment horizontal="center"/>
    </xf>
    <xf numFmtId="171" fontId="4" fillId="0" borderId="0" xfId="0" applyNumberFormat="1" applyFont="1"/>
  </cellXfs>
  <cellStyles count="5">
    <cellStyle name="Input" xfId="1" builtinId="20" customBuiltin="1"/>
    <cellStyle name="Normal" xfId="0" builtinId="0" customBuiltin="1"/>
    <cellStyle name="Normal 2" xfId="4"/>
    <cellStyle name="Normal_T-INF-10-15-04-TEMPLATE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enableFormatConditionsCalculation="0">
    <pageSetUpPr fitToPage="1"/>
  </sheetPr>
  <dimension ref="B1:K39"/>
  <sheetViews>
    <sheetView tabSelected="1" zoomScale="70" zoomScaleNormal="70" workbookViewId="0"/>
  </sheetViews>
  <sheetFormatPr defaultRowHeight="15"/>
  <cols>
    <col min="1" max="1" width="1.85546875" style="1" customWidth="1"/>
    <col min="2" max="2" width="14.42578125" style="1" customWidth="1"/>
    <col min="3" max="3" width="18.7109375" style="1" customWidth="1"/>
    <col min="4" max="4" width="18.85546875" style="1" customWidth="1"/>
    <col min="5" max="5" width="19.7109375" style="1" customWidth="1"/>
    <col min="6" max="7" width="20.140625" style="1" customWidth="1"/>
    <col min="8" max="8" width="2.28515625" style="1" customWidth="1"/>
    <col min="9" max="9" width="10.140625" style="1" hidden="1" customWidth="1"/>
    <col min="10" max="10" width="10.5703125" style="1" hidden="1" customWidth="1"/>
    <col min="11" max="11" width="9.28515625" style="1" customWidth="1"/>
    <col min="12" max="16384" width="9.140625" style="1"/>
  </cols>
  <sheetData>
    <row r="1" spans="2:11" ht="15.75">
      <c r="B1" s="8" t="str">
        <f>Total!B1</f>
        <v>Appendix C</v>
      </c>
      <c r="C1" s="8"/>
      <c r="D1" s="8"/>
      <c r="E1" s="8"/>
      <c r="F1" s="8"/>
      <c r="G1" s="8"/>
    </row>
    <row r="2" spans="2:11" ht="8.25" customHeight="1">
      <c r="B2" s="8"/>
      <c r="C2" s="8"/>
      <c r="D2" s="8"/>
      <c r="E2" s="8"/>
      <c r="F2" s="8"/>
      <c r="G2" s="8"/>
    </row>
    <row r="3" spans="2:11" ht="15.75">
      <c r="B3" s="8" t="str">
        <f>Total!B3</f>
        <v>Utah Quarterly Compliance Filing</v>
      </c>
      <c r="C3" s="8"/>
      <c r="D3" s="8"/>
      <c r="E3" s="8"/>
      <c r="F3" s="8"/>
      <c r="G3" s="8"/>
    </row>
    <row r="4" spans="2:11" ht="15.75">
      <c r="B4" s="8" t="str">
        <f>Capacity!B4</f>
        <v>Step Study between 2012.Q2 and 2012.Q4 Compliance Filing</v>
      </c>
      <c r="C4" s="8"/>
      <c r="D4" s="8"/>
      <c r="E4" s="8"/>
      <c r="F4" s="8"/>
      <c r="G4" s="8"/>
    </row>
    <row r="5" spans="2:11" ht="15.75">
      <c r="B5" s="8" t="s">
        <v>17</v>
      </c>
      <c r="C5" s="8"/>
      <c r="D5" s="8"/>
      <c r="E5" s="8"/>
      <c r="F5" s="8"/>
      <c r="G5" s="8"/>
    </row>
    <row r="6" spans="2:11">
      <c r="C6" s="15"/>
      <c r="D6" s="15"/>
      <c r="E6" s="15"/>
      <c r="F6" s="15"/>
      <c r="G6" s="15"/>
    </row>
    <row r="7" spans="2:11" s="4" customFormat="1" ht="15.75">
      <c r="B7" s="22"/>
      <c r="C7" s="19" t="str">
        <f>Energy!D7</f>
        <v>July Load</v>
      </c>
      <c r="D7" s="19" t="str">
        <f>Energy!E7</f>
        <v>Official Forward</v>
      </c>
      <c r="E7" s="19" t="str">
        <f>Energy!F7</f>
        <v>2016 RFP</v>
      </c>
      <c r="F7" s="19" t="str">
        <f>Energy!G7</f>
        <v>All Other</v>
      </c>
      <c r="G7" s="19" t="s">
        <v>29</v>
      </c>
      <c r="H7" s="1"/>
      <c r="I7" s="1" t="s">
        <v>18</v>
      </c>
      <c r="J7" s="1"/>
      <c r="K7" s="1"/>
    </row>
    <row r="8" spans="2:11" s="4" customFormat="1" ht="15.75">
      <c r="B8" s="23" t="s">
        <v>0</v>
      </c>
      <c r="C8" s="20" t="str">
        <f>Energy!D8</f>
        <v>Forecast</v>
      </c>
      <c r="D8" s="20" t="str">
        <f>Energy!E8</f>
        <v>Price Curve (2)</v>
      </c>
      <c r="E8" s="20" t="str">
        <f>Energy!F8</f>
        <v>Need Assess</v>
      </c>
      <c r="F8" s="20" t="str">
        <f>Energy!G8</f>
        <v>Changes</v>
      </c>
      <c r="G8" s="20" t="s">
        <v>8</v>
      </c>
      <c r="H8" s="1"/>
      <c r="I8" s="1" t="s">
        <v>7</v>
      </c>
      <c r="J8" s="1"/>
      <c r="K8" s="1"/>
    </row>
    <row r="9" spans="2:11" ht="4.5" customHeight="1"/>
    <row r="10" spans="2:11" ht="15.75">
      <c r="B10" s="3">
        <f>Total!B10</f>
        <v>2013</v>
      </c>
      <c r="C10" s="27">
        <f>ROUND(Total!D10-Total!C10,2)</f>
        <v>-0.77</v>
      </c>
      <c r="D10" s="27">
        <f>ROUND(Total!E10-Total!D10,2)</f>
        <v>1.32</v>
      </c>
      <c r="E10" s="27">
        <f>ROUND(Total!F10-Total!E10,2)</f>
        <v>-0.62</v>
      </c>
      <c r="F10" s="27">
        <f>ROUND(Total!G10-Total!F10,2)</f>
        <v>-0.27</v>
      </c>
      <c r="G10" s="27">
        <f>+SUM(C10:F10)</f>
        <v>-0.33999999999999997</v>
      </c>
      <c r="I10" s="18">
        <f t="shared" ref="I10:I28" ca="1" si="0">ROUND(SUM(C10:F10)-OFFSET(I10,0,-2),4)</f>
        <v>0</v>
      </c>
      <c r="J10" s="18"/>
      <c r="K10" s="18"/>
    </row>
    <row r="11" spans="2:11" ht="15.75">
      <c r="B11" s="3">
        <f t="shared" ref="B11:B30" si="1">B10+1</f>
        <v>2014</v>
      </c>
      <c r="C11" s="27">
        <f>ROUND(Total!D11-Total!C11,2)</f>
        <v>-1.1499999999999999</v>
      </c>
      <c r="D11" s="27">
        <f>ROUND(Total!E11-Total!D11,2)</f>
        <v>0.92</v>
      </c>
      <c r="E11" s="27">
        <f>ROUND(Total!F11-Total!E11,2)</f>
        <v>-0.39</v>
      </c>
      <c r="F11" s="27">
        <f>ROUND(Total!G11-Total!F11,2)</f>
        <v>-0.56999999999999995</v>
      </c>
      <c r="G11" s="27">
        <f t="shared" ref="G11:G29" si="2">+SUM(C11:F11)</f>
        <v>-1.19</v>
      </c>
      <c r="I11" s="18">
        <f t="shared" ca="1" si="0"/>
        <v>0</v>
      </c>
      <c r="J11" s="18"/>
      <c r="K11" s="18"/>
    </row>
    <row r="12" spans="2:11" ht="15.75">
      <c r="B12" s="3">
        <f t="shared" si="1"/>
        <v>2015</v>
      </c>
      <c r="C12" s="27">
        <f>ROUND(Total!D12-Total!C12,2)</f>
        <v>-0.83</v>
      </c>
      <c r="D12" s="27">
        <f>ROUND(Total!E12-Total!D12,2)</f>
        <v>0.28999999999999998</v>
      </c>
      <c r="E12" s="27">
        <f>ROUND(Total!F12-Total!E12,2)</f>
        <v>0.33</v>
      </c>
      <c r="F12" s="27">
        <f>ROUND(Total!G12-Total!F12,2)</f>
        <v>-0.38</v>
      </c>
      <c r="G12" s="27">
        <f t="shared" si="2"/>
        <v>-0.59000000000000008</v>
      </c>
      <c r="I12" s="18">
        <f t="shared" ca="1" si="0"/>
        <v>0</v>
      </c>
      <c r="J12" s="18"/>
      <c r="K12" s="18"/>
    </row>
    <row r="13" spans="2:11" ht="15.75">
      <c r="B13" s="3">
        <f t="shared" si="1"/>
        <v>2016</v>
      </c>
      <c r="C13" s="27">
        <f>ROUND(Total!D13-Total!C13,2)</f>
        <v>-1.36</v>
      </c>
      <c r="D13" s="27">
        <f>ROUND(Total!E13-Total!D13,2)</f>
        <v>-0.04</v>
      </c>
      <c r="E13" s="27">
        <f>ROUND(Total!F13-Total!E13,2)</f>
        <v>-6.17</v>
      </c>
      <c r="F13" s="27">
        <f>ROUND(Total!G13-Total!F13,2)</f>
        <v>-0.06</v>
      </c>
      <c r="G13" s="27">
        <f t="shared" si="2"/>
        <v>-7.63</v>
      </c>
      <c r="I13" s="18">
        <f t="shared" ca="1" si="0"/>
        <v>0</v>
      </c>
      <c r="J13" s="18"/>
      <c r="K13" s="18"/>
    </row>
    <row r="14" spans="2:11" ht="15.75">
      <c r="B14" s="3">
        <f t="shared" si="1"/>
        <v>2017</v>
      </c>
      <c r="C14" s="27">
        <f>ROUND(Total!D14-Total!C14,2)</f>
        <v>-1.35</v>
      </c>
      <c r="D14" s="27">
        <f>ROUND(Total!E14-Total!D14,2)</f>
        <v>2</v>
      </c>
      <c r="E14" s="27">
        <f>ROUND(Total!F14-Total!E14,2)</f>
        <v>-15.19</v>
      </c>
      <c r="F14" s="27">
        <f>ROUND(Total!G14-Total!F14,2)</f>
        <v>-0.91</v>
      </c>
      <c r="G14" s="27">
        <f t="shared" si="2"/>
        <v>-15.45</v>
      </c>
      <c r="I14" s="18">
        <f t="shared" ca="1" si="0"/>
        <v>0</v>
      </c>
      <c r="J14" s="18"/>
      <c r="K14" s="18"/>
    </row>
    <row r="15" spans="2:11" ht="15.75">
      <c r="B15" s="3">
        <f t="shared" si="1"/>
        <v>2018</v>
      </c>
      <c r="C15" s="27">
        <f>ROUND(Total!D15-Total!C15,2)</f>
        <v>-2.99</v>
      </c>
      <c r="D15" s="27">
        <f>ROUND(Total!E15-Total!D15,2)</f>
        <v>1.1399999999999999</v>
      </c>
      <c r="E15" s="27">
        <f>ROUND(Total!F15-Total!E15,2)</f>
        <v>-15.83</v>
      </c>
      <c r="F15" s="27">
        <f>ROUND(Total!G15-Total!F15,2)</f>
        <v>0.73</v>
      </c>
      <c r="G15" s="27">
        <f t="shared" si="2"/>
        <v>-16.95</v>
      </c>
      <c r="I15" s="18">
        <f t="shared" ca="1" si="0"/>
        <v>0</v>
      </c>
      <c r="J15" s="18"/>
      <c r="K15" s="18"/>
    </row>
    <row r="16" spans="2:11" ht="15.75">
      <c r="B16" s="3">
        <f t="shared" si="1"/>
        <v>2019</v>
      </c>
      <c r="C16" s="27">
        <f>ROUND(Total!D16-Total!C16,2)</f>
        <v>-3.68</v>
      </c>
      <c r="D16" s="27">
        <f>ROUND(Total!E16-Total!D16,2)</f>
        <v>2.65</v>
      </c>
      <c r="E16" s="27">
        <f>ROUND(Total!F16-Total!E16,2)</f>
        <v>-15.47</v>
      </c>
      <c r="F16" s="27">
        <f>ROUND(Total!G16-Total!F16,2)</f>
        <v>-0.81</v>
      </c>
      <c r="G16" s="27">
        <f t="shared" si="2"/>
        <v>-17.309999999999999</v>
      </c>
      <c r="I16" s="18">
        <f t="shared" ca="1" si="0"/>
        <v>0</v>
      </c>
      <c r="J16" s="18"/>
      <c r="K16" s="18"/>
    </row>
    <row r="17" spans="2:11" ht="15.75">
      <c r="B17" s="3">
        <f t="shared" si="1"/>
        <v>2020</v>
      </c>
      <c r="C17" s="27">
        <f>ROUND(Total!D17-Total!C17,2)</f>
        <v>-6.4</v>
      </c>
      <c r="D17" s="27">
        <f>ROUND(Total!E17-Total!D17,2)</f>
        <v>2.56</v>
      </c>
      <c r="E17" s="27">
        <f>ROUND(Total!F17-Total!E17,2)</f>
        <v>-13.89</v>
      </c>
      <c r="F17" s="27">
        <f>ROUND(Total!G17-Total!F17,2)</f>
        <v>4.28</v>
      </c>
      <c r="G17" s="27">
        <f t="shared" si="2"/>
        <v>-13.45</v>
      </c>
      <c r="I17" s="18">
        <f t="shared" ca="1" si="0"/>
        <v>0</v>
      </c>
      <c r="J17" s="18"/>
      <c r="K17" s="18"/>
    </row>
    <row r="18" spans="2:11" ht="15.75">
      <c r="B18" s="3">
        <f t="shared" si="1"/>
        <v>2021</v>
      </c>
      <c r="C18" s="27">
        <f>ROUND(Total!D18-Total!C18,2)</f>
        <v>-4.18</v>
      </c>
      <c r="D18" s="27">
        <f>ROUND(Total!E18-Total!D18,2)</f>
        <v>1.25</v>
      </c>
      <c r="E18" s="27">
        <f>ROUND(Total!F18-Total!E18,2)</f>
        <v>-16.38</v>
      </c>
      <c r="F18" s="27">
        <f>ROUND(Total!G18-Total!F18,2)</f>
        <v>5.18</v>
      </c>
      <c r="G18" s="27">
        <f t="shared" si="2"/>
        <v>-14.129999999999999</v>
      </c>
      <c r="I18" s="18">
        <f t="shared" ca="1" si="0"/>
        <v>0</v>
      </c>
      <c r="J18" s="18"/>
      <c r="K18" s="18"/>
    </row>
    <row r="19" spans="2:11" ht="15.75">
      <c r="B19" s="3">
        <f t="shared" si="1"/>
        <v>2022</v>
      </c>
      <c r="C19" s="27">
        <f>ROUND(Total!D19-Total!C19,2)</f>
        <v>0.42</v>
      </c>
      <c r="D19" s="27">
        <f>ROUND(Total!E19-Total!D19,2)</f>
        <v>-3.95</v>
      </c>
      <c r="E19" s="27">
        <f>ROUND(Total!F19-Total!E19,2)</f>
        <v>-11.39</v>
      </c>
      <c r="F19" s="27">
        <f>ROUND(Total!G19-Total!F19,2)</f>
        <v>2.0299999999999998</v>
      </c>
      <c r="G19" s="27">
        <f t="shared" si="2"/>
        <v>-12.890000000000002</v>
      </c>
      <c r="I19" s="18">
        <f t="shared" ca="1" si="0"/>
        <v>0</v>
      </c>
      <c r="J19" s="18"/>
      <c r="K19" s="18"/>
    </row>
    <row r="20" spans="2:11" ht="15.75">
      <c r="B20" s="3">
        <f t="shared" si="1"/>
        <v>2023</v>
      </c>
      <c r="C20" s="27">
        <f>ROUND(Total!D20-Total!C20,2)</f>
        <v>-2.98</v>
      </c>
      <c r="D20" s="27">
        <f>ROUND(Total!E20-Total!D20,2)</f>
        <v>-0.17</v>
      </c>
      <c r="E20" s="27">
        <f>ROUND(Total!F20-Total!E20,2)</f>
        <v>-9.6199999999999992</v>
      </c>
      <c r="F20" s="27">
        <f>ROUND(Total!G20-Total!F20,2)</f>
        <v>2.02</v>
      </c>
      <c r="G20" s="27">
        <f t="shared" si="2"/>
        <v>-10.75</v>
      </c>
      <c r="I20" s="18">
        <f t="shared" ca="1" si="0"/>
        <v>0</v>
      </c>
      <c r="J20" s="18"/>
      <c r="K20" s="18"/>
    </row>
    <row r="21" spans="2:11" ht="15.75">
      <c r="B21" s="3">
        <f t="shared" si="1"/>
        <v>2024</v>
      </c>
      <c r="C21" s="27">
        <f>ROUND(Total!D21-Total!C21,2)</f>
        <v>-3.16</v>
      </c>
      <c r="D21" s="27">
        <f>ROUND(Total!E21-Total!D21,2)</f>
        <v>0.39</v>
      </c>
      <c r="E21" s="27">
        <f>ROUND(Total!F21-Total!E21,2)</f>
        <v>-7.37</v>
      </c>
      <c r="F21" s="27">
        <f>ROUND(Total!G21-Total!F21,2)</f>
        <v>2.3199999999999998</v>
      </c>
      <c r="G21" s="27">
        <f t="shared" si="2"/>
        <v>-7.82</v>
      </c>
      <c r="I21" s="18">
        <f t="shared" ca="1" si="0"/>
        <v>0</v>
      </c>
      <c r="J21" s="18"/>
      <c r="K21" s="18"/>
    </row>
    <row r="22" spans="2:11" ht="15.75">
      <c r="B22" s="3">
        <f t="shared" si="1"/>
        <v>2025</v>
      </c>
      <c r="C22" s="27">
        <f>ROUND(Total!D22-Total!C22,2)</f>
        <v>-2.79</v>
      </c>
      <c r="D22" s="27">
        <f>ROUND(Total!E22-Total!D22,2)</f>
        <v>-0.6</v>
      </c>
      <c r="E22" s="27">
        <f>ROUND(Total!F22-Total!E22,2)</f>
        <v>-9.26</v>
      </c>
      <c r="F22" s="27">
        <f>ROUND(Total!G22-Total!F22,2)</f>
        <v>2.27</v>
      </c>
      <c r="G22" s="27">
        <f t="shared" si="2"/>
        <v>-10.38</v>
      </c>
      <c r="I22" s="18">
        <f t="shared" ca="1" si="0"/>
        <v>0</v>
      </c>
      <c r="J22" s="18"/>
      <c r="K22" s="18"/>
    </row>
    <row r="23" spans="2:11" ht="15.75">
      <c r="B23" s="3">
        <f t="shared" si="1"/>
        <v>2026</v>
      </c>
      <c r="C23" s="27">
        <f>ROUND(Total!D23-Total!C23,2)</f>
        <v>5.48</v>
      </c>
      <c r="D23" s="27">
        <f>ROUND(Total!E23-Total!D23,2)</f>
        <v>-8.0399999999999991</v>
      </c>
      <c r="E23" s="27">
        <f>ROUND(Total!F23-Total!E23,2)</f>
        <v>-5.4</v>
      </c>
      <c r="F23" s="27">
        <f>ROUND(Total!G23-Total!F23,2)</f>
        <v>-0.39</v>
      </c>
      <c r="G23" s="27">
        <f t="shared" si="2"/>
        <v>-8.35</v>
      </c>
      <c r="I23" s="18">
        <f t="shared" ca="1" si="0"/>
        <v>0</v>
      </c>
      <c r="J23" s="18"/>
      <c r="K23" s="18"/>
    </row>
    <row r="24" spans="2:11" ht="15.75">
      <c r="B24" s="3">
        <f t="shared" si="1"/>
        <v>2027</v>
      </c>
      <c r="C24" s="27">
        <f>ROUND(Total!D24-Total!C24,2)</f>
        <v>-3.97</v>
      </c>
      <c r="D24" s="27">
        <f>ROUND(Total!E24-Total!D24,2)</f>
        <v>-0.41</v>
      </c>
      <c r="E24" s="27">
        <f>ROUND(Total!F24-Total!E24,2)</f>
        <v>-5.78</v>
      </c>
      <c r="F24" s="27">
        <f>ROUND(Total!G24-Total!F24,2)</f>
        <v>0.12</v>
      </c>
      <c r="G24" s="27">
        <f t="shared" si="2"/>
        <v>-10.040000000000001</v>
      </c>
      <c r="I24" s="18">
        <f t="shared" ca="1" si="0"/>
        <v>0</v>
      </c>
      <c r="J24" s="18"/>
      <c r="K24" s="18"/>
    </row>
    <row r="25" spans="2:11" ht="15.75">
      <c r="B25" s="3">
        <f t="shared" si="1"/>
        <v>2028</v>
      </c>
      <c r="C25" s="27">
        <f>ROUND(Total!D25-Total!C25,2)</f>
        <v>-4.72</v>
      </c>
      <c r="D25" s="27">
        <f>ROUND(Total!E25-Total!D25,2)</f>
        <v>-0.56000000000000005</v>
      </c>
      <c r="E25" s="27">
        <f>ROUND(Total!F25-Total!E25,2)</f>
        <v>-5.59</v>
      </c>
      <c r="F25" s="27">
        <f>ROUND(Total!G25-Total!F25,2)</f>
        <v>0.05</v>
      </c>
      <c r="G25" s="27">
        <f t="shared" si="2"/>
        <v>-10.819999999999999</v>
      </c>
      <c r="I25" s="18">
        <f t="shared" ca="1" si="0"/>
        <v>0</v>
      </c>
      <c r="J25" s="18"/>
      <c r="K25" s="18"/>
    </row>
    <row r="26" spans="2:11" ht="15.75">
      <c r="B26" s="3">
        <f t="shared" si="1"/>
        <v>2029</v>
      </c>
      <c r="C26" s="27">
        <f>ROUND(Total!D26-Total!C26,2)</f>
        <v>-6.25</v>
      </c>
      <c r="D26" s="27">
        <f>ROUND(Total!E26-Total!D26,2)</f>
        <v>1.08</v>
      </c>
      <c r="E26" s="27">
        <f>ROUND(Total!F26-Total!E26,2)</f>
        <v>-5.73</v>
      </c>
      <c r="F26" s="27">
        <f>ROUND(Total!G26-Total!F26,2)</f>
        <v>0.45</v>
      </c>
      <c r="G26" s="27">
        <f t="shared" si="2"/>
        <v>-10.450000000000001</v>
      </c>
      <c r="I26" s="18">
        <f t="shared" ca="1" si="0"/>
        <v>0</v>
      </c>
      <c r="J26" s="18"/>
      <c r="K26" s="18"/>
    </row>
    <row r="27" spans="2:11" ht="15.75">
      <c r="B27" s="3">
        <f t="shared" si="1"/>
        <v>2030</v>
      </c>
      <c r="C27" s="27">
        <f>ROUND(Total!D27-Total!C27,2)</f>
        <v>-2.27</v>
      </c>
      <c r="D27" s="27">
        <f>ROUND(Total!E27-Total!D27,2)</f>
        <v>-3.85</v>
      </c>
      <c r="E27" s="27">
        <f>ROUND(Total!F27-Total!E27,2)</f>
        <v>-6.1</v>
      </c>
      <c r="F27" s="27">
        <f>ROUND(Total!G27-Total!F27,2)</f>
        <v>0.94</v>
      </c>
      <c r="G27" s="27">
        <f t="shared" si="2"/>
        <v>-11.28</v>
      </c>
      <c r="I27" s="18">
        <f t="shared" ca="1" si="0"/>
        <v>0</v>
      </c>
      <c r="J27" s="18"/>
      <c r="K27" s="18"/>
    </row>
    <row r="28" spans="2:11" ht="15.75">
      <c r="B28" s="3">
        <f t="shared" si="1"/>
        <v>2031</v>
      </c>
      <c r="C28" s="27">
        <f>ROUND(Total!D28-Total!C28,2)</f>
        <v>-2.31</v>
      </c>
      <c r="D28" s="27">
        <f>ROUND(Total!E28-Total!D28,2)</f>
        <v>-3.2</v>
      </c>
      <c r="E28" s="27">
        <f>ROUND(Total!F28-Total!E28,2)</f>
        <v>-6.46</v>
      </c>
      <c r="F28" s="27">
        <f>ROUND(Total!G28-Total!F28,2)</f>
        <v>0.93</v>
      </c>
      <c r="G28" s="27">
        <f t="shared" si="2"/>
        <v>-11.04</v>
      </c>
      <c r="I28" s="18">
        <f t="shared" ca="1" si="0"/>
        <v>0</v>
      </c>
      <c r="J28" s="18"/>
      <c r="K28" s="18"/>
    </row>
    <row r="29" spans="2:11" ht="15.75">
      <c r="B29" s="3">
        <f t="shared" si="1"/>
        <v>2032</v>
      </c>
      <c r="C29" s="27">
        <f>ROUND(Total!D29-Total!C29,2)</f>
        <v>-6.22</v>
      </c>
      <c r="D29" s="27">
        <f>ROUND(Total!E29-Total!D29,2)</f>
        <v>0.34</v>
      </c>
      <c r="E29" s="27">
        <f>ROUND(Total!F29-Total!E29,2)</f>
        <v>-6.43</v>
      </c>
      <c r="F29" s="27">
        <f>ROUND(Total!G29-Total!F29,2)</f>
        <v>0.8</v>
      </c>
      <c r="G29" s="27">
        <f t="shared" si="2"/>
        <v>-11.509999999999998</v>
      </c>
      <c r="I29" s="18">
        <f ca="1">ROUND(SUM(C29:F29)-OFFSET(I29,0,-2),4)</f>
        <v>0</v>
      </c>
      <c r="J29" s="18"/>
      <c r="K29" s="18"/>
    </row>
    <row r="30" spans="2:11" ht="15.75" hidden="1">
      <c r="B30" s="3">
        <f t="shared" si="1"/>
        <v>2033</v>
      </c>
      <c r="C30" s="27"/>
      <c r="D30" s="27"/>
      <c r="E30" s="27"/>
      <c r="F30" s="27"/>
      <c r="G30" s="27"/>
      <c r="I30" s="18" t="e">
        <f>SUM(-#REF!,D30:E30)</f>
        <v>#REF!</v>
      </c>
      <c r="J30" s="18"/>
      <c r="K30" s="18"/>
    </row>
    <row r="31" spans="2:11">
      <c r="C31" s="25"/>
      <c r="D31" s="25"/>
      <c r="E31" s="25"/>
      <c r="F31" s="25"/>
      <c r="G31" s="25"/>
      <c r="I31" s="18"/>
      <c r="J31" s="18"/>
      <c r="K31" s="18"/>
    </row>
    <row r="32" spans="2:11">
      <c r="B32" s="21" t="str">
        <f>Total!B32</f>
        <v>Nominal Levelized Payment at 7.154% Discount Rate (3)</v>
      </c>
      <c r="C32" s="28"/>
      <c r="D32" s="28"/>
      <c r="E32" s="28"/>
      <c r="F32" s="28"/>
      <c r="G32" s="28"/>
      <c r="I32" s="18"/>
      <c r="J32" s="29" t="s">
        <v>1</v>
      </c>
      <c r="K32" s="18"/>
    </row>
    <row r="33" spans="2:11">
      <c r="B33" s="13" t="str">
        <f>B10&amp;" - "&amp;B29</f>
        <v>2013 - 2032</v>
      </c>
      <c r="C33" s="26">
        <f t="shared" ref="C33" si="3">ROUND(PMT(Discount_Rate,COUNT(C10:C29),-NPV(Discount_Rate,C10:C29)),2)</f>
        <v>-2.2799999999999998</v>
      </c>
      <c r="D33" s="26">
        <f t="shared" ref="D33" si="4">ROUND(PMT(Discount_Rate,COUNT(D10:D29),-NPV(Discount_Rate,D10:D29)),2)</f>
        <v>0.11</v>
      </c>
      <c r="E33" s="26">
        <f t="shared" ref="E33" si="5">ROUND(PMT(Discount_Rate,COUNT(E10:E29),-NPV(Discount_Rate,E10:E29)),2)</f>
        <v>-7.92</v>
      </c>
      <c r="F33" s="26">
        <f t="shared" ref="F33" si="6">ROUND(PMT(Discount_Rate,COUNT(F10:F29),-NPV(Discount_Rate,F10:F29)),2)</f>
        <v>0.78</v>
      </c>
      <c r="G33" s="26">
        <f t="shared" ref="G33" si="7">ROUND(PMT(Discount_Rate,COUNT(G10:G29),-NPV(Discount_Rate,G10:G29)),2)</f>
        <v>-9.32</v>
      </c>
      <c r="I33" s="18">
        <f ca="1">ROUND(SUM(C33:F33)-OFFSET(I33,0,-2),4)</f>
        <v>0.01</v>
      </c>
      <c r="J33" s="55">
        <f>Discount_Rate</f>
        <v>7.1540000000000006E-2</v>
      </c>
      <c r="K33" s="18"/>
    </row>
    <row r="34" spans="2:11" hidden="1"/>
    <row r="36" spans="2:11">
      <c r="B36" s="1" t="str">
        <f>Total!B36</f>
        <v>(1)   Studies are sequential.  The order of the studies would effect the price impact.</v>
      </c>
    </row>
    <row r="37" spans="2:11">
      <c r="B37" s="1" t="str">
        <f>Total!B37</f>
        <v>(2)   Official Forward Price Curve Dated September 2012</v>
      </c>
    </row>
    <row r="38" spans="2:11">
      <c r="B38" s="1" t="str">
        <f>Total!B38</f>
        <v>(3)   2012 Needs Assessment - Discount Rate</v>
      </c>
      <c r="C38" s="13"/>
    </row>
    <row r="39" spans="2:11">
      <c r="B39" s="1" t="str">
        <f>Total!B39</f>
        <v xml:space="preserve">(4)   Capacity costs are allocated assuming an 85% capacity factor. </v>
      </c>
    </row>
  </sheetData>
  <phoneticPr fontId="2" type="noConversion"/>
  <printOptions horizontalCentered="1"/>
  <pageMargins left="0.25" right="0.25" top="0.75" bottom="0.75" header="0.3" footer="0.2"/>
  <pageSetup scale="93" orientation="landscape" r:id="rId1"/>
  <headerFooter alignWithMargins="0">
    <oddFooter>&amp;C&amp;8Page &amp;P of &amp;N&amp;R&amp;8&amp;D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enableFormatConditionsCalculation="0">
    <pageSetUpPr fitToPage="1"/>
  </sheetPr>
  <dimension ref="B1:O46"/>
  <sheetViews>
    <sheetView tabSelected="1" zoomScale="70" zoomScaleNormal="70" workbookViewId="0"/>
  </sheetViews>
  <sheetFormatPr defaultRowHeight="15"/>
  <cols>
    <col min="1" max="1" width="1.85546875" style="1" customWidth="1"/>
    <col min="2" max="2" width="14.42578125" style="1" customWidth="1"/>
    <col min="3" max="3" width="18.7109375" style="1" customWidth="1"/>
    <col min="4" max="4" width="18.85546875" style="1" customWidth="1"/>
    <col min="5" max="7" width="19.7109375" style="1" customWidth="1"/>
    <col min="8" max="8" width="2.42578125" style="1" customWidth="1"/>
    <col min="9" max="9" width="11.5703125" style="1" hidden="1" customWidth="1"/>
    <col min="10" max="10" width="16.28515625" style="1" customWidth="1"/>
    <col min="11" max="13" width="9.140625" style="1"/>
    <col min="14" max="14" width="10.28515625" style="1" customWidth="1"/>
    <col min="15" max="16384" width="9.140625" style="1"/>
  </cols>
  <sheetData>
    <row r="1" spans="2:15" ht="15.75">
      <c r="B1" s="8" t="s">
        <v>5</v>
      </c>
      <c r="C1" s="8"/>
      <c r="D1" s="8"/>
      <c r="E1" s="8"/>
      <c r="F1" s="8"/>
      <c r="G1" s="8"/>
    </row>
    <row r="2" spans="2:15" ht="8.25" customHeight="1">
      <c r="B2" s="8"/>
      <c r="C2" s="8"/>
      <c r="D2" s="8"/>
      <c r="E2" s="8"/>
      <c r="F2" s="8"/>
      <c r="G2" s="8"/>
    </row>
    <row r="3" spans="2:15" ht="15.75">
      <c r="B3" s="8" t="s">
        <v>2</v>
      </c>
      <c r="C3" s="8"/>
      <c r="D3" s="8"/>
      <c r="E3" s="8"/>
      <c r="F3" s="8"/>
      <c r="G3" s="8"/>
    </row>
    <row r="4" spans="2:15" ht="15.75">
      <c r="B4" s="8" t="str">
        <f>Capacity!B4</f>
        <v>Step Study between 2012.Q2 and 2012.Q4 Compliance Filing</v>
      </c>
      <c r="C4" s="8"/>
      <c r="D4" s="8"/>
      <c r="E4" s="8"/>
      <c r="F4" s="8"/>
      <c r="G4" s="8"/>
    </row>
    <row r="5" spans="2:15" ht="15.75">
      <c r="B5" s="8" t="s">
        <v>16</v>
      </c>
      <c r="C5" s="8"/>
      <c r="D5" s="8"/>
      <c r="E5" s="8"/>
      <c r="F5" s="8"/>
      <c r="G5" s="8"/>
    </row>
    <row r="6" spans="2:15" s="32" customFormat="1" ht="15.75">
      <c r="B6" s="30"/>
      <c r="C6" s="30"/>
      <c r="D6" s="31"/>
      <c r="E6" s="31"/>
      <c r="F6" s="31"/>
      <c r="G6" s="31"/>
    </row>
    <row r="7" spans="2:15" ht="15.75">
      <c r="B7" s="9"/>
      <c r="C7" s="11" t="s">
        <v>19</v>
      </c>
      <c r="D7" s="11" t="str">
        <f>Energy!D7</f>
        <v>July Load</v>
      </c>
      <c r="E7" s="11" t="str">
        <f>Energy!E7</f>
        <v>Official Forward</v>
      </c>
      <c r="F7" s="11" t="str">
        <f>Energy!F7</f>
        <v>2016 RFP</v>
      </c>
      <c r="G7" s="11" t="str">
        <f>Energy!G7</f>
        <v>All Other</v>
      </c>
      <c r="I7" s="11" t="s">
        <v>7</v>
      </c>
    </row>
    <row r="8" spans="2:15" ht="15.75">
      <c r="B8" s="10" t="s">
        <v>0</v>
      </c>
      <c r="C8" s="2" t="s">
        <v>10</v>
      </c>
      <c r="D8" s="2" t="str">
        <f>Energy!D8</f>
        <v>Forecast</v>
      </c>
      <c r="E8" s="2" t="str">
        <f>Energy!E8</f>
        <v>Price Curve (2)</v>
      </c>
      <c r="F8" s="2" t="str">
        <f>Energy!F8</f>
        <v>Need Assess</v>
      </c>
      <c r="G8" s="2" t="str">
        <f>Energy!G8</f>
        <v>Changes</v>
      </c>
      <c r="I8" s="2" t="s">
        <v>8</v>
      </c>
    </row>
    <row r="9" spans="2:15" ht="4.5" customHeight="1"/>
    <row r="10" spans="2:15" ht="15.75">
      <c r="B10" s="3">
        <v>2013</v>
      </c>
      <c r="C10" s="24">
        <f>ROUND(Capacity!$F10+Energy!C10,2)</f>
        <v>28.44</v>
      </c>
      <c r="D10" s="24">
        <f>ROUND(Capacity!$F10+Energy!D10,2)</f>
        <v>27.67</v>
      </c>
      <c r="E10" s="24">
        <f>ROUND(Capacity!$F10+Energy!E10,2)</f>
        <v>28.99</v>
      </c>
      <c r="F10" s="24">
        <f>ROUND(Capacity!$G10+Energy!F10,2)</f>
        <v>28.37</v>
      </c>
      <c r="G10" s="24">
        <f>ROUND(Capacity!$G10+Energy!G10,2)</f>
        <v>28.1</v>
      </c>
      <c r="I10" s="18">
        <f t="shared" ref="I10:I29" ca="1" si="0">OFFSET(I10,0,-2)-C10</f>
        <v>-0.33999999999999986</v>
      </c>
    </row>
    <row r="11" spans="2:15" ht="15.75">
      <c r="B11" s="3">
        <f t="shared" ref="B11:B30" si="1">B10+1</f>
        <v>2014</v>
      </c>
      <c r="C11" s="24">
        <f>ROUND(Capacity!$F11+Energy!C11,2)</f>
        <v>29.53</v>
      </c>
      <c r="D11" s="24">
        <f>ROUND(Capacity!$F11+Energy!D11,2)</f>
        <v>28.38</v>
      </c>
      <c r="E11" s="24">
        <f>ROUND(Capacity!$F11+Energy!E11,2)</f>
        <v>29.3</v>
      </c>
      <c r="F11" s="24">
        <f>ROUND(Capacity!$G11+Energy!F11,2)</f>
        <v>28.91</v>
      </c>
      <c r="G11" s="24">
        <f>ROUND(Capacity!$G11+Energy!G11,2)</f>
        <v>28.34</v>
      </c>
      <c r="I11" s="18">
        <f t="shared" ca="1" si="0"/>
        <v>-1.1900000000000013</v>
      </c>
    </row>
    <row r="12" spans="2:15" ht="15.75">
      <c r="B12" s="3">
        <f t="shared" si="1"/>
        <v>2015</v>
      </c>
      <c r="C12" s="24">
        <f>ROUND(Capacity!$F12+Energy!C12,2)</f>
        <v>30.81</v>
      </c>
      <c r="D12" s="24">
        <f>ROUND(Capacity!$F12+Energy!D12,2)</f>
        <v>29.98</v>
      </c>
      <c r="E12" s="24">
        <f>ROUND(Capacity!$F12+Energy!E12,2)</f>
        <v>30.27</v>
      </c>
      <c r="F12" s="24">
        <f>ROUND(Capacity!$G12+Energy!F12,2)</f>
        <v>30.6</v>
      </c>
      <c r="G12" s="24">
        <f>ROUND(Capacity!$G12+Energy!G12,2)</f>
        <v>30.22</v>
      </c>
      <c r="I12" s="18">
        <f t="shared" ca="1" si="0"/>
        <v>-0.58999999999999986</v>
      </c>
    </row>
    <row r="13" spans="2:15" ht="15.75">
      <c r="B13" s="3">
        <f t="shared" si="1"/>
        <v>2016</v>
      </c>
      <c r="C13" s="24">
        <f>ROUND(Capacity!$F13+Energy!C13,2)</f>
        <v>38.86</v>
      </c>
      <c r="D13" s="24">
        <f>ROUND(Capacity!$F13+Energy!D13,2)</f>
        <v>37.5</v>
      </c>
      <c r="E13" s="24">
        <f>ROUND(Capacity!$F13+Energy!E13,2)</f>
        <v>37.46</v>
      </c>
      <c r="F13" s="24">
        <f>ROUND(Capacity!$G13+Energy!F13,2)</f>
        <v>31.29</v>
      </c>
      <c r="G13" s="24">
        <f>ROUND(Capacity!$G13+Energy!G13,2)</f>
        <v>31.23</v>
      </c>
      <c r="I13" s="18">
        <f t="shared" ca="1" si="0"/>
        <v>-7.629999999999999</v>
      </c>
      <c r="O13" s="7"/>
    </row>
    <row r="14" spans="2:15" ht="15.75">
      <c r="B14" s="3">
        <f t="shared" si="1"/>
        <v>2017</v>
      </c>
      <c r="C14" s="24">
        <f>ROUND(Capacity!$F14+Energy!C14,2)</f>
        <v>47.8</v>
      </c>
      <c r="D14" s="24">
        <f>ROUND(Capacity!$F14+Energy!D14,2)</f>
        <v>46.45</v>
      </c>
      <c r="E14" s="24">
        <f>ROUND(Capacity!$F14+Energy!E14,2)</f>
        <v>48.45</v>
      </c>
      <c r="F14" s="24">
        <f>ROUND(Capacity!$G14+Energy!F14,2)</f>
        <v>33.26</v>
      </c>
      <c r="G14" s="24">
        <f>ROUND(Capacity!$G14+Energy!G14,2)</f>
        <v>32.35</v>
      </c>
      <c r="I14" s="18">
        <f t="shared" ca="1" si="0"/>
        <v>-15.449999999999996</v>
      </c>
    </row>
    <row r="15" spans="2:15" ht="15.75">
      <c r="B15" s="3">
        <f t="shared" si="1"/>
        <v>2018</v>
      </c>
      <c r="C15" s="24">
        <f>ROUND(Capacity!$F15+Energy!C15,2)</f>
        <v>51.64</v>
      </c>
      <c r="D15" s="24">
        <f>ROUND(Capacity!$F15+Energy!D15,2)</f>
        <v>48.65</v>
      </c>
      <c r="E15" s="24">
        <f>ROUND(Capacity!$F15+Energy!E15,2)</f>
        <v>49.79</v>
      </c>
      <c r="F15" s="24">
        <f>ROUND(Capacity!$G15+Energy!F15,2)</f>
        <v>33.96</v>
      </c>
      <c r="G15" s="24">
        <f>ROUND(Capacity!$G15+Energy!G15,2)</f>
        <v>34.69</v>
      </c>
      <c r="I15" s="18">
        <f t="shared" ca="1" si="0"/>
        <v>-16.950000000000003</v>
      </c>
    </row>
    <row r="16" spans="2:15" ht="15.75">
      <c r="B16" s="3">
        <f t="shared" si="1"/>
        <v>2019</v>
      </c>
      <c r="C16" s="24">
        <f>ROUND(Capacity!$F16+Energy!C16,2)</f>
        <v>56.29</v>
      </c>
      <c r="D16" s="24">
        <f>ROUND(Capacity!$F16+Energy!D16,2)</f>
        <v>52.61</v>
      </c>
      <c r="E16" s="24">
        <f>ROUND(Capacity!$F16+Energy!E16,2)</f>
        <v>55.26</v>
      </c>
      <c r="F16" s="24">
        <f>ROUND(Capacity!$G16+Energy!F16,2)</f>
        <v>39.79</v>
      </c>
      <c r="G16" s="24">
        <f>ROUND(Capacity!$G16+Energy!G16,2)</f>
        <v>38.979999999999997</v>
      </c>
      <c r="I16" s="18">
        <f t="shared" ca="1" si="0"/>
        <v>-17.310000000000002</v>
      </c>
    </row>
    <row r="17" spans="2:9" ht="15.75">
      <c r="B17" s="3">
        <f t="shared" si="1"/>
        <v>2020</v>
      </c>
      <c r="C17" s="24">
        <f>ROUND(Capacity!$F17+Energy!C17,2)</f>
        <v>56.47</v>
      </c>
      <c r="D17" s="24">
        <f>ROUND(Capacity!$F17+Energy!D17,2)</f>
        <v>50.07</v>
      </c>
      <c r="E17" s="24">
        <f>ROUND(Capacity!$F17+Energy!E17,2)</f>
        <v>52.63</v>
      </c>
      <c r="F17" s="24">
        <f>ROUND(Capacity!$G17+Energy!F17,2)</f>
        <v>38.74</v>
      </c>
      <c r="G17" s="24">
        <f>ROUND(Capacity!$G17+Energy!G17,2)</f>
        <v>43.02</v>
      </c>
      <c r="I17" s="18">
        <f t="shared" ca="1" si="0"/>
        <v>-13.449999999999996</v>
      </c>
    </row>
    <row r="18" spans="2:9" ht="15.75">
      <c r="B18" s="3">
        <f t="shared" si="1"/>
        <v>2021</v>
      </c>
      <c r="C18" s="24">
        <f>ROUND(Capacity!$F18+Energy!C18,2)</f>
        <v>59.4</v>
      </c>
      <c r="D18" s="24">
        <f>ROUND(Capacity!$F18+Energy!D18,2)</f>
        <v>55.22</v>
      </c>
      <c r="E18" s="24">
        <f>ROUND(Capacity!$F18+Energy!E18,2)</f>
        <v>56.47</v>
      </c>
      <c r="F18" s="24">
        <f>ROUND(Capacity!$G18+Energy!F18,2)</f>
        <v>40.090000000000003</v>
      </c>
      <c r="G18" s="24">
        <f>ROUND(Capacity!$G18+Energy!G18,2)</f>
        <v>45.27</v>
      </c>
      <c r="I18" s="18">
        <f t="shared" ca="1" si="0"/>
        <v>-14.129999999999995</v>
      </c>
    </row>
    <row r="19" spans="2:9" ht="15.75">
      <c r="B19" s="3">
        <f t="shared" si="1"/>
        <v>2022</v>
      </c>
      <c r="C19" s="24">
        <f>ROUND(Capacity!$F19+Energy!C19,2)</f>
        <v>65.12</v>
      </c>
      <c r="D19" s="24">
        <f>ROUND(Capacity!$F19+Energy!D19,2)</f>
        <v>65.540000000000006</v>
      </c>
      <c r="E19" s="24">
        <f>ROUND(Capacity!$F19+Energy!E19,2)</f>
        <v>61.59</v>
      </c>
      <c r="F19" s="24">
        <f>ROUND(Capacity!$G19+Energy!F19,2)</f>
        <v>50.2</v>
      </c>
      <c r="G19" s="24">
        <f>ROUND(Capacity!$G19+Energy!G19,2)</f>
        <v>52.23</v>
      </c>
      <c r="I19" s="18">
        <f t="shared" ca="1" si="0"/>
        <v>-12.890000000000008</v>
      </c>
    </row>
    <row r="20" spans="2:9" ht="15.75">
      <c r="B20" s="3">
        <f t="shared" si="1"/>
        <v>2023</v>
      </c>
      <c r="C20" s="24">
        <f>ROUND(Capacity!$F20+Energy!C20,2)</f>
        <v>66.709999999999994</v>
      </c>
      <c r="D20" s="24">
        <f>ROUND(Capacity!$F20+Energy!D20,2)</f>
        <v>63.73</v>
      </c>
      <c r="E20" s="24">
        <f>ROUND(Capacity!$F20+Energy!E20,2)</f>
        <v>63.56</v>
      </c>
      <c r="F20" s="24">
        <f>ROUND(Capacity!$G20+Energy!F20,2)</f>
        <v>53.94</v>
      </c>
      <c r="G20" s="24">
        <f>ROUND(Capacity!$G20+Energy!G20,2)</f>
        <v>55.96</v>
      </c>
      <c r="I20" s="18">
        <f t="shared" ca="1" si="0"/>
        <v>-10.749999999999993</v>
      </c>
    </row>
    <row r="21" spans="2:9" ht="15.75">
      <c r="B21" s="3">
        <f t="shared" si="1"/>
        <v>2024</v>
      </c>
      <c r="C21" s="24">
        <f>ROUND(Capacity!$F21+Energy!C21,2)</f>
        <v>66.650000000000006</v>
      </c>
      <c r="D21" s="24">
        <f>ROUND(Capacity!$F21+Energy!D21,2)</f>
        <v>63.49</v>
      </c>
      <c r="E21" s="24">
        <f>ROUND(Capacity!$F21+Energy!E21,2)</f>
        <v>63.88</v>
      </c>
      <c r="F21" s="24">
        <f>ROUND(Capacity!$G21+Energy!F21,2)</f>
        <v>56.51</v>
      </c>
      <c r="G21" s="24">
        <f>ROUND(Capacity!$G21+Energy!G21,2)</f>
        <v>58.83</v>
      </c>
      <c r="I21" s="18">
        <f t="shared" ca="1" si="0"/>
        <v>-7.8200000000000074</v>
      </c>
    </row>
    <row r="22" spans="2:9" ht="15.75">
      <c r="B22" s="3">
        <f t="shared" si="1"/>
        <v>2025</v>
      </c>
      <c r="C22" s="24">
        <f>ROUND(Capacity!$F22+Energy!C22,2)</f>
        <v>68.790000000000006</v>
      </c>
      <c r="D22" s="24">
        <f>ROUND(Capacity!$F22+Energy!D22,2)</f>
        <v>66</v>
      </c>
      <c r="E22" s="24">
        <f>ROUND(Capacity!$F22+Energy!E22,2)</f>
        <v>65.400000000000006</v>
      </c>
      <c r="F22" s="24">
        <f>ROUND(Capacity!$G22+Energy!F22,2)</f>
        <v>56.14</v>
      </c>
      <c r="G22" s="24">
        <f>ROUND(Capacity!$G22+Energy!G22,2)</f>
        <v>58.41</v>
      </c>
      <c r="I22" s="18">
        <f t="shared" ca="1" si="0"/>
        <v>-10.38000000000001</v>
      </c>
    </row>
    <row r="23" spans="2:9" ht="15.75">
      <c r="B23" s="3">
        <f t="shared" si="1"/>
        <v>2026</v>
      </c>
      <c r="C23" s="24">
        <f>ROUND(Capacity!$F23+Energy!C23,2)</f>
        <v>70.7</v>
      </c>
      <c r="D23" s="24">
        <f>ROUND(Capacity!$F23+Energy!D23,2)</f>
        <v>76.180000000000007</v>
      </c>
      <c r="E23" s="24">
        <f>ROUND(Capacity!$F23+Energy!E23,2)</f>
        <v>68.14</v>
      </c>
      <c r="F23" s="24">
        <f>ROUND(Capacity!$G23+Energy!F23,2)</f>
        <v>62.74</v>
      </c>
      <c r="G23" s="24">
        <f>ROUND(Capacity!$G23+Energy!G23,2)</f>
        <v>62.35</v>
      </c>
      <c r="I23" s="18">
        <f t="shared" ca="1" si="0"/>
        <v>-8.3500000000000014</v>
      </c>
    </row>
    <row r="24" spans="2:9" ht="15.75">
      <c r="B24" s="3">
        <f t="shared" si="1"/>
        <v>2027</v>
      </c>
      <c r="C24" s="24">
        <f>ROUND(Capacity!$F24+Energy!C24,2)</f>
        <v>73.010000000000005</v>
      </c>
      <c r="D24" s="24">
        <f>ROUND(Capacity!$F24+Energy!D24,2)</f>
        <v>69.040000000000006</v>
      </c>
      <c r="E24" s="24">
        <f>ROUND(Capacity!$F24+Energy!E24,2)</f>
        <v>68.63</v>
      </c>
      <c r="F24" s="24">
        <f>ROUND(Capacity!$G24+Energy!F24,2)</f>
        <v>62.85</v>
      </c>
      <c r="G24" s="24">
        <f>ROUND(Capacity!$G24+Energy!G24,2)</f>
        <v>62.97</v>
      </c>
      <c r="I24" s="18">
        <f t="shared" ca="1" si="0"/>
        <v>-10.040000000000006</v>
      </c>
    </row>
    <row r="25" spans="2:9" ht="15.75">
      <c r="B25" s="3">
        <f t="shared" si="1"/>
        <v>2028</v>
      </c>
      <c r="C25" s="24">
        <f>ROUND(Capacity!$F25+Energy!C25,2)</f>
        <v>75.17</v>
      </c>
      <c r="D25" s="24">
        <f>ROUND(Capacity!$F25+Energy!D25,2)</f>
        <v>70.45</v>
      </c>
      <c r="E25" s="24">
        <f>ROUND(Capacity!$F25+Energy!E25,2)</f>
        <v>69.89</v>
      </c>
      <c r="F25" s="24">
        <f>ROUND(Capacity!$G25+Energy!F25,2)</f>
        <v>64.3</v>
      </c>
      <c r="G25" s="24">
        <f>ROUND(Capacity!$G25+Energy!G25,2)</f>
        <v>64.349999999999994</v>
      </c>
      <c r="I25" s="18">
        <f t="shared" ca="1" si="0"/>
        <v>-10.820000000000007</v>
      </c>
    </row>
    <row r="26" spans="2:9" ht="15.75">
      <c r="B26" s="3">
        <f t="shared" si="1"/>
        <v>2029</v>
      </c>
      <c r="C26" s="24">
        <f>ROUND(Capacity!$F26+Energy!C26,2)</f>
        <v>76.569999999999993</v>
      </c>
      <c r="D26" s="24">
        <f>ROUND(Capacity!$F26+Energy!D26,2)</f>
        <v>70.319999999999993</v>
      </c>
      <c r="E26" s="24">
        <f>ROUND(Capacity!$F26+Energy!E26,2)</f>
        <v>71.400000000000006</v>
      </c>
      <c r="F26" s="24">
        <f>ROUND(Capacity!$G26+Energy!F26,2)</f>
        <v>65.67</v>
      </c>
      <c r="G26" s="24">
        <f>ROUND(Capacity!$G26+Energy!G26,2)</f>
        <v>66.12</v>
      </c>
      <c r="I26" s="18">
        <f t="shared" ca="1" si="0"/>
        <v>-10.449999999999989</v>
      </c>
    </row>
    <row r="27" spans="2:9" ht="15.75">
      <c r="B27" s="3">
        <f t="shared" si="1"/>
        <v>2030</v>
      </c>
      <c r="C27" s="24">
        <f>ROUND(Capacity!$F27+Energy!C27,2)</f>
        <v>78.239999999999995</v>
      </c>
      <c r="D27" s="24">
        <f>ROUND(Capacity!$F27+Energy!D27,2)</f>
        <v>75.97</v>
      </c>
      <c r="E27" s="24">
        <f>ROUND(Capacity!$F27+Energy!E27,2)</f>
        <v>72.12</v>
      </c>
      <c r="F27" s="24">
        <f>ROUND(Capacity!$G27+Energy!F27,2)</f>
        <v>66.02</v>
      </c>
      <c r="G27" s="24">
        <f>ROUND(Capacity!$G27+Energy!G27,2)</f>
        <v>66.959999999999994</v>
      </c>
      <c r="I27" s="18">
        <f t="shared" ca="1" si="0"/>
        <v>-11.280000000000001</v>
      </c>
    </row>
    <row r="28" spans="2:9" ht="15.75">
      <c r="B28" s="3">
        <f t="shared" si="1"/>
        <v>2031</v>
      </c>
      <c r="C28" s="24">
        <f>ROUND(Capacity!$F28+Energy!C28,2)</f>
        <v>79.84</v>
      </c>
      <c r="D28" s="24">
        <f>ROUND(Capacity!$F28+Energy!D28,2)</f>
        <v>77.53</v>
      </c>
      <c r="E28" s="24">
        <f>ROUND(Capacity!$F28+Energy!E28,2)</f>
        <v>74.33</v>
      </c>
      <c r="F28" s="24">
        <f>ROUND(Capacity!$G28+Energy!F28,2)</f>
        <v>67.87</v>
      </c>
      <c r="G28" s="24">
        <f>ROUND(Capacity!$G28+Energy!G28,2)</f>
        <v>68.8</v>
      </c>
      <c r="I28" s="18">
        <f t="shared" ca="1" si="0"/>
        <v>-11.040000000000006</v>
      </c>
    </row>
    <row r="29" spans="2:9" ht="15.75">
      <c r="B29" s="3">
        <f t="shared" si="1"/>
        <v>2032</v>
      </c>
      <c r="C29" s="24">
        <f>ROUND(Capacity!$F29+Energy!C29,2)</f>
        <v>81.489999999999995</v>
      </c>
      <c r="D29" s="24">
        <f>ROUND(Capacity!$F29+Energy!D29,2)</f>
        <v>75.27</v>
      </c>
      <c r="E29" s="24">
        <f>ROUND(Capacity!$F29+Energy!E29,2)</f>
        <v>75.61</v>
      </c>
      <c r="F29" s="24">
        <f>ROUND(Capacity!$G29+Energy!F29,2)</f>
        <v>69.180000000000007</v>
      </c>
      <c r="G29" s="24">
        <f>ROUND(Capacity!$G29+Energy!G29,2)</f>
        <v>69.98</v>
      </c>
      <c r="I29" s="18">
        <f t="shared" ca="1" si="0"/>
        <v>-11.509999999999991</v>
      </c>
    </row>
    <row r="30" spans="2:9" ht="15.75" hidden="1">
      <c r="B30" s="3">
        <f t="shared" si="1"/>
        <v>2033</v>
      </c>
      <c r="C30" s="24"/>
      <c r="D30" s="24"/>
      <c r="E30" s="24"/>
      <c r="F30" s="24"/>
      <c r="G30" s="24"/>
      <c r="I30" s="18" t="e">
        <f>#REF!-C30</f>
        <v>#REF!</v>
      </c>
    </row>
    <row r="31" spans="2:9">
      <c r="C31" s="25"/>
      <c r="D31" s="25"/>
      <c r="E31" s="25"/>
      <c r="F31" s="25"/>
      <c r="G31" s="25"/>
      <c r="I31" s="18"/>
    </row>
    <row r="32" spans="2:9">
      <c r="B32" s="4" t="str">
        <f>"Nominal Levelized Payment at "&amp;TEXT(Discount_Rate,"0.000%")&amp;" Discount Rate (3)"</f>
        <v>Nominal Levelized Payment at 7.154% Discount Rate (3)</v>
      </c>
      <c r="C32" s="25"/>
      <c r="D32" s="25"/>
      <c r="E32" s="25"/>
      <c r="F32" s="25"/>
      <c r="G32" s="25"/>
      <c r="I32" s="18"/>
    </row>
    <row r="33" spans="2:10">
      <c r="B33" s="37" t="str">
        <f>B10&amp;" - "&amp;B29</f>
        <v>2013 - 2032</v>
      </c>
      <c r="C33" s="26">
        <f t="shared" ref="C33:E33" si="2">ROUND(PMT(Discount_Rate,COUNT(C10:C29),-NPV(Discount_Rate,C10:C29)),2)</f>
        <v>53.55</v>
      </c>
      <c r="D33" s="26">
        <f t="shared" si="2"/>
        <v>51.26</v>
      </c>
      <c r="E33" s="26">
        <f t="shared" si="2"/>
        <v>51.37</v>
      </c>
      <c r="F33" s="26">
        <f t="shared" ref="F33:G33" si="3">ROUND(PMT(Discount_Rate,COUNT(F10:F29),-NPV(Discount_Rate,F10:F29)),2)</f>
        <v>43.45</v>
      </c>
      <c r="G33" s="26">
        <f t="shared" si="3"/>
        <v>44.23</v>
      </c>
      <c r="I33" s="18">
        <f t="shared" ref="I33" ca="1" si="4">OFFSET(I33,0,-2)-C33</f>
        <v>-9.32</v>
      </c>
    </row>
    <row r="34" spans="2:10" hidden="1">
      <c r="B34" s="13"/>
      <c r="C34" s="6"/>
      <c r="D34" s="6"/>
      <c r="E34" s="6"/>
      <c r="F34" s="6"/>
      <c r="G34" s="6"/>
      <c r="I34" s="14"/>
    </row>
    <row r="35" spans="2:10">
      <c r="D35" s="16"/>
      <c r="E35" s="16"/>
      <c r="F35" s="16"/>
      <c r="G35" s="16"/>
      <c r="J35" s="15"/>
    </row>
    <row r="36" spans="2:10">
      <c r="B36" s="13" t="s">
        <v>6</v>
      </c>
    </row>
    <row r="37" spans="2:10">
      <c r="B37" s="1" t="str">
        <f>"(2)   Official Forward Price Curve Dated "&amp;TEXT(B45,"MMMM YYYY")</f>
        <v>(2)   Official Forward Price Curve Dated September 2012</v>
      </c>
    </row>
    <row r="38" spans="2:10">
      <c r="B38" s="1" t="s">
        <v>31</v>
      </c>
    </row>
    <row r="39" spans="2:10">
      <c r="B39" s="1" t="s">
        <v>15</v>
      </c>
      <c r="J39" s="12"/>
    </row>
    <row r="40" spans="2:10">
      <c r="B40" s="35"/>
    </row>
    <row r="41" spans="2:10" ht="14.25" hidden="1" customHeight="1">
      <c r="B41" s="35" t="s">
        <v>23</v>
      </c>
      <c r="E41" s="33"/>
      <c r="F41" s="33"/>
      <c r="G41" s="33"/>
    </row>
    <row r="42" spans="2:10" ht="14.25" hidden="1" customHeight="1">
      <c r="B42" s="34">
        <v>7.1540000000000006E-2</v>
      </c>
      <c r="E42" s="33"/>
      <c r="F42" s="33"/>
      <c r="G42" s="33"/>
    </row>
    <row r="43" spans="2:10" ht="14.25" hidden="1" customHeight="1">
      <c r="D43" s="33"/>
      <c r="E43" s="33"/>
      <c r="F43" s="33"/>
      <c r="G43" s="33"/>
    </row>
    <row r="44" spans="2:10" ht="14.25" hidden="1" customHeight="1">
      <c r="B44" s="1" t="s">
        <v>22</v>
      </c>
    </row>
    <row r="45" spans="2:10" ht="14.25" hidden="1" customHeight="1">
      <c r="B45" s="36">
        <v>41180</v>
      </c>
    </row>
    <row r="46" spans="2:10" ht="14.25" customHeight="1"/>
  </sheetData>
  <phoneticPr fontId="2" type="noConversion"/>
  <printOptions horizontalCentered="1"/>
  <pageMargins left="0.25" right="0.25" top="0.75" bottom="0.75" header="0.3" footer="0.2"/>
  <pageSetup scale="93" orientation="landscape" r:id="rId1"/>
  <headerFooter alignWithMargins="0">
    <oddFooter>&amp;C&amp;8Page &amp;P of &amp;N&amp;R&amp;8&amp;D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 enableFormatConditionsCalculation="0">
    <pageSetUpPr fitToPage="1"/>
  </sheetPr>
  <dimension ref="B1:K42"/>
  <sheetViews>
    <sheetView tabSelected="1" zoomScale="70" zoomScaleNormal="70" workbookViewId="0"/>
  </sheetViews>
  <sheetFormatPr defaultRowHeight="15"/>
  <cols>
    <col min="1" max="1" width="1.85546875" style="1" customWidth="1"/>
    <col min="2" max="2" width="14.42578125" style="1" customWidth="1"/>
    <col min="3" max="3" width="18.7109375" style="1" customWidth="1"/>
    <col min="4" max="4" width="18.85546875" style="1" customWidth="1"/>
    <col min="5" max="5" width="19.7109375" style="1" customWidth="1"/>
    <col min="6" max="6" width="17.42578125" style="1" customWidth="1"/>
    <col min="7" max="7" width="20.140625" style="1" customWidth="1"/>
    <col min="9" max="9" width="2.28515625" style="1" customWidth="1"/>
    <col min="10" max="11" width="9.140625" style="1" customWidth="1"/>
    <col min="12" max="12" width="15.42578125" style="1" customWidth="1"/>
    <col min="13" max="13" width="17.42578125" style="1" bestFit="1" customWidth="1"/>
    <col min="14" max="14" width="13.85546875" style="1" bestFit="1" customWidth="1"/>
    <col min="15" max="15" width="14.42578125" style="1" bestFit="1" customWidth="1"/>
    <col min="16" max="16" width="9.28515625" style="1" bestFit="1" customWidth="1"/>
    <col min="17" max="17" width="14.28515625" style="1" bestFit="1" customWidth="1"/>
    <col min="18" max="19" width="14.85546875" style="1" bestFit="1" customWidth="1"/>
    <col min="20" max="20" width="9.28515625" style="1" bestFit="1" customWidth="1"/>
    <col min="21" max="16384" width="9.140625" style="1"/>
  </cols>
  <sheetData>
    <row r="1" spans="2:11" ht="15.75">
      <c r="B1" s="8" t="str">
        <f>Total!B1</f>
        <v>Appendix C</v>
      </c>
      <c r="C1" s="8"/>
      <c r="D1" s="8"/>
      <c r="E1" s="8"/>
      <c r="F1" s="8"/>
      <c r="G1" s="8"/>
    </row>
    <row r="2" spans="2:11" ht="8.25" customHeight="1">
      <c r="B2" s="8"/>
      <c r="C2" s="8"/>
      <c r="D2" s="8"/>
      <c r="E2" s="8"/>
      <c r="F2" s="8"/>
      <c r="G2" s="8"/>
    </row>
    <row r="3" spans="2:11" ht="15.75">
      <c r="B3" s="8" t="str">
        <f>Total!B3</f>
        <v>Utah Quarterly Compliance Filing</v>
      </c>
      <c r="C3" s="8"/>
      <c r="D3" s="8"/>
      <c r="E3" s="8"/>
      <c r="F3" s="8"/>
      <c r="G3" s="8"/>
    </row>
    <row r="4" spans="2:11" ht="15.75">
      <c r="B4" s="8" t="str">
        <f>Capacity!B4</f>
        <v>Step Study between 2012.Q2 and 2012.Q4 Compliance Filing</v>
      </c>
      <c r="C4" s="8"/>
      <c r="D4" s="8"/>
      <c r="E4" s="8"/>
      <c r="F4" s="8"/>
      <c r="G4" s="8"/>
    </row>
    <row r="5" spans="2:11" ht="15.75">
      <c r="B5" s="8" t="s">
        <v>9</v>
      </c>
      <c r="C5" s="8"/>
      <c r="D5" s="8"/>
      <c r="E5" s="8"/>
      <c r="F5" s="8"/>
      <c r="G5" s="8"/>
    </row>
    <row r="6" spans="2:11" ht="15.75">
      <c r="B6" s="8"/>
      <c r="C6" s="8"/>
      <c r="D6" s="8"/>
      <c r="E6" s="8"/>
      <c r="F6" s="8"/>
      <c r="G6" s="8"/>
    </row>
    <row r="7" spans="2:11" ht="15.75">
      <c r="B7" s="9"/>
      <c r="C7" s="11" t="str">
        <f>Total!C7</f>
        <v>2012 Q2</v>
      </c>
      <c r="D7" s="11" t="s">
        <v>20</v>
      </c>
      <c r="E7" s="11" t="s">
        <v>13</v>
      </c>
      <c r="F7" s="11" t="s">
        <v>26</v>
      </c>
      <c r="G7" s="11" t="s">
        <v>25</v>
      </c>
    </row>
    <row r="8" spans="2:11" ht="15.75">
      <c r="B8" s="10" t="s">
        <v>0</v>
      </c>
      <c r="C8" s="2" t="str">
        <f>Total!C8</f>
        <v>As Filed</v>
      </c>
      <c r="D8" s="2" t="s">
        <v>21</v>
      </c>
      <c r="E8" s="2" t="s">
        <v>14</v>
      </c>
      <c r="F8" s="2" t="s">
        <v>27</v>
      </c>
      <c r="G8" s="2" t="s">
        <v>24</v>
      </c>
    </row>
    <row r="9" spans="2:11" ht="4.5" customHeight="1"/>
    <row r="10" spans="2:11" ht="15.75">
      <c r="B10" s="3">
        <f>Total!B10</f>
        <v>2013</v>
      </c>
      <c r="C10" s="24">
        <v>28.44</v>
      </c>
      <c r="D10" s="24">
        <v>27.67</v>
      </c>
      <c r="E10" s="24">
        <v>28.99</v>
      </c>
      <c r="F10" s="24">
        <v>28.37</v>
      </c>
      <c r="G10" s="24">
        <v>28.1</v>
      </c>
      <c r="K10" s="18"/>
    </row>
    <row r="11" spans="2:11" ht="15.75">
      <c r="B11" s="3">
        <f t="shared" ref="B11:B29" si="0">B10+1</f>
        <v>2014</v>
      </c>
      <c r="C11" s="24">
        <v>29.53</v>
      </c>
      <c r="D11" s="24">
        <v>28.38</v>
      </c>
      <c r="E11" s="24">
        <v>29.3</v>
      </c>
      <c r="F11" s="24">
        <v>28.91</v>
      </c>
      <c r="G11" s="24">
        <v>28.34</v>
      </c>
      <c r="J11" s="17"/>
      <c r="K11" s="18"/>
    </row>
    <row r="12" spans="2:11" ht="15.75">
      <c r="B12" s="3">
        <f t="shared" si="0"/>
        <v>2015</v>
      </c>
      <c r="C12" s="24">
        <v>30.81</v>
      </c>
      <c r="D12" s="24">
        <v>29.98</v>
      </c>
      <c r="E12" s="24">
        <v>30.27</v>
      </c>
      <c r="F12" s="24">
        <v>30.6</v>
      </c>
      <c r="G12" s="24">
        <v>30.22</v>
      </c>
      <c r="J12" s="17"/>
      <c r="K12" s="18"/>
    </row>
    <row r="13" spans="2:11" ht="15.75">
      <c r="B13" s="3">
        <f t="shared" si="0"/>
        <v>2016</v>
      </c>
      <c r="C13" s="24">
        <v>27.84</v>
      </c>
      <c r="D13" s="24">
        <v>26.48</v>
      </c>
      <c r="E13" s="24">
        <v>26.44</v>
      </c>
      <c r="F13" s="24">
        <v>31.29</v>
      </c>
      <c r="G13" s="24">
        <v>31.23</v>
      </c>
      <c r="J13" s="17"/>
      <c r="K13" s="18"/>
    </row>
    <row r="14" spans="2:11" ht="15.75">
      <c r="B14" s="3">
        <f t="shared" si="0"/>
        <v>2017</v>
      </c>
      <c r="C14" s="24">
        <v>28.5</v>
      </c>
      <c r="D14" s="24">
        <v>27.15</v>
      </c>
      <c r="E14" s="24">
        <v>29.15</v>
      </c>
      <c r="F14" s="24">
        <v>33.26</v>
      </c>
      <c r="G14" s="24">
        <v>32.35</v>
      </c>
      <c r="J14" s="17"/>
      <c r="K14" s="18"/>
    </row>
    <row r="15" spans="2:11" ht="15.75">
      <c r="B15" s="3">
        <f t="shared" si="0"/>
        <v>2018</v>
      </c>
      <c r="C15" s="24">
        <v>31.98</v>
      </c>
      <c r="D15" s="24">
        <v>28.99</v>
      </c>
      <c r="E15" s="24">
        <v>30.13</v>
      </c>
      <c r="F15" s="24">
        <v>33.96</v>
      </c>
      <c r="G15" s="24">
        <v>34.69</v>
      </c>
      <c r="J15" s="17"/>
      <c r="K15" s="18"/>
    </row>
    <row r="16" spans="2:11" ht="15.75">
      <c r="B16" s="3">
        <f t="shared" si="0"/>
        <v>2019</v>
      </c>
      <c r="C16" s="24">
        <v>36.270000000000003</v>
      </c>
      <c r="D16" s="24">
        <v>32.590000000000003</v>
      </c>
      <c r="E16" s="24">
        <v>35.24</v>
      </c>
      <c r="F16" s="24">
        <v>39.79</v>
      </c>
      <c r="G16" s="24">
        <v>38.979999999999997</v>
      </c>
      <c r="J16" s="17"/>
      <c r="K16" s="18"/>
    </row>
    <row r="17" spans="2:11" ht="15.75">
      <c r="B17" s="3">
        <f t="shared" si="0"/>
        <v>2020</v>
      </c>
      <c r="C17" s="24">
        <v>36.17</v>
      </c>
      <c r="D17" s="24">
        <v>29.77</v>
      </c>
      <c r="E17" s="24">
        <v>32.33</v>
      </c>
      <c r="F17" s="24">
        <v>38.74</v>
      </c>
      <c r="G17" s="24">
        <v>43.02</v>
      </c>
      <c r="J17" s="17"/>
      <c r="K17" s="18"/>
    </row>
    <row r="18" spans="2:11" ht="15.75">
      <c r="B18" s="3">
        <f t="shared" si="0"/>
        <v>2021</v>
      </c>
      <c r="C18" s="24">
        <v>38.68</v>
      </c>
      <c r="D18" s="24">
        <v>34.5</v>
      </c>
      <c r="E18" s="24">
        <v>35.75</v>
      </c>
      <c r="F18" s="24">
        <v>40.090000000000003</v>
      </c>
      <c r="G18" s="24">
        <v>45.27</v>
      </c>
      <c r="J18" s="17"/>
      <c r="K18" s="18"/>
    </row>
    <row r="19" spans="2:11" ht="15.75">
      <c r="B19" s="3">
        <f t="shared" si="0"/>
        <v>2022</v>
      </c>
      <c r="C19" s="24">
        <v>44.03</v>
      </c>
      <c r="D19" s="24">
        <v>44.45</v>
      </c>
      <c r="E19" s="24">
        <v>40.5</v>
      </c>
      <c r="F19" s="24">
        <v>50.2</v>
      </c>
      <c r="G19" s="24">
        <v>52.23</v>
      </c>
      <c r="J19" s="17"/>
      <c r="K19" s="18"/>
    </row>
    <row r="20" spans="2:11" ht="15.75">
      <c r="B20" s="3">
        <f t="shared" si="0"/>
        <v>2023</v>
      </c>
      <c r="C20" s="24">
        <v>45.23</v>
      </c>
      <c r="D20" s="24">
        <v>42.25</v>
      </c>
      <c r="E20" s="24">
        <v>42.08</v>
      </c>
      <c r="F20" s="24">
        <v>53.94</v>
      </c>
      <c r="G20" s="24">
        <v>55.96</v>
      </c>
      <c r="J20" s="17"/>
      <c r="K20" s="17"/>
    </row>
    <row r="21" spans="2:11" ht="15.75">
      <c r="B21" s="3">
        <f t="shared" si="0"/>
        <v>2024</v>
      </c>
      <c r="C21" s="24">
        <v>44.85</v>
      </c>
      <c r="D21" s="24">
        <v>41.69</v>
      </c>
      <c r="E21" s="24">
        <v>42.08</v>
      </c>
      <c r="F21" s="24">
        <v>56.51</v>
      </c>
      <c r="G21" s="24">
        <v>58.83</v>
      </c>
      <c r="J21" s="17"/>
      <c r="K21" s="17"/>
    </row>
    <row r="22" spans="2:11" ht="15.75">
      <c r="B22" s="3">
        <f t="shared" si="0"/>
        <v>2025</v>
      </c>
      <c r="C22" s="24">
        <v>46.53</v>
      </c>
      <c r="D22" s="24">
        <v>43.74</v>
      </c>
      <c r="E22" s="24">
        <v>43.14</v>
      </c>
      <c r="F22" s="24">
        <v>36.64</v>
      </c>
      <c r="G22" s="24">
        <v>38.909999999999997</v>
      </c>
      <c r="J22" s="17"/>
      <c r="K22" s="17"/>
    </row>
    <row r="23" spans="2:11" ht="15.75">
      <c r="B23" s="3">
        <f t="shared" si="0"/>
        <v>2026</v>
      </c>
      <c r="C23" s="24">
        <v>48.04</v>
      </c>
      <c r="D23" s="24">
        <v>53.52</v>
      </c>
      <c r="E23" s="24">
        <v>45.48</v>
      </c>
      <c r="F23" s="24">
        <v>42.87</v>
      </c>
      <c r="G23" s="24">
        <v>42.48</v>
      </c>
      <c r="J23" s="17"/>
      <c r="K23" s="17"/>
    </row>
    <row r="24" spans="2:11" ht="15.75">
      <c r="B24" s="3">
        <f t="shared" si="0"/>
        <v>2027</v>
      </c>
      <c r="C24" s="24">
        <v>49.92</v>
      </c>
      <c r="D24" s="24">
        <v>45.95</v>
      </c>
      <c r="E24" s="24">
        <v>45.54</v>
      </c>
      <c r="F24" s="24">
        <v>42.6</v>
      </c>
      <c r="G24" s="24">
        <v>42.72</v>
      </c>
      <c r="J24" s="17"/>
      <c r="K24" s="17"/>
    </row>
    <row r="25" spans="2:11" ht="15.75">
      <c r="B25" s="3">
        <f t="shared" si="0"/>
        <v>2028</v>
      </c>
      <c r="C25" s="24">
        <v>51.7</v>
      </c>
      <c r="D25" s="24">
        <v>46.98</v>
      </c>
      <c r="E25" s="24">
        <v>46.42</v>
      </c>
      <c r="F25" s="24">
        <v>43.72</v>
      </c>
      <c r="G25" s="24">
        <v>43.77</v>
      </c>
      <c r="J25" s="17"/>
      <c r="K25" s="17"/>
    </row>
    <row r="26" spans="2:11" ht="15.75">
      <c r="B26" s="3">
        <f t="shared" si="0"/>
        <v>2029</v>
      </c>
      <c r="C26" s="24">
        <v>52.59</v>
      </c>
      <c r="D26" s="24">
        <v>46.34</v>
      </c>
      <c r="E26" s="24">
        <v>47.42</v>
      </c>
      <c r="F26" s="24">
        <v>44.64</v>
      </c>
      <c r="G26" s="24">
        <v>45.09</v>
      </c>
      <c r="J26" s="17"/>
      <c r="K26" s="17"/>
    </row>
    <row r="27" spans="2:11" ht="15.75">
      <c r="B27" s="3">
        <f t="shared" si="0"/>
        <v>2030</v>
      </c>
      <c r="C27" s="24">
        <v>53.81</v>
      </c>
      <c r="D27" s="24">
        <v>51.54</v>
      </c>
      <c r="E27" s="24">
        <v>47.69</v>
      </c>
      <c r="F27" s="24">
        <v>44.6</v>
      </c>
      <c r="G27" s="24">
        <v>45.54</v>
      </c>
      <c r="J27" s="17"/>
      <c r="K27" s="17"/>
    </row>
    <row r="28" spans="2:11" ht="15.75">
      <c r="B28" s="3">
        <f t="shared" si="0"/>
        <v>2031</v>
      </c>
      <c r="C28" s="24">
        <v>54.92</v>
      </c>
      <c r="D28" s="24">
        <v>52.61</v>
      </c>
      <c r="E28" s="24">
        <v>49.41</v>
      </c>
      <c r="F28" s="24">
        <v>46.02</v>
      </c>
      <c r="G28" s="24">
        <v>46.95</v>
      </c>
      <c r="J28" s="17"/>
      <c r="K28" s="17"/>
    </row>
    <row r="29" spans="2:11" ht="15.75">
      <c r="B29" s="3">
        <f t="shared" si="0"/>
        <v>2032</v>
      </c>
      <c r="C29" s="24">
        <v>56.17</v>
      </c>
      <c r="D29" s="24">
        <v>49.95</v>
      </c>
      <c r="E29" s="24">
        <v>50.29</v>
      </c>
      <c r="F29" s="24">
        <v>46.95</v>
      </c>
      <c r="G29" s="24">
        <v>47.75</v>
      </c>
      <c r="J29" s="17"/>
      <c r="K29" s="17"/>
    </row>
    <row r="30" spans="2:11" ht="15.75" hidden="1">
      <c r="B30" s="3"/>
      <c r="C30" s="24"/>
      <c r="D30" s="24"/>
      <c r="E30" s="24"/>
      <c r="F30" s="24" t="e">
        <v>#REF!</v>
      </c>
      <c r="G30" s="24" t="e">
        <v>#REF!</v>
      </c>
      <c r="J30" s="17"/>
      <c r="K30" s="17"/>
    </row>
    <row r="31" spans="2:11">
      <c r="C31" s="25"/>
      <c r="D31" s="25"/>
      <c r="E31" s="25"/>
      <c r="F31" s="25"/>
      <c r="G31" s="25"/>
    </row>
    <row r="32" spans="2:11">
      <c r="B32" s="4" t="str">
        <f>"Nominal Levelized Payment at "&amp;TEXT($B$42,"0.000%")&amp;" Discount Rate (3)"</f>
        <v>Nominal Levelized Payment at 7.154% Discount Rate (3)</v>
      </c>
      <c r="C32" s="25"/>
      <c r="D32" s="25"/>
      <c r="E32" s="25"/>
      <c r="F32" s="25"/>
      <c r="G32" s="25"/>
    </row>
    <row r="33" spans="2:10">
      <c r="B33" s="13" t="str">
        <f>B10&amp;" - "&amp;B29</f>
        <v>2013 - 2032</v>
      </c>
      <c r="C33" s="26">
        <f t="shared" ref="C33:E33" si="1">ROUND(PMT($B$42,COUNT(C10:C29),-NPV($B$42,C10:C29)),2)</f>
        <v>38.130000000000003</v>
      </c>
      <c r="D33" s="26">
        <f t="shared" si="1"/>
        <v>35.840000000000003</v>
      </c>
      <c r="E33" s="26">
        <f t="shared" si="1"/>
        <v>35.950000000000003</v>
      </c>
      <c r="F33" s="26">
        <f>ROUND(PMT($B$42,COUNT(F10:F29),-NPV($B$42,F10:F29)),2)</f>
        <v>38.33</v>
      </c>
      <c r="G33" s="26">
        <f t="shared" ref="G33" si="2">ROUND(PMT($B$42,COUNT(G10:G29),-NPV($B$42,G10:G29)),2)</f>
        <v>39.11</v>
      </c>
    </row>
    <row r="34" spans="2:10" hidden="1">
      <c r="B34" s="13"/>
      <c r="C34" s="6"/>
      <c r="D34" s="6"/>
      <c r="E34" s="6"/>
      <c r="F34" s="5"/>
      <c r="G34" s="6"/>
      <c r="J34" s="12"/>
    </row>
    <row r="36" spans="2:10">
      <c r="B36" s="13" t="str">
        <f>Total!B36</f>
        <v>(1)   Studies are sequential.  The order of the studies would effect the price impact.</v>
      </c>
    </row>
    <row r="37" spans="2:10">
      <c r="B37" s="13" t="str">
        <f>Total!B37</f>
        <v>(2)   Official Forward Price Curve Dated September 2012</v>
      </c>
    </row>
    <row r="38" spans="2:10">
      <c r="B38" s="13" t="str">
        <f>Total!B38</f>
        <v>(3)   2012 Needs Assessment - Discount Rate</v>
      </c>
    </row>
    <row r="41" spans="2:10" hidden="1">
      <c r="B41" s="35" t="str">
        <f>Total!B41</f>
        <v>2011 IRP Update - Discount Rate</v>
      </c>
    </row>
    <row r="42" spans="2:10" hidden="1">
      <c r="B42" s="34">
        <f>Discount_Rate</f>
        <v>7.1540000000000006E-2</v>
      </c>
    </row>
  </sheetData>
  <phoneticPr fontId="2" type="noConversion"/>
  <printOptions horizontalCentered="1"/>
  <pageMargins left="0.25" right="0.25" top="0.75" bottom="0.75" header="0.3" footer="0.2"/>
  <pageSetup scale="93" orientation="landscape" r:id="rId1"/>
  <headerFooter alignWithMargins="0">
    <oddFooter>&amp;C&amp;8Page &amp;P of &amp;N&amp;R&amp;8&amp;D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 enableFormatConditionsCalculation="0">
    <pageSetUpPr fitToPage="1"/>
  </sheetPr>
  <dimension ref="B1:I42"/>
  <sheetViews>
    <sheetView tabSelected="1" zoomScale="70" zoomScaleNormal="70" workbookViewId="0"/>
  </sheetViews>
  <sheetFormatPr defaultRowHeight="15"/>
  <cols>
    <col min="1" max="1" width="1.85546875" style="40" customWidth="1"/>
    <col min="2" max="2" width="13.85546875" style="40" customWidth="1"/>
    <col min="3" max="3" width="23.42578125" style="40" customWidth="1"/>
    <col min="4" max="4" width="23.85546875" style="40" customWidth="1"/>
    <col min="5" max="5" width="1.140625" style="40" customWidth="1"/>
    <col min="6" max="6" width="17.5703125" style="40" customWidth="1"/>
    <col min="7" max="7" width="24.42578125" style="40" customWidth="1"/>
    <col min="8" max="8" width="2" style="40" customWidth="1"/>
    <col min="9" max="9" width="19.140625" style="40" customWidth="1"/>
    <col min="10" max="16384" width="9.140625" style="40"/>
  </cols>
  <sheetData>
    <row r="1" spans="2:7" ht="15.75">
      <c r="B1" s="38" t="s">
        <v>5</v>
      </c>
      <c r="C1" s="38"/>
      <c r="D1" s="38"/>
      <c r="E1" s="39"/>
      <c r="F1" s="38"/>
      <c r="G1" s="38"/>
    </row>
    <row r="2" spans="2:7" ht="8.25" customHeight="1">
      <c r="B2" s="38"/>
      <c r="C2" s="38"/>
      <c r="D2" s="38"/>
      <c r="E2" s="39"/>
      <c r="F2" s="38"/>
      <c r="G2" s="38"/>
    </row>
    <row r="3" spans="2:7" ht="15.75">
      <c r="B3" s="38" t="s">
        <v>2</v>
      </c>
      <c r="C3" s="38"/>
      <c r="D3" s="38"/>
      <c r="E3" s="39"/>
      <c r="F3" s="38"/>
      <c r="G3" s="38"/>
    </row>
    <row r="4" spans="2:7" ht="15.75">
      <c r="B4" s="38" t="str">
        <f>"Step Study between "&amp;C8&amp;" and "&amp;D8&amp;" Compliance Filing"</f>
        <v>Step Study between 2012.Q2 and 2012.Q4 Compliance Filing</v>
      </c>
      <c r="C4" s="38"/>
      <c r="D4" s="38"/>
      <c r="E4" s="39"/>
      <c r="F4" s="38"/>
      <c r="G4" s="38"/>
    </row>
    <row r="5" spans="2:7" ht="15.75">
      <c r="B5" s="38" t="s">
        <v>12</v>
      </c>
      <c r="C5" s="38"/>
      <c r="D5" s="38"/>
      <c r="E5" s="39"/>
      <c r="F5" s="38"/>
      <c r="G5" s="38"/>
    </row>
    <row r="6" spans="2:7" ht="15.75">
      <c r="B6" s="38"/>
      <c r="C6" s="38"/>
      <c r="D6" s="38"/>
      <c r="F6" s="38"/>
      <c r="G6" s="38"/>
    </row>
    <row r="7" spans="2:7" ht="15.75">
      <c r="B7" s="41"/>
      <c r="C7" s="42" t="s">
        <v>3</v>
      </c>
      <c r="D7" s="42"/>
      <c r="F7" s="42" t="s">
        <v>11</v>
      </c>
      <c r="G7" s="43"/>
    </row>
    <row r="8" spans="2:7" ht="15.75">
      <c r="B8" s="44" t="s">
        <v>0</v>
      </c>
      <c r="C8" s="45" t="s">
        <v>30</v>
      </c>
      <c r="D8" s="45" t="s">
        <v>28</v>
      </c>
      <c r="F8" s="45" t="str">
        <f>C8</f>
        <v>2012.Q2</v>
      </c>
      <c r="G8" s="45" t="str">
        <f>D8</f>
        <v>2012.Q4</v>
      </c>
    </row>
    <row r="9" spans="2:7" ht="4.5" customHeight="1"/>
    <row r="10" spans="2:7" ht="15.75">
      <c r="B10" s="46">
        <v>2013</v>
      </c>
      <c r="C10" s="47">
        <v>0</v>
      </c>
      <c r="D10" s="47">
        <v>0</v>
      </c>
      <c r="F10" s="47">
        <f t="shared" ref="F10:F29" si="0">C10*1000/(IF(MOD($B10,4)=0,8784,8760)*0.85)</f>
        <v>0</v>
      </c>
      <c r="G10" s="47">
        <f t="shared" ref="G10:G15" si="1">D10*1000/(IF(MOD($B10,4)=0,8784,8760)*0.85)</f>
        <v>0</v>
      </c>
    </row>
    <row r="11" spans="2:7" ht="15.75">
      <c r="B11" s="46">
        <f t="shared" ref="B11:B30" si="2">B10+1</f>
        <v>2014</v>
      </c>
      <c r="C11" s="47">
        <v>0</v>
      </c>
      <c r="D11" s="47">
        <v>0</v>
      </c>
      <c r="F11" s="47">
        <f t="shared" si="0"/>
        <v>0</v>
      </c>
      <c r="G11" s="47">
        <f t="shared" si="1"/>
        <v>0</v>
      </c>
    </row>
    <row r="12" spans="2:7" ht="15.75">
      <c r="B12" s="46">
        <f t="shared" si="2"/>
        <v>2015</v>
      </c>
      <c r="C12" s="47">
        <v>0</v>
      </c>
      <c r="D12" s="47">
        <v>0</v>
      </c>
      <c r="F12" s="47">
        <f t="shared" si="0"/>
        <v>0</v>
      </c>
      <c r="G12" s="47">
        <f t="shared" si="1"/>
        <v>0</v>
      </c>
    </row>
    <row r="13" spans="2:7" ht="15.75">
      <c r="B13" s="46">
        <f t="shared" si="2"/>
        <v>2016</v>
      </c>
      <c r="C13" s="47">
        <v>82.261666666666684</v>
      </c>
      <c r="D13" s="47">
        <v>0</v>
      </c>
      <c r="F13" s="47">
        <f t="shared" si="0"/>
        <v>11.017580985035183</v>
      </c>
      <c r="G13" s="47">
        <f t="shared" si="1"/>
        <v>0</v>
      </c>
    </row>
    <row r="14" spans="2:7" ht="15.75">
      <c r="B14" s="46">
        <f t="shared" si="2"/>
        <v>2017</v>
      </c>
      <c r="C14" s="47">
        <v>143.69</v>
      </c>
      <c r="D14" s="47">
        <v>0</v>
      </c>
      <c r="F14" s="47">
        <f t="shared" si="0"/>
        <v>19.297609454740801</v>
      </c>
      <c r="G14" s="47">
        <f t="shared" si="1"/>
        <v>0</v>
      </c>
    </row>
    <row r="15" spans="2:7" ht="15.75">
      <c r="B15" s="46">
        <f t="shared" si="2"/>
        <v>2018</v>
      </c>
      <c r="C15" s="47">
        <v>146.4</v>
      </c>
      <c r="D15" s="47">
        <v>0</v>
      </c>
      <c r="F15" s="47">
        <f t="shared" si="0"/>
        <v>19.661563255439162</v>
      </c>
      <c r="G15" s="47">
        <f t="shared" si="1"/>
        <v>0</v>
      </c>
    </row>
    <row r="16" spans="2:7" ht="15.75">
      <c r="B16" s="46">
        <f t="shared" si="2"/>
        <v>2019</v>
      </c>
      <c r="C16" s="47">
        <v>149.05000000000001</v>
      </c>
      <c r="D16" s="47">
        <v>0</v>
      </c>
      <c r="F16" s="47">
        <f t="shared" si="0"/>
        <v>20.017459038409886</v>
      </c>
      <c r="G16" s="47">
        <f t="shared" ref="G16:G29" si="3">D16*1000/(IF(MOD($B16,4)=0,8784,8760)*0.85)</f>
        <v>0</v>
      </c>
    </row>
    <row r="17" spans="2:7" ht="15.75">
      <c r="B17" s="46">
        <f t="shared" si="2"/>
        <v>2020</v>
      </c>
      <c r="C17" s="47">
        <v>151.6</v>
      </c>
      <c r="D17" s="47">
        <v>0</v>
      </c>
      <c r="F17" s="47">
        <f t="shared" si="0"/>
        <v>20.304296582020786</v>
      </c>
      <c r="G17" s="47">
        <f t="shared" si="3"/>
        <v>0</v>
      </c>
    </row>
    <row r="18" spans="2:7" ht="15.75">
      <c r="B18" s="46">
        <f t="shared" si="2"/>
        <v>2021</v>
      </c>
      <c r="C18" s="47">
        <v>154.31</v>
      </c>
      <c r="D18" s="47">
        <v>0</v>
      </c>
      <c r="F18" s="47">
        <f t="shared" si="0"/>
        <v>20.723878592532902</v>
      </c>
      <c r="G18" s="47">
        <f t="shared" si="3"/>
        <v>0</v>
      </c>
    </row>
    <row r="19" spans="2:7" ht="15.75">
      <c r="B19" s="46">
        <f t="shared" si="2"/>
        <v>2022</v>
      </c>
      <c r="C19" s="47">
        <v>157.06</v>
      </c>
      <c r="D19" s="47">
        <v>0</v>
      </c>
      <c r="F19" s="47">
        <f t="shared" si="0"/>
        <v>21.09320440504969</v>
      </c>
      <c r="G19" s="47">
        <f t="shared" si="3"/>
        <v>0</v>
      </c>
    </row>
    <row r="20" spans="2:7" ht="15.75">
      <c r="B20" s="46">
        <f t="shared" si="2"/>
        <v>2023</v>
      </c>
      <c r="C20" s="47">
        <v>159.91</v>
      </c>
      <c r="D20" s="47">
        <v>0</v>
      </c>
      <c r="F20" s="47">
        <f t="shared" si="0"/>
        <v>21.475960247112543</v>
      </c>
      <c r="G20" s="47">
        <f t="shared" si="3"/>
        <v>0</v>
      </c>
    </row>
    <row r="21" spans="2:7" ht="15.75">
      <c r="B21" s="46">
        <f t="shared" si="2"/>
        <v>2024</v>
      </c>
      <c r="C21" s="47">
        <v>162.80000000000001</v>
      </c>
      <c r="D21" s="47">
        <v>0</v>
      </c>
      <c r="F21" s="47">
        <f t="shared" si="0"/>
        <v>21.804350155362691</v>
      </c>
      <c r="G21" s="47">
        <f t="shared" si="3"/>
        <v>0</v>
      </c>
    </row>
    <row r="22" spans="2:7" ht="15.75">
      <c r="B22" s="46">
        <f t="shared" si="2"/>
        <v>2025</v>
      </c>
      <c r="C22" s="47">
        <v>165.72</v>
      </c>
      <c r="D22" s="47">
        <v>145.16</v>
      </c>
      <c r="F22" s="47">
        <f t="shared" si="0"/>
        <v>22.256244963738919</v>
      </c>
      <c r="G22" s="47">
        <f t="shared" si="3"/>
        <v>19.495030889067955</v>
      </c>
    </row>
    <row r="23" spans="2:7" ht="15.75">
      <c r="B23" s="46">
        <f t="shared" si="2"/>
        <v>2026</v>
      </c>
      <c r="C23" s="47">
        <v>168.71</v>
      </c>
      <c r="D23" s="47">
        <v>147.93</v>
      </c>
      <c r="F23" s="47">
        <f t="shared" si="0"/>
        <v>22.657802847166263</v>
      </c>
      <c r="G23" s="47">
        <f t="shared" si="3"/>
        <v>19.867042707493958</v>
      </c>
    </row>
    <row r="24" spans="2:7" ht="15.75">
      <c r="B24" s="46">
        <f t="shared" si="2"/>
        <v>2027</v>
      </c>
      <c r="C24" s="47">
        <v>171.93</v>
      </c>
      <c r="D24" s="47">
        <v>150.76</v>
      </c>
      <c r="F24" s="47">
        <f t="shared" si="0"/>
        <v>23.090249798549557</v>
      </c>
      <c r="G24" s="47">
        <f t="shared" si="3"/>
        <v>20.247112543647596</v>
      </c>
    </row>
    <row r="25" spans="2:7" ht="15.75">
      <c r="B25" s="46">
        <f t="shared" si="2"/>
        <v>2028</v>
      </c>
      <c r="C25" s="47">
        <v>175.2</v>
      </c>
      <c r="D25" s="47">
        <v>153.63999999999999</v>
      </c>
      <c r="F25" s="47">
        <f t="shared" si="0"/>
        <v>23.465123754419803</v>
      </c>
      <c r="G25" s="47">
        <f t="shared" si="3"/>
        <v>20.577520625736636</v>
      </c>
    </row>
    <row r="26" spans="2:7" ht="15.75">
      <c r="B26" s="46">
        <f t="shared" si="2"/>
        <v>2029</v>
      </c>
      <c r="C26" s="47">
        <v>178.52</v>
      </c>
      <c r="D26" s="47">
        <v>156.56</v>
      </c>
      <c r="F26" s="47">
        <f t="shared" si="0"/>
        <v>23.97528874563524</v>
      </c>
      <c r="G26" s="47">
        <f t="shared" si="3"/>
        <v>21.026054257319366</v>
      </c>
    </row>
    <row r="27" spans="2:7" ht="15.75">
      <c r="B27" s="46">
        <f t="shared" si="2"/>
        <v>2030</v>
      </c>
      <c r="C27" s="47">
        <v>181.9</v>
      </c>
      <c r="D27" s="47">
        <v>159.53</v>
      </c>
      <c r="F27" s="47">
        <f t="shared" si="0"/>
        <v>24.429223744292237</v>
      </c>
      <c r="G27" s="47">
        <f t="shared" si="3"/>
        <v>21.424926134837495</v>
      </c>
    </row>
    <row r="28" spans="2:7" ht="15.75">
      <c r="B28" s="46">
        <f t="shared" si="2"/>
        <v>2031</v>
      </c>
      <c r="C28" s="47">
        <v>185.55</v>
      </c>
      <c r="D28" s="47">
        <v>162.72999999999999</v>
      </c>
      <c r="F28" s="47">
        <f t="shared" si="0"/>
        <v>24.919419822723611</v>
      </c>
      <c r="G28" s="47">
        <f t="shared" si="3"/>
        <v>21.854687080311578</v>
      </c>
    </row>
    <row r="29" spans="2:7" ht="15.75">
      <c r="B29" s="46">
        <f t="shared" si="2"/>
        <v>2032</v>
      </c>
      <c r="C29" s="47">
        <v>189.08</v>
      </c>
      <c r="D29" s="47">
        <v>166</v>
      </c>
      <c r="F29" s="47">
        <f t="shared" si="0"/>
        <v>25.324118718525664</v>
      </c>
      <c r="G29" s="47">
        <f t="shared" si="3"/>
        <v>22.232936890603238</v>
      </c>
    </row>
    <row r="30" spans="2:7" ht="15.75" hidden="1">
      <c r="B30" s="46">
        <f t="shared" si="2"/>
        <v>2033</v>
      </c>
      <c r="C30" s="48"/>
      <c r="D30" s="47"/>
      <c r="F30" s="48"/>
      <c r="G30" s="47"/>
    </row>
    <row r="31" spans="2:7" ht="15.75">
      <c r="B31" s="46"/>
      <c r="D31" s="48"/>
      <c r="G31" s="48"/>
    </row>
    <row r="32" spans="2:7">
      <c r="B32" s="49" t="str">
        <f>"Nominal Levelized Payment at "&amp;TEXT($B$42,"0.000%")&amp;" Discount Rate (2)"</f>
        <v>Nominal Levelized Payment at 7.154% Discount Rate (2)</v>
      </c>
      <c r="C32" s="49"/>
    </row>
    <row r="33" spans="2:9">
      <c r="B33" s="50" t="str">
        <f>$B$10&amp;" - "&amp;B29</f>
        <v>2013 - 2032</v>
      </c>
      <c r="C33" s="51">
        <f>PMT($B$42,COUNT(C10:C29),-NPV($B$42,C10:C29))</f>
        <v>114.90945173321367</v>
      </c>
      <c r="D33" s="51">
        <f>PMT($B$42,COUNT(D10:D29),-NPV($B$42,D10:D29))</f>
        <v>38.1630316112632</v>
      </c>
      <c r="F33" s="51">
        <f>PMT($B$42,COUNT(F10:F29),-NPV($B$42,F10:F29))</f>
        <v>15.420941329301131</v>
      </c>
      <c r="G33" s="51">
        <f>PMT($B$42,COUNT(G10:G29),-NPV($B$42,G10:G29))</f>
        <v>5.1220626673053857</v>
      </c>
    </row>
    <row r="34" spans="2:9" hidden="1">
      <c r="B34" s="50"/>
      <c r="I34" s="52"/>
    </row>
    <row r="36" spans="2:9">
      <c r="B36" s="40" t="s">
        <v>4</v>
      </c>
    </row>
    <row r="37" spans="2:9">
      <c r="B37" s="13" t="s">
        <v>32</v>
      </c>
    </row>
    <row r="41" spans="2:9" hidden="1">
      <c r="B41" s="53" t="s">
        <v>23</v>
      </c>
    </row>
    <row r="42" spans="2:9" hidden="1">
      <c r="B42" s="54">
        <v>7.1540000000000006E-2</v>
      </c>
    </row>
  </sheetData>
  <phoneticPr fontId="2" type="noConversion"/>
  <printOptions horizontalCentered="1"/>
  <pageMargins left="0.25" right="0.25" top="0.75" bottom="0.75" header="0.3" footer="0.2"/>
  <pageSetup scale="86" orientation="landscape" r:id="rId1"/>
  <headerFooter alignWithMargins="0">
    <oddFooter>&amp;C&amp;8Page &amp;P of &amp;N&amp;R&amp;8&amp;D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Incremental</vt:lpstr>
      <vt:lpstr>Total</vt:lpstr>
      <vt:lpstr>Energy</vt:lpstr>
      <vt:lpstr>Capacity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Melissa Robyn Paschal</cp:lastModifiedBy>
  <cp:lastPrinted>2012-08-31T17:51:19Z</cp:lastPrinted>
  <dcterms:created xsi:type="dcterms:W3CDTF">2006-07-10T20:43:15Z</dcterms:created>
  <dcterms:modified xsi:type="dcterms:W3CDTF">2012-12-28T20:44:44Z</dcterms:modified>
</cp:coreProperties>
</file>