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850" windowHeight="6750" activeTab="2"/>
  </bookViews>
  <sheets>
    <sheet name="Historical" sheetId="5" r:id="rId1"/>
    <sheet name="Historical CF" sheetId="6" r:id="rId2"/>
    <sheet name="Forecast" sheetId="7" r:id="rId3"/>
    <sheet name="Assumptions" sheetId="8" r:id="rId4"/>
  </sheets>
  <definedNames>
    <definedName name="_xlnm.Print_Area" localSheetId="3">Assumptions!$A$1:$O$58</definedName>
    <definedName name="_xlnm.Print_Area" localSheetId="2">Forecast!$A$1:$W$150</definedName>
    <definedName name="_xlnm.Print_Area" localSheetId="0">Historical!$A$1:$AG$154</definedName>
    <definedName name="_xlnm.Print_Area" localSheetId="1">'Historical CF'!$A$1:$P$119</definedName>
  </definedNames>
  <calcPr calcId="125725" calcMode="manual" iterate="1" iterateCount="1"/>
</workbook>
</file>

<file path=xl/calcChain.xml><?xml version="1.0" encoding="utf-8"?>
<calcChain xmlns="http://schemas.openxmlformats.org/spreadsheetml/2006/main">
  <c r="D59" i="7"/>
  <c r="E59"/>
  <c r="F59"/>
  <c r="G59"/>
  <c r="H59"/>
  <c r="I59"/>
  <c r="J59"/>
  <c r="C59"/>
  <c r="O133" i="5"/>
  <c r="O132"/>
  <c r="O129"/>
  <c r="O128"/>
  <c r="O127"/>
  <c r="O117"/>
  <c r="O116"/>
  <c r="O73"/>
  <c r="O61"/>
  <c r="O52"/>
  <c r="O44"/>
  <c r="O46"/>
  <c r="O15"/>
  <c r="O14"/>
  <c r="D21" i="7"/>
  <c r="E21"/>
  <c r="AF9" i="5"/>
  <c r="AF8"/>
  <c r="H67" i="8"/>
  <c r="I67"/>
  <c r="J67"/>
  <c r="K67"/>
  <c r="L67"/>
  <c r="C67" s="1"/>
  <c r="G67"/>
  <c r="B15" i="7"/>
  <c r="B16"/>
  <c r="B14"/>
  <c r="D93"/>
  <c r="E93"/>
  <c r="F93"/>
  <c r="G93"/>
  <c r="H93"/>
  <c r="I93"/>
  <c r="J93"/>
  <c r="C73" i="8"/>
  <c r="L82"/>
  <c r="H72"/>
  <c r="I72"/>
  <c r="J72"/>
  <c r="K72"/>
  <c r="L72"/>
  <c r="G72"/>
  <c r="H76"/>
  <c r="I76"/>
  <c r="J76"/>
  <c r="K76"/>
  <c r="L76"/>
  <c r="G76"/>
  <c r="L66"/>
  <c r="C60"/>
  <c r="C13" s="1"/>
  <c r="C48"/>
  <c r="H47"/>
  <c r="I47"/>
  <c r="J47"/>
  <c r="K47"/>
  <c r="L47"/>
  <c r="G47"/>
  <c r="L45"/>
  <c r="I46"/>
  <c r="J46"/>
  <c r="K46"/>
  <c r="L46"/>
  <c r="H46"/>
  <c r="H42"/>
  <c r="I42"/>
  <c r="J42"/>
  <c r="K42"/>
  <c r="L42"/>
  <c r="G42"/>
  <c r="M42" s="1"/>
  <c r="L41"/>
  <c r="C41" s="1"/>
  <c r="L39"/>
  <c r="L40"/>
  <c r="L36"/>
  <c r="L44" s="1"/>
  <c r="L64" s="1"/>
  <c r="L37"/>
  <c r="M30"/>
  <c r="H31"/>
  <c r="I31"/>
  <c r="J31"/>
  <c r="K31"/>
  <c r="L31"/>
  <c r="G31"/>
  <c r="H29"/>
  <c r="I29"/>
  <c r="J29"/>
  <c r="K29"/>
  <c r="L29"/>
  <c r="G29"/>
  <c r="L23"/>
  <c r="H14"/>
  <c r="I14"/>
  <c r="J14"/>
  <c r="K14"/>
  <c r="L14"/>
  <c r="G14"/>
  <c r="L12"/>
  <c r="L10"/>
  <c r="C10" s="1"/>
  <c r="N90" i="5"/>
  <c r="N87"/>
  <c r="N61"/>
  <c r="N52"/>
  <c r="N46"/>
  <c r="N44"/>
  <c r="N15"/>
  <c r="N14"/>
  <c r="B105" i="7"/>
  <c r="B104"/>
  <c r="B101"/>
  <c r="B100"/>
  <c r="B95"/>
  <c r="B92"/>
  <c r="B91"/>
  <c r="B84"/>
  <c r="B85"/>
  <c r="B86"/>
  <c r="B83"/>
  <c r="B79"/>
  <c r="B63"/>
  <c r="B62"/>
  <c r="B59"/>
  <c r="B53"/>
  <c r="B52"/>
  <c r="B51"/>
  <c r="B50"/>
  <c r="B43"/>
  <c r="B44"/>
  <c r="B45"/>
  <c r="B46"/>
  <c r="B47"/>
  <c r="B42"/>
  <c r="B35"/>
  <c r="B33"/>
  <c r="B31"/>
  <c r="B26"/>
  <c r="B21"/>
  <c r="B20"/>
  <c r="C20" s="1"/>
  <c r="D20" s="1"/>
  <c r="E20" s="1"/>
  <c r="B12"/>
  <c r="N57" i="6"/>
  <c r="N56"/>
  <c r="N54"/>
  <c r="N41"/>
  <c r="N8"/>
  <c r="N66" s="1"/>
  <c r="P42" i="5"/>
  <c r="P49"/>
  <c r="P87"/>
  <c r="P99"/>
  <c r="P90"/>
  <c r="P89"/>
  <c r="P88"/>
  <c r="P82"/>
  <c r="P81"/>
  <c r="P80"/>
  <c r="P79"/>
  <c r="P75"/>
  <c r="P61"/>
  <c r="P60"/>
  <c r="P57"/>
  <c r="P52"/>
  <c r="P51"/>
  <c r="P50"/>
  <c r="P46"/>
  <c r="P45"/>
  <c r="P44"/>
  <c r="P43"/>
  <c r="P41"/>
  <c r="P34"/>
  <c r="P33"/>
  <c r="P32"/>
  <c r="P31"/>
  <c r="P30"/>
  <c r="P25"/>
  <c r="P20"/>
  <c r="P19"/>
  <c r="P13"/>
  <c r="P12"/>
  <c r="N91"/>
  <c r="N84"/>
  <c r="AG84" s="1"/>
  <c r="N76"/>
  <c r="N68" i="6" s="1"/>
  <c r="N62" i="5"/>
  <c r="N141" s="1"/>
  <c r="P141" s="1"/>
  <c r="N53"/>
  <c r="P53" s="1"/>
  <c r="N47"/>
  <c r="P47" s="1"/>
  <c r="N35"/>
  <c r="N23"/>
  <c r="N27" s="1"/>
  <c r="N36" s="1"/>
  <c r="P15"/>
  <c r="P14"/>
  <c r="AE99"/>
  <c r="AE96"/>
  <c r="AE90"/>
  <c r="AE88"/>
  <c r="AE83"/>
  <c r="AE81"/>
  <c r="AE79"/>
  <c r="AE75"/>
  <c r="AE9"/>
  <c r="N73" s="1"/>
  <c r="AE73" s="1"/>
  <c r="N111" s="1"/>
  <c r="O76"/>
  <c r="O84"/>
  <c r="O72"/>
  <c r="O62"/>
  <c r="O53"/>
  <c r="O47"/>
  <c r="O55" s="1"/>
  <c r="O35"/>
  <c r="O16"/>
  <c r="N55" i="6" l="1"/>
  <c r="C104" i="7"/>
  <c r="M29" i="8"/>
  <c r="M31"/>
  <c r="C31" s="1"/>
  <c r="M76"/>
  <c r="C76" s="1"/>
  <c r="M72"/>
  <c r="C72" s="1"/>
  <c r="O85" i="5"/>
  <c r="O63"/>
  <c r="M14" i="8"/>
  <c r="C14"/>
  <c r="M46"/>
  <c r="M47"/>
  <c r="C18"/>
  <c r="F20" i="7" s="1"/>
  <c r="G20" s="1"/>
  <c r="H20" s="1"/>
  <c r="I20" s="1"/>
  <c r="J20" s="1"/>
  <c r="C79"/>
  <c r="C27" i="8"/>
  <c r="C31" i="7" s="1"/>
  <c r="M67" i="8"/>
  <c r="N111" i="6"/>
  <c r="AE91" i="5"/>
  <c r="P84"/>
  <c r="AG87"/>
  <c r="N101" i="6"/>
  <c r="N115"/>
  <c r="N117"/>
  <c r="P76" i="5"/>
  <c r="AG76"/>
  <c r="N114" i="6"/>
  <c r="N116"/>
  <c r="P62" i="5"/>
  <c r="N132"/>
  <c r="P132" s="1"/>
  <c r="N77" i="6"/>
  <c r="N80"/>
  <c r="N83"/>
  <c r="N85"/>
  <c r="N87"/>
  <c r="N95"/>
  <c r="N97"/>
  <c r="N99"/>
  <c r="N104"/>
  <c r="N108"/>
  <c r="N110"/>
  <c r="N112"/>
  <c r="N76"/>
  <c r="N78"/>
  <c r="N81"/>
  <c r="N84"/>
  <c r="N86"/>
  <c r="N88"/>
  <c r="N94"/>
  <c r="N96"/>
  <c r="N98"/>
  <c r="N105"/>
  <c r="N107"/>
  <c r="N109"/>
  <c r="N115" i="5"/>
  <c r="P115" s="1"/>
  <c r="N138"/>
  <c r="P138" s="1"/>
  <c r="N137"/>
  <c r="P137" s="1"/>
  <c r="N121"/>
  <c r="P121" s="1"/>
  <c r="N55"/>
  <c r="P55" s="1"/>
  <c r="N16"/>
  <c r="N85"/>
  <c r="N117"/>
  <c r="P117" s="1"/>
  <c r="AE76"/>
  <c r="AE80"/>
  <c r="AE82"/>
  <c r="AE84"/>
  <c r="AE87"/>
  <c r="AE89"/>
  <c r="AE95"/>
  <c r="AE100"/>
  <c r="N116"/>
  <c r="P116" s="1"/>
  <c r="N122"/>
  <c r="P122" s="1"/>
  <c r="N136"/>
  <c r="O23"/>
  <c r="O27" s="1"/>
  <c r="AG85" l="1"/>
  <c r="P85"/>
  <c r="N139"/>
  <c r="P136"/>
  <c r="N120"/>
  <c r="P120" s="1"/>
  <c r="N114"/>
  <c r="P114" s="1"/>
  <c r="N37"/>
  <c r="P16"/>
  <c r="N63"/>
  <c r="N93"/>
  <c r="AE85"/>
  <c r="O36"/>
  <c r="AG93" l="1"/>
  <c r="P93"/>
  <c r="AE63"/>
  <c r="P63"/>
  <c r="AE16"/>
  <c r="AG15"/>
  <c r="AG13"/>
  <c r="AG20"/>
  <c r="AG25"/>
  <c r="AG32"/>
  <c r="AG34"/>
  <c r="AG23"/>
  <c r="AG35"/>
  <c r="AG37"/>
  <c r="AG49"/>
  <c r="AG55"/>
  <c r="AG63"/>
  <c r="AG99"/>
  <c r="AG95"/>
  <c r="AG89"/>
  <c r="AG82"/>
  <c r="AG80"/>
  <c r="AG75"/>
  <c r="AG60"/>
  <c r="AG52"/>
  <c r="AG50"/>
  <c r="AG43"/>
  <c r="AG45"/>
  <c r="AG41"/>
  <c r="AG14"/>
  <c r="AG12"/>
  <c r="AG19"/>
  <c r="AG31"/>
  <c r="AG33"/>
  <c r="AG30"/>
  <c r="AG27"/>
  <c r="AG36"/>
  <c r="AG47"/>
  <c r="AG53"/>
  <c r="AG62"/>
  <c r="AG100"/>
  <c r="AG96"/>
  <c r="AG90"/>
  <c r="AG88"/>
  <c r="AG81"/>
  <c r="AG79"/>
  <c r="AG61"/>
  <c r="AG57"/>
  <c r="AG51"/>
  <c r="AG42"/>
  <c r="AG44"/>
  <c r="AG46"/>
  <c r="AG16"/>
  <c r="N124"/>
  <c r="P124" s="1"/>
  <c r="N97"/>
  <c r="N123"/>
  <c r="P123" s="1"/>
  <c r="AE93"/>
  <c r="AE55"/>
  <c r="AE62"/>
  <c r="AE60"/>
  <c r="AE50"/>
  <c r="AE45"/>
  <c r="AE43"/>
  <c r="AE41"/>
  <c r="AE34"/>
  <c r="AE32"/>
  <c r="AE30"/>
  <c r="AE25"/>
  <c r="AE22"/>
  <c r="AE20"/>
  <c r="AE12"/>
  <c r="AE57"/>
  <c r="AE49"/>
  <c r="AE44"/>
  <c r="AE37"/>
  <c r="AE33"/>
  <c r="AE27"/>
  <c r="AE21"/>
  <c r="AE19"/>
  <c r="AE13"/>
  <c r="AE61"/>
  <c r="AE51"/>
  <c r="AE46"/>
  <c r="AE42"/>
  <c r="AE35"/>
  <c r="AE31"/>
  <c r="AE23"/>
  <c r="AE15"/>
  <c r="AE53"/>
  <c r="N133"/>
  <c r="P133" s="1"/>
  <c r="AE52"/>
  <c r="AE47"/>
  <c r="AE36"/>
  <c r="AE14"/>
  <c r="O37"/>
  <c r="N11" i="6" l="1"/>
  <c r="AG97" i="5"/>
  <c r="P97"/>
  <c r="N128"/>
  <c r="P128" s="1"/>
  <c r="AE97"/>
  <c r="N129"/>
  <c r="P129" s="1"/>
  <c r="N127"/>
  <c r="P127" s="1"/>
  <c r="C64" i="8"/>
  <c r="C83" i="7" s="1"/>
  <c r="P96" i="5"/>
  <c r="D43" i="7"/>
  <c r="E43"/>
  <c r="F43"/>
  <c r="G43"/>
  <c r="H43"/>
  <c r="I43"/>
  <c r="J43"/>
  <c r="C43"/>
  <c r="C21"/>
  <c r="K21"/>
  <c r="H23" i="8"/>
  <c r="I23"/>
  <c r="J23"/>
  <c r="K23"/>
  <c r="H66"/>
  <c r="I66"/>
  <c r="J66"/>
  <c r="K66"/>
  <c r="H37"/>
  <c r="I37"/>
  <c r="J37"/>
  <c r="K37"/>
  <c r="G37"/>
  <c r="G4"/>
  <c r="G36" s="1"/>
  <c r="G44" s="1"/>
  <c r="G64" s="1"/>
  <c r="C62" i="7"/>
  <c r="D62" s="1"/>
  <c r="E62" s="1"/>
  <c r="F62" s="1"/>
  <c r="G62" s="1"/>
  <c r="H62" s="1"/>
  <c r="I62" s="1"/>
  <c r="J62" s="1"/>
  <c r="K62" s="1"/>
  <c r="B32"/>
  <c r="B34"/>
  <c r="A108" i="6"/>
  <c r="M90" i="5"/>
  <c r="M87"/>
  <c r="M52"/>
  <c r="B55" i="7" s="1"/>
  <c r="M44" i="5"/>
  <c r="L52"/>
  <c r="L15"/>
  <c r="M15"/>
  <c r="M14"/>
  <c r="M57" i="6"/>
  <c r="M56"/>
  <c r="M54"/>
  <c r="M41"/>
  <c r="M91" i="5"/>
  <c r="M84"/>
  <c r="M76"/>
  <c r="AD99" s="1"/>
  <c r="M62"/>
  <c r="M53"/>
  <c r="M47"/>
  <c r="M115" s="1"/>
  <c r="M35"/>
  <c r="M23"/>
  <c r="M27" s="1"/>
  <c r="K45" i="8" s="1"/>
  <c r="M16" i="5"/>
  <c r="A124" i="7"/>
  <c r="O7" i="6"/>
  <c r="O65" s="1"/>
  <c r="O8"/>
  <c r="O66" s="1"/>
  <c r="O41"/>
  <c r="O54"/>
  <c r="O57"/>
  <c r="AF72" i="5"/>
  <c r="O110"/>
  <c r="O91"/>
  <c r="AF100"/>
  <c r="O111"/>
  <c r="O115"/>
  <c r="B22" i="7"/>
  <c r="B23"/>
  <c r="C23" s="1"/>
  <c r="D23" s="1"/>
  <c r="A84" i="6"/>
  <c r="A85"/>
  <c r="A86"/>
  <c r="A87"/>
  <c r="A88"/>
  <c r="A83"/>
  <c r="L57"/>
  <c r="L56"/>
  <c r="L52"/>
  <c r="L90" i="5"/>
  <c r="L87"/>
  <c r="J87"/>
  <c r="I87"/>
  <c r="K87"/>
  <c r="L60"/>
  <c r="L44"/>
  <c r="L14"/>
  <c r="F14"/>
  <c r="F15"/>
  <c r="F16" s="1"/>
  <c r="F19"/>
  <c r="F23" s="1"/>
  <c r="F27" s="1"/>
  <c r="F30"/>
  <c r="F32"/>
  <c r="F44"/>
  <c r="F47" s="1"/>
  <c r="F115" s="1"/>
  <c r="F52"/>
  <c r="F53" s="1"/>
  <c r="F57"/>
  <c r="F60"/>
  <c r="F62" s="1"/>
  <c r="F76"/>
  <c r="F79"/>
  <c r="F84" s="1"/>
  <c r="F87"/>
  <c r="F91" s="1"/>
  <c r="W91" s="1"/>
  <c r="K54" i="6"/>
  <c r="K41"/>
  <c r="A75" i="8"/>
  <c r="B87" i="7"/>
  <c r="B93"/>
  <c r="A92"/>
  <c r="A73" i="8" s="1"/>
  <c r="A93" i="7"/>
  <c r="M93" s="1"/>
  <c r="M94"/>
  <c r="C22"/>
  <c r="A79"/>
  <c r="M79" s="1"/>
  <c r="A80"/>
  <c r="M80" s="1"/>
  <c r="A82"/>
  <c r="M82" s="1"/>
  <c r="A83"/>
  <c r="M83" s="1"/>
  <c r="A84"/>
  <c r="M84" s="1"/>
  <c r="A85"/>
  <c r="M85" s="1"/>
  <c r="A86"/>
  <c r="M86" s="1"/>
  <c r="A87"/>
  <c r="M87" s="1"/>
  <c r="A88"/>
  <c r="M88" s="1"/>
  <c r="A89"/>
  <c r="M89" s="1"/>
  <c r="A91"/>
  <c r="M91" s="1"/>
  <c r="A95"/>
  <c r="M95" s="1"/>
  <c r="A96"/>
  <c r="A77" i="8" s="1"/>
  <c r="A98" i="7"/>
  <c r="M98" s="1"/>
  <c r="A100"/>
  <c r="A81" i="8" s="1"/>
  <c r="A101" i="7"/>
  <c r="M101" s="1"/>
  <c r="A102"/>
  <c r="A83" i="8" s="1"/>
  <c r="A104" i="7"/>
  <c r="M104" s="1"/>
  <c r="A105"/>
  <c r="A86" i="8" s="1"/>
  <c r="A78" i="7"/>
  <c r="M78" s="1"/>
  <c r="A4"/>
  <c r="A72" s="1"/>
  <c r="M72" s="1"/>
  <c r="C87"/>
  <c r="D87" s="1"/>
  <c r="M36" i="8"/>
  <c r="D31" i="7"/>
  <c r="E31" s="1"/>
  <c r="F31" s="1"/>
  <c r="G31" s="1"/>
  <c r="H31" s="1"/>
  <c r="I31" s="1"/>
  <c r="J31" s="1"/>
  <c r="K31" s="1"/>
  <c r="A12" i="8"/>
  <c r="A13"/>
  <c r="A14"/>
  <c r="A15"/>
  <c r="A17"/>
  <c r="A18"/>
  <c r="A19"/>
  <c r="A20"/>
  <c r="A21"/>
  <c r="A22"/>
  <c r="A23"/>
  <c r="A24"/>
  <c r="A26"/>
  <c r="A27"/>
  <c r="A28"/>
  <c r="A29"/>
  <c r="A30"/>
  <c r="A31"/>
  <c r="A32"/>
  <c r="A33"/>
  <c r="A34"/>
  <c r="A36"/>
  <c r="A37"/>
  <c r="A38"/>
  <c r="A39"/>
  <c r="A40"/>
  <c r="A41"/>
  <c r="A42"/>
  <c r="A43"/>
  <c r="A45"/>
  <c r="A46"/>
  <c r="A47"/>
  <c r="A48"/>
  <c r="A49"/>
  <c r="A50"/>
  <c r="A52"/>
  <c r="A54"/>
  <c r="A55"/>
  <c r="A56"/>
  <c r="A57"/>
  <c r="A58"/>
  <c r="A60"/>
  <c r="A61"/>
  <c r="A63"/>
  <c r="A64"/>
  <c r="A65"/>
  <c r="A66"/>
  <c r="A67"/>
  <c r="A68"/>
  <c r="A69"/>
  <c r="A70"/>
  <c r="A9"/>
  <c r="A10"/>
  <c r="A119" i="7"/>
  <c r="A32"/>
  <c r="A33"/>
  <c r="A34"/>
  <c r="A35"/>
  <c r="A6"/>
  <c r="A112" s="1"/>
  <c r="A110"/>
  <c r="A122"/>
  <c r="A123"/>
  <c r="A125"/>
  <c r="A127"/>
  <c r="A128"/>
  <c r="A129"/>
  <c r="A130"/>
  <c r="A131"/>
  <c r="A133"/>
  <c r="A134"/>
  <c r="A135"/>
  <c r="A136"/>
  <c r="A138"/>
  <c r="A139"/>
  <c r="A140"/>
  <c r="A142"/>
  <c r="A143"/>
  <c r="A144"/>
  <c r="A145"/>
  <c r="A121"/>
  <c r="A57"/>
  <c r="M57" s="1"/>
  <c r="A59"/>
  <c r="M59" s="1"/>
  <c r="A61"/>
  <c r="A62"/>
  <c r="M62" s="1"/>
  <c r="A63"/>
  <c r="A64"/>
  <c r="M64" s="1"/>
  <c r="A65"/>
  <c r="A55"/>
  <c r="M55" s="1"/>
  <c r="A51"/>
  <c r="A52"/>
  <c r="A53"/>
  <c r="A41"/>
  <c r="M41" s="1"/>
  <c r="A42"/>
  <c r="A43"/>
  <c r="A44"/>
  <c r="M44" s="1"/>
  <c r="A45"/>
  <c r="A46"/>
  <c r="A47"/>
  <c r="A48"/>
  <c r="M48" s="1"/>
  <c r="A50"/>
  <c r="A31"/>
  <c r="M31" s="1"/>
  <c r="M32"/>
  <c r="M33"/>
  <c r="M34"/>
  <c r="M35"/>
  <c r="A36"/>
  <c r="M36" s="1"/>
  <c r="A37"/>
  <c r="M37" s="1"/>
  <c r="A38"/>
  <c r="M38" s="1"/>
  <c r="A30"/>
  <c r="M30" s="1"/>
  <c r="A26"/>
  <c r="A28"/>
  <c r="A24"/>
  <c r="M4"/>
  <c r="L54" i="6"/>
  <c r="L41"/>
  <c r="P83" i="5"/>
  <c r="L47"/>
  <c r="L16"/>
  <c r="P21"/>
  <c r="P22"/>
  <c r="L62"/>
  <c r="L76"/>
  <c r="J39" i="8" s="1"/>
  <c r="L84" i="5"/>
  <c r="AC84" s="1"/>
  <c r="L91"/>
  <c r="AC91" s="1"/>
  <c r="L23"/>
  <c r="L27" s="1"/>
  <c r="L35"/>
  <c r="H79"/>
  <c r="G79"/>
  <c r="E79"/>
  <c r="D79"/>
  <c r="C79"/>
  <c r="B79"/>
  <c r="J91"/>
  <c r="K91"/>
  <c r="J84"/>
  <c r="K84"/>
  <c r="J76"/>
  <c r="H39" i="8" s="1"/>
  <c r="J116" i="5"/>
  <c r="K76"/>
  <c r="I39" i="8" s="1"/>
  <c r="AB75" i="5"/>
  <c r="K60"/>
  <c r="J60"/>
  <c r="J62" s="1"/>
  <c r="K52"/>
  <c r="K53" s="1"/>
  <c r="J52"/>
  <c r="K44"/>
  <c r="J44"/>
  <c r="J47" s="1"/>
  <c r="I52"/>
  <c r="R51"/>
  <c r="R44"/>
  <c r="I44"/>
  <c r="H44"/>
  <c r="G44"/>
  <c r="E44"/>
  <c r="D44"/>
  <c r="D47" s="1"/>
  <c r="D115" s="1"/>
  <c r="C44"/>
  <c r="B44"/>
  <c r="R45"/>
  <c r="J53"/>
  <c r="I8" i="6"/>
  <c r="J35" i="5"/>
  <c r="K35"/>
  <c r="K23"/>
  <c r="K27" s="1"/>
  <c r="J23"/>
  <c r="J27" s="1"/>
  <c r="K15"/>
  <c r="J15"/>
  <c r="K14"/>
  <c r="J14"/>
  <c r="AA79"/>
  <c r="AA81"/>
  <c r="AA83"/>
  <c r="AA87"/>
  <c r="AA89"/>
  <c r="AA91"/>
  <c r="AA96"/>
  <c r="AA100"/>
  <c r="J9"/>
  <c r="H4" i="8" s="1"/>
  <c r="H36" s="1"/>
  <c r="H44" s="1"/>
  <c r="H64" s="1"/>
  <c r="R3" i="5"/>
  <c r="R55"/>
  <c r="R12"/>
  <c r="R13"/>
  <c r="R14"/>
  <c r="R15"/>
  <c r="R16"/>
  <c r="R18"/>
  <c r="R19"/>
  <c r="R20"/>
  <c r="R21"/>
  <c r="R22"/>
  <c r="R23"/>
  <c r="R25"/>
  <c r="R27"/>
  <c r="R29"/>
  <c r="R30"/>
  <c r="R31"/>
  <c r="R32"/>
  <c r="R33"/>
  <c r="R34"/>
  <c r="R35"/>
  <c r="R36"/>
  <c r="R37"/>
  <c r="R40"/>
  <c r="R41"/>
  <c r="R42"/>
  <c r="R43"/>
  <c r="R46"/>
  <c r="R47"/>
  <c r="R49"/>
  <c r="R50"/>
  <c r="R52"/>
  <c r="R53"/>
  <c r="R57"/>
  <c r="R59"/>
  <c r="R60"/>
  <c r="R61"/>
  <c r="R62"/>
  <c r="R63"/>
  <c r="R69"/>
  <c r="R73"/>
  <c r="R74"/>
  <c r="R75"/>
  <c r="R76"/>
  <c r="R78"/>
  <c r="R79"/>
  <c r="R80"/>
  <c r="R81"/>
  <c r="R82"/>
  <c r="R83"/>
  <c r="R84"/>
  <c r="R85"/>
  <c r="R87"/>
  <c r="R88"/>
  <c r="R89"/>
  <c r="R90"/>
  <c r="R91"/>
  <c r="R93"/>
  <c r="R95"/>
  <c r="R96"/>
  <c r="R97"/>
  <c r="R99"/>
  <c r="R100"/>
  <c r="R101"/>
  <c r="R11"/>
  <c r="P110"/>
  <c r="A108"/>
  <c r="A106"/>
  <c r="G100"/>
  <c r="E100"/>
  <c r="D100"/>
  <c r="C100"/>
  <c r="B100"/>
  <c r="D95"/>
  <c r="B95"/>
  <c r="D90"/>
  <c r="B90"/>
  <c r="H87"/>
  <c r="G87"/>
  <c r="E87"/>
  <c r="E91" s="1"/>
  <c r="D87"/>
  <c r="C87"/>
  <c r="C91" s="1"/>
  <c r="B87"/>
  <c r="B91" s="1"/>
  <c r="I84"/>
  <c r="H84"/>
  <c r="E84"/>
  <c r="D84"/>
  <c r="C80"/>
  <c r="C84" s="1"/>
  <c r="B80"/>
  <c r="B84" s="1"/>
  <c r="I76"/>
  <c r="H76"/>
  <c r="H116" s="1"/>
  <c r="G76"/>
  <c r="X76" s="1"/>
  <c r="F68" i="6"/>
  <c r="E76" i="5"/>
  <c r="V75"/>
  <c r="D76"/>
  <c r="D68" i="6"/>
  <c r="C76" i="5"/>
  <c r="T76"/>
  <c r="B76"/>
  <c r="B68" i="6"/>
  <c r="T75" i="5"/>
  <c r="B73"/>
  <c r="AG72"/>
  <c r="P71"/>
  <c r="A70"/>
  <c r="R70" s="1"/>
  <c r="A68"/>
  <c r="R68" s="1"/>
  <c r="B61"/>
  <c r="B62" s="1"/>
  <c r="I60"/>
  <c r="H60"/>
  <c r="G60"/>
  <c r="G62" s="1"/>
  <c r="E60"/>
  <c r="D60"/>
  <c r="D62" s="1"/>
  <c r="C60"/>
  <c r="C62" s="1"/>
  <c r="H57"/>
  <c r="G57"/>
  <c r="E57"/>
  <c r="D57"/>
  <c r="C57"/>
  <c r="B57"/>
  <c r="L53"/>
  <c r="H52"/>
  <c r="G52"/>
  <c r="G53" s="1"/>
  <c r="E52"/>
  <c r="E53" s="1"/>
  <c r="D52"/>
  <c r="D53" s="1"/>
  <c r="C52"/>
  <c r="C53" s="1"/>
  <c r="B52"/>
  <c r="B49"/>
  <c r="I47"/>
  <c r="G47"/>
  <c r="E47"/>
  <c r="E115" s="1"/>
  <c r="B47"/>
  <c r="I35"/>
  <c r="P35" s="1"/>
  <c r="H32"/>
  <c r="G32"/>
  <c r="E32"/>
  <c r="E35" s="1"/>
  <c r="D32"/>
  <c r="D35" s="1"/>
  <c r="C32"/>
  <c r="C35" s="1"/>
  <c r="B32"/>
  <c r="B35" s="1"/>
  <c r="G30"/>
  <c r="H23"/>
  <c r="H27" s="1"/>
  <c r="I19"/>
  <c r="G23" i="8" s="1"/>
  <c r="I23" i="5"/>
  <c r="P23" s="1"/>
  <c r="G19"/>
  <c r="G23"/>
  <c r="G27" s="1"/>
  <c r="E19"/>
  <c r="E23" s="1"/>
  <c r="D19"/>
  <c r="C19"/>
  <c r="C23" s="1"/>
  <c r="B19"/>
  <c r="B23" s="1"/>
  <c r="B27" s="1"/>
  <c r="B16"/>
  <c r="I15"/>
  <c r="H15"/>
  <c r="G15"/>
  <c r="E15"/>
  <c r="D15"/>
  <c r="C15"/>
  <c r="C16" s="1"/>
  <c r="I14"/>
  <c r="H14"/>
  <c r="G14"/>
  <c r="E14"/>
  <c r="D14"/>
  <c r="D16" s="1"/>
  <c r="I13"/>
  <c r="G12" i="8" s="1"/>
  <c r="Z9" i="5"/>
  <c r="I73" s="1"/>
  <c r="S9"/>
  <c r="B111" s="1"/>
  <c r="AG8"/>
  <c r="C9"/>
  <c r="D9"/>
  <c r="R6"/>
  <c r="C32" i="7"/>
  <c r="D32" s="1"/>
  <c r="E32" s="1"/>
  <c r="F32" s="1"/>
  <c r="G32" s="1"/>
  <c r="H32" s="1"/>
  <c r="I32" s="1"/>
  <c r="J32" s="1"/>
  <c r="J52" i="6"/>
  <c r="J45"/>
  <c r="J54"/>
  <c r="J41"/>
  <c r="H26"/>
  <c r="B21"/>
  <c r="C21"/>
  <c r="D39"/>
  <c r="H41"/>
  <c r="I41"/>
  <c r="H54"/>
  <c r="I54"/>
  <c r="H56"/>
  <c r="B57"/>
  <c r="H57"/>
  <c r="B8"/>
  <c r="B66" s="1"/>
  <c r="M65" i="7"/>
  <c r="C93"/>
  <c r="A14"/>
  <c r="M14" s="1"/>
  <c r="A15"/>
  <c r="M15" s="1"/>
  <c r="A16"/>
  <c r="A19"/>
  <c r="M19" s="1"/>
  <c r="A20"/>
  <c r="M20" s="1"/>
  <c r="A21"/>
  <c r="M21" s="1"/>
  <c r="A22"/>
  <c r="M22" s="1"/>
  <c r="M63"/>
  <c r="A12"/>
  <c r="M12" s="1"/>
  <c r="N76"/>
  <c r="M13"/>
  <c r="A17"/>
  <c r="M17" s="1"/>
  <c r="A23"/>
  <c r="M23" s="1"/>
  <c r="M26"/>
  <c r="M28"/>
  <c r="M47"/>
  <c r="M54"/>
  <c r="M61"/>
  <c r="A11"/>
  <c r="M11" s="1"/>
  <c r="P65" i="6"/>
  <c r="A5"/>
  <c r="A64" s="1"/>
  <c r="A3"/>
  <c r="A62" s="1"/>
  <c r="M24" i="7"/>
  <c r="V76" i="5"/>
  <c r="J16"/>
  <c r="D23"/>
  <c r="J8" i="6"/>
  <c r="F117"/>
  <c r="F112"/>
  <c r="F107"/>
  <c r="F101"/>
  <c r="F94"/>
  <c r="F84"/>
  <c r="F80"/>
  <c r="F76"/>
  <c r="F114"/>
  <c r="F109"/>
  <c r="F99"/>
  <c r="F95"/>
  <c r="F85"/>
  <c r="F77"/>
  <c r="E68"/>
  <c r="E116" s="1"/>
  <c r="C68"/>
  <c r="C114" s="1"/>
  <c r="M16" i="7"/>
  <c r="M43"/>
  <c r="C47" i="5"/>
  <c r="C115" s="1"/>
  <c r="K93" i="7"/>
  <c r="Z79" i="5"/>
  <c r="V80"/>
  <c r="Z80"/>
  <c r="C34" i="7"/>
  <c r="D34" s="1"/>
  <c r="E34" s="1"/>
  <c r="F34" s="1"/>
  <c r="G34" s="1"/>
  <c r="H34" s="1"/>
  <c r="I34" s="1"/>
  <c r="J34" s="1"/>
  <c r="T80" i="5"/>
  <c r="I16"/>
  <c r="G115"/>
  <c r="E16"/>
  <c r="B114"/>
  <c r="B115"/>
  <c r="M51" i="7"/>
  <c r="M45"/>
  <c r="L141" i="5"/>
  <c r="L136" s="1"/>
  <c r="C73"/>
  <c r="T73" s="1"/>
  <c r="S73"/>
  <c r="B117"/>
  <c r="S95"/>
  <c r="S90"/>
  <c r="S89"/>
  <c r="S83"/>
  <c r="S81"/>
  <c r="C117"/>
  <c r="S96"/>
  <c r="S88"/>
  <c r="S87"/>
  <c r="S82"/>
  <c r="S80"/>
  <c r="S75"/>
  <c r="U95"/>
  <c r="U90"/>
  <c r="U89"/>
  <c r="D85"/>
  <c r="U84"/>
  <c r="U83"/>
  <c r="U81"/>
  <c r="E117"/>
  <c r="U96"/>
  <c r="U88"/>
  <c r="U87"/>
  <c r="U82"/>
  <c r="U80"/>
  <c r="U75"/>
  <c r="W95"/>
  <c r="W90"/>
  <c r="W89"/>
  <c r="W83"/>
  <c r="W81"/>
  <c r="G117"/>
  <c r="W96"/>
  <c r="W88"/>
  <c r="W87"/>
  <c r="W82"/>
  <c r="W80"/>
  <c r="W75"/>
  <c r="Y100"/>
  <c r="Y95"/>
  <c r="Y90"/>
  <c r="Y89"/>
  <c r="H85"/>
  <c r="Y84"/>
  <c r="Y83"/>
  <c r="Y81"/>
  <c r="Y99"/>
  <c r="Y96"/>
  <c r="Y88"/>
  <c r="Y87"/>
  <c r="Y82"/>
  <c r="Y80"/>
  <c r="G35"/>
  <c r="E62"/>
  <c r="U79"/>
  <c r="B53"/>
  <c r="S76"/>
  <c r="U76"/>
  <c r="W76"/>
  <c r="D117"/>
  <c r="H117"/>
  <c r="S79"/>
  <c r="W79"/>
  <c r="T79"/>
  <c r="V79"/>
  <c r="X79"/>
  <c r="T81"/>
  <c r="V81"/>
  <c r="X81"/>
  <c r="Z81"/>
  <c r="T83"/>
  <c r="V83"/>
  <c r="X83"/>
  <c r="Z83"/>
  <c r="V84"/>
  <c r="Z84"/>
  <c r="E85"/>
  <c r="I85"/>
  <c r="Z85" s="1"/>
  <c r="T89"/>
  <c r="V89"/>
  <c r="X89"/>
  <c r="Z89"/>
  <c r="T90"/>
  <c r="V90"/>
  <c r="X90"/>
  <c r="Z90"/>
  <c r="T95"/>
  <c r="V95"/>
  <c r="X95"/>
  <c r="Z95"/>
  <c r="X100"/>
  <c r="Z100"/>
  <c r="T82"/>
  <c r="V82"/>
  <c r="X82"/>
  <c r="Z82"/>
  <c r="T87"/>
  <c r="V87"/>
  <c r="X87"/>
  <c r="Z87"/>
  <c r="T88"/>
  <c r="V88"/>
  <c r="X88"/>
  <c r="Z88"/>
  <c r="T96"/>
  <c r="V96"/>
  <c r="X96"/>
  <c r="Z96"/>
  <c r="X99"/>
  <c r="M52" i="7"/>
  <c r="M50"/>
  <c r="M46"/>
  <c r="M42"/>
  <c r="J66" i="6"/>
  <c r="E114"/>
  <c r="E109"/>
  <c r="E99"/>
  <c r="E95"/>
  <c r="E85"/>
  <c r="E77"/>
  <c r="E117"/>
  <c r="E107"/>
  <c r="E101"/>
  <c r="E94"/>
  <c r="E84"/>
  <c r="E80"/>
  <c r="E76"/>
  <c r="C116"/>
  <c r="C112"/>
  <c r="C105"/>
  <c r="C99"/>
  <c r="C95"/>
  <c r="C88"/>
  <c r="C79"/>
  <c r="C117"/>
  <c r="C107"/>
  <c r="C98"/>
  <c r="C94"/>
  <c r="C84"/>
  <c r="C78"/>
  <c r="B55" i="5"/>
  <c r="Y85"/>
  <c r="E141"/>
  <c r="E137" s="1"/>
  <c r="V85"/>
  <c r="D27"/>
  <c r="D73"/>
  <c r="E73" s="1"/>
  <c r="L138"/>
  <c r="E114"/>
  <c r="I114"/>
  <c r="H8" i="6"/>
  <c r="H66" s="1"/>
  <c r="N77" i="7"/>
  <c r="D9"/>
  <c r="B77"/>
  <c r="A154"/>
  <c r="A155" s="1"/>
  <c r="N9"/>
  <c r="A166"/>
  <c r="O77"/>
  <c r="O9"/>
  <c r="C77"/>
  <c r="C119"/>
  <c r="E78" i="6"/>
  <c r="E81"/>
  <c r="E86"/>
  <c r="E98"/>
  <c r="E106"/>
  <c r="E115"/>
  <c r="E75"/>
  <c r="E83"/>
  <c r="E88"/>
  <c r="E97"/>
  <c r="E104"/>
  <c r="E111"/>
  <c r="L121" i="5"/>
  <c r="F75" i="6"/>
  <c r="F83"/>
  <c r="F88"/>
  <c r="F97"/>
  <c r="F104"/>
  <c r="F111"/>
  <c r="F116"/>
  <c r="F78"/>
  <c r="F81"/>
  <c r="F86"/>
  <c r="F98"/>
  <c r="F105"/>
  <c r="F110"/>
  <c r="F115"/>
  <c r="Z99" i="5"/>
  <c r="I91"/>
  <c r="AG91" s="1"/>
  <c r="K9"/>
  <c r="I4" i="8" s="1"/>
  <c r="I36" s="1"/>
  <c r="I44" s="1"/>
  <c r="I64" s="1"/>
  <c r="AB100" i="5"/>
  <c r="AB99"/>
  <c r="AB96"/>
  <c r="AB95"/>
  <c r="AB91"/>
  <c r="AB90"/>
  <c r="AB89"/>
  <c r="AB88"/>
  <c r="AB87"/>
  <c r="AB84"/>
  <c r="AB83"/>
  <c r="AB82"/>
  <c r="AB81"/>
  <c r="AB80"/>
  <c r="AB79"/>
  <c r="K16"/>
  <c r="K47"/>
  <c r="K115" s="1"/>
  <c r="K62"/>
  <c r="K85"/>
  <c r="AB85" s="1"/>
  <c r="J85"/>
  <c r="AG83"/>
  <c r="W99"/>
  <c r="G68" i="6"/>
  <c r="G109" s="1"/>
  <c r="G84" i="5"/>
  <c r="G85" s="1"/>
  <c r="Y79"/>
  <c r="W100"/>
  <c r="L68" i="6"/>
  <c r="L117" s="1"/>
  <c r="K68"/>
  <c r="K83" s="1"/>
  <c r="J68"/>
  <c r="J105" s="1"/>
  <c r="H68"/>
  <c r="L106" s="1"/>
  <c r="A72" i="8"/>
  <c r="A85"/>
  <c r="A82"/>
  <c r="A79"/>
  <c r="A76"/>
  <c r="A74"/>
  <c r="M105" i="7"/>
  <c r="M102"/>
  <c r="M100"/>
  <c r="M96"/>
  <c r="M92"/>
  <c r="G107" i="6"/>
  <c r="G83"/>
  <c r="G112"/>
  <c r="Z91" i="5"/>
  <c r="L101" i="6"/>
  <c r="J107"/>
  <c r="J80"/>
  <c r="K111"/>
  <c r="X84" i="5"/>
  <c r="AA85"/>
  <c r="J93"/>
  <c r="J124" s="1"/>
  <c r="K141"/>
  <c r="K136" s="1"/>
  <c r="K139" s="1"/>
  <c r="K8" i="6"/>
  <c r="K66" s="1"/>
  <c r="L114"/>
  <c r="K137" i="5"/>
  <c r="L81" i="6"/>
  <c r="G96"/>
  <c r="L99"/>
  <c r="L97"/>
  <c r="J95"/>
  <c r="K94"/>
  <c r="G99"/>
  <c r="G95"/>
  <c r="L98"/>
  <c r="H98"/>
  <c r="J96"/>
  <c r="H96"/>
  <c r="L94"/>
  <c r="H94"/>
  <c r="G88"/>
  <c r="G86"/>
  <c r="G84"/>
  <c r="J87"/>
  <c r="H87"/>
  <c r="L85"/>
  <c r="H85"/>
  <c r="J83"/>
  <c r="H83"/>
  <c r="G87"/>
  <c r="G85"/>
  <c r="L88"/>
  <c r="K87"/>
  <c r="J86"/>
  <c r="J84"/>
  <c r="H84"/>
  <c r="L137" i="5"/>
  <c r="L107" i="6"/>
  <c r="L116"/>
  <c r="B88" i="7"/>
  <c r="B64"/>
  <c r="G16" i="5"/>
  <c r="B36" i="7"/>
  <c r="B24"/>
  <c r="B28" s="1"/>
  <c r="F117" i="5"/>
  <c r="D22" i="7"/>
  <c r="L114" i="5"/>
  <c r="L115"/>
  <c r="L55"/>
  <c r="I115"/>
  <c r="L77" i="6"/>
  <c r="L80"/>
  <c r="L104"/>
  <c r="L111"/>
  <c r="L109"/>
  <c r="E22" i="7"/>
  <c r="F22" s="1"/>
  <c r="G22" s="1"/>
  <c r="H22" s="1"/>
  <c r="I22" s="1"/>
  <c r="J22" s="1"/>
  <c r="L120" i="5"/>
  <c r="L63"/>
  <c r="AF84"/>
  <c r="L105" i="6"/>
  <c r="L78"/>
  <c r="L84"/>
  <c r="L86"/>
  <c r="J88"/>
  <c r="L83"/>
  <c r="J85"/>
  <c r="L87"/>
  <c r="J114"/>
  <c r="J94"/>
  <c r="L96"/>
  <c r="J98"/>
  <c r="L95"/>
  <c r="J97"/>
  <c r="J99"/>
  <c r="L110"/>
  <c r="J101"/>
  <c r="J77"/>
  <c r="J109"/>
  <c r="J116"/>
  <c r="J112"/>
  <c r="C80"/>
  <c r="C86"/>
  <c r="C96"/>
  <c r="C101"/>
  <c r="C115"/>
  <c r="C77"/>
  <c r="C83"/>
  <c r="C93"/>
  <c r="C97"/>
  <c r="C104"/>
  <c r="C109"/>
  <c r="K85"/>
  <c r="H88"/>
  <c r="K84"/>
  <c r="K86"/>
  <c r="K88"/>
  <c r="K95"/>
  <c r="K97"/>
  <c r="K99"/>
  <c r="G97"/>
  <c r="H86"/>
  <c r="H95"/>
  <c r="K98"/>
  <c r="G98"/>
  <c r="AA93" i="5"/>
  <c r="H114" i="6"/>
  <c r="K114" i="5"/>
  <c r="K112" i="6"/>
  <c r="K80"/>
  <c r="K110"/>
  <c r="K107"/>
  <c r="H76"/>
  <c r="H81"/>
  <c r="F106"/>
  <c r="H109"/>
  <c r="H115"/>
  <c r="H116"/>
  <c r="G77"/>
  <c r="G94"/>
  <c r="E138" i="5"/>
  <c r="T9"/>
  <c r="D91"/>
  <c r="K116"/>
  <c r="I116"/>
  <c r="L116"/>
  <c r="D8" i="6"/>
  <c r="D66" s="1"/>
  <c r="E9" i="5"/>
  <c r="X80"/>
  <c r="U91"/>
  <c r="K117"/>
  <c r="K138"/>
  <c r="J76" i="6"/>
  <c r="J78"/>
  <c r="J81"/>
  <c r="J104"/>
  <c r="J111"/>
  <c r="J110"/>
  <c r="K93" i="5"/>
  <c r="K124" s="1"/>
  <c r="G117" i="6"/>
  <c r="G80"/>
  <c r="G116"/>
  <c r="G104"/>
  <c r="L112"/>
  <c r="U73" i="5"/>
  <c r="E136"/>
  <c r="C8" i="6"/>
  <c r="C66" s="1"/>
  <c r="I27" i="5"/>
  <c r="G45" i="8" s="1"/>
  <c r="B107" i="6"/>
  <c r="B86"/>
  <c r="B111"/>
  <c r="B83"/>
  <c r="B97"/>
  <c r="B116"/>
  <c r="B98"/>
  <c r="B115"/>
  <c r="B81"/>
  <c r="B105"/>
  <c r="B77"/>
  <c r="B104"/>
  <c r="B78"/>
  <c r="B101"/>
  <c r="B74"/>
  <c r="B99"/>
  <c r="B79"/>
  <c r="B109"/>
  <c r="B84"/>
  <c r="B117"/>
  <c r="B96"/>
  <c r="B114"/>
  <c r="B95"/>
  <c r="B93"/>
  <c r="B112"/>
  <c r="B94"/>
  <c r="D115"/>
  <c r="D80"/>
  <c r="D104"/>
  <c r="D79"/>
  <c r="D88"/>
  <c r="D116"/>
  <c r="D98"/>
  <c r="D101"/>
  <c r="D76"/>
  <c r="D97"/>
  <c r="D75"/>
  <c r="D83"/>
  <c r="D112"/>
  <c r="D94"/>
  <c r="D99"/>
  <c r="D96"/>
  <c r="D114"/>
  <c r="D93"/>
  <c r="D77"/>
  <c r="D105"/>
  <c r="D84"/>
  <c r="D117"/>
  <c r="D86"/>
  <c r="D109"/>
  <c r="D85"/>
  <c r="D74"/>
  <c r="D95"/>
  <c r="D78"/>
  <c r="D107"/>
  <c r="D93" i="5"/>
  <c r="F35"/>
  <c r="K96" i="6"/>
  <c r="H99"/>
  <c r="AB93" i="5"/>
  <c r="J97"/>
  <c r="K76" i="6"/>
  <c r="K78"/>
  <c r="K81"/>
  <c r="K116"/>
  <c r="K101"/>
  <c r="K105"/>
  <c r="K109"/>
  <c r="H111"/>
  <c r="H77"/>
  <c r="H80"/>
  <c r="H104"/>
  <c r="H107"/>
  <c r="H106"/>
  <c r="J106"/>
  <c r="K106"/>
  <c r="H112"/>
  <c r="H110"/>
  <c r="H117"/>
  <c r="G111"/>
  <c r="G115"/>
  <c r="G76"/>
  <c r="G78"/>
  <c r="G81"/>
  <c r="G114"/>
  <c r="G110"/>
  <c r="G101"/>
  <c r="G105"/>
  <c r="U85" i="5"/>
  <c r="AA9"/>
  <c r="AB9" s="1"/>
  <c r="H35"/>
  <c r="I68" i="6"/>
  <c r="I83" s="1"/>
  <c r="G91" i="5"/>
  <c r="H91"/>
  <c r="AA84"/>
  <c r="AC87"/>
  <c r="D97"/>
  <c r="D123"/>
  <c r="U93"/>
  <c r="G114"/>
  <c r="X75"/>
  <c r="AA76"/>
  <c r="Y76"/>
  <c r="AA75"/>
  <c r="Y75"/>
  <c r="AC99"/>
  <c r="AC96"/>
  <c r="AC90"/>
  <c r="AC88"/>
  <c r="AC83"/>
  <c r="AC81"/>
  <c r="AC79"/>
  <c r="AC75"/>
  <c r="AF73"/>
  <c r="L117"/>
  <c r="J117"/>
  <c r="AA97"/>
  <c r="J123"/>
  <c r="L76" i="6"/>
  <c r="H93" i="5"/>
  <c r="H16"/>
  <c r="H53"/>
  <c r="H62"/>
  <c r="AA99"/>
  <c r="AA95"/>
  <c r="AA90"/>
  <c r="AA88"/>
  <c r="AA82"/>
  <c r="AA80"/>
  <c r="H47"/>
  <c r="L85"/>
  <c r="AB76"/>
  <c r="Z76"/>
  <c r="L55" i="6"/>
  <c r="AF91" i="5"/>
  <c r="AC100"/>
  <c r="AC95"/>
  <c r="AC89"/>
  <c r="AC82"/>
  <c r="AC80"/>
  <c r="AC76"/>
  <c r="AF75"/>
  <c r="AF79"/>
  <c r="AF81"/>
  <c r="AF83"/>
  <c r="AF88"/>
  <c r="AF90"/>
  <c r="AF96"/>
  <c r="AF99"/>
  <c r="O68" i="6"/>
  <c r="O115" s="1"/>
  <c r="AF76" i="5"/>
  <c r="AF80"/>
  <c r="AF82"/>
  <c r="AF87"/>
  <c r="AF89"/>
  <c r="AF95"/>
  <c r="O106" i="6"/>
  <c r="L115"/>
  <c r="C50" i="7"/>
  <c r="O114" i="5"/>
  <c r="O121"/>
  <c r="O141"/>
  <c r="O136" s="1"/>
  <c r="O120"/>
  <c r="C80" i="7"/>
  <c r="B80"/>
  <c r="N93" s="1"/>
  <c r="C111" i="5"/>
  <c r="U9"/>
  <c r="K97"/>
  <c r="K123"/>
  <c r="E8" i="6"/>
  <c r="E66" s="1"/>
  <c r="F9" i="5"/>
  <c r="Y91"/>
  <c r="I105" i="6"/>
  <c r="I110"/>
  <c r="I98"/>
  <c r="I97"/>
  <c r="I84"/>
  <c r="I85"/>
  <c r="I107"/>
  <c r="I81"/>
  <c r="I76"/>
  <c r="I101"/>
  <c r="I99"/>
  <c r="I86"/>
  <c r="I36" i="5"/>
  <c r="I37"/>
  <c r="Z27"/>
  <c r="X91"/>
  <c r="J11" i="6"/>
  <c r="J30" s="1"/>
  <c r="H115" i="5"/>
  <c r="H55"/>
  <c r="H63" s="1"/>
  <c r="Y93"/>
  <c r="H97"/>
  <c r="H123"/>
  <c r="L93"/>
  <c r="L124" s="1"/>
  <c r="AC85"/>
  <c r="H120"/>
  <c r="H121"/>
  <c r="H141"/>
  <c r="H114"/>
  <c r="U100"/>
  <c r="U99"/>
  <c r="D11" i="6"/>
  <c r="D71" s="1"/>
  <c r="U97" i="5"/>
  <c r="O77" i="6"/>
  <c r="O80"/>
  <c r="O83"/>
  <c r="O85"/>
  <c r="O87"/>
  <c r="O95"/>
  <c r="O97"/>
  <c r="O99"/>
  <c r="O104"/>
  <c r="O107"/>
  <c r="O110"/>
  <c r="O112"/>
  <c r="O116"/>
  <c r="O76"/>
  <c r="O78"/>
  <c r="O81"/>
  <c r="O84"/>
  <c r="O86"/>
  <c r="O88"/>
  <c r="O94"/>
  <c r="O96"/>
  <c r="O98"/>
  <c r="O101"/>
  <c r="O105"/>
  <c r="O109"/>
  <c r="O111"/>
  <c r="O114"/>
  <c r="O117"/>
  <c r="O93" i="5"/>
  <c r="O124" s="1"/>
  <c r="AF85"/>
  <c r="O97"/>
  <c r="O137"/>
  <c r="O138"/>
  <c r="N94" i="7"/>
  <c r="N80"/>
  <c r="N86"/>
  <c r="N104"/>
  <c r="N87"/>
  <c r="N85"/>
  <c r="N83"/>
  <c r="N101"/>
  <c r="N92"/>
  <c r="N105"/>
  <c r="N100"/>
  <c r="N91"/>
  <c r="N99"/>
  <c r="N79"/>
  <c r="N84"/>
  <c r="B89"/>
  <c r="N89" s="1"/>
  <c r="N88"/>
  <c r="O79"/>
  <c r="O100"/>
  <c r="O93"/>
  <c r="O80"/>
  <c r="O105"/>
  <c r="O99"/>
  <c r="AF93" i="5"/>
  <c r="V9"/>
  <c r="D111"/>
  <c r="F8" i="6"/>
  <c r="F66" s="1"/>
  <c r="G9" i="5"/>
  <c r="AB97"/>
  <c r="K128"/>
  <c r="K11" i="6"/>
  <c r="K30" s="1"/>
  <c r="K55" s="1"/>
  <c r="K115" s="1"/>
  <c r="K129" i="5"/>
  <c r="Z42"/>
  <c r="Z15"/>
  <c r="Z45"/>
  <c r="Z32"/>
  <c r="Z46"/>
  <c r="Z13"/>
  <c r="Z22"/>
  <c r="Z44"/>
  <c r="Z31"/>
  <c r="Z19"/>
  <c r="Z50"/>
  <c r="Z30"/>
  <c r="Z34"/>
  <c r="Z47"/>
  <c r="Z35"/>
  <c r="Z33"/>
  <c r="Z20"/>
  <c r="Z16"/>
  <c r="Z43"/>
  <c r="Z21"/>
  <c r="Z12"/>
  <c r="Z25"/>
  <c r="Z49"/>
  <c r="Z61"/>
  <c r="Z37"/>
  <c r="Z51"/>
  <c r="Z41"/>
  <c r="Z57"/>
  <c r="Z60"/>
  <c r="Z14"/>
  <c r="Z52"/>
  <c r="Z23"/>
  <c r="Z36"/>
  <c r="J71" i="6"/>
  <c r="D30"/>
  <c r="D90" s="1"/>
  <c r="H138" i="5"/>
  <c r="H137"/>
  <c r="AC93"/>
  <c r="AI96"/>
  <c r="L123"/>
  <c r="L97"/>
  <c r="H11" i="6"/>
  <c r="H71" s="1"/>
  <c r="Y97" i="5"/>
  <c r="O123"/>
  <c r="H136"/>
  <c r="AF97"/>
  <c r="O11" i="6"/>
  <c r="O30" s="1"/>
  <c r="O90" s="1"/>
  <c r="E111" i="5"/>
  <c r="W9"/>
  <c r="X9" s="1"/>
  <c r="K71" i="6"/>
  <c r="G8"/>
  <c r="H139" i="5"/>
  <c r="AC97"/>
  <c r="L128"/>
  <c r="L11" i="6"/>
  <c r="L71" s="1"/>
  <c r="L129" i="5"/>
  <c r="F111"/>
  <c r="K90" i="6"/>
  <c r="I80" l="1"/>
  <c r="H97"/>
  <c r="K114"/>
  <c r="I66"/>
  <c r="P28"/>
  <c r="P19"/>
  <c r="P36"/>
  <c r="P46"/>
  <c r="P51"/>
  <c r="P17"/>
  <c r="P23"/>
  <c r="P35"/>
  <c r="P45"/>
  <c r="P50"/>
  <c r="P41"/>
  <c r="P25"/>
  <c r="P34"/>
  <c r="P38"/>
  <c r="P49"/>
  <c r="P26"/>
  <c r="P18"/>
  <c r="P37"/>
  <c r="P47"/>
  <c r="P56"/>
  <c r="O87" i="7"/>
  <c r="M23" i="8"/>
  <c r="C23" s="1"/>
  <c r="M37"/>
  <c r="C37" s="1"/>
  <c r="C42" i="7" s="1"/>
  <c r="D50" s="1"/>
  <c r="N71" i="6"/>
  <c r="N30"/>
  <c r="A167" i="7"/>
  <c r="A156"/>
  <c r="H101" i="6"/>
  <c r="N106"/>
  <c r="L30"/>
  <c r="L90" s="1"/>
  <c r="E93" i="5"/>
  <c r="V91"/>
  <c r="G141"/>
  <c r="H129"/>
  <c r="G136"/>
  <c r="H128"/>
  <c r="J55"/>
  <c r="J115"/>
  <c r="F85"/>
  <c r="W84"/>
  <c r="B123" i="7"/>
  <c r="S91" i="5"/>
  <c r="F55"/>
  <c r="I106" i="6"/>
  <c r="L9" i="5"/>
  <c r="I93"/>
  <c r="L139"/>
  <c r="J114"/>
  <c r="T91"/>
  <c r="I53"/>
  <c r="M114"/>
  <c r="H45" i="8"/>
  <c r="K132" i="5"/>
  <c r="J36"/>
  <c r="J132"/>
  <c r="J45" i="8"/>
  <c r="L36" i="5"/>
  <c r="L122"/>
  <c r="L37"/>
  <c r="I132"/>
  <c r="H36"/>
  <c r="H37"/>
  <c r="Y27" s="1"/>
  <c r="H122"/>
  <c r="I45" i="8"/>
  <c r="L132" i="5"/>
  <c r="K36"/>
  <c r="K122"/>
  <c r="K37"/>
  <c r="AB27" s="1"/>
  <c r="J40" i="8"/>
  <c r="Y9" i="5"/>
  <c r="H111" s="1"/>
  <c r="G111"/>
  <c r="X85"/>
  <c r="G93"/>
  <c r="F73"/>
  <c r="V73"/>
  <c r="Z73"/>
  <c r="I111" s="1"/>
  <c r="J73"/>
  <c r="D37"/>
  <c r="U16" s="1"/>
  <c r="D114"/>
  <c r="B132"/>
  <c r="B37"/>
  <c r="S27" s="1"/>
  <c r="B36"/>
  <c r="C27"/>
  <c r="C132" s="1"/>
  <c r="E27"/>
  <c r="U35"/>
  <c r="D36"/>
  <c r="U53"/>
  <c r="D55"/>
  <c r="U55" s="1"/>
  <c r="G121"/>
  <c r="G55"/>
  <c r="U62"/>
  <c r="D121"/>
  <c r="D120"/>
  <c r="D129"/>
  <c r="D141"/>
  <c r="D122"/>
  <c r="D136"/>
  <c r="D63"/>
  <c r="U63" s="1"/>
  <c r="B121"/>
  <c r="B141"/>
  <c r="B63"/>
  <c r="S63" s="1"/>
  <c r="B120"/>
  <c r="B122"/>
  <c r="C85"/>
  <c r="T84"/>
  <c r="AB53"/>
  <c r="K121"/>
  <c r="K55"/>
  <c r="F141"/>
  <c r="F121"/>
  <c r="F63"/>
  <c r="F120"/>
  <c r="F122"/>
  <c r="F114"/>
  <c r="F37"/>
  <c r="C15" i="7"/>
  <c r="D15" s="1"/>
  <c r="E15" s="1"/>
  <c r="F15" s="1"/>
  <c r="G15" s="1"/>
  <c r="H15" s="1"/>
  <c r="I15" s="1"/>
  <c r="J15" s="1"/>
  <c r="K15" s="1"/>
  <c r="B17"/>
  <c r="S35" i="5"/>
  <c r="C114"/>
  <c r="C37"/>
  <c r="T62" s="1"/>
  <c r="G122"/>
  <c r="G37"/>
  <c r="G36"/>
  <c r="H132"/>
  <c r="C55"/>
  <c r="E55"/>
  <c r="E121"/>
  <c r="C141"/>
  <c r="C136" s="1"/>
  <c r="C122"/>
  <c r="D128"/>
  <c r="C121"/>
  <c r="S84"/>
  <c r="B85"/>
  <c r="J121"/>
  <c r="J63"/>
  <c r="J141"/>
  <c r="J136" s="1"/>
  <c r="J122"/>
  <c r="J120"/>
  <c r="G132"/>
  <c r="F36"/>
  <c r="W36" s="1"/>
  <c r="C65" i="8"/>
  <c r="D79" i="7"/>
  <c r="E79" s="1"/>
  <c r="F79" s="1"/>
  <c r="G79" s="1"/>
  <c r="H79" s="1"/>
  <c r="I79" s="1"/>
  <c r="J79" s="1"/>
  <c r="K77" i="6"/>
  <c r="K104"/>
  <c r="H78"/>
  <c r="H105"/>
  <c r="G106"/>
  <c r="B122" i="7"/>
  <c r="I117" i="5"/>
  <c r="I62"/>
  <c r="Z75"/>
  <c r="M9"/>
  <c r="M117"/>
  <c r="M121"/>
  <c r="M132"/>
  <c r="B139" i="7" s="1"/>
  <c r="N95"/>
  <c r="G10" i="8"/>
  <c r="J10"/>
  <c r="H10"/>
  <c r="G40"/>
  <c r="G41"/>
  <c r="J41"/>
  <c r="H41"/>
  <c r="I82"/>
  <c r="J12"/>
  <c r="H12"/>
  <c r="G39"/>
  <c r="P91" i="5"/>
  <c r="G82" i="8"/>
  <c r="P27" i="5"/>
  <c r="M116"/>
  <c r="B124" i="7" s="1"/>
  <c r="M122" i="5"/>
  <c r="B48" i="7"/>
  <c r="B57" s="1"/>
  <c r="B65" s="1"/>
  <c r="K10" i="8"/>
  <c r="I10"/>
  <c r="K41"/>
  <c r="I41"/>
  <c r="G66"/>
  <c r="M66" s="1"/>
  <c r="J82"/>
  <c r="H82"/>
  <c r="K12"/>
  <c r="I12"/>
  <c r="K39"/>
  <c r="C39" s="1"/>
  <c r="C44" i="7" s="1"/>
  <c r="C26"/>
  <c r="C24"/>
  <c r="C51"/>
  <c r="D51" s="1"/>
  <c r="E51" s="1"/>
  <c r="F51" s="1"/>
  <c r="G51" s="1"/>
  <c r="H51" s="1"/>
  <c r="I51" s="1"/>
  <c r="J51" s="1"/>
  <c r="K51" s="1"/>
  <c r="C53"/>
  <c r="D53" s="1"/>
  <c r="E53" s="1"/>
  <c r="F53" s="1"/>
  <c r="G53" s="1"/>
  <c r="H53" s="1"/>
  <c r="I53" s="1"/>
  <c r="J53" s="1"/>
  <c r="K53" s="1"/>
  <c r="J37" i="5"/>
  <c r="AA16" s="1"/>
  <c r="C95" i="7"/>
  <c r="O95" s="1"/>
  <c r="D104"/>
  <c r="O104"/>
  <c r="O139" i="5"/>
  <c r="O122"/>
  <c r="AF27"/>
  <c r="K108" i="6"/>
  <c r="I108"/>
  <c r="G66"/>
  <c r="H30"/>
  <c r="H90" s="1"/>
  <c r="I95"/>
  <c r="I96"/>
  <c r="I116"/>
  <c r="I78"/>
  <c r="I104"/>
  <c r="I114"/>
  <c r="I87"/>
  <c r="I88"/>
  <c r="I94"/>
  <c r="I111"/>
  <c r="I77"/>
  <c r="I112"/>
  <c r="I109"/>
  <c r="O108"/>
  <c r="L108"/>
  <c r="J108"/>
  <c r="M68"/>
  <c r="P101" s="1"/>
  <c r="AD76" i="5"/>
  <c r="AD80"/>
  <c r="AD82"/>
  <c r="AD84"/>
  <c r="AD87"/>
  <c r="AD89"/>
  <c r="AD91"/>
  <c r="AD95"/>
  <c r="AD100"/>
  <c r="M101" i="6"/>
  <c r="M117"/>
  <c r="AD75" i="5"/>
  <c r="AD79"/>
  <c r="AD81"/>
  <c r="AD83"/>
  <c r="AD88"/>
  <c r="AD90"/>
  <c r="AD96"/>
  <c r="E87" i="7"/>
  <c r="F87" s="1"/>
  <c r="G87" s="1"/>
  <c r="H87" s="1"/>
  <c r="I87" s="1"/>
  <c r="J87" s="1"/>
  <c r="M55" i="6"/>
  <c r="P33"/>
  <c r="M55" i="5"/>
  <c r="M36"/>
  <c r="P36" s="1"/>
  <c r="A74" i="7"/>
  <c r="D77"/>
  <c r="P9"/>
  <c r="P77"/>
  <c r="D119" s="1"/>
  <c r="E9"/>
  <c r="M76" i="6"/>
  <c r="M81"/>
  <c r="M86"/>
  <c r="M94"/>
  <c r="M98"/>
  <c r="M107"/>
  <c r="K57"/>
  <c r="K117" s="1"/>
  <c r="M80"/>
  <c r="M85"/>
  <c r="M95"/>
  <c r="M99"/>
  <c r="M106"/>
  <c r="J55"/>
  <c r="J90"/>
  <c r="M37" i="5"/>
  <c r="AD16" s="1"/>
  <c r="M141"/>
  <c r="M136" s="1"/>
  <c r="M63"/>
  <c r="C46" i="7"/>
  <c r="C66" i="8"/>
  <c r="C85" i="7" s="1"/>
  <c r="O85" s="1"/>
  <c r="M85" i="5"/>
  <c r="B37" i="7"/>
  <c r="E23"/>
  <c r="C52"/>
  <c r="O71" i="6"/>
  <c r="D83" i="7"/>
  <c r="D52" s="1"/>
  <c r="C84" l="1"/>
  <c r="D84" s="1"/>
  <c r="E84" s="1"/>
  <c r="F84" s="1"/>
  <c r="G84" s="1"/>
  <c r="H84" s="1"/>
  <c r="I84" s="1"/>
  <c r="J84" s="1"/>
  <c r="M109" i="6"/>
  <c r="M104"/>
  <c r="M97"/>
  <c r="M87"/>
  <c r="M83"/>
  <c r="M77"/>
  <c r="M110"/>
  <c r="M105"/>
  <c r="M96"/>
  <c r="M88"/>
  <c r="M84"/>
  <c r="M78"/>
  <c r="M115"/>
  <c r="M114"/>
  <c r="P116"/>
  <c r="P87"/>
  <c r="P78"/>
  <c r="P97"/>
  <c r="P109"/>
  <c r="P88"/>
  <c r="P79"/>
  <c r="P96"/>
  <c r="P108"/>
  <c r="P85"/>
  <c r="P76"/>
  <c r="P99"/>
  <c r="P111"/>
  <c r="P86"/>
  <c r="P77"/>
  <c r="P98"/>
  <c r="P110"/>
  <c r="C91" i="7"/>
  <c r="O91" s="1"/>
  <c r="P83" i="6"/>
  <c r="P74"/>
  <c r="P105"/>
  <c r="P114"/>
  <c r="P84"/>
  <c r="P75"/>
  <c r="P104"/>
  <c r="P112"/>
  <c r="P80"/>
  <c r="P95"/>
  <c r="P107"/>
  <c r="P68"/>
  <c r="P81"/>
  <c r="P94"/>
  <c r="P106"/>
  <c r="M45" i="8"/>
  <c r="M12"/>
  <c r="M39"/>
  <c r="M41"/>
  <c r="M10"/>
  <c r="C12" i="7" s="1"/>
  <c r="N90" i="6"/>
  <c r="A168" i="7"/>
  <c r="A157"/>
  <c r="D24"/>
  <c r="D85"/>
  <c r="S36" i="5"/>
  <c r="J4" i="8"/>
  <c r="J36" s="1"/>
  <c r="J44" s="1"/>
  <c r="J64" s="1"/>
  <c r="AC9" i="5"/>
  <c r="L73" s="1"/>
  <c r="AC73" s="1"/>
  <c r="L111" s="1"/>
  <c r="L8" i="6"/>
  <c r="F93" i="5"/>
  <c r="W85"/>
  <c r="G137"/>
  <c r="G138"/>
  <c r="E123"/>
  <c r="E97"/>
  <c r="V93"/>
  <c r="D26" i="7"/>
  <c r="T35" i="5"/>
  <c r="T55"/>
  <c r="X36"/>
  <c r="G139"/>
  <c r="Z53"/>
  <c r="I55"/>
  <c r="Z55" s="1"/>
  <c r="I124"/>
  <c r="I97"/>
  <c r="I123"/>
  <c r="Z93"/>
  <c r="C12" i="8"/>
  <c r="U36" i="5"/>
  <c r="I40" i="8"/>
  <c r="Y36" i="5"/>
  <c r="Y16"/>
  <c r="Y63"/>
  <c r="Y52"/>
  <c r="Y22"/>
  <c r="Y45"/>
  <c r="Y33"/>
  <c r="Y37"/>
  <c r="Y20"/>
  <c r="Y34"/>
  <c r="Y14"/>
  <c r="Y25"/>
  <c r="Y13"/>
  <c r="Y46"/>
  <c r="Y21"/>
  <c r="Y12"/>
  <c r="Y23"/>
  <c r="Y61"/>
  <c r="Y35"/>
  <c r="Y55"/>
  <c r="Y47"/>
  <c r="Y50"/>
  <c r="Y15"/>
  <c r="Y19"/>
  <c r="Y51"/>
  <c r="Y43"/>
  <c r="Y44"/>
  <c r="Y42"/>
  <c r="I133"/>
  <c r="Y41"/>
  <c r="Y32"/>
  <c r="Y49"/>
  <c r="Y60"/>
  <c r="Y31"/>
  <c r="Y57"/>
  <c r="Y30"/>
  <c r="I127"/>
  <c r="Y62"/>
  <c r="Y53"/>
  <c r="W63"/>
  <c r="AB12"/>
  <c r="AB32"/>
  <c r="AB33"/>
  <c r="AB31"/>
  <c r="AB14"/>
  <c r="AB34"/>
  <c r="AB41"/>
  <c r="AB35"/>
  <c r="L133"/>
  <c r="AB20"/>
  <c r="AB37"/>
  <c r="AB21"/>
  <c r="AB62"/>
  <c r="AB22"/>
  <c r="AB42"/>
  <c r="AB61"/>
  <c r="AB50"/>
  <c r="AB25"/>
  <c r="AB46"/>
  <c r="AB13"/>
  <c r="AB57"/>
  <c r="AB45"/>
  <c r="AB49"/>
  <c r="AB19"/>
  <c r="AB15"/>
  <c r="AB47"/>
  <c r="AB44"/>
  <c r="AB52"/>
  <c r="AB23"/>
  <c r="AB43"/>
  <c r="AB16"/>
  <c r="AB60"/>
  <c r="AB30"/>
  <c r="AB51"/>
  <c r="L127"/>
  <c r="AC27"/>
  <c r="AC53"/>
  <c r="AC31"/>
  <c r="AC61"/>
  <c r="AC57"/>
  <c r="AC35"/>
  <c r="AC46"/>
  <c r="AC22"/>
  <c r="AC44"/>
  <c r="AC37"/>
  <c r="AC43"/>
  <c r="AC21"/>
  <c r="AC19"/>
  <c r="AC14"/>
  <c r="AC45"/>
  <c r="AC25"/>
  <c r="AC41"/>
  <c r="AC13"/>
  <c r="AC55"/>
  <c r="AC62"/>
  <c r="AC20"/>
  <c r="AC42"/>
  <c r="AC34"/>
  <c r="AC16"/>
  <c r="AC51"/>
  <c r="AC49"/>
  <c r="AC15"/>
  <c r="AC60"/>
  <c r="AC12"/>
  <c r="AC32"/>
  <c r="AC63"/>
  <c r="AC33"/>
  <c r="AC23"/>
  <c r="AC52"/>
  <c r="AC50"/>
  <c r="AC30"/>
  <c r="AC47"/>
  <c r="AB36"/>
  <c r="AC36"/>
  <c r="C14" i="7"/>
  <c r="K4" i="8"/>
  <c r="K36" s="1"/>
  <c r="AD9" i="5"/>
  <c r="M73" s="1"/>
  <c r="AD73" s="1"/>
  <c r="M111" s="1"/>
  <c r="M8" i="6"/>
  <c r="I121" i="5"/>
  <c r="B129" i="7" s="1"/>
  <c r="I63" i="5"/>
  <c r="I141"/>
  <c r="J128"/>
  <c r="I120"/>
  <c r="I122"/>
  <c r="B130" i="7" s="1"/>
  <c r="I128" i="5"/>
  <c r="I129"/>
  <c r="Z62"/>
  <c r="D80" i="7"/>
  <c r="D95" s="1"/>
  <c r="B93" i="5"/>
  <c r="S85"/>
  <c r="T44"/>
  <c r="T31"/>
  <c r="T46"/>
  <c r="T61"/>
  <c r="T37"/>
  <c r="T49"/>
  <c r="T25"/>
  <c r="T50"/>
  <c r="T22"/>
  <c r="T34"/>
  <c r="T42"/>
  <c r="T19"/>
  <c r="T60"/>
  <c r="T52"/>
  <c r="T15"/>
  <c r="D133"/>
  <c r="D127"/>
  <c r="T43"/>
  <c r="T14"/>
  <c r="T20"/>
  <c r="T30"/>
  <c r="T21"/>
  <c r="T32"/>
  <c r="T41"/>
  <c r="T57"/>
  <c r="T12"/>
  <c r="T13"/>
  <c r="T33"/>
  <c r="T47"/>
  <c r="F137"/>
  <c r="F138"/>
  <c r="B138"/>
  <c r="B137"/>
  <c r="G120"/>
  <c r="G63"/>
  <c r="X63" s="1"/>
  <c r="X55"/>
  <c r="S20"/>
  <c r="S33"/>
  <c r="S47"/>
  <c r="S37"/>
  <c r="S43"/>
  <c r="S13"/>
  <c r="C133"/>
  <c r="S57"/>
  <c r="S61"/>
  <c r="S46"/>
  <c r="S49"/>
  <c r="S21"/>
  <c r="S19"/>
  <c r="S60"/>
  <c r="S15"/>
  <c r="S31"/>
  <c r="S16"/>
  <c r="S44"/>
  <c r="S34"/>
  <c r="S30"/>
  <c r="B133"/>
  <c r="S55"/>
  <c r="S25"/>
  <c r="S41"/>
  <c r="S14"/>
  <c r="S23"/>
  <c r="S42"/>
  <c r="S12"/>
  <c r="S53"/>
  <c r="S52"/>
  <c r="S50"/>
  <c r="S22"/>
  <c r="S32"/>
  <c r="S62"/>
  <c r="AA73"/>
  <c r="J111" s="1"/>
  <c r="K73"/>
  <c r="AB73" s="1"/>
  <c r="K111" s="1"/>
  <c r="X93"/>
  <c r="G123"/>
  <c r="G97"/>
  <c r="M133"/>
  <c r="K40" i="8"/>
  <c r="J129" i="5"/>
  <c r="P37"/>
  <c r="T23"/>
  <c r="M138"/>
  <c r="M137"/>
  <c r="J137"/>
  <c r="J138"/>
  <c r="C137"/>
  <c r="C138"/>
  <c r="E120"/>
  <c r="E63"/>
  <c r="X51"/>
  <c r="X37"/>
  <c r="X21"/>
  <c r="X61"/>
  <c r="X34"/>
  <c r="X16"/>
  <c r="X30"/>
  <c r="X49"/>
  <c r="X19"/>
  <c r="X13"/>
  <c r="X50"/>
  <c r="X60"/>
  <c r="X57"/>
  <c r="H133"/>
  <c r="X44"/>
  <c r="X23"/>
  <c r="X33"/>
  <c r="X62"/>
  <c r="X31"/>
  <c r="X32"/>
  <c r="X47"/>
  <c r="X22"/>
  <c r="X15"/>
  <c r="X41"/>
  <c r="X27"/>
  <c r="X20"/>
  <c r="X14"/>
  <c r="X43"/>
  <c r="X12"/>
  <c r="X25"/>
  <c r="X42"/>
  <c r="X53"/>
  <c r="X52"/>
  <c r="X45"/>
  <c r="X46"/>
  <c r="X35"/>
  <c r="H127"/>
  <c r="W35"/>
  <c r="G133"/>
  <c r="W47"/>
  <c r="W49"/>
  <c r="W51"/>
  <c r="W41"/>
  <c r="W37"/>
  <c r="W13"/>
  <c r="W12"/>
  <c r="W15"/>
  <c r="W16"/>
  <c r="W25"/>
  <c r="W19"/>
  <c r="W50"/>
  <c r="W32"/>
  <c r="W61"/>
  <c r="W46"/>
  <c r="W20"/>
  <c r="W27"/>
  <c r="W55"/>
  <c r="W52"/>
  <c r="W21"/>
  <c r="W34"/>
  <c r="W14"/>
  <c r="W42"/>
  <c r="W45"/>
  <c r="W31"/>
  <c r="W53"/>
  <c r="W44"/>
  <c r="W33"/>
  <c r="W57"/>
  <c r="W22"/>
  <c r="W60"/>
  <c r="W30"/>
  <c r="W43"/>
  <c r="W23"/>
  <c r="W62"/>
  <c r="K120"/>
  <c r="AB55"/>
  <c r="K63"/>
  <c r="AB63" s="1"/>
  <c r="T85"/>
  <c r="C93"/>
  <c r="D137"/>
  <c r="D138"/>
  <c r="E37"/>
  <c r="V27" s="1"/>
  <c r="E122"/>
  <c r="E132"/>
  <c r="F132"/>
  <c r="E36"/>
  <c r="V36" s="1"/>
  <c r="C36"/>
  <c r="T36" s="1"/>
  <c r="D132"/>
  <c r="T27"/>
  <c r="U57"/>
  <c r="U34"/>
  <c r="U50"/>
  <c r="U41"/>
  <c r="U22"/>
  <c r="U13"/>
  <c r="U15"/>
  <c r="U44"/>
  <c r="U52"/>
  <c r="U25"/>
  <c r="U49"/>
  <c r="U33"/>
  <c r="U21"/>
  <c r="U19"/>
  <c r="U27"/>
  <c r="U47"/>
  <c r="U46"/>
  <c r="U20"/>
  <c r="U43"/>
  <c r="U31"/>
  <c r="U14"/>
  <c r="U23"/>
  <c r="U60"/>
  <c r="U37"/>
  <c r="U61"/>
  <c r="U42"/>
  <c r="U30"/>
  <c r="U12"/>
  <c r="U32"/>
  <c r="E127"/>
  <c r="W73"/>
  <c r="G73"/>
  <c r="M120"/>
  <c r="B125" i="7"/>
  <c r="B96"/>
  <c r="C120" i="5"/>
  <c r="C63"/>
  <c r="T63" s="1"/>
  <c r="T53"/>
  <c r="T16"/>
  <c r="F136"/>
  <c r="B136"/>
  <c r="C28" i="7"/>
  <c r="E26"/>
  <c r="D46"/>
  <c r="H40" i="8"/>
  <c r="M40" s="1"/>
  <c r="C40" s="1"/>
  <c r="C42"/>
  <c r="AA44" i="5"/>
  <c r="AA41"/>
  <c r="AA13"/>
  <c r="AA14"/>
  <c r="AA12"/>
  <c r="AA43"/>
  <c r="AA15"/>
  <c r="AA20"/>
  <c r="K133"/>
  <c r="AA61"/>
  <c r="AA33"/>
  <c r="AA52"/>
  <c r="AA49"/>
  <c r="AA51"/>
  <c r="AA35"/>
  <c r="AA60"/>
  <c r="AA45"/>
  <c r="J127"/>
  <c r="AA63"/>
  <c r="AG21"/>
  <c r="AG22"/>
  <c r="AA36"/>
  <c r="K127"/>
  <c r="AA53"/>
  <c r="AA23"/>
  <c r="AA37"/>
  <c r="AA34"/>
  <c r="AA57"/>
  <c r="AA31"/>
  <c r="AA46"/>
  <c r="AA30"/>
  <c r="AA62"/>
  <c r="AA47"/>
  <c r="AA19"/>
  <c r="AA25"/>
  <c r="AA22"/>
  <c r="AA50"/>
  <c r="AA21"/>
  <c r="AA32"/>
  <c r="AA42"/>
  <c r="AI42" s="1"/>
  <c r="J133"/>
  <c r="B140" i="7" s="1"/>
  <c r="AA55" i="5"/>
  <c r="AA27"/>
  <c r="O83" i="7"/>
  <c r="E83"/>
  <c r="F83" s="1"/>
  <c r="G83" s="1"/>
  <c r="H83" s="1"/>
  <c r="I83" s="1"/>
  <c r="J83" s="1"/>
  <c r="AF16" i="5"/>
  <c r="AF61"/>
  <c r="AF53"/>
  <c r="AF49"/>
  <c r="AF44"/>
  <c r="AF37"/>
  <c r="AF31"/>
  <c r="AF19"/>
  <c r="AF13"/>
  <c r="AF60"/>
  <c r="AF52"/>
  <c r="AF47"/>
  <c r="AF43"/>
  <c r="AF34"/>
  <c r="AF30"/>
  <c r="AF22"/>
  <c r="AF14"/>
  <c r="AF23"/>
  <c r="AF63"/>
  <c r="AF57"/>
  <c r="AF51"/>
  <c r="AF46"/>
  <c r="AF42"/>
  <c r="AF33"/>
  <c r="AF21"/>
  <c r="AF15"/>
  <c r="AF62"/>
  <c r="AF55"/>
  <c r="AF50"/>
  <c r="AF45"/>
  <c r="AF41"/>
  <c r="AF32"/>
  <c r="AF25"/>
  <c r="AF20"/>
  <c r="AF12"/>
  <c r="AF35"/>
  <c r="AF36"/>
  <c r="M111" i="6"/>
  <c r="M108"/>
  <c r="M93" i="5"/>
  <c r="AD85"/>
  <c r="M112" i="6"/>
  <c r="M116"/>
  <c r="AD63" i="5"/>
  <c r="AD61"/>
  <c r="AD57"/>
  <c r="AD53"/>
  <c r="AD51"/>
  <c r="AD49"/>
  <c r="AD46"/>
  <c r="AD44"/>
  <c r="AD42"/>
  <c r="AD37"/>
  <c r="AD35"/>
  <c r="AD33"/>
  <c r="AD31"/>
  <c r="AD27"/>
  <c r="AD23"/>
  <c r="AD21"/>
  <c r="AD19"/>
  <c r="AD15"/>
  <c r="AD13"/>
  <c r="AD62"/>
  <c r="AD60"/>
  <c r="AD55"/>
  <c r="AD52"/>
  <c r="AD50"/>
  <c r="AD47"/>
  <c r="AD45"/>
  <c r="AD43"/>
  <c r="AD41"/>
  <c r="AD36"/>
  <c r="AD34"/>
  <c r="AD32"/>
  <c r="AD30"/>
  <c r="AD25"/>
  <c r="AD22"/>
  <c r="AD20"/>
  <c r="AD12"/>
  <c r="AD14"/>
  <c r="E77" i="7"/>
  <c r="Q77"/>
  <c r="E119" s="1"/>
  <c r="F9"/>
  <c r="Q9"/>
  <c r="J115" i="6"/>
  <c r="J57"/>
  <c r="M139" i="5"/>
  <c r="C125" i="7"/>
  <c r="D42"/>
  <c r="K84"/>
  <c r="P85"/>
  <c r="D28"/>
  <c r="D86" s="1"/>
  <c r="P86" s="1"/>
  <c r="P83"/>
  <c r="D88"/>
  <c r="E104"/>
  <c r="F23"/>
  <c r="B38"/>
  <c r="N37" s="1"/>
  <c r="O84" l="1"/>
  <c r="E50"/>
  <c r="D91"/>
  <c r="C139"/>
  <c r="C86"/>
  <c r="C92"/>
  <c r="O92" s="1"/>
  <c r="K44" i="8"/>
  <c r="K64" s="1"/>
  <c r="A169" i="7"/>
  <c r="A158"/>
  <c r="E85"/>
  <c r="E24"/>
  <c r="E128" i="5"/>
  <c r="V97"/>
  <c r="V100"/>
  <c r="E11" i="6"/>
  <c r="V99" i="5"/>
  <c r="E129"/>
  <c r="L66" i="6"/>
  <c r="P14"/>
  <c r="P15"/>
  <c r="E133" i="5"/>
  <c r="J139"/>
  <c r="I11" i="6"/>
  <c r="Z97" i="5"/>
  <c r="F123"/>
  <c r="F97"/>
  <c r="W93"/>
  <c r="V37"/>
  <c r="V61"/>
  <c r="V34"/>
  <c r="V22"/>
  <c r="V16"/>
  <c r="V46"/>
  <c r="V62"/>
  <c r="V32"/>
  <c r="V21"/>
  <c r="V14"/>
  <c r="V41"/>
  <c r="V57"/>
  <c r="V13"/>
  <c r="V43"/>
  <c r="V31"/>
  <c r="V60"/>
  <c r="V30"/>
  <c r="V47"/>
  <c r="V50"/>
  <c r="V25"/>
  <c r="V33"/>
  <c r="V19"/>
  <c r="V49"/>
  <c r="V52"/>
  <c r="V44"/>
  <c r="V15"/>
  <c r="V42"/>
  <c r="V12"/>
  <c r="F127"/>
  <c r="F133"/>
  <c r="V35"/>
  <c r="V23"/>
  <c r="V53"/>
  <c r="G11" i="6"/>
  <c r="G128" i="5"/>
  <c r="G127"/>
  <c r="G129"/>
  <c r="X97"/>
  <c r="B123"/>
  <c r="B97"/>
  <c r="S93"/>
  <c r="E80" i="7"/>
  <c r="E95" s="1"/>
  <c r="M66" i="6"/>
  <c r="V63" i="5"/>
  <c r="AD93"/>
  <c r="M124"/>
  <c r="K82" i="8"/>
  <c r="M82" s="1"/>
  <c r="M123" i="5"/>
  <c r="B131" i="7" s="1"/>
  <c r="N96"/>
  <c r="B98"/>
  <c r="B102" s="1"/>
  <c r="H73" i="5"/>
  <c r="Y73" s="1"/>
  <c r="X73"/>
  <c r="T93"/>
  <c r="C123"/>
  <c r="C97"/>
  <c r="P79" i="7"/>
  <c r="P80"/>
  <c r="P105"/>
  <c r="P95"/>
  <c r="P100"/>
  <c r="P104"/>
  <c r="P84"/>
  <c r="P93"/>
  <c r="D44"/>
  <c r="P99"/>
  <c r="D12"/>
  <c r="P87"/>
  <c r="I138" i="5"/>
  <c r="B145" i="7" s="1"/>
  <c r="I137" i="5"/>
  <c r="B144" i="7" s="1"/>
  <c r="Z63" i="5"/>
  <c r="M97"/>
  <c r="AD97" s="1"/>
  <c r="V55"/>
  <c r="B128" i="7"/>
  <c r="I136" i="5"/>
  <c r="D14" i="7"/>
  <c r="D125" s="1"/>
  <c r="M11" i="6"/>
  <c r="G9" i="7"/>
  <c r="F77"/>
  <c r="R77"/>
  <c r="F119" s="1"/>
  <c r="R9"/>
  <c r="J117" i="6"/>
  <c r="E42" i="7"/>
  <c r="G23"/>
  <c r="F24"/>
  <c r="P88"/>
  <c r="D89"/>
  <c r="Q83"/>
  <c r="E52"/>
  <c r="N17"/>
  <c r="N15"/>
  <c r="N52"/>
  <c r="N31"/>
  <c r="N32"/>
  <c r="N26"/>
  <c r="N23"/>
  <c r="N35"/>
  <c r="N21"/>
  <c r="N47"/>
  <c r="N44"/>
  <c r="N48"/>
  <c r="N62"/>
  <c r="N36"/>
  <c r="N46"/>
  <c r="N14"/>
  <c r="N51"/>
  <c r="N13"/>
  <c r="N54"/>
  <c r="N33"/>
  <c r="N45"/>
  <c r="N22"/>
  <c r="N55"/>
  <c r="N34"/>
  <c r="N59"/>
  <c r="N64"/>
  <c r="N20"/>
  <c r="N57"/>
  <c r="N38"/>
  <c r="N50"/>
  <c r="N63"/>
  <c r="N43"/>
  <c r="N42"/>
  <c r="N24"/>
  <c r="C166"/>
  <c r="B166" s="1"/>
  <c r="N16"/>
  <c r="N12"/>
  <c r="N65"/>
  <c r="N28"/>
  <c r="F104"/>
  <c r="D139"/>
  <c r="Q104" l="1"/>
  <c r="F50"/>
  <c r="P71" i="6"/>
  <c r="P11"/>
  <c r="E91" i="7"/>
  <c r="Q91" s="1"/>
  <c r="O86"/>
  <c r="C88"/>
  <c r="D92"/>
  <c r="P92" s="1"/>
  <c r="A159"/>
  <c r="A170"/>
  <c r="F26"/>
  <c r="F85"/>
  <c r="I30" i="6"/>
  <c r="I71"/>
  <c r="F11"/>
  <c r="F129" i="5"/>
  <c r="W97"/>
  <c r="F128"/>
  <c r="E30" i="6"/>
  <c r="E90" s="1"/>
  <c r="E71"/>
  <c r="Q95" i="7"/>
  <c r="Q80"/>
  <c r="Q100"/>
  <c r="Q87"/>
  <c r="E44"/>
  <c r="Q79"/>
  <c r="E12"/>
  <c r="Q85"/>
  <c r="Q99"/>
  <c r="E14"/>
  <c r="E125" s="1"/>
  <c r="Q93"/>
  <c r="Q84"/>
  <c r="E46"/>
  <c r="Q105"/>
  <c r="T100" i="5"/>
  <c r="T97"/>
  <c r="C11" i="6"/>
  <c r="C127" i="5"/>
  <c r="T99"/>
  <c r="C129"/>
  <c r="C128"/>
  <c r="I139"/>
  <c r="M128"/>
  <c r="B135" i="7" s="1"/>
  <c r="M127" i="5"/>
  <c r="B134" i="7" s="1"/>
  <c r="M129" i="5"/>
  <c r="B136" i="7" s="1"/>
  <c r="N102"/>
  <c r="C154"/>
  <c r="B154" s="1"/>
  <c r="F80"/>
  <c r="S100" i="5"/>
  <c r="S97"/>
  <c r="B129"/>
  <c r="B128"/>
  <c r="B11" i="6"/>
  <c r="S99" i="5"/>
  <c r="B127"/>
  <c r="G30" i="6"/>
  <c r="G90" s="1"/>
  <c r="G71"/>
  <c r="R104" i="7"/>
  <c r="M71" i="6"/>
  <c r="M30"/>
  <c r="H9" i="7"/>
  <c r="S77"/>
  <c r="G119" s="1"/>
  <c r="G77"/>
  <c r="S9"/>
  <c r="P89"/>
  <c r="P91"/>
  <c r="G104"/>
  <c r="E28"/>
  <c r="E86" s="1"/>
  <c r="F52"/>
  <c r="F28"/>
  <c r="F86" s="1"/>
  <c r="H23"/>
  <c r="G24"/>
  <c r="F42"/>
  <c r="P90" i="6" l="1"/>
  <c r="P30"/>
  <c r="F91" i="7"/>
  <c r="R91" s="1"/>
  <c r="O88"/>
  <c r="C89"/>
  <c r="O89" s="1"/>
  <c r="R83"/>
  <c r="F95"/>
  <c r="R95" s="1"/>
  <c r="E92"/>
  <c r="A160"/>
  <c r="A171"/>
  <c r="G85"/>
  <c r="G26"/>
  <c r="F71" i="6"/>
  <c r="F30"/>
  <c r="F90" s="1"/>
  <c r="I90"/>
  <c r="I55"/>
  <c r="R79" i="7"/>
  <c r="F44"/>
  <c r="R100"/>
  <c r="R105"/>
  <c r="R93"/>
  <c r="F14"/>
  <c r="F125" s="1"/>
  <c r="R84"/>
  <c r="F12"/>
  <c r="F92" s="1"/>
  <c r="R99"/>
  <c r="R80"/>
  <c r="F46"/>
  <c r="R87"/>
  <c r="R85"/>
  <c r="B143"/>
  <c r="P139" i="5"/>
  <c r="Q86" i="7"/>
  <c r="E88"/>
  <c r="Q92"/>
  <c r="B30" i="6"/>
  <c r="B90" s="1"/>
  <c r="B71"/>
  <c r="G80" i="7"/>
  <c r="G95" s="1"/>
  <c r="C71" i="6"/>
  <c r="C30"/>
  <c r="C90" s="1"/>
  <c r="G50" i="7"/>
  <c r="G42" s="1"/>
  <c r="M90" i="6"/>
  <c r="T77" i="7"/>
  <c r="H119" s="1"/>
  <c r="H77"/>
  <c r="T9"/>
  <c r="I9"/>
  <c r="S83"/>
  <c r="G52"/>
  <c r="E139"/>
  <c r="F139"/>
  <c r="G28"/>
  <c r="I23"/>
  <c r="H24"/>
  <c r="H104"/>
  <c r="H50" l="1"/>
  <c r="P115" i="6"/>
  <c r="P55"/>
  <c r="G91" i="7"/>
  <c r="S91" s="1"/>
  <c r="G139"/>
  <c r="G86"/>
  <c r="R92"/>
  <c r="A161"/>
  <c r="A172"/>
  <c r="H85"/>
  <c r="H26"/>
  <c r="H28" s="1"/>
  <c r="H86" s="1"/>
  <c r="I57" i="6"/>
  <c r="I115"/>
  <c r="H80" i="7"/>
  <c r="H95" s="1"/>
  <c r="E89"/>
  <c r="Q89" s="1"/>
  <c r="Q88"/>
  <c r="R86"/>
  <c r="F88"/>
  <c r="S79"/>
  <c r="S100"/>
  <c r="S99"/>
  <c r="G44"/>
  <c r="G12"/>
  <c r="S80"/>
  <c r="S93"/>
  <c r="G46"/>
  <c r="S105"/>
  <c r="G14"/>
  <c r="G125" s="1"/>
  <c r="S84"/>
  <c r="S95"/>
  <c r="S87"/>
  <c r="S85"/>
  <c r="S104"/>
  <c r="J9"/>
  <c r="U9"/>
  <c r="U77"/>
  <c r="I119" s="1"/>
  <c r="I77"/>
  <c r="H42"/>
  <c r="H52"/>
  <c r="I104"/>
  <c r="J23"/>
  <c r="I24"/>
  <c r="T83" l="1"/>
  <c r="T104"/>
  <c r="P117" i="6"/>
  <c r="P57"/>
  <c r="H91" i="7"/>
  <c r="G92"/>
  <c r="S92" s="1"/>
  <c r="H139"/>
  <c r="A173"/>
  <c r="A162"/>
  <c r="A174" s="1"/>
  <c r="I85"/>
  <c r="J24"/>
  <c r="I26"/>
  <c r="I117" i="6"/>
  <c r="I80" i="7"/>
  <c r="I95" s="1"/>
  <c r="S86"/>
  <c r="G88"/>
  <c r="R88"/>
  <c r="F89"/>
  <c r="R89" s="1"/>
  <c r="T79"/>
  <c r="T84"/>
  <c r="H14"/>
  <c r="H125" s="1"/>
  <c r="T85"/>
  <c r="T80"/>
  <c r="T87"/>
  <c r="H44"/>
  <c r="H46"/>
  <c r="T93"/>
  <c r="T105"/>
  <c r="T100"/>
  <c r="H12"/>
  <c r="T95"/>
  <c r="T99"/>
  <c r="V9"/>
  <c r="V77"/>
  <c r="J119" s="1"/>
  <c r="J77"/>
  <c r="T91"/>
  <c r="J104"/>
  <c r="K59"/>
  <c r="I50"/>
  <c r="U83"/>
  <c r="I52"/>
  <c r="U104" l="1"/>
  <c r="H92"/>
  <c r="T92" s="1"/>
  <c r="J26"/>
  <c r="J85"/>
  <c r="K85" s="1"/>
  <c r="K20"/>
  <c r="T86"/>
  <c r="H88"/>
  <c r="J80"/>
  <c r="W85" s="1"/>
  <c r="K79"/>
  <c r="G89"/>
  <c r="S89" s="1"/>
  <c r="S88"/>
  <c r="U80"/>
  <c r="U100"/>
  <c r="I46"/>
  <c r="U99"/>
  <c r="U105"/>
  <c r="U87"/>
  <c r="I14"/>
  <c r="I125" s="1"/>
  <c r="U95"/>
  <c r="I12"/>
  <c r="U93"/>
  <c r="I44"/>
  <c r="U84"/>
  <c r="U85"/>
  <c r="U79"/>
  <c r="J28"/>
  <c r="J86" s="1"/>
  <c r="K24"/>
  <c r="V83"/>
  <c r="K83"/>
  <c r="J52"/>
  <c r="I42"/>
  <c r="K104"/>
  <c r="W83"/>
  <c r="I28"/>
  <c r="I86" s="1"/>
  <c r="W93" l="1"/>
  <c r="J50"/>
  <c r="I91"/>
  <c r="W79"/>
  <c r="J95"/>
  <c r="I92"/>
  <c r="U92" s="1"/>
  <c r="V104"/>
  <c r="W80"/>
  <c r="W84"/>
  <c r="W100"/>
  <c r="J44"/>
  <c r="K44" s="1"/>
  <c r="V99"/>
  <c r="V100"/>
  <c r="V80"/>
  <c r="J14"/>
  <c r="V105"/>
  <c r="V87"/>
  <c r="W87"/>
  <c r="V79"/>
  <c r="J46"/>
  <c r="K46" s="1"/>
  <c r="V84"/>
  <c r="J12"/>
  <c r="J92" s="1"/>
  <c r="V93"/>
  <c r="K80"/>
  <c r="V85"/>
  <c r="W99"/>
  <c r="U86"/>
  <c r="I88"/>
  <c r="W86"/>
  <c r="H89"/>
  <c r="T89" s="1"/>
  <c r="T88"/>
  <c r="K50"/>
  <c r="J42"/>
  <c r="J91" s="1"/>
  <c r="J139"/>
  <c r="I139"/>
  <c r="K52"/>
  <c r="K28"/>
  <c r="K26"/>
  <c r="V86" l="1"/>
  <c r="K86"/>
  <c r="J88"/>
  <c r="J125"/>
  <c r="K125" s="1"/>
  <c r="K14"/>
  <c r="U88"/>
  <c r="I89"/>
  <c r="U89" s="1"/>
  <c r="V95"/>
  <c r="W95"/>
  <c r="K95"/>
  <c r="K12"/>
  <c r="K139"/>
  <c r="K91"/>
  <c r="V91"/>
  <c r="U91"/>
  <c r="W91"/>
  <c r="K42"/>
  <c r="W88" l="1"/>
  <c r="K88"/>
  <c r="J89"/>
  <c r="V88"/>
  <c r="K92"/>
  <c r="W92"/>
  <c r="V92"/>
  <c r="W89" l="1"/>
  <c r="V89"/>
  <c r="K89"/>
  <c r="O12"/>
  <c r="P12"/>
  <c r="Q12"/>
  <c r="R12"/>
  <c r="S12"/>
  <c r="T12"/>
  <c r="U12"/>
  <c r="V12"/>
  <c r="W12"/>
  <c r="C13"/>
  <c r="D13"/>
  <c r="E13"/>
  <c r="F13"/>
  <c r="G13"/>
  <c r="H13"/>
  <c r="I13"/>
  <c r="J13"/>
  <c r="O13"/>
  <c r="P13"/>
  <c r="Q13"/>
  <c r="R13"/>
  <c r="S13"/>
  <c r="T13"/>
  <c r="U13"/>
  <c r="V13"/>
  <c r="W13"/>
  <c r="O14"/>
  <c r="P14"/>
  <c r="Q14"/>
  <c r="R14"/>
  <c r="S14"/>
  <c r="T14"/>
  <c r="U14"/>
  <c r="V14"/>
  <c r="W14"/>
  <c r="O15"/>
  <c r="P15"/>
  <c r="Q15"/>
  <c r="R15"/>
  <c r="S15"/>
  <c r="T15"/>
  <c r="U15"/>
  <c r="V15"/>
  <c r="W15"/>
  <c r="C16"/>
  <c r="D16"/>
  <c r="E16"/>
  <c r="F16"/>
  <c r="G16"/>
  <c r="H16"/>
  <c r="I16"/>
  <c r="J16"/>
  <c r="K16"/>
  <c r="O16"/>
  <c r="P16"/>
  <c r="Q16"/>
  <c r="R16"/>
  <c r="S16"/>
  <c r="T16"/>
  <c r="U16"/>
  <c r="V16"/>
  <c r="W16"/>
  <c r="C17"/>
  <c r="D17"/>
  <c r="E17"/>
  <c r="F17"/>
  <c r="G17"/>
  <c r="H17"/>
  <c r="I17"/>
  <c r="J17"/>
  <c r="K17"/>
  <c r="O17"/>
  <c r="P17"/>
  <c r="Q17"/>
  <c r="R17"/>
  <c r="S17"/>
  <c r="T17"/>
  <c r="U17"/>
  <c r="V17"/>
  <c r="W17"/>
  <c r="O20"/>
  <c r="P20"/>
  <c r="Q20"/>
  <c r="R20"/>
  <c r="S20"/>
  <c r="T20"/>
  <c r="U20"/>
  <c r="V20"/>
  <c r="W20"/>
  <c r="O21"/>
  <c r="P21"/>
  <c r="Q21"/>
  <c r="R21"/>
  <c r="S21"/>
  <c r="T21"/>
  <c r="U21"/>
  <c r="V21"/>
  <c r="W21"/>
  <c r="O22"/>
  <c r="P22"/>
  <c r="Q22"/>
  <c r="R22"/>
  <c r="S22"/>
  <c r="T22"/>
  <c r="U22"/>
  <c r="V22"/>
  <c r="W22"/>
  <c r="O23"/>
  <c r="P23"/>
  <c r="Q23"/>
  <c r="R23"/>
  <c r="S23"/>
  <c r="T23"/>
  <c r="U23"/>
  <c r="V23"/>
  <c r="W23"/>
  <c r="O24"/>
  <c r="P24"/>
  <c r="Q24"/>
  <c r="R24"/>
  <c r="S24"/>
  <c r="T24"/>
  <c r="U24"/>
  <c r="V24"/>
  <c r="W24"/>
  <c r="O26"/>
  <c r="P26"/>
  <c r="Q26"/>
  <c r="R26"/>
  <c r="S26"/>
  <c r="T26"/>
  <c r="U26"/>
  <c r="V26"/>
  <c r="W26"/>
  <c r="O28"/>
  <c r="P28"/>
  <c r="Q28"/>
  <c r="R28"/>
  <c r="S28"/>
  <c r="T28"/>
  <c r="U28"/>
  <c r="V28"/>
  <c r="W28"/>
  <c r="O31"/>
  <c r="P31"/>
  <c r="Q31"/>
  <c r="R31"/>
  <c r="S31"/>
  <c r="T31"/>
  <c r="U31"/>
  <c r="V31"/>
  <c r="W31"/>
  <c r="O32"/>
  <c r="P32"/>
  <c r="Q32"/>
  <c r="R32"/>
  <c r="S32"/>
  <c r="T32"/>
  <c r="U32"/>
  <c r="V32"/>
  <c r="W32"/>
  <c r="C33"/>
  <c r="D33"/>
  <c r="E33"/>
  <c r="F33"/>
  <c r="G33"/>
  <c r="H33"/>
  <c r="I33"/>
  <c r="J33"/>
  <c r="K33"/>
  <c r="O33"/>
  <c r="P33"/>
  <c r="Q33"/>
  <c r="R33"/>
  <c r="S33"/>
  <c r="T33"/>
  <c r="U33"/>
  <c r="V33"/>
  <c r="W33"/>
  <c r="O34"/>
  <c r="P34"/>
  <c r="Q34"/>
  <c r="R34"/>
  <c r="S34"/>
  <c r="T34"/>
  <c r="U34"/>
  <c r="V34"/>
  <c r="W34"/>
  <c r="C35"/>
  <c r="D35"/>
  <c r="E35"/>
  <c r="F35"/>
  <c r="G35"/>
  <c r="H35"/>
  <c r="I35"/>
  <c r="J35"/>
  <c r="K35"/>
  <c r="O35"/>
  <c r="P35"/>
  <c r="Q35"/>
  <c r="R35"/>
  <c r="S35"/>
  <c r="T35"/>
  <c r="U35"/>
  <c r="V35"/>
  <c r="W35"/>
  <c r="C36"/>
  <c r="D36"/>
  <c r="E36"/>
  <c r="F36"/>
  <c r="G36"/>
  <c r="H36"/>
  <c r="I36"/>
  <c r="J36"/>
  <c r="K36"/>
  <c r="O36"/>
  <c r="P36"/>
  <c r="Q36"/>
  <c r="R36"/>
  <c r="S36"/>
  <c r="T36"/>
  <c r="U36"/>
  <c r="V36"/>
  <c r="W36"/>
  <c r="C37"/>
  <c r="D37"/>
  <c r="E37"/>
  <c r="F37"/>
  <c r="G37"/>
  <c r="H37"/>
  <c r="I37"/>
  <c r="J37"/>
  <c r="K37"/>
  <c r="O37"/>
  <c r="P37"/>
  <c r="Q37"/>
  <c r="R37"/>
  <c r="S37"/>
  <c r="T37"/>
  <c r="U37"/>
  <c r="V37"/>
  <c r="W37"/>
  <c r="C38"/>
  <c r="D38"/>
  <c r="E38"/>
  <c r="F38"/>
  <c r="G38"/>
  <c r="H38"/>
  <c r="I38"/>
  <c r="J38"/>
  <c r="K38"/>
  <c r="O38"/>
  <c r="P38"/>
  <c r="Q38"/>
  <c r="R38"/>
  <c r="S38"/>
  <c r="T38"/>
  <c r="U38"/>
  <c r="V38"/>
  <c r="W38"/>
  <c r="O42"/>
  <c r="P42"/>
  <c r="Q42"/>
  <c r="R42"/>
  <c r="S42"/>
  <c r="T42"/>
  <c r="U42"/>
  <c r="V42"/>
  <c r="W42"/>
  <c r="O43"/>
  <c r="P43"/>
  <c r="Q43"/>
  <c r="R43"/>
  <c r="S43"/>
  <c r="T43"/>
  <c r="U43"/>
  <c r="V43"/>
  <c r="W43"/>
  <c r="O44"/>
  <c r="P44"/>
  <c r="Q44"/>
  <c r="R44"/>
  <c r="S44"/>
  <c r="T44"/>
  <c r="U44"/>
  <c r="V44"/>
  <c r="W44"/>
  <c r="C45"/>
  <c r="D45"/>
  <c r="E45"/>
  <c r="F45"/>
  <c r="G45"/>
  <c r="H45"/>
  <c r="I45"/>
  <c r="J45"/>
  <c r="K45"/>
  <c r="O45"/>
  <c r="P45"/>
  <c r="Q45"/>
  <c r="R45"/>
  <c r="S45"/>
  <c r="T45"/>
  <c r="U45"/>
  <c r="V45"/>
  <c r="W45"/>
  <c r="O46"/>
  <c r="P46"/>
  <c r="Q46"/>
  <c r="R46"/>
  <c r="S46"/>
  <c r="T46"/>
  <c r="U46"/>
  <c r="V46"/>
  <c r="W46"/>
  <c r="C47"/>
  <c r="D47"/>
  <c r="E47"/>
  <c r="F47"/>
  <c r="G47"/>
  <c r="H47"/>
  <c r="I47"/>
  <c r="J47"/>
  <c r="K47"/>
  <c r="O47"/>
  <c r="P47"/>
  <c r="Q47"/>
  <c r="R47"/>
  <c r="S47"/>
  <c r="T47"/>
  <c r="U47"/>
  <c r="V47"/>
  <c r="W47"/>
  <c r="C48"/>
  <c r="D48"/>
  <c r="E48"/>
  <c r="F48"/>
  <c r="G48"/>
  <c r="H48"/>
  <c r="I48"/>
  <c r="J48"/>
  <c r="K48"/>
  <c r="O48"/>
  <c r="P48"/>
  <c r="Q48"/>
  <c r="R48"/>
  <c r="S48"/>
  <c r="T48"/>
  <c r="U48"/>
  <c r="V48"/>
  <c r="W48"/>
  <c r="O50"/>
  <c r="P50"/>
  <c r="Q50"/>
  <c r="R50"/>
  <c r="S50"/>
  <c r="T50"/>
  <c r="U50"/>
  <c r="V50"/>
  <c r="W50"/>
  <c r="O51"/>
  <c r="P51"/>
  <c r="Q51"/>
  <c r="R51"/>
  <c r="S51"/>
  <c r="T51"/>
  <c r="U51"/>
  <c r="V51"/>
  <c r="W51"/>
  <c r="O52"/>
  <c r="P52"/>
  <c r="Q52"/>
  <c r="R52"/>
  <c r="S52"/>
  <c r="T52"/>
  <c r="U52"/>
  <c r="V52"/>
  <c r="W52"/>
  <c r="C54"/>
  <c r="D54"/>
  <c r="E54"/>
  <c r="F54"/>
  <c r="G54"/>
  <c r="H54"/>
  <c r="I54"/>
  <c r="J54"/>
  <c r="O54"/>
  <c r="P54"/>
  <c r="Q54"/>
  <c r="R54"/>
  <c r="S54"/>
  <c r="T54"/>
  <c r="U54"/>
  <c r="V54"/>
  <c r="W54"/>
  <c r="C55"/>
  <c r="D55"/>
  <c r="E55"/>
  <c r="F55"/>
  <c r="G55"/>
  <c r="H55"/>
  <c r="I55"/>
  <c r="J55"/>
  <c r="K55"/>
  <c r="O55"/>
  <c r="P55"/>
  <c r="Q55"/>
  <c r="R55"/>
  <c r="S55"/>
  <c r="T55"/>
  <c r="U55"/>
  <c r="V55"/>
  <c r="W55"/>
  <c r="C57"/>
  <c r="D57"/>
  <c r="E57"/>
  <c r="F57"/>
  <c r="G57"/>
  <c r="H57"/>
  <c r="I57"/>
  <c r="J57"/>
  <c r="K57"/>
  <c r="O57"/>
  <c r="P57"/>
  <c r="Q57"/>
  <c r="R57"/>
  <c r="S57"/>
  <c r="T57"/>
  <c r="U57"/>
  <c r="V57"/>
  <c r="W57"/>
  <c r="O59"/>
  <c r="P59"/>
  <c r="Q59"/>
  <c r="R59"/>
  <c r="S59"/>
  <c r="T59"/>
  <c r="U59"/>
  <c r="V59"/>
  <c r="W59"/>
  <c r="O62"/>
  <c r="P62"/>
  <c r="Q62"/>
  <c r="R62"/>
  <c r="S62"/>
  <c r="T62"/>
  <c r="U62"/>
  <c r="V62"/>
  <c r="W62"/>
  <c r="C63"/>
  <c r="D63"/>
  <c r="E63"/>
  <c r="F63"/>
  <c r="G63"/>
  <c r="H63"/>
  <c r="I63"/>
  <c r="J63"/>
  <c r="K63"/>
  <c r="O63"/>
  <c r="P63"/>
  <c r="Q63"/>
  <c r="R63"/>
  <c r="S63"/>
  <c r="T63"/>
  <c r="U63"/>
  <c r="V63"/>
  <c r="W63"/>
  <c r="C64"/>
  <c r="D64"/>
  <c r="E64"/>
  <c r="F64"/>
  <c r="G64"/>
  <c r="H64"/>
  <c r="I64"/>
  <c r="J64"/>
  <c r="K64"/>
  <c r="O64"/>
  <c r="P64"/>
  <c r="Q64"/>
  <c r="R64"/>
  <c r="S64"/>
  <c r="T64"/>
  <c r="U64"/>
  <c r="V64"/>
  <c r="W64"/>
  <c r="C65"/>
  <c r="D65"/>
  <c r="E65"/>
  <c r="F65"/>
  <c r="G65"/>
  <c r="H65"/>
  <c r="I65"/>
  <c r="J65"/>
  <c r="K65"/>
  <c r="O65"/>
  <c r="P65"/>
  <c r="Q65"/>
  <c r="R65"/>
  <c r="S65"/>
  <c r="T65"/>
  <c r="U65"/>
  <c r="V65"/>
  <c r="W65"/>
  <c r="C67"/>
  <c r="D67"/>
  <c r="E67"/>
  <c r="F67"/>
  <c r="G67"/>
  <c r="H67"/>
  <c r="I67"/>
  <c r="J67"/>
  <c r="C68"/>
  <c r="D68"/>
  <c r="E68"/>
  <c r="F68"/>
  <c r="G68"/>
  <c r="H68"/>
  <c r="I68"/>
  <c r="J68"/>
  <c r="C94"/>
  <c r="D94"/>
  <c r="E94"/>
  <c r="F94"/>
  <c r="G94"/>
  <c r="H94"/>
  <c r="I94"/>
  <c r="J94"/>
  <c r="O94"/>
  <c r="P94"/>
  <c r="Q94"/>
  <c r="R94"/>
  <c r="S94"/>
  <c r="T94"/>
  <c r="U94"/>
  <c r="V94"/>
  <c r="W94"/>
  <c r="C96"/>
  <c r="D96"/>
  <c r="E96"/>
  <c r="F96"/>
  <c r="G96"/>
  <c r="H96"/>
  <c r="I96"/>
  <c r="J96"/>
  <c r="K96"/>
  <c r="O96"/>
  <c r="P96"/>
  <c r="Q96"/>
  <c r="R96"/>
  <c r="S96"/>
  <c r="T96"/>
  <c r="U96"/>
  <c r="V96"/>
  <c r="W96"/>
  <c r="C98"/>
  <c r="D98"/>
  <c r="E98"/>
  <c r="F98"/>
  <c r="G98"/>
  <c r="H98"/>
  <c r="I98"/>
  <c r="J98"/>
  <c r="K98"/>
  <c r="C101"/>
  <c r="D101"/>
  <c r="E101"/>
  <c r="F101"/>
  <c r="G101"/>
  <c r="H101"/>
  <c r="I101"/>
  <c r="J101"/>
  <c r="K101"/>
  <c r="O101"/>
  <c r="P101"/>
  <c r="Q101"/>
  <c r="R101"/>
  <c r="S101"/>
  <c r="T101"/>
  <c r="U101"/>
  <c r="V101"/>
  <c r="W101"/>
  <c r="C102"/>
  <c r="D102"/>
  <c r="E102"/>
  <c r="F102"/>
  <c r="G102"/>
  <c r="H102"/>
  <c r="I102"/>
  <c r="J102"/>
  <c r="K102"/>
  <c r="O102"/>
  <c r="P102"/>
  <c r="Q102"/>
  <c r="R102"/>
  <c r="S102"/>
  <c r="T102"/>
  <c r="U102"/>
  <c r="V102"/>
  <c r="W102"/>
  <c r="C122"/>
  <c r="D122"/>
  <c r="E122"/>
  <c r="F122"/>
  <c r="G122"/>
  <c r="H122"/>
  <c r="I122"/>
  <c r="J122"/>
  <c r="K122"/>
  <c r="C123"/>
  <c r="D123"/>
  <c r="E123"/>
  <c r="F123"/>
  <c r="G123"/>
  <c r="H123"/>
  <c r="I123"/>
  <c r="J123"/>
  <c r="K123"/>
  <c r="C124"/>
  <c r="D124"/>
  <c r="E124"/>
  <c r="F124"/>
  <c r="G124"/>
  <c r="H124"/>
  <c r="I124"/>
  <c r="J124"/>
  <c r="K124"/>
  <c r="C128"/>
  <c r="D128"/>
  <c r="E128"/>
  <c r="F128"/>
  <c r="G128"/>
  <c r="H128"/>
  <c r="I128"/>
  <c r="J128"/>
  <c r="K128"/>
  <c r="C129"/>
  <c r="D129"/>
  <c r="E129"/>
  <c r="F129"/>
  <c r="G129"/>
  <c r="H129"/>
  <c r="I129"/>
  <c r="J129"/>
  <c r="K129"/>
  <c r="C130"/>
  <c r="D130"/>
  <c r="E130"/>
  <c r="F130"/>
  <c r="G130"/>
  <c r="H130"/>
  <c r="I130"/>
  <c r="J130"/>
  <c r="K130"/>
  <c r="C131"/>
  <c r="D131"/>
  <c r="E131"/>
  <c r="F131"/>
  <c r="G131"/>
  <c r="H131"/>
  <c r="I131"/>
  <c r="J131"/>
  <c r="K131"/>
  <c r="C134"/>
  <c r="D134"/>
  <c r="E134"/>
  <c r="F134"/>
  <c r="G134"/>
  <c r="H134"/>
  <c r="I134"/>
  <c r="J134"/>
  <c r="K134"/>
  <c r="C135"/>
  <c r="D135"/>
  <c r="E135"/>
  <c r="F135"/>
  <c r="G135"/>
  <c r="H135"/>
  <c r="I135"/>
  <c r="J135"/>
  <c r="K135"/>
  <c r="C136"/>
  <c r="D136"/>
  <c r="E136"/>
  <c r="F136"/>
  <c r="G136"/>
  <c r="H136"/>
  <c r="I136"/>
  <c r="J136"/>
  <c r="K136"/>
  <c r="C140"/>
  <c r="D140"/>
  <c r="E140"/>
  <c r="F140"/>
  <c r="G140"/>
  <c r="H140"/>
  <c r="I140"/>
  <c r="J140"/>
  <c r="K140"/>
  <c r="C143"/>
  <c r="D143"/>
  <c r="E143"/>
  <c r="F143"/>
  <c r="G143"/>
  <c r="H143"/>
  <c r="I143"/>
  <c r="J143"/>
  <c r="K143"/>
  <c r="C144"/>
  <c r="D144"/>
  <c r="E144"/>
  <c r="F144"/>
  <c r="G144"/>
  <c r="H144"/>
  <c r="I144"/>
  <c r="J144"/>
  <c r="K144"/>
  <c r="C145"/>
  <c r="D145"/>
  <c r="E145"/>
  <c r="F145"/>
  <c r="G145"/>
  <c r="H145"/>
  <c r="I145"/>
  <c r="J145"/>
  <c r="K145"/>
  <c r="C146"/>
  <c r="D146"/>
  <c r="E146"/>
  <c r="F146"/>
  <c r="G146"/>
  <c r="H146"/>
  <c r="I146"/>
  <c r="J146"/>
  <c r="C148"/>
  <c r="D148"/>
  <c r="E148"/>
  <c r="F148"/>
  <c r="G148"/>
  <c r="H148"/>
  <c r="I148"/>
  <c r="J148"/>
  <c r="K148"/>
  <c r="B155"/>
  <c r="C155"/>
  <c r="B156"/>
  <c r="C156"/>
  <c r="B157"/>
  <c r="C157"/>
  <c r="B158"/>
  <c r="C158"/>
  <c r="B159"/>
  <c r="C159"/>
  <c r="B160"/>
  <c r="C160"/>
  <c r="B161"/>
  <c r="C161"/>
  <c r="B162"/>
  <c r="C162"/>
  <c r="B167"/>
  <c r="C167"/>
  <c r="B168"/>
  <c r="C168"/>
  <c r="B169"/>
  <c r="C169"/>
  <c r="B170"/>
  <c r="C170"/>
  <c r="B171"/>
  <c r="C171"/>
  <c r="B172"/>
  <c r="C172"/>
  <c r="B173"/>
  <c r="C173"/>
  <c r="B174"/>
  <c r="C174"/>
</calcChain>
</file>

<file path=xl/sharedStrings.xml><?xml version="1.0" encoding="utf-8"?>
<sst xmlns="http://schemas.openxmlformats.org/spreadsheetml/2006/main" count="431" uniqueCount="243">
  <si>
    <t>Account Name</t>
  </si>
  <si>
    <t>Accounts Payable</t>
  </si>
  <si>
    <t>Accounts Receivable</t>
  </si>
  <si>
    <t>Average</t>
  </si>
  <si>
    <t>Avg. Annual</t>
  </si>
  <si>
    <t>Cash &amp; Equivalents</t>
  </si>
  <si>
    <t>Common Stock</t>
  </si>
  <si>
    <t>Current</t>
  </si>
  <si>
    <t>Current Assets:</t>
  </si>
  <si>
    <t>Current Liabilities:</t>
  </si>
  <si>
    <t>Days Revenues Receivable</t>
  </si>
  <si>
    <t>Deferred Income Taxes</t>
  </si>
  <si>
    <t>Earnings Before Taxes</t>
  </si>
  <si>
    <t>Earnings From Operations</t>
  </si>
  <si>
    <t>Historical Income Statements</t>
  </si>
  <si>
    <t>Income Taxes</t>
  </si>
  <si>
    <t>Long-term Solvency Ratios:</t>
  </si>
  <si>
    <t>Net Income</t>
  </si>
  <si>
    <t>Net Worth/Fixed Assets</t>
  </si>
  <si>
    <t>Net Worth/Non Current Debt</t>
  </si>
  <si>
    <t>Net Worth/Total Debt</t>
  </si>
  <si>
    <t>Operating Expenses:</t>
  </si>
  <si>
    <t>Other Current Assets</t>
  </si>
  <si>
    <t>Pct. Change</t>
  </si>
  <si>
    <t>Plant &amp; Equipment:</t>
  </si>
  <si>
    <t>Quick</t>
  </si>
  <si>
    <t>Ratio Group And Name</t>
  </si>
  <si>
    <t>Retained Earnings</t>
  </si>
  <si>
    <t>Return On Total Assets</t>
  </si>
  <si>
    <t>Short-term Liquidity Ratios:</t>
  </si>
  <si>
    <t>Times Interest Earned</t>
  </si>
  <si>
    <t>Total Assets</t>
  </si>
  <si>
    <t>Total Current Assets</t>
  </si>
  <si>
    <t>Total Current Liabilities</t>
  </si>
  <si>
    <t>Total Liabilities</t>
  </si>
  <si>
    <t>Total Liabilities &amp; Equity</t>
  </si>
  <si>
    <t>Total Non-Current Assets</t>
  </si>
  <si>
    <t>Total Operating Expenses</t>
  </si>
  <si>
    <t>Wt. Average</t>
  </si>
  <si>
    <t>Common Size</t>
  </si>
  <si>
    <t>Historical Balance Sheets</t>
  </si>
  <si>
    <t>Historical Financial Ratios</t>
  </si>
  <si>
    <t>PacifiCorp</t>
  </si>
  <si>
    <t>Extraordinary Items</t>
  </si>
  <si>
    <t>Revenues</t>
  </si>
  <si>
    <t>Total Revenues</t>
  </si>
  <si>
    <t>Preferred Stock Dividends</t>
  </si>
  <si>
    <t>Common Stock Dividends</t>
  </si>
  <si>
    <t>Material, Supplies, Fuel</t>
  </si>
  <si>
    <t>Other PP&amp;E</t>
  </si>
  <si>
    <t>Accumulated Depreciation &amp; Amort.</t>
  </si>
  <si>
    <t>Net Plant &amp; Equipment</t>
  </si>
  <si>
    <t>Regulatory Assets</t>
  </si>
  <si>
    <t>Intangible Assets-net</t>
  </si>
  <si>
    <t>Deferred Charges and Other</t>
  </si>
  <si>
    <t>Investments in Affiliates</t>
  </si>
  <si>
    <t>Current Maturities LTD</t>
  </si>
  <si>
    <t>Long-Term Debt</t>
  </si>
  <si>
    <t>Total LTD &amp; Deferrals</t>
  </si>
  <si>
    <t>Preferred Stock</t>
  </si>
  <si>
    <t>Total Plant &amp; Equipment:</t>
  </si>
  <si>
    <t xml:space="preserve">Other </t>
  </si>
  <si>
    <t>Common Equity:</t>
  </si>
  <si>
    <t>Total Common Equity</t>
  </si>
  <si>
    <t>Return On Common Equity</t>
  </si>
  <si>
    <t>Return On Total Capital</t>
  </si>
  <si>
    <t>Profitability Ratios:</t>
  </si>
  <si>
    <t>Other Financial Indicators:</t>
  </si>
  <si>
    <t>Bond Rating</t>
  </si>
  <si>
    <t>Common Stock Rating</t>
  </si>
  <si>
    <t>Commercial Paper Ratings</t>
  </si>
  <si>
    <t>Other Assets:</t>
  </si>
  <si>
    <t>Total Other Assets</t>
  </si>
  <si>
    <t>Cash flows from operating activities:</t>
  </si>
  <si>
    <t xml:space="preserve">   Net income</t>
  </si>
  <si>
    <t xml:space="preserve">   Adjustments to reconcile net income</t>
  </si>
  <si>
    <t xml:space="preserve">     to net cash provided by operating activities:</t>
  </si>
  <si>
    <t xml:space="preserve">       Gain on disposal of discontinued operations</t>
  </si>
  <si>
    <t>-</t>
  </si>
  <si>
    <t xml:space="preserve">       Cumulative effect of accounting change, net of tax</t>
  </si>
  <si>
    <t xml:space="preserve">       Unrealized gain on derivative contracts</t>
  </si>
  <si>
    <t xml:space="preserve">       Depreciation and amortization</t>
  </si>
  <si>
    <t xml:space="preserve">       Deferred income taxes and investment tax credits - net</t>
  </si>
  <si>
    <t xml:space="preserve">       (Gain) loss on sale of subsidiary and assets</t>
  </si>
  <si>
    <t xml:space="preserve">       Regulatory asset/liability establishment and amortization</t>
  </si>
  <si>
    <t xml:space="preserve">       Other</t>
  </si>
  <si>
    <t xml:space="preserve">   Changes in: </t>
  </si>
  <si>
    <t xml:space="preserve">      Accounts receivable, prepayments and other current assets</t>
  </si>
  <si>
    <t xml:space="preserve">      Inventories</t>
  </si>
  <si>
    <t xml:space="preserve">      Accounts payable and accrued liabilities</t>
  </si>
  <si>
    <t xml:space="preserve">      Other</t>
  </si>
  <si>
    <t>Net cash provided by operating activities</t>
  </si>
  <si>
    <t>Cash flows from investing activities:</t>
  </si>
  <si>
    <t>Investments affilated and partent companies-net</t>
  </si>
  <si>
    <t xml:space="preserve">     Capital expenditures</t>
  </si>
  <si>
    <t xml:space="preserve">     Proceeds from sales of assets</t>
  </si>
  <si>
    <t xml:space="preserve">     Proceeds from sales of finance assets and principal payments</t>
  </si>
  <si>
    <t xml:space="preserve">     Proceeds from available-for-sale securities</t>
  </si>
  <si>
    <t xml:space="preserve">     Purchases of available-for-sale securities</t>
  </si>
  <si>
    <t xml:space="preserve">     Other</t>
  </si>
  <si>
    <t>Net cash used in investing activities</t>
  </si>
  <si>
    <t>Cash flows from financing activities:</t>
  </si>
  <si>
    <t xml:space="preserve">     Changes in short-term debt</t>
  </si>
  <si>
    <t xml:space="preserve">     Proceeds from long-term debt, net of issuance costs</t>
  </si>
  <si>
    <t xml:space="preserve">     Proceeds from issuance of common stock to PHI</t>
  </si>
  <si>
    <t xml:space="preserve">     Dividends paid</t>
  </si>
  <si>
    <t xml:space="preserve">     Repayments and redemptions of long-term debt</t>
  </si>
  <si>
    <t xml:space="preserve">     Repayment of preferred securities</t>
  </si>
  <si>
    <t xml:space="preserve">     Redemptions of preferred stock</t>
  </si>
  <si>
    <t>Net cash provided by (used in) financing activities</t>
  </si>
  <si>
    <t>Change in cash and cash equivalents</t>
  </si>
  <si>
    <t>Cash and cash equivalents at beginning of period</t>
  </si>
  <si>
    <t>Cash and cash equivalents at end of period</t>
  </si>
  <si>
    <t>Historical Cash Flow Statements</t>
  </si>
  <si>
    <t>Cash Flows as a Percent of Revenues</t>
  </si>
  <si>
    <t>Exhibit 1</t>
  </si>
  <si>
    <t>page 3 of 7</t>
  </si>
  <si>
    <t>page 6 of 7</t>
  </si>
  <si>
    <t>page 5 of 7</t>
  </si>
  <si>
    <t>page 7 of 7</t>
  </si>
  <si>
    <t>page 4 of 7</t>
  </si>
  <si>
    <t>page 1 of 7</t>
  </si>
  <si>
    <t>page 2 of 7</t>
  </si>
  <si>
    <t>Forecast Balance Sheets</t>
  </si>
  <si>
    <t>Historical</t>
  </si>
  <si>
    <t>Forecast</t>
  </si>
  <si>
    <t>Wtd. Avg.</t>
  </si>
  <si>
    <t>Pct. Of Assets</t>
  </si>
  <si>
    <t>Difference</t>
  </si>
  <si>
    <t>Previous Value</t>
  </si>
  <si>
    <t>Difference in Total Assets &amp; Total Liabilities</t>
  </si>
  <si>
    <t>Forecast Year</t>
  </si>
  <si>
    <t>Asset Value</t>
  </si>
  <si>
    <t>FORECAST ASSUMPTIONS</t>
  </si>
  <si>
    <t>Company Name</t>
  </si>
  <si>
    <t>Inflation (GDP)</t>
  </si>
  <si>
    <t>of total assets</t>
  </si>
  <si>
    <t>Surplus Cash</t>
  </si>
  <si>
    <t>Additonal Loans</t>
  </si>
  <si>
    <t>Period</t>
  </si>
  <si>
    <t>estimate: Value Line 3-5 year at 2.50 percent, add 0.25% for higer commodity prices</t>
  </si>
  <si>
    <t>Short-term debt Rate</t>
  </si>
  <si>
    <t>Rate on Cash balances</t>
  </si>
  <si>
    <t>Plant in Service</t>
  </si>
  <si>
    <t>Construction Work in Progress</t>
  </si>
  <si>
    <t xml:space="preserve">     Proceeds from issuance of common stock/equity contribution</t>
  </si>
  <si>
    <t xml:space="preserve">    Investments in affilated companies-net</t>
  </si>
  <si>
    <t>Forecast Income Statements</t>
  </si>
  <si>
    <t>Forecast Financial Ratios</t>
  </si>
  <si>
    <t>Difference in Net Income</t>
  </si>
  <si>
    <t>Common Equity</t>
  </si>
  <si>
    <t>Australian Electric Operations</t>
  </si>
  <si>
    <t>Operating Sales and Revenues:</t>
  </si>
  <si>
    <t>*</t>
  </si>
  <si>
    <t>Average includes both fuel and power costs.</t>
  </si>
  <si>
    <t>Percent change includes both fuel and power costs.</t>
  </si>
  <si>
    <t>Asset-Utilization Ratios:</t>
  </si>
  <si>
    <t>Regulatory Capital Structure</t>
  </si>
  <si>
    <t>Long Term Debt (incl. current portion)</t>
  </si>
  <si>
    <t>Total Capital (Millions of Dollars)</t>
  </si>
  <si>
    <t>A- / BBB+</t>
  </si>
  <si>
    <t>Other operations and maintenance</t>
  </si>
  <si>
    <t>Depreciation and amortization</t>
  </si>
  <si>
    <t>Other Operating Expenses</t>
  </si>
  <si>
    <t>Taxes, other than income taxes</t>
  </si>
  <si>
    <t>Interest expense (net)</t>
  </si>
  <si>
    <t>Interest income</t>
  </si>
  <si>
    <t>Loss (Gain) on Sale of Assets</t>
  </si>
  <si>
    <t>Other (Income) Expense</t>
  </si>
  <si>
    <t>Financial Assets/Derivatives</t>
  </si>
  <si>
    <t>Derivative Contacts</t>
  </si>
  <si>
    <t>Derivative Contracts</t>
  </si>
  <si>
    <t>Short-term Debt</t>
  </si>
  <si>
    <t>Accrued Expenses</t>
  </si>
  <si>
    <t>Energy Costs</t>
  </si>
  <si>
    <t>Other Long-term Liabilities</t>
  </si>
  <si>
    <t>Forecast Common Size Balance Sheets</t>
  </si>
  <si>
    <t>Description</t>
  </si>
  <si>
    <t>Comments</t>
  </si>
  <si>
    <t>percent of assets</t>
  </si>
  <si>
    <t>computer calculation</t>
  </si>
  <si>
    <t>fixed amount</t>
  </si>
  <si>
    <t>percent of revenues</t>
  </si>
  <si>
    <t>percent of LTD</t>
  </si>
  <si>
    <t xml:space="preserve">average </t>
  </si>
  <si>
    <t>constant at 2009 amount</t>
  </si>
  <si>
    <t>Common Size Forecast Income Statements</t>
  </si>
  <si>
    <t>Interest Expense (Income) on Additional Loans (Surplus Cash)</t>
  </si>
  <si>
    <t>of plant in service</t>
  </si>
  <si>
    <t>cost of average s-t and l-t debt</t>
  </si>
  <si>
    <t>of average cash balance</t>
  </si>
  <si>
    <t>computer calculation based on average surplus cash and additional loans times s-t and l-t debt interest</t>
  </si>
  <si>
    <t>constant</t>
  </si>
  <si>
    <t>of EBT</t>
  </si>
  <si>
    <t>last year's LTD less last year's current maturities</t>
  </si>
  <si>
    <t>revenue growth rate</t>
  </si>
  <si>
    <t>Additional Loans Rate</t>
  </si>
  <si>
    <t>Revenues/Fixed Assets</t>
  </si>
  <si>
    <t>Revenues/Total Assets</t>
  </si>
  <si>
    <t>A/BBB+</t>
  </si>
  <si>
    <t xml:space="preserve">      Derivative Collateral, net</t>
  </si>
  <si>
    <t>page 3 of 5</t>
  </si>
  <si>
    <t>page 1 of 5</t>
  </si>
  <si>
    <t>page 5 of 5</t>
  </si>
  <si>
    <t>page 4 of 5</t>
  </si>
  <si>
    <t>page 2 of 5</t>
  </si>
  <si>
    <t>Manually estimated to keep capital structure in expected range of 50-53%</t>
  </si>
  <si>
    <t>Exhibit 2</t>
  </si>
  <si>
    <t>Total Other (Income)/Expense</t>
  </si>
  <si>
    <t>Days Revenues Cash</t>
  </si>
  <si>
    <t xml:space="preserve">     Common Stock Dividends paid</t>
  </si>
  <si>
    <t>same as revenue</t>
  </si>
  <si>
    <t>Inflation rate</t>
  </si>
  <si>
    <t>Times Interest Earned plus Depr.</t>
  </si>
  <si>
    <t xml:space="preserve">     Preferred Stock Dividends paid</t>
  </si>
  <si>
    <t>2007-2012</t>
  </si>
  <si>
    <t>estimated growth rate,</t>
  </si>
  <si>
    <t>estimated from 2007-2012</t>
  </si>
  <si>
    <t>2010-2012</t>
  </si>
  <si>
    <t xml:space="preserve">of revenues, </t>
  </si>
  <si>
    <t>equal to 0.5 dividend payments</t>
  </si>
  <si>
    <t>after 2012</t>
  </si>
  <si>
    <t>assumes 2012 reflects new policy</t>
  </si>
  <si>
    <t>2011-2012</t>
  </si>
  <si>
    <t>avg pct. of  assets</t>
  </si>
  <si>
    <t xml:space="preserve">absolute avg. growth </t>
  </si>
  <si>
    <t>of assets</t>
  </si>
  <si>
    <t>of fuel expense,</t>
  </si>
  <si>
    <t>0.5 pct. Of growth rate</t>
  </si>
  <si>
    <t xml:space="preserve">Actual 2007 to 2012 growth rate, </t>
  </si>
  <si>
    <t>2012 value</t>
  </si>
  <si>
    <t>estimated from recent historical data</t>
  </si>
  <si>
    <t>Pct.of net plant</t>
  </si>
  <si>
    <t>March</t>
  </si>
  <si>
    <t>Fiscal Years Ended December 31, 2007-2012, Three Months Ended March 31, 2013</t>
  </si>
  <si>
    <t>2013 10-K forecast suggests total Cap ex under 1.15 billion/year</t>
  </si>
  <si>
    <t>Three Months</t>
  </si>
  <si>
    <t xml:space="preserve">      Income taxes, net</t>
  </si>
  <si>
    <t>1150 per year fixed, then Revenue grwth after 2015</t>
  </si>
  <si>
    <t>five year average</t>
  </si>
  <si>
    <t>percent of plant in service</t>
  </si>
  <si>
    <t>fixed amount, then $1000 after     2015</t>
  </si>
  <si>
    <t>per March 2013 10-Q, Company retiring all preferred stock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</si>
</sst>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7" formatCode="&quot;$&quot;#,##0.00_);\(&quot;$&quot;#,##0.00\)"/>
    <numFmt numFmtId="164" formatCode="0.000%"/>
    <numFmt numFmtId="165" formatCode="#,##0.0_);\(#,##0.0\)"/>
    <numFmt numFmtId="166" formatCode="&quot;$&quot;#,##0.0_);\(&quot;$&quot;#,##0.0\)"/>
    <numFmt numFmtId="167" formatCode="#,##0.0"/>
    <numFmt numFmtId="168" formatCode="#,##0.000_);\(#,##0.000\)"/>
    <numFmt numFmtId="169" formatCode="0_);\(0\)"/>
    <numFmt numFmtId="170" formatCode="0.00_);\(0.00\)"/>
    <numFmt numFmtId="171" formatCode="&quot;$&quot;#,##0.00000_);\(&quot;$&quot;#,##0.00000\)"/>
  </numFmts>
  <fonts count="23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double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4" fontId="10" fillId="2" borderId="0"/>
    <xf numFmtId="3" fontId="10" fillId="2" borderId="0"/>
    <xf numFmtId="7" fontId="10" fillId="2" borderId="0"/>
    <xf numFmtId="5" fontId="10" fillId="2" borderId="0"/>
    <xf numFmtId="0" fontId="10" fillId="2" borderId="0"/>
    <xf numFmtId="2" fontId="10" fillId="2" borderId="0"/>
    <xf numFmtId="0" fontId="1" fillId="2" borderId="0"/>
    <xf numFmtId="0" fontId="2" fillId="2" borderId="0"/>
    <xf numFmtId="0" fontId="10" fillId="0" borderId="0" applyFill="0" applyBorder="0"/>
    <xf numFmtId="10" fontId="10" fillId="2" borderId="0"/>
    <xf numFmtId="0" fontId="10" fillId="2" borderId="1"/>
  </cellStyleXfs>
  <cellXfs count="309">
    <xf numFmtId="5" fontId="0" fillId="2" borderId="0" xfId="0" applyNumberFormat="1" applyFill="1"/>
    <xf numFmtId="10" fontId="0" fillId="2" borderId="0" xfId="0" applyNumberFormat="1" applyFill="1"/>
    <xf numFmtId="5" fontId="5" fillId="2" borderId="0" xfId="0" applyNumberFormat="1" applyFont="1" applyFill="1"/>
    <xf numFmtId="5" fontId="5" fillId="2" borderId="2" xfId="0" applyNumberFormat="1" applyFont="1" applyFill="1" applyBorder="1"/>
    <xf numFmtId="0" fontId="5" fillId="2" borderId="2" xfId="0" applyFont="1" applyFill="1" applyBorder="1"/>
    <xf numFmtId="10" fontId="5" fillId="2" borderId="0" xfId="0" applyNumberFormat="1" applyFont="1" applyFill="1"/>
    <xf numFmtId="10" fontId="5" fillId="2" borderId="2" xfId="0" applyNumberFormat="1" applyFont="1" applyFill="1" applyBorder="1"/>
    <xf numFmtId="10" fontId="5" fillId="2" borderId="3" xfId="0" applyNumberFormat="1" applyFont="1" applyFill="1" applyBorder="1"/>
    <xf numFmtId="2" fontId="5" fillId="2" borderId="0" xfId="0" applyNumberFormat="1" applyFont="1" applyFill="1"/>
    <xf numFmtId="5" fontId="3" fillId="2" borderId="0" xfId="0" applyNumberFormat="1" applyFont="1" applyFill="1" applyAlignment="1">
      <alignment horizontal="centerContinuous"/>
    </xf>
    <xf numFmtId="5" fontId="0" fillId="2" borderId="0" xfId="0" applyNumberFormat="1" applyFill="1" applyAlignment="1">
      <alignment horizontal="centerContinuous"/>
    </xf>
    <xf numFmtId="5" fontId="4" fillId="2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>
      <alignment horizontal="centerContinuous"/>
    </xf>
    <xf numFmtId="10" fontId="5" fillId="2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>
      <alignment horizontal="right"/>
    </xf>
    <xf numFmtId="10" fontId="5" fillId="2" borderId="0" xfId="0" applyNumberFormat="1" applyFont="1" applyFill="1" applyAlignment="1">
      <alignment horizontal="right"/>
    </xf>
    <xf numFmtId="10" fontId="5" fillId="2" borderId="2" xfId="0" applyNumberFormat="1" applyFont="1" applyFill="1" applyBorder="1" applyAlignment="1">
      <alignment horizontal="right"/>
    </xf>
    <xf numFmtId="10" fontId="5" fillId="2" borderId="4" xfId="0" applyNumberFormat="1" applyFont="1" applyFill="1" applyBorder="1"/>
    <xf numFmtId="10" fontId="5" fillId="2" borderId="0" xfId="0" applyNumberFormat="1" applyFont="1" applyFill="1" applyBorder="1"/>
    <xf numFmtId="5" fontId="5" fillId="2" borderId="0" xfId="0" applyNumberFormat="1" applyFont="1" applyFill="1" applyBorder="1"/>
    <xf numFmtId="5" fontId="5" fillId="2" borderId="4" xfId="0" applyNumberFormat="1" applyFont="1" applyFill="1" applyBorder="1"/>
    <xf numFmtId="5" fontId="0" fillId="2" borderId="0" xfId="0" applyNumberFormat="1" applyFill="1" applyBorder="1"/>
    <xf numFmtId="0" fontId="5" fillId="2" borderId="0" xfId="0" applyFont="1" applyFill="1" applyBorder="1"/>
    <xf numFmtId="10" fontId="5" fillId="2" borderId="0" xfId="0" applyNumberFormat="1" applyFont="1" applyFill="1" applyBorder="1" applyAlignment="1">
      <alignment horizontal="right"/>
    </xf>
    <xf numFmtId="0" fontId="10" fillId="2" borderId="0" xfId="9" applyFill="1"/>
    <xf numFmtId="0" fontId="9" fillId="0" borderId="0" xfId="9" applyFont="1" applyFill="1" applyBorder="1" applyAlignment="1">
      <alignment vertical="center"/>
    </xf>
    <xf numFmtId="165" fontId="9" fillId="2" borderId="0" xfId="9" applyNumberFormat="1" applyFont="1" applyFill="1" applyBorder="1" applyAlignment="1">
      <alignment horizontal="right"/>
    </xf>
    <xf numFmtId="0" fontId="9" fillId="0" borderId="0" xfId="9" applyFont="1" applyBorder="1" applyAlignment="1">
      <alignment vertical="center"/>
    </xf>
    <xf numFmtId="165" fontId="9" fillId="0" borderId="0" xfId="9" applyNumberFormat="1" applyFont="1" applyFill="1" applyBorder="1" applyAlignment="1">
      <alignment horizontal="right"/>
    </xf>
    <xf numFmtId="0" fontId="7" fillId="3" borderId="0" xfId="9" applyFont="1" applyFill="1" applyBorder="1" applyAlignment="1"/>
    <xf numFmtId="0" fontId="9" fillId="0" borderId="5" xfId="9" applyFont="1" applyBorder="1" applyAlignment="1">
      <alignment vertical="center"/>
    </xf>
    <xf numFmtId="165" fontId="9" fillId="2" borderId="5" xfId="9" applyNumberFormat="1" applyFont="1" applyFill="1" applyBorder="1" applyAlignment="1">
      <alignment horizontal="right"/>
    </xf>
    <xf numFmtId="0" fontId="10" fillId="2" borderId="0" xfId="9" applyFont="1" applyFill="1"/>
    <xf numFmtId="167" fontId="10" fillId="2" borderId="0" xfId="9" applyNumberFormat="1" applyFill="1"/>
    <xf numFmtId="0" fontId="11" fillId="0" borderId="0" xfId="9" applyFont="1" applyFill="1" applyBorder="1" applyAlignment="1">
      <alignment horizontal="right"/>
    </xf>
    <xf numFmtId="0" fontId="11" fillId="2" borderId="0" xfId="9" applyNumberFormat="1" applyFont="1" applyFill="1" applyBorder="1" applyAlignment="1">
      <alignment horizontal="right"/>
    </xf>
    <xf numFmtId="0" fontId="11" fillId="2" borderId="0" xfId="9" applyFont="1" applyFill="1"/>
    <xf numFmtId="0" fontId="9" fillId="2" borderId="0" xfId="9" applyFont="1" applyFill="1"/>
    <xf numFmtId="167" fontId="9" fillId="2" borderId="0" xfId="9" applyNumberFormat="1" applyFont="1" applyFill="1"/>
    <xf numFmtId="0" fontId="10" fillId="2" borderId="0" xfId="9" applyFill="1" applyAlignment="1">
      <alignment horizontal="centerContinuous"/>
    </xf>
    <xf numFmtId="5" fontId="13" fillId="2" borderId="0" xfId="9" applyNumberFormat="1" applyFont="1" applyFill="1" applyAlignment="1">
      <alignment horizontal="centerContinuous"/>
    </xf>
    <xf numFmtId="167" fontId="10" fillId="2" borderId="0" xfId="9" applyNumberFormat="1" applyFill="1" applyAlignment="1">
      <alignment horizontal="centerContinuous"/>
    </xf>
    <xf numFmtId="0" fontId="15" fillId="2" borderId="0" xfId="9" applyFont="1" applyFill="1" applyAlignment="1">
      <alignment horizontal="centerContinuous"/>
    </xf>
    <xf numFmtId="0" fontId="10" fillId="2" borderId="0" xfId="9" applyFont="1" applyFill="1" applyAlignment="1">
      <alignment horizontal="centerContinuous"/>
    </xf>
    <xf numFmtId="0" fontId="11" fillId="2" borderId="0" xfId="9" applyFont="1" applyFill="1" applyAlignment="1">
      <alignment horizontal="center"/>
    </xf>
    <xf numFmtId="167" fontId="10" fillId="2" borderId="0" xfId="9" applyNumberFormat="1" applyFont="1" applyFill="1" applyAlignment="1">
      <alignment horizontal="centerContinuous"/>
    </xf>
    <xf numFmtId="0" fontId="9" fillId="0" borderId="0" xfId="9" quotePrefix="1" applyFont="1" applyBorder="1" applyAlignment="1">
      <alignment horizontal="left" vertical="center"/>
    </xf>
    <xf numFmtId="0" fontId="14" fillId="2" borderId="0" xfId="9" applyFont="1" applyFill="1" applyAlignment="1">
      <alignment horizontal="centerContinuous"/>
    </xf>
    <xf numFmtId="5" fontId="13" fillId="0" borderId="0" xfId="9" applyNumberFormat="1" applyFont="1" applyAlignment="1">
      <alignment horizontal="centerContinuous"/>
    </xf>
    <xf numFmtId="0" fontId="13" fillId="0" borderId="0" xfId="9" applyFont="1" applyAlignment="1">
      <alignment horizontal="centerContinuous"/>
    </xf>
    <xf numFmtId="0" fontId="12" fillId="2" borderId="0" xfId="9" applyFont="1" applyFill="1" applyAlignment="1">
      <alignment horizontal="centerContinuous"/>
    </xf>
    <xf numFmtId="5" fontId="11" fillId="2" borderId="0" xfId="9" applyNumberFormat="1" applyFont="1" applyFill="1" applyAlignment="1">
      <alignment horizontal="centerContinuous"/>
    </xf>
    <xf numFmtId="5" fontId="9" fillId="2" borderId="0" xfId="0" applyNumberFormat="1" applyFont="1" applyFill="1"/>
    <xf numFmtId="10" fontId="16" fillId="2" borderId="0" xfId="0" applyNumberFormat="1" applyFont="1" applyFill="1"/>
    <xf numFmtId="10" fontId="9" fillId="2" borderId="0" xfId="0" quotePrefix="1" applyNumberFormat="1" applyFont="1" applyFill="1" applyAlignment="1">
      <alignment horizontal="left"/>
    </xf>
    <xf numFmtId="10" fontId="9" fillId="2" borderId="0" xfId="0" applyNumberFormat="1" applyFont="1" applyFill="1"/>
    <xf numFmtId="0" fontId="9" fillId="2" borderId="0" xfId="9" applyFont="1" applyFill="1" applyAlignment="1">
      <alignment horizontal="centerContinuous"/>
    </xf>
    <xf numFmtId="10" fontId="9" fillId="2" borderId="0" xfId="10" applyFont="1"/>
    <xf numFmtId="10" fontId="9" fillId="2" borderId="0" xfId="9" applyNumberFormat="1" applyFont="1" applyFill="1"/>
    <xf numFmtId="10" fontId="9" fillId="2" borderId="0" xfId="10" applyFont="1" applyAlignment="1">
      <alignment horizontal="center"/>
    </xf>
    <xf numFmtId="0" fontId="7" fillId="3" borderId="0" xfId="9" quotePrefix="1" applyFont="1" applyFill="1" applyBorder="1" applyAlignment="1">
      <alignment horizontal="left"/>
    </xf>
    <xf numFmtId="165" fontId="9" fillId="0" borderId="0" xfId="9" applyNumberFormat="1" applyFont="1" applyBorder="1" applyAlignment="1">
      <alignment horizontal="right"/>
    </xf>
    <xf numFmtId="165" fontId="5" fillId="2" borderId="0" xfId="0" applyNumberFormat="1" applyFont="1" applyFill="1" applyAlignment="1">
      <alignment horizontal="centerContinuous"/>
    </xf>
    <xf numFmtId="165" fontId="9" fillId="0" borderId="0" xfId="9" applyNumberFormat="1" applyFont="1" applyBorder="1" applyAlignment="1" applyProtection="1">
      <alignment horizontal="right"/>
      <protection locked="0"/>
    </xf>
    <xf numFmtId="165" fontId="7" fillId="3" borderId="0" xfId="9" applyNumberFormat="1" applyFont="1" applyFill="1" applyBorder="1" applyAlignment="1">
      <alignment horizontal="right"/>
    </xf>
    <xf numFmtId="165" fontId="9" fillId="0" borderId="5" xfId="9" applyNumberFormat="1" applyFont="1" applyBorder="1" applyAlignment="1">
      <alignment horizontal="right"/>
    </xf>
    <xf numFmtId="165" fontId="7" fillId="3" borderId="5" xfId="3" applyNumberFormat="1" applyFont="1" applyFill="1" applyBorder="1" applyAlignment="1">
      <alignment horizontal="right"/>
    </xf>
    <xf numFmtId="165" fontId="10" fillId="2" borderId="0" xfId="9" applyNumberFormat="1" applyFill="1"/>
    <xf numFmtId="165" fontId="7" fillId="3" borderId="0" xfId="3" applyNumberFormat="1" applyFont="1" applyFill="1" applyBorder="1"/>
    <xf numFmtId="0" fontId="9" fillId="0" borderId="0" xfId="9" quotePrefix="1" applyFont="1" applyFill="1" applyBorder="1" applyAlignment="1">
      <alignment horizontal="left" vertical="center"/>
    </xf>
    <xf numFmtId="10" fontId="9" fillId="2" borderId="4" xfId="10" applyFont="1" applyBorder="1"/>
    <xf numFmtId="10" fontId="5" fillId="2" borderId="6" xfId="0" applyNumberFormat="1" applyFont="1" applyFill="1" applyBorder="1"/>
    <xf numFmtId="10" fontId="5" fillId="2" borderId="7" xfId="0" applyNumberFormat="1" applyFont="1" applyFill="1" applyBorder="1"/>
    <xf numFmtId="10" fontId="0" fillId="2" borderId="0" xfId="0" applyNumberFormat="1" applyFill="1" applyAlignment="1">
      <alignment horizontal="centerContinuous"/>
    </xf>
    <xf numFmtId="5" fontId="5" fillId="2" borderId="8" xfId="0" applyNumberFormat="1" applyFont="1" applyFill="1" applyBorder="1" applyAlignment="1">
      <alignment horizontal="right"/>
    </xf>
    <xf numFmtId="0" fontId="5" fillId="2" borderId="9" xfId="0" applyFont="1" applyFill="1" applyBorder="1"/>
    <xf numFmtId="0" fontId="5" fillId="2" borderId="8" xfId="0" applyFont="1" applyFill="1" applyBorder="1"/>
    <xf numFmtId="5" fontId="5" fillId="2" borderId="8" xfId="0" applyNumberFormat="1" applyFont="1" applyFill="1" applyBorder="1"/>
    <xf numFmtId="5" fontId="5" fillId="2" borderId="6" xfId="0" applyNumberFormat="1" applyFont="1" applyFill="1" applyBorder="1"/>
    <xf numFmtId="5" fontId="5" fillId="2" borderId="2" xfId="0" applyNumberFormat="1" applyFont="1" applyFill="1" applyBorder="1" applyAlignment="1">
      <alignment horizontal="right"/>
    </xf>
    <xf numFmtId="5" fontId="5" fillId="2" borderId="0" xfId="0" applyNumberFormat="1" applyFont="1" applyFill="1" applyBorder="1" applyAlignment="1">
      <alignment horizontal="right"/>
    </xf>
    <xf numFmtId="2" fontId="5" fillId="2" borderId="0" xfId="0" applyNumberFormat="1" applyFont="1" applyFill="1" applyBorder="1"/>
    <xf numFmtId="0" fontId="5" fillId="2" borderId="0" xfId="0" applyFont="1" applyFill="1"/>
    <xf numFmtId="7" fontId="5" fillId="2" borderId="0" xfId="0" applyNumberFormat="1" applyFont="1" applyFill="1"/>
    <xf numFmtId="0" fontId="9" fillId="2" borderId="0" xfId="0" applyNumberFormat="1" applyFont="1" applyFill="1"/>
    <xf numFmtId="5" fontId="5" fillId="2" borderId="10" xfId="0" applyNumberFormat="1" applyFont="1" applyFill="1" applyBorder="1"/>
    <xf numFmtId="5" fontId="5" fillId="2" borderId="11" xfId="0" applyNumberFormat="1" applyFont="1" applyFill="1" applyBorder="1"/>
    <xf numFmtId="0" fontId="9" fillId="0" borderId="0" xfId="0" applyFont="1"/>
    <xf numFmtId="0" fontId="5" fillId="2" borderId="8" xfId="0" applyNumberFormat="1" applyFont="1" applyFill="1" applyBorder="1"/>
    <xf numFmtId="39" fontId="5" fillId="2" borderId="8" xfId="0" applyNumberFormat="1" applyFont="1" applyFill="1" applyBorder="1"/>
    <xf numFmtId="10" fontId="5" fillId="2" borderId="8" xfId="0" applyNumberFormat="1" applyFont="1" applyFill="1" applyBorder="1"/>
    <xf numFmtId="10" fontId="5" fillId="2" borderId="10" xfId="0" applyNumberFormat="1" applyFont="1" applyFill="1" applyBorder="1"/>
    <xf numFmtId="10" fontId="5" fillId="2" borderId="11" xfId="0" applyNumberFormat="1" applyFont="1" applyFill="1" applyBorder="1"/>
    <xf numFmtId="10" fontId="5" fillId="2" borderId="12" xfId="0" applyNumberFormat="1" applyFont="1" applyFill="1" applyBorder="1"/>
    <xf numFmtId="10" fontId="5" fillId="2" borderId="13" xfId="0" applyNumberFormat="1" applyFont="1" applyFill="1" applyBorder="1"/>
    <xf numFmtId="10" fontId="5" fillId="2" borderId="14" xfId="0" applyNumberFormat="1" applyFont="1" applyFill="1" applyBorder="1"/>
    <xf numFmtId="10" fontId="5" fillId="2" borderId="15" xfId="0" applyNumberFormat="1" applyFont="1" applyFill="1" applyBorder="1"/>
    <xf numFmtId="10" fontId="5" fillId="2" borderId="5" xfId="0" applyNumberFormat="1" applyFont="1" applyFill="1" applyBorder="1"/>
    <xf numFmtId="0" fontId="5" fillId="2" borderId="8" xfId="0" applyNumberFormat="1" applyFont="1" applyFill="1" applyBorder="1" applyAlignment="1">
      <alignment horizontal="right"/>
    </xf>
    <xf numFmtId="2" fontId="5" fillId="2" borderId="0" xfId="0" quotePrefix="1" applyNumberFormat="1" applyFont="1" applyFill="1" applyAlignment="1">
      <alignment horizontal="right" wrapText="1"/>
    </xf>
    <xf numFmtId="5" fontId="5" fillId="2" borderId="16" xfId="0" applyNumberFormat="1" applyFont="1" applyFill="1" applyBorder="1"/>
    <xf numFmtId="37" fontId="9" fillId="2" borderId="0" xfId="0" applyNumberFormat="1" applyFont="1" applyFill="1"/>
    <xf numFmtId="170" fontId="5" fillId="2" borderId="0" xfId="0" applyNumberFormat="1" applyFont="1" applyFill="1"/>
    <xf numFmtId="10" fontId="5" fillId="2" borderId="16" xfId="0" applyNumberFormat="1" applyFont="1" applyFill="1" applyBorder="1"/>
    <xf numFmtId="5" fontId="11" fillId="2" borderId="0" xfId="0" applyNumberFormat="1" applyFont="1" applyFill="1" applyBorder="1"/>
    <xf numFmtId="5" fontId="12" fillId="2" borderId="0" xfId="0" applyNumberFormat="1" applyFont="1" applyFill="1" applyBorder="1" applyAlignment="1">
      <alignment horizontal="centerContinuous"/>
    </xf>
    <xf numFmtId="5" fontId="5" fillId="2" borderId="0" xfId="0" applyNumberFormat="1" applyFont="1" applyFill="1" applyBorder="1" applyAlignment="1">
      <alignment horizontal="centerContinuous"/>
    </xf>
    <xf numFmtId="5" fontId="11" fillId="2" borderId="0" xfId="0" applyNumberFormat="1" applyFont="1" applyFill="1" applyBorder="1" applyAlignment="1">
      <alignment horizontal="centerContinuous"/>
    </xf>
    <xf numFmtId="10" fontId="11" fillId="2" borderId="0" xfId="0" applyNumberFormat="1" applyFont="1" applyFill="1" applyBorder="1"/>
    <xf numFmtId="10" fontId="11" fillId="2" borderId="0" xfId="0" applyNumberFormat="1" applyFont="1" applyFill="1" applyBorder="1" applyAlignment="1">
      <alignment horizontal="centerContinuous"/>
    </xf>
    <xf numFmtId="39" fontId="5" fillId="2" borderId="0" xfId="0" applyNumberFormat="1" applyFont="1" applyFill="1" applyBorder="1"/>
    <xf numFmtId="5" fontId="9" fillId="2" borderId="0" xfId="0" applyNumberFormat="1" applyFont="1" applyFill="1" applyBorder="1"/>
    <xf numFmtId="5" fontId="9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right"/>
    </xf>
    <xf numFmtId="5" fontId="9" fillId="2" borderId="0" xfId="0" applyNumberFormat="1" applyFont="1" applyFill="1" applyAlignment="1">
      <alignment wrapText="1"/>
    </xf>
    <xf numFmtId="0" fontId="9" fillId="2" borderId="0" xfId="0" applyFont="1" applyFill="1" applyAlignment="1">
      <alignment wrapText="1"/>
    </xf>
    <xf numFmtId="5" fontId="9" fillId="2" borderId="0" xfId="0" quotePrefix="1" applyNumberFormat="1" applyFont="1" applyFill="1" applyAlignment="1">
      <alignment horizontal="left" wrapText="1"/>
    </xf>
    <xf numFmtId="5" fontId="9" fillId="2" borderId="0" xfId="0" applyNumberFormat="1" applyFont="1" applyFill="1" applyAlignment="1">
      <alignment horizontal="left" wrapText="1"/>
    </xf>
    <xf numFmtId="10" fontId="9" fillId="2" borderId="0" xfId="0" applyNumberFormat="1" applyFont="1" applyFill="1" applyAlignment="1">
      <alignment wrapText="1"/>
    </xf>
    <xf numFmtId="5" fontId="9" fillId="2" borderId="0" xfId="0" applyNumberFormat="1" applyFont="1" applyFill="1" applyAlignment="1">
      <alignment vertical="center"/>
    </xf>
    <xf numFmtId="10" fontId="9" fillId="2" borderId="0" xfId="0" applyNumberFormat="1" applyFont="1" applyFill="1" applyAlignment="1">
      <alignment vertical="center"/>
    </xf>
    <xf numFmtId="5" fontId="9" fillId="2" borderId="0" xfId="0" quotePrefix="1" applyNumberFormat="1" applyFont="1" applyFill="1" applyAlignment="1">
      <alignment horizontal="left" vertical="center"/>
    </xf>
    <xf numFmtId="166" fontId="9" fillId="2" borderId="0" xfId="0" applyNumberFormat="1" applyFont="1" applyFill="1" applyAlignment="1">
      <alignment vertical="center"/>
    </xf>
    <xf numFmtId="2" fontId="9" fillId="2" borderId="0" xfId="0" applyNumberFormat="1" applyFont="1" applyFill="1" applyAlignment="1">
      <alignment vertical="center"/>
    </xf>
    <xf numFmtId="37" fontId="9" fillId="2" borderId="0" xfId="0" applyNumberFormat="1" applyFont="1" applyFill="1" applyAlignment="1">
      <alignment vertical="center"/>
    </xf>
    <xf numFmtId="5" fontId="9" fillId="2" borderId="0" xfId="0" applyNumberFormat="1" applyFont="1" applyFill="1" applyAlignment="1">
      <alignment vertical="center" wrapText="1"/>
    </xf>
    <xf numFmtId="5" fontId="9" fillId="2" borderId="0" xfId="0" quotePrefix="1" applyNumberFormat="1" applyFont="1" applyFill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10" fontId="9" fillId="2" borderId="0" xfId="0" applyNumberFormat="1" applyFont="1" applyFill="1" applyAlignment="1">
      <alignment vertical="center" wrapText="1"/>
    </xf>
    <xf numFmtId="5" fontId="0" fillId="2" borderId="6" xfId="0" applyNumberFormat="1" applyFill="1" applyBorder="1"/>
    <xf numFmtId="164" fontId="9" fillId="2" borderId="0" xfId="0" applyNumberFormat="1" applyFont="1" applyFill="1"/>
    <xf numFmtId="10" fontId="9" fillId="2" borderId="6" xfId="0" applyNumberFormat="1" applyFont="1" applyFill="1" applyBorder="1"/>
    <xf numFmtId="0" fontId="9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 wrapText="1"/>
    </xf>
    <xf numFmtId="10" fontId="5" fillId="2" borderId="17" xfId="0" applyNumberFormat="1" applyFont="1" applyFill="1" applyBorder="1"/>
    <xf numFmtId="5" fontId="9" fillId="2" borderId="0" xfId="0" applyNumberFormat="1" applyFont="1" applyFill="1" applyAlignment="1">
      <alignment horizontal="left"/>
    </xf>
    <xf numFmtId="22" fontId="11" fillId="2" borderId="0" xfId="0" applyNumberFormat="1" applyFont="1" applyFill="1" applyBorder="1" applyAlignment="1">
      <alignment horizontal="centerContinuous"/>
    </xf>
    <xf numFmtId="22" fontId="11" fillId="2" borderId="0" xfId="0" applyNumberFormat="1" applyFont="1" applyFill="1" applyAlignment="1">
      <alignment horizontal="centerContinuous"/>
    </xf>
    <xf numFmtId="5" fontId="0" fillId="0" borderId="0" xfId="0" applyNumberFormat="1" applyFill="1"/>
    <xf numFmtId="10" fontId="16" fillId="0" borderId="0" xfId="0" applyNumberFormat="1" applyFont="1" applyFill="1"/>
    <xf numFmtId="5" fontId="9" fillId="0" borderId="0" xfId="0" applyNumberFormat="1" applyFont="1" applyFill="1"/>
    <xf numFmtId="10" fontId="9" fillId="0" borderId="0" xfId="0" applyNumberFormat="1" applyFont="1" applyFill="1"/>
    <xf numFmtId="5" fontId="3" fillId="0" borderId="0" xfId="0" applyNumberFormat="1" applyFont="1" applyFill="1" applyAlignment="1">
      <alignment horizontal="centerContinuous"/>
    </xf>
    <xf numFmtId="5" fontId="5" fillId="0" borderId="0" xfId="0" applyNumberFormat="1" applyFont="1" applyFill="1" applyAlignment="1">
      <alignment horizontal="centerContinuous"/>
    </xf>
    <xf numFmtId="10" fontId="9" fillId="0" borderId="0" xfId="0" applyNumberFormat="1" applyFont="1" applyFill="1" applyAlignment="1">
      <alignment horizontal="centerContinuous"/>
    </xf>
    <xf numFmtId="5" fontId="4" fillId="0" borderId="0" xfId="0" applyNumberFormat="1" applyFont="1" applyFill="1" applyAlignment="1">
      <alignment horizontal="centerContinuous"/>
    </xf>
    <xf numFmtId="5" fontId="0" fillId="0" borderId="0" xfId="0" applyNumberFormat="1" applyFill="1" applyAlignment="1">
      <alignment horizontal="centerContinuous"/>
    </xf>
    <xf numFmtId="10" fontId="5" fillId="0" borderId="0" xfId="0" applyNumberFormat="1" applyFont="1" applyFill="1" applyAlignment="1">
      <alignment horizontal="centerContinuous"/>
    </xf>
    <xf numFmtId="5" fontId="5" fillId="0" borderId="0" xfId="0" applyNumberFormat="1" applyFont="1" applyFill="1"/>
    <xf numFmtId="5" fontId="5" fillId="0" borderId="0" xfId="0" applyNumberFormat="1" applyFont="1" applyFill="1" applyAlignment="1">
      <alignment horizontal="right"/>
    </xf>
    <xf numFmtId="10" fontId="5" fillId="0" borderId="0" xfId="0" applyNumberFormat="1" applyFont="1" applyFill="1"/>
    <xf numFmtId="5" fontId="5" fillId="0" borderId="0" xfId="0" applyNumberFormat="1" applyFont="1" applyFill="1" applyBorder="1"/>
    <xf numFmtId="5" fontId="5" fillId="0" borderId="2" xfId="0" applyNumberFormat="1" applyFont="1" applyFill="1" applyBorder="1"/>
    <xf numFmtId="5" fontId="5" fillId="0" borderId="16" xfId="0" applyNumberFormat="1" applyFont="1" applyFill="1" applyBorder="1"/>
    <xf numFmtId="168" fontId="9" fillId="0" borderId="0" xfId="0" applyNumberFormat="1" applyFont="1" applyFill="1" applyBorder="1"/>
    <xf numFmtId="10" fontId="5" fillId="0" borderId="4" xfId="0" applyNumberFormat="1" applyFont="1" applyFill="1" applyBorder="1"/>
    <xf numFmtId="168" fontId="11" fillId="0" borderId="0" xfId="0" applyNumberFormat="1" applyFont="1" applyFill="1" applyBorder="1"/>
    <xf numFmtId="5" fontId="9" fillId="0" borderId="0" xfId="0" applyNumberFormat="1" applyFont="1" applyFill="1" applyBorder="1"/>
    <xf numFmtId="10" fontId="5" fillId="0" borderId="5" xfId="0" applyNumberFormat="1" applyFont="1" applyFill="1" applyBorder="1"/>
    <xf numFmtId="5" fontId="5" fillId="0" borderId="0" xfId="0" applyNumberFormat="1" applyFont="1" applyFill="1" applyAlignment="1">
      <alignment horizontal="left"/>
    </xf>
    <xf numFmtId="10" fontId="5" fillId="0" borderId="6" xfId="0" applyNumberFormat="1" applyFont="1" applyFill="1" applyBorder="1"/>
    <xf numFmtId="10" fontId="9" fillId="0" borderId="0" xfId="0" quotePrefix="1" applyNumberFormat="1" applyFont="1" applyFill="1" applyAlignment="1">
      <alignment horizontal="left"/>
    </xf>
    <xf numFmtId="166" fontId="7" fillId="0" borderId="16" xfId="3" applyNumberFormat="1" applyFont="1" applyFill="1" applyBorder="1"/>
    <xf numFmtId="166" fontId="5" fillId="0" borderId="2" xfId="0" applyNumberFormat="1" applyFont="1" applyFill="1" applyBorder="1"/>
    <xf numFmtId="166" fontId="5" fillId="0" borderId="16" xfId="0" applyNumberFormat="1" applyFont="1" applyFill="1" applyBorder="1"/>
    <xf numFmtId="166" fontId="5" fillId="0" borderId="0" xfId="0" applyNumberFormat="1" applyFont="1" applyFill="1"/>
    <xf numFmtId="0" fontId="7" fillId="0" borderId="0" xfId="0" applyFont="1" applyFill="1"/>
    <xf numFmtId="166" fontId="9" fillId="0" borderId="0" xfId="0" applyNumberFormat="1" applyFont="1" applyFill="1"/>
    <xf numFmtId="166" fontId="5" fillId="0" borderId="0" xfId="0" applyNumberFormat="1" applyFont="1" applyFill="1" applyAlignment="1">
      <alignment horizontal="right"/>
    </xf>
    <xf numFmtId="166" fontId="9" fillId="0" borderId="2" xfId="0" applyNumberFormat="1" applyFont="1" applyFill="1" applyBorder="1"/>
    <xf numFmtId="166" fontId="5" fillId="0" borderId="5" xfId="0" applyNumberFormat="1" applyFont="1" applyFill="1" applyBorder="1"/>
    <xf numFmtId="166" fontId="5" fillId="0" borderId="0" xfId="0" applyNumberFormat="1" applyFont="1" applyFill="1" applyBorder="1"/>
    <xf numFmtId="168" fontId="9" fillId="0" borderId="0" xfId="0" applyNumberFormat="1" applyFont="1" applyFill="1"/>
    <xf numFmtId="166" fontId="5" fillId="2" borderId="0" xfId="0" quotePrefix="1" applyNumberFormat="1" applyFont="1" applyFill="1" applyAlignment="1">
      <alignment horizontal="left"/>
    </xf>
    <xf numFmtId="0" fontId="9" fillId="0" borderId="0" xfId="0" applyFont="1" applyFill="1"/>
    <xf numFmtId="0" fontId="5" fillId="0" borderId="0" xfId="0" applyFont="1" applyFill="1" applyBorder="1"/>
    <xf numFmtId="10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/>
    <xf numFmtId="10" fontId="5" fillId="0" borderId="0" xfId="10" applyNumberFormat="1" applyFont="1" applyFill="1"/>
    <xf numFmtId="10" fontId="9" fillId="0" borderId="16" xfId="0" applyNumberFormat="1" applyFont="1" applyFill="1" applyBorder="1"/>
    <xf numFmtId="10" fontId="0" fillId="0" borderId="0" xfId="0" applyNumberFormat="1" applyFill="1"/>
    <xf numFmtId="0" fontId="5" fillId="0" borderId="0" xfId="0" applyFont="1" applyFill="1"/>
    <xf numFmtId="0" fontId="8" fillId="0" borderId="0" xfId="0" applyFont="1" applyFill="1"/>
    <xf numFmtId="5" fontId="11" fillId="0" borderId="0" xfId="0" applyNumberFormat="1" applyFont="1" applyFill="1"/>
    <xf numFmtId="10" fontId="11" fillId="0" borderId="0" xfId="0" applyNumberFormat="1" applyFont="1" applyFill="1"/>
    <xf numFmtId="5" fontId="17" fillId="0" borderId="0" xfId="0" applyNumberFormat="1" applyFont="1" applyFill="1"/>
    <xf numFmtId="0" fontId="11" fillId="0" borderId="2" xfId="0" applyFont="1" applyFill="1" applyBorder="1"/>
    <xf numFmtId="5" fontId="11" fillId="0" borderId="0" xfId="0" applyNumberFormat="1" applyFont="1" applyFill="1" applyAlignment="1">
      <alignment horizontal="centerContinuous"/>
    </xf>
    <xf numFmtId="10" fontId="11" fillId="0" borderId="0" xfId="0" applyNumberFormat="1" applyFont="1" applyFill="1" applyAlignment="1">
      <alignment horizontal="right"/>
    </xf>
    <xf numFmtId="5" fontId="11" fillId="0" borderId="0" xfId="0" applyNumberFormat="1" applyFont="1" applyFill="1" applyAlignment="1">
      <alignment horizontal="right"/>
    </xf>
    <xf numFmtId="0" fontId="11" fillId="0" borderId="2" xfId="0" applyFont="1" applyFill="1" applyBorder="1" applyAlignment="1">
      <alignment horizontal="right"/>
    </xf>
    <xf numFmtId="10" fontId="11" fillId="0" borderId="2" xfId="0" applyNumberFormat="1" applyFont="1" applyFill="1" applyBorder="1" applyAlignment="1">
      <alignment horizontal="right"/>
    </xf>
    <xf numFmtId="5" fontId="11" fillId="2" borderId="0" xfId="0" applyNumberFormat="1" applyFont="1" applyFill="1"/>
    <xf numFmtId="5" fontId="11" fillId="2" borderId="0" xfId="0" applyNumberFormat="1" applyFont="1" applyFill="1" applyAlignment="1">
      <alignment horizontal="right"/>
    </xf>
    <xf numFmtId="10" fontId="11" fillId="2" borderId="0" xfId="0" applyNumberFormat="1" applyFont="1" applyFill="1" applyAlignment="1">
      <alignment horizontal="right"/>
    </xf>
    <xf numFmtId="5" fontId="11" fillId="2" borderId="2" xfId="0" applyNumberFormat="1" applyFont="1" applyFill="1" applyBorder="1"/>
    <xf numFmtId="0" fontId="11" fillId="2" borderId="2" xfId="0" applyFont="1" applyFill="1" applyBorder="1"/>
    <xf numFmtId="10" fontId="11" fillId="2" borderId="2" xfId="0" applyNumberFormat="1" applyFont="1" applyFill="1" applyBorder="1" applyAlignment="1">
      <alignment horizontal="right"/>
    </xf>
    <xf numFmtId="5" fontId="17" fillId="2" borderId="0" xfId="0" applyNumberFormat="1" applyFont="1" applyFill="1"/>
    <xf numFmtId="10" fontId="11" fillId="2" borderId="0" xfId="0" applyNumberFormat="1" applyFont="1" applyFill="1"/>
    <xf numFmtId="10" fontId="11" fillId="2" borderId="4" xfId="0" applyNumberFormat="1" applyFont="1" applyFill="1" applyBorder="1"/>
    <xf numFmtId="10" fontId="11" fillId="2" borderId="2" xfId="0" applyNumberFormat="1" applyFont="1" applyFill="1" applyBorder="1"/>
    <xf numFmtId="10" fontId="11" fillId="2" borderId="5" xfId="0" applyNumberFormat="1" applyFont="1" applyFill="1" applyBorder="1"/>
    <xf numFmtId="10" fontId="11" fillId="2" borderId="3" xfId="0" applyNumberFormat="1" applyFont="1" applyFill="1" applyBorder="1"/>
    <xf numFmtId="10" fontId="11" fillId="2" borderId="7" xfId="0" applyNumberFormat="1" applyFont="1" applyFill="1" applyBorder="1"/>
    <xf numFmtId="10" fontId="11" fillId="0" borderId="4" xfId="0" applyNumberFormat="1" applyFont="1" applyFill="1" applyBorder="1"/>
    <xf numFmtId="5" fontId="11" fillId="0" borderId="2" xfId="0" applyNumberFormat="1" applyFont="1" applyFill="1" applyBorder="1"/>
    <xf numFmtId="5" fontId="11" fillId="0" borderId="5" xfId="0" applyNumberFormat="1" applyFont="1" applyFill="1" applyBorder="1"/>
    <xf numFmtId="5" fontId="11" fillId="0" borderId="3" xfId="0" applyNumberFormat="1" applyFont="1" applyFill="1" applyBorder="1"/>
    <xf numFmtId="5" fontId="11" fillId="0" borderId="7" xfId="0" applyNumberFormat="1" applyFont="1" applyFill="1" applyBorder="1"/>
    <xf numFmtId="10" fontId="11" fillId="0" borderId="7" xfId="0" applyNumberFormat="1" applyFont="1" applyFill="1" applyBorder="1"/>
    <xf numFmtId="5" fontId="11" fillId="0" borderId="0" xfId="0" applyNumberFormat="1" applyFont="1" applyFill="1" applyBorder="1"/>
    <xf numFmtId="5" fontId="11" fillId="0" borderId="4" xfId="0" applyNumberFormat="1" applyFont="1" applyFill="1" applyBorder="1"/>
    <xf numFmtId="10" fontId="11" fillId="0" borderId="6" xfId="0" applyNumberFormat="1" applyFont="1" applyFill="1" applyBorder="1"/>
    <xf numFmtId="10" fontId="17" fillId="0" borderId="0" xfId="0" applyNumberFormat="1" applyFont="1" applyFill="1"/>
    <xf numFmtId="10" fontId="17" fillId="2" borderId="0" xfId="0" applyNumberFormat="1" applyFont="1" applyFill="1"/>
    <xf numFmtId="5" fontId="13" fillId="2" borderId="0" xfId="0" applyNumberFormat="1" applyFont="1" applyFill="1" applyAlignment="1">
      <alignment horizontal="centerContinuous"/>
    </xf>
    <xf numFmtId="5" fontId="12" fillId="2" borderId="0" xfId="0" applyNumberFormat="1" applyFont="1" applyFill="1" applyAlignment="1">
      <alignment horizontal="centerContinuous"/>
    </xf>
    <xf numFmtId="5" fontId="11" fillId="2" borderId="4" xfId="0" applyNumberFormat="1" applyFont="1" applyFill="1" applyBorder="1"/>
    <xf numFmtId="5" fontId="7" fillId="0" borderId="0" xfId="0" applyNumberFormat="1" applyFont="1" applyFill="1" applyAlignment="1">
      <alignment horizontal="left"/>
    </xf>
    <xf numFmtId="166" fontId="11" fillId="0" borderId="0" xfId="0" applyNumberFormat="1" applyFont="1" applyFill="1"/>
    <xf numFmtId="0" fontId="19" fillId="0" borderId="0" xfId="0" applyFont="1" applyFill="1"/>
    <xf numFmtId="166" fontId="11" fillId="0" borderId="0" xfId="0" applyNumberFormat="1" applyFont="1" applyFill="1" applyBorder="1"/>
    <xf numFmtId="166" fontId="11" fillId="0" borderId="3" xfId="0" applyNumberFormat="1" applyFont="1" applyFill="1" applyBorder="1"/>
    <xf numFmtId="166" fontId="11" fillId="0" borderId="7" xfId="0" applyNumberFormat="1" applyFont="1" applyFill="1" applyBorder="1"/>
    <xf numFmtId="5" fontId="17" fillId="0" borderId="0" xfId="0" quotePrefix="1" applyNumberFormat="1" applyFont="1" applyFill="1" applyAlignment="1">
      <alignment horizontal="left"/>
    </xf>
    <xf numFmtId="5" fontId="9" fillId="0" borderId="4" xfId="0" applyNumberFormat="1" applyFont="1" applyFill="1" applyBorder="1"/>
    <xf numFmtId="0" fontId="18" fillId="2" borderId="0" xfId="9" applyFont="1" applyFill="1" applyAlignment="1">
      <alignment horizontal="centerContinuous"/>
    </xf>
    <xf numFmtId="167" fontId="18" fillId="2" borderId="0" xfId="9" applyNumberFormat="1" applyFont="1" applyFill="1" applyAlignment="1">
      <alignment horizontal="centerContinuous"/>
    </xf>
    <xf numFmtId="0" fontId="11" fillId="2" borderId="0" xfId="9" applyFont="1" applyFill="1" applyAlignment="1">
      <alignment horizontal="centerContinuous"/>
    </xf>
    <xf numFmtId="10" fontId="11" fillId="2" borderId="0" xfId="0" quotePrefix="1" applyNumberFormat="1" applyFont="1" applyFill="1" applyAlignment="1">
      <alignment horizontal="right"/>
    </xf>
    <xf numFmtId="0" fontId="11" fillId="0" borderId="0" xfId="9" applyFont="1" applyBorder="1" applyAlignment="1"/>
    <xf numFmtId="16" fontId="11" fillId="2" borderId="0" xfId="0" quotePrefix="1" applyNumberFormat="1" applyFont="1" applyFill="1" applyAlignment="1">
      <alignment horizontal="left"/>
    </xf>
    <xf numFmtId="0" fontId="11" fillId="0" borderId="16" xfId="9" applyFont="1" applyFill="1" applyBorder="1" applyAlignment="1">
      <alignment horizontal="right"/>
    </xf>
    <xf numFmtId="0" fontId="11" fillId="0" borderId="0" xfId="9" applyFont="1" applyFill="1" applyBorder="1" applyAlignment="1">
      <alignment vertical="center"/>
    </xf>
    <xf numFmtId="0" fontId="11" fillId="0" borderId="5" xfId="9" applyFont="1" applyBorder="1" applyAlignment="1">
      <alignment vertical="center"/>
    </xf>
    <xf numFmtId="165" fontId="11" fillId="0" borderId="5" xfId="9" applyNumberFormat="1" applyFont="1" applyBorder="1" applyAlignment="1">
      <alignment horizontal="right"/>
    </xf>
    <xf numFmtId="165" fontId="11" fillId="2" borderId="5" xfId="9" applyNumberFormat="1" applyFont="1" applyFill="1" applyBorder="1" applyAlignment="1">
      <alignment horizontal="right"/>
    </xf>
    <xf numFmtId="165" fontId="19" fillId="3" borderId="5" xfId="9" applyNumberFormat="1" applyFont="1" applyFill="1" applyBorder="1" applyAlignment="1">
      <alignment horizontal="right"/>
    </xf>
    <xf numFmtId="0" fontId="18" fillId="2" borderId="0" xfId="9" applyFont="1" applyFill="1" applyAlignment="1">
      <alignment horizontal="center"/>
    </xf>
    <xf numFmtId="16" fontId="11" fillId="2" borderId="0" xfId="0" quotePrefix="1" applyNumberFormat="1" applyFont="1" applyFill="1" applyAlignment="1">
      <alignment horizontal="right"/>
    </xf>
    <xf numFmtId="0" fontId="18" fillId="2" borderId="0" xfId="9" applyFont="1" applyFill="1"/>
    <xf numFmtId="10" fontId="11" fillId="2" borderId="2" xfId="0" quotePrefix="1" applyNumberFormat="1" applyFont="1" applyFill="1" applyBorder="1" applyAlignment="1">
      <alignment horizontal="right"/>
    </xf>
    <xf numFmtId="10" fontId="11" fillId="2" borderId="4" xfId="10" applyFont="1" applyBorder="1"/>
    <xf numFmtId="166" fontId="11" fillId="0" borderId="0" xfId="9" applyNumberFormat="1" applyFont="1" applyFill="1" applyBorder="1" applyAlignment="1">
      <alignment horizontal="right"/>
    </xf>
    <xf numFmtId="5" fontId="20" fillId="0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/>
    <xf numFmtId="10" fontId="5" fillId="2" borderId="0" xfId="0" applyNumberFormat="1" applyFont="1" applyFill="1" applyAlignment="1"/>
    <xf numFmtId="10" fontId="9" fillId="2" borderId="0" xfId="0" quotePrefix="1" applyNumberFormat="1" applyFont="1" applyFill="1" applyAlignment="1">
      <alignment horizontal="centerContinuous"/>
    </xf>
    <xf numFmtId="10" fontId="17" fillId="2" borderId="0" xfId="0" applyNumberFormat="1" applyFont="1" applyFill="1" applyAlignment="1">
      <alignment horizontal="center"/>
    </xf>
    <xf numFmtId="10" fontId="9" fillId="2" borderId="0" xfId="0" quotePrefix="1" applyNumberFormat="1" applyFont="1" applyFill="1" applyAlignment="1">
      <alignment horizontal="center" vertical="center"/>
    </xf>
    <xf numFmtId="5" fontId="20" fillId="2" borderId="0" xfId="0" applyNumberFormat="1" applyFont="1" applyFill="1" applyAlignment="1">
      <alignment horizontal="centerContinuous"/>
    </xf>
    <xf numFmtId="10" fontId="11" fillId="2" borderId="6" xfId="0" applyNumberFormat="1" applyFont="1" applyFill="1" applyBorder="1"/>
    <xf numFmtId="10" fontId="9" fillId="2" borderId="4" xfId="0" applyNumberFormat="1" applyFont="1" applyFill="1" applyBorder="1"/>
    <xf numFmtId="10" fontId="9" fillId="2" borderId="5" xfId="0" applyNumberFormat="1" applyFont="1" applyFill="1" applyBorder="1"/>
    <xf numFmtId="0" fontId="11" fillId="2" borderId="2" xfId="0" applyFont="1" applyFill="1" applyBorder="1" applyAlignment="1">
      <alignment horizontal="right"/>
    </xf>
    <xf numFmtId="10" fontId="11" fillId="2" borderId="0" xfId="9" applyNumberFormat="1" applyFont="1" applyFill="1"/>
    <xf numFmtId="5" fontId="5" fillId="2" borderId="14" xfId="0" applyNumberFormat="1" applyFont="1" applyFill="1" applyBorder="1"/>
    <xf numFmtId="10" fontId="5" fillId="2" borderId="18" xfId="0" applyNumberFormat="1" applyFont="1" applyFill="1" applyBorder="1"/>
    <xf numFmtId="10" fontId="5" fillId="2" borderId="19" xfId="0" applyNumberFormat="1" applyFont="1" applyFill="1" applyBorder="1"/>
    <xf numFmtId="5" fontId="11" fillId="2" borderId="0" xfId="0" applyNumberFormat="1" applyFont="1" applyFill="1" applyAlignment="1">
      <alignment horizontal="centerContinuous"/>
    </xf>
    <xf numFmtId="5" fontId="9" fillId="2" borderId="2" xfId="0" applyNumberFormat="1" applyFont="1" applyFill="1" applyBorder="1"/>
    <xf numFmtId="5" fontId="9" fillId="2" borderId="4" xfId="0" applyNumberFormat="1" applyFont="1" applyFill="1" applyBorder="1"/>
    <xf numFmtId="0" fontId="9" fillId="2" borderId="0" xfId="0" applyFont="1" applyFill="1"/>
    <xf numFmtId="0" fontId="9" fillId="2" borderId="2" xfId="0" applyFont="1" applyFill="1" applyBorder="1"/>
    <xf numFmtId="5" fontId="11" fillId="2" borderId="10" xfId="0" applyNumberFormat="1" applyFont="1" applyFill="1" applyBorder="1"/>
    <xf numFmtId="5" fontId="11" fillId="2" borderId="8" xfId="0" applyNumberFormat="1" applyFont="1" applyFill="1" applyBorder="1"/>
    <xf numFmtId="5" fontId="11" fillId="2" borderId="17" xfId="0" applyNumberFormat="1" applyFont="1" applyFill="1" applyBorder="1"/>
    <xf numFmtId="5" fontId="11" fillId="2" borderId="3" xfId="0" applyNumberFormat="1" applyFont="1" applyFill="1" applyBorder="1"/>
    <xf numFmtId="5" fontId="9" fillId="2" borderId="0" xfId="0" applyNumberFormat="1" applyFont="1" applyFill="1" applyAlignment="1">
      <alignment horizontal="left" vertical="center" wrapText="1"/>
    </xf>
    <xf numFmtId="10" fontId="11" fillId="2" borderId="10" xfId="0" applyNumberFormat="1" applyFont="1" applyFill="1" applyBorder="1"/>
    <xf numFmtId="10" fontId="11" fillId="2" borderId="12" xfId="0" applyNumberFormat="1" applyFont="1" applyFill="1" applyBorder="1"/>
    <xf numFmtId="10" fontId="11" fillId="2" borderId="8" xfId="0" applyNumberFormat="1" applyFont="1" applyFill="1" applyBorder="1"/>
    <xf numFmtId="10" fontId="11" fillId="2" borderId="14" xfId="0" applyNumberFormat="1" applyFont="1" applyFill="1" applyBorder="1"/>
    <xf numFmtId="5" fontId="11" fillId="2" borderId="14" xfId="0" applyNumberFormat="1" applyFont="1" applyFill="1" applyBorder="1"/>
    <xf numFmtId="171" fontId="5" fillId="0" borderId="0" xfId="0" applyNumberFormat="1" applyFont="1" applyFill="1"/>
    <xf numFmtId="5" fontId="9" fillId="0" borderId="0" xfId="0" applyNumberFormat="1" applyFont="1" applyFill="1" applyAlignment="1">
      <alignment horizontal="right"/>
    </xf>
    <xf numFmtId="0" fontId="21" fillId="2" borderId="0" xfId="9" applyFont="1" applyFill="1" applyBorder="1"/>
    <xf numFmtId="10" fontId="22" fillId="2" borderId="0" xfId="0" applyNumberFormat="1" applyFont="1" applyFill="1" applyAlignment="1">
      <alignment horizontal="centerContinuous"/>
    </xf>
    <xf numFmtId="10" fontId="17" fillId="2" borderId="0" xfId="0" applyNumberFormat="1" applyFont="1" applyFill="1" applyAlignment="1">
      <alignment horizontal="left"/>
    </xf>
    <xf numFmtId="10" fontId="9" fillId="2" borderId="0" xfId="0" applyNumberFormat="1" applyFont="1" applyFill="1" applyAlignment="1">
      <alignment horizontal="left"/>
    </xf>
    <xf numFmtId="10" fontId="9" fillId="0" borderId="0" xfId="0" applyNumberFormat="1" applyFont="1" applyFill="1" applyBorder="1"/>
    <xf numFmtId="10" fontId="9" fillId="0" borderId="4" xfId="0" applyNumberFormat="1" applyFont="1" applyFill="1" applyBorder="1"/>
    <xf numFmtId="5" fontId="5" fillId="0" borderId="0" xfId="1" applyNumberFormat="1" applyFont="1" applyFill="1" applyBorder="1"/>
    <xf numFmtId="10" fontId="11" fillId="2" borderId="5" xfId="9" applyNumberFormat="1" applyFont="1" applyFill="1" applyBorder="1"/>
    <xf numFmtId="10" fontId="11" fillId="2" borderId="0" xfId="0" applyNumberFormat="1" applyFont="1" applyFill="1" applyBorder="1" applyAlignment="1">
      <alignment horizontal="right"/>
    </xf>
    <xf numFmtId="5" fontId="5" fillId="2" borderId="12" xfId="0" applyNumberFormat="1" applyFont="1" applyFill="1" applyBorder="1"/>
    <xf numFmtId="169" fontId="9" fillId="2" borderId="0" xfId="0" applyNumberFormat="1" applyFont="1" applyFill="1" applyAlignment="1">
      <alignment vertical="center"/>
    </xf>
    <xf numFmtId="165" fontId="11" fillId="0" borderId="0" xfId="9" applyNumberFormat="1" applyFont="1" applyBorder="1" applyAlignment="1">
      <alignment horizontal="right"/>
    </xf>
    <xf numFmtId="0" fontId="5" fillId="0" borderId="0" xfId="9" quotePrefix="1" applyFont="1" applyBorder="1" applyAlignment="1">
      <alignment horizontal="left" vertical="center"/>
    </xf>
    <xf numFmtId="10" fontId="5" fillId="2" borderId="5" xfId="9" applyNumberFormat="1" applyFont="1" applyFill="1" applyBorder="1"/>
    <xf numFmtId="5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wrapText="1"/>
    </xf>
    <xf numFmtId="5" fontId="5" fillId="2" borderId="0" xfId="0" applyNumberFormat="1" applyFont="1" applyFill="1" applyAlignment="1">
      <alignment vertical="center" wrapText="1"/>
    </xf>
    <xf numFmtId="5" fontId="5" fillId="2" borderId="0" xfId="0" applyNumberFormat="1" applyFont="1" applyFill="1" applyAlignment="1">
      <alignment horizontal="left" wrapText="1"/>
    </xf>
    <xf numFmtId="5" fontId="5" fillId="2" borderId="0" xfId="0" applyNumberFormat="1" applyFont="1" applyFill="1" applyAlignment="1">
      <alignment wrapText="1"/>
    </xf>
    <xf numFmtId="0" fontId="5" fillId="2" borderId="0" xfId="0" applyFont="1" applyFill="1" applyAlignment="1">
      <alignment vertical="center" wrapText="1"/>
    </xf>
    <xf numFmtId="10" fontId="9" fillId="2" borderId="0" xfId="9" applyNumberFormat="1" applyFont="1" applyFill="1" applyBorder="1" applyAlignment="1">
      <alignment horizontal="right"/>
    </xf>
    <xf numFmtId="10" fontId="10" fillId="2" borderId="0" xfId="9" applyNumberFormat="1" applyFill="1"/>
    <xf numFmtId="0" fontId="5" fillId="0" borderId="0" xfId="9" applyFont="1" applyBorder="1" applyAlignment="1">
      <alignment vertical="center"/>
    </xf>
    <xf numFmtId="5" fontId="5" fillId="0" borderId="5" xfId="0" applyNumberFormat="1" applyFont="1" applyFill="1" applyBorder="1"/>
    <xf numFmtId="5" fontId="5" fillId="0" borderId="0" xfId="0" applyNumberFormat="1" applyFont="1" applyFill="1" applyBorder="1" applyProtection="1"/>
    <xf numFmtId="0" fontId="5" fillId="2" borderId="0" xfId="0" applyNumberFormat="1" applyFont="1" applyFill="1"/>
    <xf numFmtId="5" fontId="5" fillId="2" borderId="0" xfId="0" applyNumberFormat="1" applyFont="1" applyFill="1" applyAlignment="1">
      <alignment horizontal="center"/>
    </xf>
    <xf numFmtId="166" fontId="9" fillId="2" borderId="0" xfId="0" applyNumberFormat="1" applyFont="1" applyFill="1" applyAlignment="1">
      <alignment vertical="center" wrapText="1"/>
    </xf>
    <xf numFmtId="0" fontId="9" fillId="2" borderId="0" xfId="0" applyNumberFormat="1" applyFont="1" applyFill="1" applyAlignment="1">
      <alignment wrapText="1"/>
    </xf>
    <xf numFmtId="5" fontId="9" fillId="2" borderId="0" xfId="0" applyNumberFormat="1" applyFont="1" applyFill="1" applyAlignment="1">
      <alignment horizontal="center" wrapText="1"/>
    </xf>
    <xf numFmtId="5" fontId="0" fillId="2" borderId="0" xfId="0" applyNumberFormat="1" applyFill="1" applyAlignment="1">
      <alignment wrapText="1"/>
    </xf>
    <xf numFmtId="0" fontId="11" fillId="0" borderId="0" xfId="9" applyFont="1" applyBorder="1" applyAlignment="1">
      <alignment horizontal="center"/>
    </xf>
  </cellXfs>
  <cellStyles count="12">
    <cellStyle name="Comma" xfId="1" builtinId="3"/>
    <cellStyle name="Comma0" xfId="2"/>
    <cellStyle name="Currency" xfId="3" builtinId="4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Normal" xfId="0" builtinId="0"/>
    <cellStyle name="Normal_Financial Cash flow" xfId="9"/>
    <cellStyle name="Percent" xfId="10" builtinId="5"/>
    <cellStyle name="Total" xfId="11" builtinId="25" customBuiltin="1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67"/>
  <sheetViews>
    <sheetView showGridLines="0" zoomScaleNormal="100" workbookViewId="0">
      <pane xSplit="6" ySplit="9" topLeftCell="I74" activePane="bottomRight" state="frozen"/>
      <selection pane="topRight" activeCell="G1" sqref="G1"/>
      <selection pane="bottomLeft" activeCell="A10" sqref="A10"/>
      <selection pane="bottomRight" activeCell="M80" sqref="M80"/>
    </sheetView>
  </sheetViews>
  <sheetFormatPr defaultColWidth="13.7109375" defaultRowHeight="12.75"/>
  <cols>
    <col min="1" max="1" width="30.28515625" customWidth="1"/>
    <col min="2" max="8" width="10.7109375" hidden="1" customWidth="1"/>
    <col min="9" max="16" width="10.7109375" customWidth="1"/>
    <col min="17" max="17" width="4.7109375" style="1" customWidth="1"/>
    <col min="18" max="18" width="28.140625" customWidth="1"/>
    <col min="19" max="23" width="13.7109375" style="52" hidden="1" customWidth="1"/>
    <col min="24" max="25" width="10.7109375" style="52" hidden="1" customWidth="1"/>
    <col min="26" max="33" width="10.7109375" style="52" customWidth="1"/>
    <col min="34" max="37" width="12.7109375" style="52" customWidth="1"/>
    <col min="38" max="56" width="13.7109375" style="52"/>
  </cols>
  <sheetData>
    <row r="1" spans="1:34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214" t="s">
        <v>115</v>
      </c>
      <c r="Q1" s="140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9" t="s">
        <v>115</v>
      </c>
    </row>
    <row r="2" spans="1:34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41" t="s">
        <v>116</v>
      </c>
      <c r="Q2" s="140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250" t="s">
        <v>120</v>
      </c>
    </row>
    <row r="3" spans="1:34" ht="18.7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41"/>
      <c r="Q3" s="140"/>
      <c r="R3" s="9" t="str">
        <f xml:space="preserve">       A4</f>
        <v>PacifiCorp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248"/>
    </row>
    <row r="4" spans="1:34" ht="18.75">
      <c r="A4" s="142" t="s">
        <v>42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4"/>
      <c r="Q4" s="140"/>
      <c r="R4" s="11" t="s">
        <v>39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3"/>
    </row>
    <row r="5" spans="1:34" ht="15.75">
      <c r="A5" s="145" t="s">
        <v>40</v>
      </c>
      <c r="B5" s="146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7"/>
      <c r="Q5" s="140"/>
      <c r="R5" s="11" t="s">
        <v>40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3"/>
    </row>
    <row r="6" spans="1:34" ht="14.25">
      <c r="A6" s="245" t="s">
        <v>234</v>
      </c>
      <c r="B6" s="146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7"/>
      <c r="Q6" s="140"/>
      <c r="R6" s="251" t="str">
        <f>A6</f>
        <v>Fiscal Years Ended December 31, 2007-2012, Three Months Ended March 31, 2013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3"/>
    </row>
    <row r="7" spans="1:34">
      <c r="A7" s="143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8" t="s">
        <v>215</v>
      </c>
      <c r="Q7" s="140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7"/>
    </row>
    <row r="8" spans="1:34">
      <c r="A8" s="148"/>
      <c r="B8" s="183"/>
      <c r="C8" s="183"/>
      <c r="D8" s="183"/>
      <c r="E8" s="183"/>
      <c r="F8" s="183"/>
      <c r="G8" s="183"/>
      <c r="H8" s="189"/>
      <c r="I8" s="189"/>
      <c r="J8" s="189"/>
      <c r="K8" s="189"/>
      <c r="L8" s="189"/>
      <c r="M8" s="189"/>
      <c r="N8" s="189"/>
      <c r="O8" s="189" t="s">
        <v>233</v>
      </c>
      <c r="P8" s="188" t="s">
        <v>4</v>
      </c>
      <c r="Q8" s="140"/>
      <c r="R8" s="192"/>
      <c r="S8" s="192"/>
      <c r="T8" s="192"/>
      <c r="U8" s="192"/>
      <c r="V8" s="192"/>
      <c r="W8" s="192"/>
      <c r="X8" s="192"/>
      <c r="Y8" s="193"/>
      <c r="Z8" s="193"/>
      <c r="AA8" s="193"/>
      <c r="AB8" s="193"/>
      <c r="AC8" s="193"/>
      <c r="AD8" s="193"/>
      <c r="AE8" s="193"/>
      <c r="AF8" s="193" t="str">
        <f>O8</f>
        <v>March</v>
      </c>
      <c r="AG8" s="194" t="str">
        <f>P7</f>
        <v>2007-2012</v>
      </c>
      <c r="AH8" s="192"/>
    </row>
    <row r="9" spans="1:34">
      <c r="A9" s="186" t="s">
        <v>0</v>
      </c>
      <c r="B9" s="186">
        <v>2000</v>
      </c>
      <c r="C9" s="186">
        <f>B9+1</f>
        <v>2001</v>
      </c>
      <c r="D9" s="186">
        <f>C9+1</f>
        <v>2002</v>
      </c>
      <c r="E9" s="186">
        <f>D9+1</f>
        <v>2003</v>
      </c>
      <c r="F9" s="186">
        <f>E9+1</f>
        <v>2004</v>
      </c>
      <c r="G9" s="186">
        <f>F9+1</f>
        <v>2005</v>
      </c>
      <c r="H9" s="190">
        <v>2006</v>
      </c>
      <c r="I9" s="190">
        <v>2007</v>
      </c>
      <c r="J9" s="186">
        <f>I9+1</f>
        <v>2008</v>
      </c>
      <c r="K9" s="186">
        <f>J9+1</f>
        <v>2009</v>
      </c>
      <c r="L9" s="186">
        <f>K9+1</f>
        <v>2010</v>
      </c>
      <c r="M9" s="186">
        <f>L9+1</f>
        <v>2011</v>
      </c>
      <c r="N9" s="186">
        <v>2012</v>
      </c>
      <c r="O9" s="186">
        <v>2013</v>
      </c>
      <c r="P9" s="191" t="s">
        <v>23</v>
      </c>
      <c r="Q9" s="140"/>
      <c r="R9" s="195" t="s">
        <v>0</v>
      </c>
      <c r="S9" s="196">
        <f>B9</f>
        <v>2000</v>
      </c>
      <c r="T9" s="196">
        <f t="shared" ref="T9:Y9" si="0">S9+1</f>
        <v>2001</v>
      </c>
      <c r="U9" s="196">
        <f t="shared" si="0"/>
        <v>2002</v>
      </c>
      <c r="V9" s="196">
        <f t="shared" si="0"/>
        <v>2003</v>
      </c>
      <c r="W9" s="196">
        <f t="shared" si="0"/>
        <v>2004</v>
      </c>
      <c r="X9" s="196">
        <f t="shared" si="0"/>
        <v>2005</v>
      </c>
      <c r="Y9" s="196">
        <f t="shared" si="0"/>
        <v>2006</v>
      </c>
      <c r="Z9" s="196">
        <f>I9</f>
        <v>2007</v>
      </c>
      <c r="AA9" s="196">
        <f>Z9+1</f>
        <v>2008</v>
      </c>
      <c r="AB9" s="196">
        <f>AA9+1</f>
        <v>2009</v>
      </c>
      <c r="AC9" s="255">
        <f>L9</f>
        <v>2010</v>
      </c>
      <c r="AD9" s="255">
        <f>M9</f>
        <v>2011</v>
      </c>
      <c r="AE9" s="255">
        <f>N9</f>
        <v>2012</v>
      </c>
      <c r="AF9" s="255">
        <f>O9</f>
        <v>2013</v>
      </c>
      <c r="AG9" s="197" t="s">
        <v>3</v>
      </c>
      <c r="AH9" s="192"/>
    </row>
    <row r="10" spans="1:34" ht="7.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7"/>
      <c r="Q10" s="140"/>
      <c r="R10" s="19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3"/>
    </row>
    <row r="11" spans="1:34">
      <c r="A11" s="185" t="s">
        <v>8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50"/>
      <c r="Q11" s="141"/>
      <c r="R11" s="198" t="str">
        <f>A11</f>
        <v>Current Assets: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5"/>
    </row>
    <row r="12" spans="1:34">
      <c r="A12" s="148" t="s">
        <v>5</v>
      </c>
      <c r="B12" s="148">
        <v>154.19999999999999</v>
      </c>
      <c r="C12" s="148">
        <v>139.4</v>
      </c>
      <c r="D12" s="148">
        <v>157.9</v>
      </c>
      <c r="E12" s="148">
        <v>152.5</v>
      </c>
      <c r="F12" s="148">
        <v>58.5</v>
      </c>
      <c r="G12" s="148">
        <v>199.3</v>
      </c>
      <c r="H12" s="148">
        <v>119.6</v>
      </c>
      <c r="I12" s="148">
        <v>228</v>
      </c>
      <c r="J12" s="148">
        <v>59</v>
      </c>
      <c r="K12" s="148">
        <v>117</v>
      </c>
      <c r="L12" s="148">
        <v>31</v>
      </c>
      <c r="M12" s="148">
        <v>47</v>
      </c>
      <c r="N12" s="148">
        <v>80</v>
      </c>
      <c r="O12" s="2">
        <v>133</v>
      </c>
      <c r="P12" s="150">
        <f>RATE(5,,-I12,N12)</f>
        <v>-0.18898100128286219</v>
      </c>
      <c r="Q12" s="141"/>
      <c r="R12" s="2" t="str">
        <f t="shared" ref="R12:R76" si="1">A12</f>
        <v>Cash &amp; Equivalents</v>
      </c>
      <c r="S12" s="5">
        <f t="shared" ref="S12:W16" si="2">B12/B$37</f>
        <v>1.2531389423897407E-2</v>
      </c>
      <c r="T12" s="5">
        <f t="shared" si="2"/>
        <v>1.2520433275251937E-2</v>
      </c>
      <c r="U12" s="5">
        <f t="shared" si="2"/>
        <v>1.4516069721262043E-2</v>
      </c>
      <c r="V12" s="5">
        <f t="shared" si="2"/>
        <v>1.303886865370475E-2</v>
      </c>
      <c r="W12" s="5">
        <f t="shared" si="2"/>
        <v>5.0098055167807085E-3</v>
      </c>
      <c r="X12" s="5">
        <f t="shared" ref="X12:Y16" si="3">G12/G$37</f>
        <v>1.5917386130389993E-2</v>
      </c>
      <c r="Y12" s="5">
        <f t="shared" si="3"/>
        <v>9.3941702732635336E-3</v>
      </c>
      <c r="Z12" s="5">
        <f>I12/I$37</f>
        <v>1.5294827933185751E-2</v>
      </c>
      <c r="AA12" s="5">
        <f t="shared" ref="AA12:AB16" si="4">J12/J$37</f>
        <v>3.436826469388944E-3</v>
      </c>
      <c r="AB12" s="5">
        <f t="shared" si="4"/>
        <v>6.1689338816830119E-3</v>
      </c>
      <c r="AC12" s="5">
        <f t="shared" ref="AC12:AE16" si="5">L12/L$37</f>
        <v>1.5387670008934777E-3</v>
      </c>
      <c r="AD12" s="5">
        <f t="shared" si="5"/>
        <v>2.2268549227707759E-3</v>
      </c>
      <c r="AE12" s="5">
        <f t="shared" si="5"/>
        <v>3.6818851251840942E-3</v>
      </c>
      <c r="AF12" s="5">
        <f>O12/O$37</f>
        <v>6.1287498271969032E-3</v>
      </c>
      <c r="AG12" s="55">
        <f t="shared" ref="AG12:AG15" si="6">SUM(I12:N12)/SUM(I$37:N$37)</f>
        <v>4.9289598316084897E-3</v>
      </c>
    </row>
    <row r="13" spans="1:34">
      <c r="A13" s="148" t="s">
        <v>2</v>
      </c>
      <c r="B13" s="148">
        <v>561.6</v>
      </c>
      <c r="C13" s="148">
        <v>567</v>
      </c>
      <c r="D13" s="148">
        <v>249.1</v>
      </c>
      <c r="E13" s="148">
        <v>258.2</v>
      </c>
      <c r="F13" s="148">
        <v>235.1</v>
      </c>
      <c r="G13" s="148">
        <v>293</v>
      </c>
      <c r="H13" s="148">
        <v>266.8</v>
      </c>
      <c r="I13" s="148">
        <f>391+192</f>
        <v>583</v>
      </c>
      <c r="J13" s="148">
        <v>609</v>
      </c>
      <c r="K13" s="148">
        <v>619</v>
      </c>
      <c r="L13" s="148">
        <v>628</v>
      </c>
      <c r="M13" s="148">
        <v>653</v>
      </c>
      <c r="N13" s="148">
        <v>671</v>
      </c>
      <c r="O13" s="2">
        <v>568</v>
      </c>
      <c r="P13" s="150">
        <f t="shared" ref="P13:P14" si="7">RATE(5,,-I13,N13)</f>
        <v>2.8515386490491738E-2</v>
      </c>
      <c r="Q13" s="141"/>
      <c r="R13" s="2" t="str">
        <f t="shared" si="1"/>
        <v>Accounts Receivable</v>
      </c>
      <c r="S13" s="5">
        <f t="shared" si="2"/>
        <v>4.5639612843455156E-2</v>
      </c>
      <c r="T13" s="5">
        <f t="shared" si="2"/>
        <v>5.0926009089439367E-2</v>
      </c>
      <c r="U13" s="5">
        <f t="shared" si="2"/>
        <v>2.2900272118849745E-2</v>
      </c>
      <c r="V13" s="5">
        <f t="shared" si="2"/>
        <v>2.2076300894338138E-2</v>
      </c>
      <c r="W13" s="5">
        <f t="shared" si="2"/>
        <v>2.0133423538378537E-2</v>
      </c>
      <c r="X13" s="5">
        <f t="shared" si="3"/>
        <v>2.3400873739108215E-2</v>
      </c>
      <c r="Y13" s="5">
        <f t="shared" si="3"/>
        <v>2.0956225994203267E-2</v>
      </c>
      <c r="Z13" s="5">
        <f>I13/I$37</f>
        <v>3.9109143355470583E-2</v>
      </c>
      <c r="AA13" s="5">
        <f t="shared" si="4"/>
        <v>3.5475039319624861E-2</v>
      </c>
      <c r="AB13" s="5">
        <f t="shared" si="4"/>
        <v>3.2637351049246019E-2</v>
      </c>
      <c r="AC13" s="5">
        <f t="shared" si="5"/>
        <v>3.1172441179390449E-2</v>
      </c>
      <c r="AD13" s="5">
        <f t="shared" si="5"/>
        <v>3.0939069458921633E-2</v>
      </c>
      <c r="AE13" s="5">
        <f t="shared" si="5"/>
        <v>3.0881811487481592E-2</v>
      </c>
      <c r="AF13" s="5">
        <f>O13/O$37</f>
        <v>2.6173909036449932E-2</v>
      </c>
      <c r="AG13" s="55">
        <f t="shared" si="6"/>
        <v>3.300298193299421E-2</v>
      </c>
    </row>
    <row r="14" spans="1:34">
      <c r="A14" s="148" t="s">
        <v>48</v>
      </c>
      <c r="B14" s="148">
        <v>177.4</v>
      </c>
      <c r="C14" s="148">
        <v>160.4</v>
      </c>
      <c r="D14" s="148">
        <f>93.5+59.9</f>
        <v>153.4</v>
      </c>
      <c r="E14" s="148">
        <f>99.4+71.8</f>
        <v>171.2</v>
      </c>
      <c r="F14" s="148">
        <f>56+101</f>
        <v>157</v>
      </c>
      <c r="G14" s="148">
        <f>114.7+58.5</f>
        <v>173.2</v>
      </c>
      <c r="H14" s="151">
        <f>131.2+80.9</f>
        <v>212.1</v>
      </c>
      <c r="I14" s="151">
        <f>163+129</f>
        <v>292</v>
      </c>
      <c r="J14" s="151">
        <f>155+184</f>
        <v>339</v>
      </c>
      <c r="K14" s="151">
        <f>192+187</f>
        <v>379</v>
      </c>
      <c r="L14" s="151">
        <f>186+188</f>
        <v>374</v>
      </c>
      <c r="M14" s="151">
        <f>196+237</f>
        <v>433</v>
      </c>
      <c r="N14" s="151">
        <f>202+266</f>
        <v>468</v>
      </c>
      <c r="O14" s="2">
        <f>208+270</f>
        <v>478</v>
      </c>
      <c r="P14" s="150">
        <f t="shared" si="7"/>
        <v>9.8936505250303244E-2</v>
      </c>
      <c r="Q14" s="140"/>
      <c r="R14" s="2" t="str">
        <f t="shared" si="1"/>
        <v>Material, Supplies, Fuel</v>
      </c>
      <c r="S14" s="5">
        <f t="shared" si="2"/>
        <v>1.4416786535664075E-2</v>
      </c>
      <c r="T14" s="5">
        <f t="shared" si="2"/>
        <v>1.4406581760045988E-2</v>
      </c>
      <c r="U14" s="5">
        <f t="shared" si="2"/>
        <v>1.410237552401265E-2</v>
      </c>
      <c r="V14" s="5">
        <f t="shared" si="2"/>
        <v>1.4637733203372151E-2</v>
      </c>
      <c r="W14" s="5">
        <f t="shared" si="2"/>
        <v>1.3445119079223439E-2</v>
      </c>
      <c r="X14" s="5">
        <f t="shared" si="3"/>
        <v>1.3832871438954071E-2</v>
      </c>
      <c r="Y14" s="5">
        <f t="shared" si="3"/>
        <v>1.6659728385946451E-2</v>
      </c>
      <c r="Z14" s="5">
        <f>I14/I$37</f>
        <v>1.9588112967062452E-2</v>
      </c>
      <c r="AA14" s="5">
        <f t="shared" si="4"/>
        <v>1.9747189374963593E-2</v>
      </c>
      <c r="AB14" s="5">
        <f t="shared" si="4"/>
        <v>1.9983127702203944E-2</v>
      </c>
      <c r="AC14" s="18">
        <f t="shared" si="5"/>
        <v>1.8564479301101954E-2</v>
      </c>
      <c r="AD14" s="18">
        <f t="shared" si="5"/>
        <v>2.0515493224675448E-2</v>
      </c>
      <c r="AE14" s="18">
        <f t="shared" si="5"/>
        <v>2.1539027982326951E-2</v>
      </c>
      <c r="AF14" s="18">
        <f>O14/O$37</f>
        <v>2.2026634717294134E-2</v>
      </c>
      <c r="AG14" s="55">
        <f t="shared" si="6"/>
        <v>2.0040343799333449E-2</v>
      </c>
    </row>
    <row r="15" spans="1:34">
      <c r="A15" s="148" t="s">
        <v>22</v>
      </c>
      <c r="B15" s="152">
        <v>68</v>
      </c>
      <c r="C15" s="152">
        <f>370.4+73.5+46.7</f>
        <v>490.59999999999997</v>
      </c>
      <c r="D15" s="152">
        <f>127+51.3+21.5</f>
        <v>199.8</v>
      </c>
      <c r="E15" s="152">
        <f>109.2+2.5+107.2+31.1+17.5</f>
        <v>267.5</v>
      </c>
      <c r="F15" s="152">
        <f>127.8+2.4+118.9+31.5+25.2</f>
        <v>305.8</v>
      </c>
      <c r="G15" s="152">
        <f>143.8+36.5+252.7+115.8</f>
        <v>548.79999999999995</v>
      </c>
      <c r="H15" s="153">
        <f>148.2+221.7+46.9</f>
        <v>416.79999999999995</v>
      </c>
      <c r="I15" s="153">
        <f>34+143+55+141</f>
        <v>373</v>
      </c>
      <c r="J15" s="153">
        <f>174+74+78+43</f>
        <v>369</v>
      </c>
      <c r="K15" s="153">
        <f>108+39+61+249</f>
        <v>457</v>
      </c>
      <c r="L15" s="153">
        <f>345+114+83+120</f>
        <v>662</v>
      </c>
      <c r="M15" s="153">
        <f>70+11+129+140</f>
        <v>350</v>
      </c>
      <c r="N15" s="153">
        <f>112+62+75</f>
        <v>249</v>
      </c>
      <c r="O15" s="2">
        <f>90+67+69</f>
        <v>226</v>
      </c>
      <c r="P15" s="150">
        <f>RATE(5,,-I15,N15)</f>
        <v>-7.764500704885198E-2</v>
      </c>
      <c r="Q15" s="154"/>
      <c r="R15" s="2" t="str">
        <f t="shared" si="1"/>
        <v>Other Current Assets</v>
      </c>
      <c r="S15" s="6">
        <f t="shared" si="2"/>
        <v>5.5261639482816066E-3</v>
      </c>
      <c r="T15" s="6">
        <f t="shared" si="2"/>
        <v>4.4064021268569578E-2</v>
      </c>
      <c r="U15" s="6">
        <f t="shared" si="2"/>
        <v>1.8368022357873062E-2</v>
      </c>
      <c r="V15" s="6">
        <f t="shared" si="2"/>
        <v>2.2871458130268987E-2</v>
      </c>
      <c r="W15" s="6">
        <f t="shared" si="2"/>
        <v>2.6188009009086164E-2</v>
      </c>
      <c r="X15" s="6">
        <f t="shared" si="3"/>
        <v>4.3830715044445689E-2</v>
      </c>
      <c r="Y15" s="103">
        <f t="shared" si="3"/>
        <v>3.2738212122878266E-2</v>
      </c>
      <c r="Z15" s="103">
        <f>I15/I$37</f>
        <v>2.5021801838062654E-2</v>
      </c>
      <c r="AA15" s="103">
        <f t="shared" si="4"/>
        <v>2.1494728257703734E-2</v>
      </c>
      <c r="AB15" s="103">
        <f t="shared" si="4"/>
        <v>2.4095750289992619E-2</v>
      </c>
      <c r="AC15" s="103">
        <f t="shared" si="5"/>
        <v>3.2860121115854263E-2</v>
      </c>
      <c r="AD15" s="103">
        <f t="shared" si="5"/>
        <v>1.6582962190846207E-2</v>
      </c>
      <c r="AE15" s="103">
        <f t="shared" si="5"/>
        <v>1.1459867452135493E-2</v>
      </c>
      <c r="AF15" s="103">
        <f>O15/O$37</f>
        <v>1.0414266623657896E-2</v>
      </c>
      <c r="AG15" s="55">
        <f t="shared" si="6"/>
        <v>2.1575162252236449E-2</v>
      </c>
    </row>
    <row r="16" spans="1:34">
      <c r="A16" s="183" t="s">
        <v>32</v>
      </c>
      <c r="B16" s="183">
        <f t="shared" ref="B16:L16" si="8">SUM(B11:B15)</f>
        <v>961.19999999999993</v>
      </c>
      <c r="C16" s="183">
        <f t="shared" si="8"/>
        <v>1357.3999999999999</v>
      </c>
      <c r="D16" s="183">
        <f t="shared" si="8"/>
        <v>760.2</v>
      </c>
      <c r="E16" s="183">
        <f t="shared" si="8"/>
        <v>849.4</v>
      </c>
      <c r="F16" s="183">
        <f t="shared" si="8"/>
        <v>756.40000000000009</v>
      </c>
      <c r="G16" s="183">
        <f t="shared" si="8"/>
        <v>1214.3</v>
      </c>
      <c r="H16" s="183">
        <f t="shared" si="8"/>
        <v>1015.3</v>
      </c>
      <c r="I16" s="183">
        <f t="shared" si="8"/>
        <v>1476</v>
      </c>
      <c r="J16" s="183">
        <f t="shared" si="8"/>
        <v>1376</v>
      </c>
      <c r="K16" s="183">
        <f t="shared" si="8"/>
        <v>1572</v>
      </c>
      <c r="L16" s="183">
        <f t="shared" si="8"/>
        <v>1695</v>
      </c>
      <c r="M16" s="183">
        <f t="shared" ref="M16:O16" si="9">SUM(M11:M15)</f>
        <v>1483</v>
      </c>
      <c r="N16" s="183">
        <f t="shared" ref="N16" si="10">SUM(N11:N15)</f>
        <v>1468</v>
      </c>
      <c r="O16" s="212">
        <f t="shared" si="9"/>
        <v>1405</v>
      </c>
      <c r="P16" s="205">
        <f>RATE(5,,-I16,N16)</f>
        <v>-1.0863686710217077E-3</v>
      </c>
      <c r="Q16" s="154"/>
      <c r="R16" s="192" t="str">
        <f t="shared" si="1"/>
        <v>Total Current Assets</v>
      </c>
      <c r="S16" s="199">
        <f t="shared" si="2"/>
        <v>7.8113952751298232E-2</v>
      </c>
      <c r="T16" s="199">
        <f t="shared" si="2"/>
        <v>0.12191704539330686</v>
      </c>
      <c r="U16" s="199">
        <f t="shared" si="2"/>
        <v>6.9886739721997507E-2</v>
      </c>
      <c r="V16" s="199">
        <f t="shared" si="2"/>
        <v>7.262436088168403E-2</v>
      </c>
      <c r="W16" s="199">
        <f t="shared" si="2"/>
        <v>6.4776357143468855E-2</v>
      </c>
      <c r="X16" s="199">
        <f t="shared" si="3"/>
        <v>9.6981846352897971E-2</v>
      </c>
      <c r="Y16" s="199">
        <f t="shared" si="3"/>
        <v>7.974833677629152E-2</v>
      </c>
      <c r="Z16" s="199">
        <f>I16/I$37</f>
        <v>9.901388609378145E-2</v>
      </c>
      <c r="AA16" s="199">
        <f t="shared" si="4"/>
        <v>8.0153783421681127E-2</v>
      </c>
      <c r="AB16" s="199">
        <f t="shared" si="4"/>
        <v>8.2885162923125588E-2</v>
      </c>
      <c r="AC16" s="199">
        <f t="shared" si="5"/>
        <v>8.4135808597240153E-2</v>
      </c>
      <c r="AD16" s="199">
        <f t="shared" si="5"/>
        <v>7.026437979721406E-2</v>
      </c>
      <c r="AE16" s="199">
        <f t="shared" si="5"/>
        <v>6.7562592047128125E-2</v>
      </c>
      <c r="AF16" s="199">
        <f>O16/O$37</f>
        <v>6.4743560204598871E-2</v>
      </c>
      <c r="AG16" s="200">
        <f>SUM(I16:N16)/SUM(I$37:N$37)</f>
        <v>7.9547447816172595E-2</v>
      </c>
    </row>
    <row r="17" spans="1:33" ht="7.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92"/>
      <c r="P17" s="150"/>
      <c r="Q17" s="154"/>
      <c r="R17" s="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5"/>
    </row>
    <row r="18" spans="1:33">
      <c r="A18" s="185" t="s">
        <v>24</v>
      </c>
      <c r="B18" s="148"/>
      <c r="C18" s="148"/>
      <c r="D18" s="148"/>
      <c r="E18" s="148"/>
      <c r="F18" s="148"/>
      <c r="G18" s="275"/>
      <c r="H18" s="275"/>
      <c r="I18" s="275"/>
      <c r="J18" s="148"/>
      <c r="K18" s="148"/>
      <c r="L18" s="148"/>
      <c r="M18" s="148"/>
      <c r="N18" s="148"/>
      <c r="O18" s="2"/>
      <c r="P18" s="275"/>
      <c r="Q18" s="154"/>
      <c r="R18" s="198" t="str">
        <f t="shared" si="1"/>
        <v>Plant &amp; Equipment: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5"/>
    </row>
    <row r="19" spans="1:33">
      <c r="A19" s="140" t="s">
        <v>143</v>
      </c>
      <c r="B19" s="148">
        <f>12862.7-312.4</f>
        <v>12550.300000000001</v>
      </c>
      <c r="C19" s="148">
        <f>12678.9-268.7</f>
        <v>12410.199999999999</v>
      </c>
      <c r="D19" s="148">
        <f>13098.9-364.4</f>
        <v>12734.5</v>
      </c>
      <c r="E19" s="148">
        <f>13516.8-332.5</f>
        <v>13184.3</v>
      </c>
      <c r="F19" s="148">
        <f>14158.2-345.4</f>
        <v>13812.800000000001</v>
      </c>
      <c r="G19" s="148">
        <f>14852.4-593.4</f>
        <v>14259</v>
      </c>
      <c r="H19" s="148">
        <v>15102.4</v>
      </c>
      <c r="I19" s="148">
        <f>6814+2878+4885+671+1766</f>
        <v>17014</v>
      </c>
      <c r="J19" s="148">
        <v>18879</v>
      </c>
      <c r="K19" s="148">
        <v>20330</v>
      </c>
      <c r="L19" s="148">
        <v>22034</v>
      </c>
      <c r="M19" s="148">
        <v>23055</v>
      </c>
      <c r="N19" s="148">
        <v>24024</v>
      </c>
      <c r="O19" s="2">
        <v>24096</v>
      </c>
      <c r="P19" s="150">
        <f t="shared" ref="P19:P20" si="11">RATE(5,,-I19,N19)</f>
        <v>7.1439808350191897E-2</v>
      </c>
      <c r="Q19" s="154"/>
      <c r="R19" s="2" t="str">
        <f t="shared" si="1"/>
        <v>Plant in Service</v>
      </c>
      <c r="S19" s="5">
        <f>B19/B$37</f>
        <v>1.0199266970605685</v>
      </c>
      <c r="T19" s="5">
        <f>C19/C$37</f>
        <v>1.1146419012376727</v>
      </c>
      <c r="U19" s="5">
        <f>D19/D$37</f>
        <v>1.1707086121938663</v>
      </c>
      <c r="V19" s="5">
        <f>E19/E$37</f>
        <v>1.127267908137964</v>
      </c>
      <c r="W19" s="5">
        <f>F19/F$37</f>
        <v>1.1828964383280098</v>
      </c>
      <c r="X19" s="5">
        <f t="shared" ref="X19:Y23" si="12">G19/G$37</f>
        <v>1.1388158998155087</v>
      </c>
      <c r="Y19" s="5">
        <f t="shared" si="12"/>
        <v>1.1862417820646756</v>
      </c>
      <c r="Z19" s="5">
        <f>I19/I$37</f>
        <v>1.1413429932246595</v>
      </c>
      <c r="AA19" s="5">
        <f t="shared" ref="AA19:AB23" si="13">J19/J$37</f>
        <v>1.0997262189083707</v>
      </c>
      <c r="AB19" s="5">
        <f t="shared" si="13"/>
        <v>1.0719181693556892</v>
      </c>
      <c r="AC19" s="5">
        <f t="shared" ref="AC19:AE23" si="14">L19/L$37</f>
        <v>1.0937158741189319</v>
      </c>
      <c r="AD19" s="5">
        <f t="shared" si="14"/>
        <v>1.0923434094570263</v>
      </c>
      <c r="AE19" s="5">
        <f t="shared" si="14"/>
        <v>1.1056701030927836</v>
      </c>
      <c r="AF19" s="5">
        <f t="shared" ref="AF19:AF23" si="15">O19/O$37</f>
        <v>1.1103635777153127</v>
      </c>
      <c r="AG19" s="55">
        <f t="shared" ref="AG19:AG20" si="16">SUM(I19:N19)/SUM(I$37:N$37)</f>
        <v>1.0992457463602876</v>
      </c>
    </row>
    <row r="20" spans="1:33">
      <c r="A20" s="148" t="s">
        <v>144</v>
      </c>
      <c r="B20" s="148">
        <v>312.39999999999998</v>
      </c>
      <c r="C20" s="148">
        <v>268.7</v>
      </c>
      <c r="D20" s="148">
        <v>364.4</v>
      </c>
      <c r="E20" s="148">
        <v>332.5</v>
      </c>
      <c r="F20" s="148">
        <v>345.4</v>
      </c>
      <c r="G20" s="148">
        <v>593.4</v>
      </c>
      <c r="H20" s="148">
        <v>618.29999999999995</v>
      </c>
      <c r="I20" s="148">
        <v>960</v>
      </c>
      <c r="J20" s="148">
        <v>1220</v>
      </c>
      <c r="K20" s="148">
        <v>1830</v>
      </c>
      <c r="L20" s="148">
        <v>1004</v>
      </c>
      <c r="M20" s="148">
        <v>1207</v>
      </c>
      <c r="N20" s="148">
        <v>1255</v>
      </c>
      <c r="O20" s="14">
        <v>1376</v>
      </c>
      <c r="P20" s="150">
        <f t="shared" si="11"/>
        <v>5.5053538908321903E-2</v>
      </c>
      <c r="Q20" s="154"/>
      <c r="R20" s="2" t="str">
        <f t="shared" si="1"/>
        <v>Construction Work in Progress</v>
      </c>
      <c r="S20" s="5">
        <f t="shared" ref="S20:U23" si="17">B20/B$37</f>
        <v>2.538784731534079E-2</v>
      </c>
      <c r="T20" s="5">
        <f t="shared" si="17"/>
        <v>2.4133718945912448E-2</v>
      </c>
      <c r="U20" s="5">
        <f t="shared" si="17"/>
        <v>3.3500036772817529E-2</v>
      </c>
      <c r="V20" s="5"/>
      <c r="W20" s="5">
        <f>F20/F$37</f>
        <v>2.9579261974291563E-2</v>
      </c>
      <c r="X20" s="5">
        <f t="shared" si="12"/>
        <v>4.7392759306439637E-2</v>
      </c>
      <c r="Y20" s="5">
        <f t="shared" si="12"/>
        <v>4.8565346822398346E-2</v>
      </c>
      <c r="Z20" s="5">
        <f>I20/I$37</f>
        <v>6.4399275508150527E-2</v>
      </c>
      <c r="AA20" s="5">
        <f t="shared" si="13"/>
        <v>7.1066581231432405E-2</v>
      </c>
      <c r="AB20" s="5">
        <f t="shared" si="13"/>
        <v>9.6488453021195825E-2</v>
      </c>
      <c r="AC20" s="18">
        <f t="shared" si="14"/>
        <v>4.9836195770872629E-2</v>
      </c>
      <c r="AD20" s="18">
        <f t="shared" si="14"/>
        <v>5.7187529612432481E-2</v>
      </c>
      <c r="AE20" s="18">
        <f t="shared" si="14"/>
        <v>5.7759572901325482E-2</v>
      </c>
      <c r="AF20" s="18">
        <f t="shared" si="15"/>
        <v>6.3407216257315324E-2</v>
      </c>
      <c r="AG20" s="55">
        <f t="shared" si="16"/>
        <v>6.5567444308016143E-2</v>
      </c>
    </row>
    <row r="21" spans="1:33" hidden="1">
      <c r="A21" s="148" t="s">
        <v>151</v>
      </c>
      <c r="B21" s="148">
        <v>1281</v>
      </c>
      <c r="C21" s="148">
        <v>0</v>
      </c>
      <c r="D21" s="148">
        <v>0</v>
      </c>
      <c r="E21" s="148">
        <v>0</v>
      </c>
      <c r="F21" s="148">
        <v>0</v>
      </c>
      <c r="G21" s="148">
        <v>0</v>
      </c>
      <c r="H21" s="148">
        <v>0</v>
      </c>
      <c r="I21" s="148">
        <v>0</v>
      </c>
      <c r="J21" s="148"/>
      <c r="K21" s="148"/>
      <c r="L21" s="148">
        <v>0</v>
      </c>
      <c r="M21" s="148">
        <v>0</v>
      </c>
      <c r="N21" s="148">
        <v>0</v>
      </c>
      <c r="O21" s="19"/>
      <c r="P21" s="150" t="e">
        <f>RATE(5.75,,-E21,H21)</f>
        <v>#NUM!</v>
      </c>
      <c r="Q21" s="154"/>
      <c r="R21" s="2" t="str">
        <f t="shared" si="1"/>
        <v>Australian Electric Operations</v>
      </c>
      <c r="S21" s="5">
        <f t="shared" si="17"/>
        <v>0.10410317673159909</v>
      </c>
      <c r="T21" s="5">
        <f t="shared" si="17"/>
        <v>0</v>
      </c>
      <c r="U21" s="5">
        <f t="shared" si="17"/>
        <v>0</v>
      </c>
      <c r="V21" s="5">
        <f>E21/E$37</f>
        <v>0</v>
      </c>
      <c r="W21" s="5">
        <f>F21/F$37</f>
        <v>0</v>
      </c>
      <c r="X21" s="5">
        <f t="shared" si="12"/>
        <v>0</v>
      </c>
      <c r="Y21" s="5">
        <f t="shared" si="12"/>
        <v>0</v>
      </c>
      <c r="Z21" s="5">
        <f>I21/I$37</f>
        <v>0</v>
      </c>
      <c r="AA21" s="5">
        <f t="shared" si="13"/>
        <v>0</v>
      </c>
      <c r="AB21" s="5">
        <f t="shared" si="13"/>
        <v>0</v>
      </c>
      <c r="AC21" s="18">
        <f t="shared" si="14"/>
        <v>0</v>
      </c>
      <c r="AD21" s="18">
        <f t="shared" si="14"/>
        <v>0</v>
      </c>
      <c r="AE21" s="18">
        <f t="shared" si="14"/>
        <v>0</v>
      </c>
      <c r="AF21" s="18">
        <f t="shared" si="15"/>
        <v>0</v>
      </c>
      <c r="AG21" s="55">
        <f>SUM(F21:K21)/SUM(F$37:K$37)</f>
        <v>0</v>
      </c>
    </row>
    <row r="22" spans="1:33" ht="12.75" hidden="1" customHeight="1">
      <c r="A22" s="148" t="s">
        <v>49</v>
      </c>
      <c r="B22" s="152">
        <v>49.4</v>
      </c>
      <c r="C22" s="152">
        <v>33.5</v>
      </c>
      <c r="D22" s="152">
        <v>0</v>
      </c>
      <c r="E22" s="152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2"/>
      <c r="P22" s="150" t="e">
        <f>RATE(5.75,,-E22,H22)</f>
        <v>#NUM!</v>
      </c>
      <c r="Q22" s="154"/>
      <c r="R22" s="2" t="str">
        <f t="shared" si="1"/>
        <v>Other PP&amp;E</v>
      </c>
      <c r="S22" s="18">
        <f t="shared" si="17"/>
        <v>4.0145955741928141E-3</v>
      </c>
      <c r="T22" s="18">
        <f t="shared" si="17"/>
        <v>3.008855916219081E-3</v>
      </c>
      <c r="U22" s="18">
        <f t="shared" si="17"/>
        <v>0</v>
      </c>
      <c r="V22" s="18">
        <f>E22/E$37</f>
        <v>0</v>
      </c>
      <c r="W22" s="18">
        <f>F22/F$37</f>
        <v>0</v>
      </c>
      <c r="X22" s="18">
        <f t="shared" si="12"/>
        <v>0</v>
      </c>
      <c r="Y22" s="18">
        <f t="shared" si="12"/>
        <v>0</v>
      </c>
      <c r="Z22" s="18">
        <f>I22/I$37</f>
        <v>0</v>
      </c>
      <c r="AA22" s="18">
        <f t="shared" si="13"/>
        <v>0</v>
      </c>
      <c r="AB22" s="18">
        <f t="shared" si="13"/>
        <v>0</v>
      </c>
      <c r="AC22" s="103">
        <f t="shared" si="14"/>
        <v>0</v>
      </c>
      <c r="AD22" s="103">
        <f t="shared" si="14"/>
        <v>0</v>
      </c>
      <c r="AE22" s="103">
        <f t="shared" si="14"/>
        <v>0</v>
      </c>
      <c r="AF22" s="103">
        <f t="shared" si="15"/>
        <v>0</v>
      </c>
      <c r="AG22" s="55">
        <f>SUM(F22:K22)/SUM(F$37:K$37)</f>
        <v>0</v>
      </c>
    </row>
    <row r="23" spans="1:33" ht="12.75" customHeight="1">
      <c r="A23" s="183" t="s">
        <v>60</v>
      </c>
      <c r="B23" s="212">
        <f t="shared" ref="B23:L23" si="18">SUM(B19:B22)</f>
        <v>14193.1</v>
      </c>
      <c r="C23" s="212">
        <f t="shared" si="18"/>
        <v>12712.4</v>
      </c>
      <c r="D23" s="212">
        <f t="shared" si="18"/>
        <v>13098.9</v>
      </c>
      <c r="E23" s="212">
        <f t="shared" si="18"/>
        <v>13516.8</v>
      </c>
      <c r="F23" s="212">
        <f t="shared" si="18"/>
        <v>14158.2</v>
      </c>
      <c r="G23" s="212">
        <f t="shared" si="18"/>
        <v>14852.4</v>
      </c>
      <c r="H23" s="212">
        <f t="shared" si="18"/>
        <v>15720.699999999999</v>
      </c>
      <c r="I23" s="212">
        <f t="shared" si="18"/>
        <v>17974</v>
      </c>
      <c r="J23" s="212">
        <f t="shared" si="18"/>
        <v>20099</v>
      </c>
      <c r="K23" s="212">
        <f t="shared" si="18"/>
        <v>22160</v>
      </c>
      <c r="L23" s="212">
        <f t="shared" si="18"/>
        <v>23038</v>
      </c>
      <c r="M23" s="212">
        <f t="shared" ref="M23:O23" si="19">SUM(M19:M22)</f>
        <v>24262</v>
      </c>
      <c r="N23" s="212">
        <f t="shared" ref="N23" si="20">SUM(N19:N22)</f>
        <v>25279</v>
      </c>
      <c r="O23" s="212">
        <f t="shared" si="19"/>
        <v>25472</v>
      </c>
      <c r="P23" s="205">
        <f>RATE(4,,-I23,M23)</f>
        <v>7.788012798997225E-2</v>
      </c>
      <c r="Q23" s="156"/>
      <c r="R23" s="192" t="str">
        <f t="shared" si="1"/>
        <v>Total Plant &amp; Equipment:</v>
      </c>
      <c r="S23" s="200">
        <f t="shared" si="17"/>
        <v>1.1534323166817011</v>
      </c>
      <c r="T23" s="200">
        <f t="shared" si="17"/>
        <v>1.1417844760998042</v>
      </c>
      <c r="U23" s="200">
        <f t="shared" si="17"/>
        <v>1.2042086489666837</v>
      </c>
      <c r="V23" s="200">
        <f>E23/E$37</f>
        <v>1.1556969168419433</v>
      </c>
      <c r="W23" s="200">
        <f>F23/F$37</f>
        <v>1.2124757003023012</v>
      </c>
      <c r="X23" s="200">
        <f t="shared" si="12"/>
        <v>1.1862086591219483</v>
      </c>
      <c r="Y23" s="200">
        <f t="shared" si="12"/>
        <v>1.2348071288870737</v>
      </c>
      <c r="Z23" s="200">
        <f>I23/I$37</f>
        <v>1.2057422687328101</v>
      </c>
      <c r="AA23" s="200">
        <f t="shared" si="13"/>
        <v>1.1707928001398031</v>
      </c>
      <c r="AB23" s="200">
        <f t="shared" si="13"/>
        <v>1.168406622376885</v>
      </c>
      <c r="AC23" s="200">
        <f t="shared" si="14"/>
        <v>1.1435520698898045</v>
      </c>
      <c r="AD23" s="200">
        <f t="shared" si="14"/>
        <v>1.149530939069459</v>
      </c>
      <c r="AE23" s="200">
        <f t="shared" si="14"/>
        <v>1.163429675994109</v>
      </c>
      <c r="AF23" s="200">
        <f t="shared" si="15"/>
        <v>1.1737707939726281</v>
      </c>
      <c r="AG23" s="200">
        <f>SUM(I23:N23)/SUM(I$37:N$37)</f>
        <v>1.1648131906683039</v>
      </c>
    </row>
    <row r="24" spans="1:33" ht="7.5" customHeight="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2"/>
      <c r="P24" s="150"/>
      <c r="Q24" s="157"/>
      <c r="R24" s="2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55"/>
    </row>
    <row r="25" spans="1:33" ht="12.75" customHeight="1">
      <c r="A25" s="148" t="s">
        <v>50</v>
      </c>
      <c r="B25" s="151">
        <v>4994.8</v>
      </c>
      <c r="C25" s="148">
        <v>4789.5</v>
      </c>
      <c r="D25" s="148">
        <v>5129.3999999999996</v>
      </c>
      <c r="E25" s="148">
        <v>4818.3</v>
      </c>
      <c r="F25" s="148">
        <v>5121.7</v>
      </c>
      <c r="G25" s="148">
        <v>5361.8</v>
      </c>
      <c r="H25" s="148">
        <v>5611.5</v>
      </c>
      <c r="I25" s="148">
        <v>6125</v>
      </c>
      <c r="J25" s="148">
        <v>6275</v>
      </c>
      <c r="K25" s="148">
        <v>6623</v>
      </c>
      <c r="L25" s="148">
        <v>6646</v>
      </c>
      <c r="M25" s="148">
        <v>6888</v>
      </c>
      <c r="N25" s="148">
        <v>7222</v>
      </c>
      <c r="O25" s="14">
        <v>7338</v>
      </c>
      <c r="P25" s="150">
        <f t="shared" ref="P25" si="21">RATE(5,,-I25,N25)</f>
        <v>3.3499517506345868E-2</v>
      </c>
      <c r="Q25" s="140"/>
      <c r="R25" s="2" t="str">
        <f t="shared" si="1"/>
        <v>Accumulated Depreciation &amp; Amort.</v>
      </c>
      <c r="S25" s="5">
        <f t="shared" ref="S25:AE25" si="22">B25/B$37</f>
        <v>0.4059129954246613</v>
      </c>
      <c r="T25" s="5">
        <f t="shared" si="22"/>
        <v>0.43017657942481458</v>
      </c>
      <c r="U25" s="5">
        <f t="shared" si="22"/>
        <v>0.47155622563800831</v>
      </c>
      <c r="V25" s="5">
        <f t="shared" si="22"/>
        <v>0.41196839891243014</v>
      </c>
      <c r="W25" s="5">
        <f t="shared" si="22"/>
        <v>0.43861061393667955</v>
      </c>
      <c r="X25" s="5">
        <f t="shared" si="22"/>
        <v>0.42822800277935302</v>
      </c>
      <c r="Y25" s="5">
        <f t="shared" si="22"/>
        <v>0.44076410107373176</v>
      </c>
      <c r="Z25" s="5">
        <f t="shared" si="22"/>
        <v>0.41088079425773127</v>
      </c>
      <c r="AA25" s="5">
        <f t="shared" si="22"/>
        <v>0.36552688297314617</v>
      </c>
      <c r="AB25" s="5">
        <f t="shared" si="22"/>
        <v>0.3492038384477486</v>
      </c>
      <c r="AC25" s="5">
        <f t="shared" si="22"/>
        <v>0.32989178993348556</v>
      </c>
      <c r="AD25" s="5">
        <f t="shared" si="22"/>
        <v>0.32635269591585331</v>
      </c>
      <c r="AE25" s="5">
        <f t="shared" si="22"/>
        <v>0.33238217967599409</v>
      </c>
      <c r="AF25" s="5">
        <f t="shared" ref="AF25" si="23">O25/O$37</f>
        <v>0.33814109948850285</v>
      </c>
      <c r="AG25" s="55">
        <f>SUM(I25:N25)/SUM(I$37:N$37)</f>
        <v>0.34887738993159095</v>
      </c>
    </row>
    <row r="26" spans="1:33" ht="7.5" customHeight="1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"/>
      <c r="P26" s="150"/>
      <c r="Q26" s="140"/>
      <c r="R26" s="2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55"/>
    </row>
    <row r="27" spans="1:33" ht="12.75" customHeight="1">
      <c r="A27" s="183" t="s">
        <v>51</v>
      </c>
      <c r="B27" s="183">
        <f t="shared" ref="B27:G27" si="24">B23-B25</f>
        <v>9198.2999999999993</v>
      </c>
      <c r="C27" s="183">
        <f t="shared" si="24"/>
        <v>7922.9</v>
      </c>
      <c r="D27" s="183">
        <f t="shared" si="24"/>
        <v>7969.5</v>
      </c>
      <c r="E27" s="183">
        <f t="shared" si="24"/>
        <v>8698.5</v>
      </c>
      <c r="F27" s="183">
        <f t="shared" si="24"/>
        <v>9036.5</v>
      </c>
      <c r="G27" s="183">
        <f t="shared" si="24"/>
        <v>9490.5999999999985</v>
      </c>
      <c r="H27" s="183">
        <f t="shared" ref="H27:L27" si="25">H23-H25</f>
        <v>10109.199999999999</v>
      </c>
      <c r="I27" s="183">
        <f t="shared" si="25"/>
        <v>11849</v>
      </c>
      <c r="J27" s="183">
        <f t="shared" si="25"/>
        <v>13824</v>
      </c>
      <c r="K27" s="183">
        <f t="shared" si="25"/>
        <v>15537</v>
      </c>
      <c r="L27" s="183">
        <f t="shared" si="25"/>
        <v>16392</v>
      </c>
      <c r="M27" s="183">
        <f t="shared" ref="M27:O27" si="26">M23-M25</f>
        <v>17374</v>
      </c>
      <c r="N27" s="183">
        <f t="shared" ref="N27" si="27">N23-N25</f>
        <v>18057</v>
      </c>
      <c r="O27" s="183">
        <f t="shared" si="26"/>
        <v>18134</v>
      </c>
      <c r="P27" s="184">
        <f>RATE(4,,-I27,M27)</f>
        <v>0.10041000260718176</v>
      </c>
      <c r="Q27" s="157"/>
      <c r="R27" s="192" t="str">
        <f t="shared" si="1"/>
        <v>Net Plant &amp; Equipment</v>
      </c>
      <c r="S27" s="199">
        <f t="shared" ref="S27:AE27" si="28">B27/B$37</f>
        <v>0.74751932125703968</v>
      </c>
      <c r="T27" s="199">
        <f t="shared" si="28"/>
        <v>0.71160789667498969</v>
      </c>
      <c r="U27" s="199">
        <f t="shared" si="28"/>
        <v>0.73265242332867542</v>
      </c>
      <c r="V27" s="199">
        <f t="shared" si="28"/>
        <v>0.74372851792951322</v>
      </c>
      <c r="W27" s="199">
        <f t="shared" si="28"/>
        <v>0.77386508636562168</v>
      </c>
      <c r="X27" s="199">
        <f t="shared" si="28"/>
        <v>0.75798065634259515</v>
      </c>
      <c r="Y27" s="199">
        <f t="shared" si="28"/>
        <v>0.79404302781334202</v>
      </c>
      <c r="Z27" s="199">
        <f t="shared" si="28"/>
        <v>0.79486147447507882</v>
      </c>
      <c r="AA27" s="199">
        <f t="shared" si="28"/>
        <v>0.80526591716665696</v>
      </c>
      <c r="AB27" s="199">
        <f t="shared" si="28"/>
        <v>0.81920278392913637</v>
      </c>
      <c r="AC27" s="199">
        <f t="shared" si="28"/>
        <v>0.81366027995631884</v>
      </c>
      <c r="AD27" s="199">
        <f t="shared" si="28"/>
        <v>0.82317824315360566</v>
      </c>
      <c r="AE27" s="199">
        <f t="shared" si="28"/>
        <v>0.83104749631811492</v>
      </c>
      <c r="AF27" s="199">
        <f t="shared" ref="AF27" si="29">O27/O$37</f>
        <v>0.83562969448412516</v>
      </c>
      <c r="AG27" s="199">
        <f>SUM(I27:N27)/SUM(I$37:N$37)</f>
        <v>0.8159358007367129</v>
      </c>
    </row>
    <row r="28" spans="1:33" ht="7.5" customHeight="1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"/>
      <c r="P28" s="150"/>
      <c r="Q28" s="154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5"/>
    </row>
    <row r="29" spans="1:33">
      <c r="A29" s="185" t="s">
        <v>71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2"/>
      <c r="P29" s="150"/>
      <c r="Q29" s="154"/>
      <c r="R29" s="198" t="str">
        <f t="shared" si="1"/>
        <v>Other Assets: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5"/>
    </row>
    <row r="30" spans="1:33">
      <c r="A30" s="148" t="s">
        <v>52</v>
      </c>
      <c r="B30" s="148">
        <v>789.7</v>
      </c>
      <c r="C30" s="148">
        <v>1081.8</v>
      </c>
      <c r="D30" s="148">
        <v>1158.3</v>
      </c>
      <c r="E30" s="148">
        <v>1175.2</v>
      </c>
      <c r="F30" s="148">
        <f>1032.3</f>
        <v>1032.3</v>
      </c>
      <c r="G30" s="148">
        <f>972.8</f>
        <v>972.8</v>
      </c>
      <c r="H30" s="148">
        <v>884.3</v>
      </c>
      <c r="I30" s="148">
        <v>1091</v>
      </c>
      <c r="J30" s="148">
        <v>1624</v>
      </c>
      <c r="K30" s="148">
        <v>1539</v>
      </c>
      <c r="L30" s="148">
        <v>1654</v>
      </c>
      <c r="M30" s="148">
        <v>1810</v>
      </c>
      <c r="N30" s="148">
        <v>1773</v>
      </c>
      <c r="O30" s="2">
        <v>1737</v>
      </c>
      <c r="P30" s="150">
        <f t="shared" ref="P30:P34" si="30">RATE(5,,-I30,N30)</f>
        <v>0.10198782662197109</v>
      </c>
      <c r="Q30" s="154"/>
      <c r="R30" s="2" t="str">
        <f t="shared" si="1"/>
        <v>Regulatory Assets</v>
      </c>
      <c r="S30" s="5">
        <f t="shared" ref="S30:W37" si="31">B30/B$37</f>
        <v>6.4176642205264492E-2</v>
      </c>
      <c r="T30" s="5">
        <f t="shared" si="31"/>
        <v>9.7163591945247804E-2</v>
      </c>
      <c r="U30" s="5">
        <f t="shared" si="31"/>
        <v>0.10648488637199381</v>
      </c>
      <c r="V30" s="5">
        <f t="shared" si="31"/>
        <v>0.1004805143726808</v>
      </c>
      <c r="W30" s="5">
        <f t="shared" si="31"/>
        <v>8.8403798888422647E-2</v>
      </c>
      <c r="X30" s="5">
        <f t="shared" ref="X30:Z37" si="32">G30/G$37</f>
        <v>7.7694095472370203E-2</v>
      </c>
      <c r="Y30" s="5">
        <f t="shared" si="32"/>
        <v>6.9458735557248685E-2</v>
      </c>
      <c r="Z30" s="5">
        <f t="shared" si="32"/>
        <v>7.3187093311866902E-2</v>
      </c>
      <c r="AA30" s="5">
        <f t="shared" ref="AA30:AB37" si="33">J30/J$37</f>
        <v>9.4600104852332959E-2</v>
      </c>
      <c r="AB30" s="5">
        <f t="shared" si="33"/>
        <v>8.1145207212907314E-2</v>
      </c>
      <c r="AC30" s="5">
        <f t="shared" ref="AC30:AE37" si="34">L30/L$37</f>
        <v>8.2100665144445542E-2</v>
      </c>
      <c r="AD30" s="5">
        <f t="shared" si="34"/>
        <v>8.57576044726618E-2</v>
      </c>
      <c r="AE30" s="5">
        <f t="shared" si="34"/>
        <v>8.159977908689249E-2</v>
      </c>
      <c r="AF30" s="5">
        <f t="shared" ref="AF30:AF37" si="35">O30/O$37</f>
        <v>8.004239435970692E-2</v>
      </c>
      <c r="AG30" s="55">
        <f>SUM(I30:N30)/SUM(I$37:N$37)</f>
        <v>8.3239782494299253E-2</v>
      </c>
    </row>
    <row r="31" spans="1:33" hidden="1">
      <c r="A31" s="148" t="s">
        <v>53</v>
      </c>
      <c r="B31" s="148">
        <v>382.7</v>
      </c>
      <c r="C31" s="148">
        <v>0</v>
      </c>
      <c r="D31" s="148">
        <v>0</v>
      </c>
      <c r="E31" s="148">
        <v>0</v>
      </c>
      <c r="F31" s="148">
        <v>0</v>
      </c>
      <c r="G31" s="148">
        <v>0</v>
      </c>
      <c r="H31" s="148">
        <v>0</v>
      </c>
      <c r="I31" s="148">
        <v>0</v>
      </c>
      <c r="J31" s="148">
        <v>0</v>
      </c>
      <c r="K31" s="148">
        <v>0</v>
      </c>
      <c r="L31" s="148">
        <v>0</v>
      </c>
      <c r="M31" s="148">
        <v>0</v>
      </c>
      <c r="N31" s="148">
        <v>0</v>
      </c>
      <c r="O31" s="2"/>
      <c r="P31" s="150" t="e">
        <f t="shared" si="30"/>
        <v>#NUM!</v>
      </c>
      <c r="Q31" s="154"/>
      <c r="R31" s="2" t="str">
        <f t="shared" si="1"/>
        <v>Intangible Assets-net</v>
      </c>
      <c r="S31" s="5">
        <f t="shared" si="31"/>
        <v>3.1100925632461335E-2</v>
      </c>
      <c r="T31" s="5">
        <f t="shared" si="31"/>
        <v>0</v>
      </c>
      <c r="U31" s="5">
        <f t="shared" si="31"/>
        <v>0</v>
      </c>
      <c r="V31" s="5">
        <f t="shared" si="31"/>
        <v>0</v>
      </c>
      <c r="W31" s="5">
        <f t="shared" si="31"/>
        <v>0</v>
      </c>
      <c r="X31" s="5">
        <f t="shared" si="32"/>
        <v>0</v>
      </c>
      <c r="Y31" s="5">
        <f t="shared" si="32"/>
        <v>0</v>
      </c>
      <c r="Z31" s="5">
        <f t="shared" si="32"/>
        <v>0</v>
      </c>
      <c r="AA31" s="5">
        <f t="shared" si="33"/>
        <v>0</v>
      </c>
      <c r="AB31" s="5">
        <f t="shared" si="33"/>
        <v>0</v>
      </c>
      <c r="AC31" s="5">
        <f t="shared" si="34"/>
        <v>0</v>
      </c>
      <c r="AD31" s="5">
        <f t="shared" si="34"/>
        <v>0</v>
      </c>
      <c r="AE31" s="5">
        <f t="shared" si="34"/>
        <v>0</v>
      </c>
      <c r="AF31" s="5">
        <f t="shared" si="35"/>
        <v>0</v>
      </c>
      <c r="AG31" s="55">
        <f t="shared" ref="AG31:AG34" si="36">SUM(I31:N31)/SUM(I$37:N$37)</f>
        <v>0</v>
      </c>
    </row>
    <row r="32" spans="1:33">
      <c r="A32" s="140" t="s">
        <v>169</v>
      </c>
      <c r="B32" s="148">
        <f>196.8+288.3</f>
        <v>485.1</v>
      </c>
      <c r="C32" s="148">
        <f>189.9+278.3</f>
        <v>468.20000000000005</v>
      </c>
      <c r="D32" s="148">
        <f>468.4+155</f>
        <v>623.4</v>
      </c>
      <c r="E32" s="148">
        <f>506.9+122.3</f>
        <v>629.19999999999993</v>
      </c>
      <c r="F32" s="148">
        <f>422.2+110.3</f>
        <v>532.5</v>
      </c>
      <c r="G32" s="148">
        <f>170+360.3</f>
        <v>530.29999999999995</v>
      </c>
      <c r="H32" s="148">
        <f>94.7+345.3</f>
        <v>440</v>
      </c>
      <c r="I32" s="148">
        <v>215</v>
      </c>
      <c r="J32" s="148">
        <v>86</v>
      </c>
      <c r="K32" s="148">
        <v>43</v>
      </c>
      <c r="L32" s="148">
        <v>9</v>
      </c>
      <c r="M32" s="148">
        <v>4</v>
      </c>
      <c r="N32" s="148">
        <v>1</v>
      </c>
      <c r="O32" s="2">
        <v>0</v>
      </c>
      <c r="P32" s="150">
        <f t="shared" si="30"/>
        <v>-0.65840436854272311</v>
      </c>
      <c r="Q32" s="154"/>
      <c r="R32" s="2" t="str">
        <f t="shared" si="1"/>
        <v>Financial Assets/Derivatives</v>
      </c>
      <c r="S32" s="5">
        <f t="shared" si="31"/>
        <v>3.9422678401638343E-2</v>
      </c>
      <c r="T32" s="5">
        <f t="shared" si="31"/>
        <v>4.2052129551455937E-2</v>
      </c>
      <c r="U32" s="5">
        <f t="shared" si="31"/>
        <v>5.7310436125615941E-2</v>
      </c>
      <c r="V32" s="5">
        <f t="shared" si="31"/>
        <v>5.3797089553514935E-2</v>
      </c>
      <c r="W32" s="5">
        <f t="shared" si="31"/>
        <v>4.5602075857875679E-2</v>
      </c>
      <c r="X32" s="5">
        <f t="shared" si="32"/>
        <v>4.2353185473887667E-2</v>
      </c>
      <c r="Y32" s="5">
        <f t="shared" si="32"/>
        <v>3.4560492644113337E-2</v>
      </c>
      <c r="Z32" s="5">
        <f t="shared" si="32"/>
        <v>1.4422754410679547E-2</v>
      </c>
      <c r="AA32" s="5">
        <f t="shared" si="33"/>
        <v>5.0096114638550704E-3</v>
      </c>
      <c r="AB32" s="5">
        <f t="shared" si="33"/>
        <v>2.2672150163450385E-3</v>
      </c>
      <c r="AC32" s="5">
        <f t="shared" si="34"/>
        <v>4.4673880671100964E-4</v>
      </c>
      <c r="AD32" s="5">
        <f t="shared" si="34"/>
        <v>1.895195678953852E-4</v>
      </c>
      <c r="AE32" s="5">
        <f t="shared" si="34"/>
        <v>4.6023564064801177E-5</v>
      </c>
      <c r="AF32" s="5">
        <f t="shared" si="35"/>
        <v>0</v>
      </c>
      <c r="AG32" s="55">
        <f t="shared" si="36"/>
        <v>3.1398000350815647E-3</v>
      </c>
    </row>
    <row r="33" spans="1:35" hidden="1">
      <c r="A33" s="148" t="s">
        <v>55</v>
      </c>
      <c r="B33" s="148">
        <v>116</v>
      </c>
      <c r="C33" s="148">
        <v>0</v>
      </c>
      <c r="D33" s="148">
        <v>0</v>
      </c>
      <c r="E33" s="148">
        <v>0</v>
      </c>
      <c r="F33" s="148">
        <v>0</v>
      </c>
      <c r="G33" s="148">
        <v>0</v>
      </c>
      <c r="H33" s="148">
        <v>0</v>
      </c>
      <c r="I33" s="148">
        <v>0</v>
      </c>
      <c r="J33" s="148">
        <v>0</v>
      </c>
      <c r="K33" s="148">
        <v>0</v>
      </c>
      <c r="L33" s="148">
        <v>0</v>
      </c>
      <c r="M33" s="148">
        <v>0</v>
      </c>
      <c r="N33" s="148">
        <v>0</v>
      </c>
      <c r="O33" s="2">
        <v>0</v>
      </c>
      <c r="P33" s="150" t="e">
        <f t="shared" si="30"/>
        <v>#NUM!</v>
      </c>
      <c r="Q33" s="154"/>
      <c r="R33" s="2" t="str">
        <f t="shared" si="1"/>
        <v>Investments in Affiliates</v>
      </c>
      <c r="S33" s="5">
        <f t="shared" si="31"/>
        <v>9.4269855588333291E-3</v>
      </c>
      <c r="T33" s="5">
        <f t="shared" si="31"/>
        <v>0</v>
      </c>
      <c r="U33" s="5">
        <f t="shared" si="31"/>
        <v>0</v>
      </c>
      <c r="V33" s="5">
        <f t="shared" si="31"/>
        <v>0</v>
      </c>
      <c r="W33" s="5">
        <f t="shared" si="31"/>
        <v>0</v>
      </c>
      <c r="X33" s="5">
        <f t="shared" si="32"/>
        <v>0</v>
      </c>
      <c r="Y33" s="5">
        <f t="shared" si="32"/>
        <v>0</v>
      </c>
      <c r="Z33" s="5">
        <f t="shared" si="32"/>
        <v>0</v>
      </c>
      <c r="AA33" s="5">
        <f t="shared" si="33"/>
        <v>0</v>
      </c>
      <c r="AB33" s="5">
        <f t="shared" si="33"/>
        <v>0</v>
      </c>
      <c r="AC33" s="5">
        <f t="shared" si="34"/>
        <v>0</v>
      </c>
      <c r="AD33" s="5">
        <f t="shared" si="34"/>
        <v>0</v>
      </c>
      <c r="AE33" s="5">
        <f t="shared" si="34"/>
        <v>0</v>
      </c>
      <c r="AF33" s="5">
        <f t="shared" si="35"/>
        <v>0</v>
      </c>
      <c r="AG33" s="55">
        <f t="shared" si="36"/>
        <v>0</v>
      </c>
    </row>
    <row r="34" spans="1:35">
      <c r="A34" s="148" t="s">
        <v>54</v>
      </c>
      <c r="B34" s="152">
        <v>372.1</v>
      </c>
      <c r="C34" s="152">
        <v>303.5</v>
      </c>
      <c r="D34" s="152">
        <v>366.2</v>
      </c>
      <c r="E34" s="152">
        <v>343.5</v>
      </c>
      <c r="F34" s="152">
        <v>319.39999999999998</v>
      </c>
      <c r="G34" s="152">
        <v>312.89999999999998</v>
      </c>
      <c r="H34" s="153">
        <v>282.5</v>
      </c>
      <c r="I34" s="153">
        <v>276</v>
      </c>
      <c r="J34" s="153">
        <v>257</v>
      </c>
      <c r="K34" s="153">
        <v>275</v>
      </c>
      <c r="L34" s="153">
        <v>396</v>
      </c>
      <c r="M34" s="153">
        <v>435</v>
      </c>
      <c r="N34" s="153">
        <v>429</v>
      </c>
      <c r="O34" s="2">
        <v>425</v>
      </c>
      <c r="P34" s="150">
        <f t="shared" si="30"/>
        <v>9.2218785899173039E-2</v>
      </c>
      <c r="Q34" s="154"/>
      <c r="R34" s="2" t="str">
        <f t="shared" si="1"/>
        <v>Deferred Charges and Other</v>
      </c>
      <c r="S34" s="6">
        <f t="shared" si="31"/>
        <v>3.02394941934645E-2</v>
      </c>
      <c r="T34" s="6">
        <f t="shared" si="31"/>
        <v>2.7259336434999733E-2</v>
      </c>
      <c r="U34" s="6">
        <f t="shared" si="31"/>
        <v>3.3665514451717289E-2</v>
      </c>
      <c r="V34" s="6">
        <f t="shared" si="31"/>
        <v>2.936951726260709E-2</v>
      </c>
      <c r="W34" s="6">
        <f t="shared" si="31"/>
        <v>2.7352681744611248E-2</v>
      </c>
      <c r="X34" s="6">
        <f t="shared" si="32"/>
        <v>2.4990216358249009E-2</v>
      </c>
      <c r="Y34" s="103">
        <f t="shared" si="32"/>
        <v>2.2189407209004582E-2</v>
      </c>
      <c r="Z34" s="103">
        <f t="shared" si="32"/>
        <v>1.8514791708593277E-2</v>
      </c>
      <c r="AA34" s="103">
        <f t="shared" si="33"/>
        <v>1.4970583095473874E-2</v>
      </c>
      <c r="AB34" s="103">
        <f t="shared" si="33"/>
        <v>1.4499630918485711E-2</v>
      </c>
      <c r="AC34" s="103">
        <f t="shared" si="34"/>
        <v>1.9656507495284425E-2</v>
      </c>
      <c r="AD34" s="103">
        <f t="shared" si="34"/>
        <v>2.0610253008623139E-2</v>
      </c>
      <c r="AE34" s="103">
        <f t="shared" si="34"/>
        <v>1.9744108983799705E-2</v>
      </c>
      <c r="AF34" s="103">
        <f t="shared" si="35"/>
        <v>1.9584350951569053E-2</v>
      </c>
      <c r="AG34" s="55">
        <f t="shared" si="36"/>
        <v>1.8137168917733731E-2</v>
      </c>
    </row>
    <row r="35" spans="1:35">
      <c r="A35" s="183" t="s">
        <v>72</v>
      </c>
      <c r="B35" s="206">
        <f t="shared" ref="B35:L35" si="37">SUM(B30:B34)</f>
        <v>2145.6</v>
      </c>
      <c r="C35" s="206">
        <f t="shared" si="37"/>
        <v>1853.5</v>
      </c>
      <c r="D35" s="206">
        <f t="shared" si="37"/>
        <v>2147.8999999999996</v>
      </c>
      <c r="E35" s="206">
        <f t="shared" si="37"/>
        <v>2147.9</v>
      </c>
      <c r="F35" s="206">
        <f t="shared" si="37"/>
        <v>1884.1999999999998</v>
      </c>
      <c r="G35" s="206">
        <f t="shared" si="37"/>
        <v>1816</v>
      </c>
      <c r="H35" s="207">
        <f t="shared" si="37"/>
        <v>1606.8</v>
      </c>
      <c r="I35" s="207">
        <f t="shared" si="37"/>
        <v>1582</v>
      </c>
      <c r="J35" s="207">
        <f>SUM(J30:J34)</f>
        <v>1967</v>
      </c>
      <c r="K35" s="207">
        <f>SUM(K30:K34)</f>
        <v>1857</v>
      </c>
      <c r="L35" s="207">
        <f t="shared" si="37"/>
        <v>2059</v>
      </c>
      <c r="M35" s="207">
        <f t="shared" ref="M35:O35" si="38">SUM(M30:M34)</f>
        <v>2249</v>
      </c>
      <c r="N35" s="207">
        <f t="shared" ref="N35" si="39">SUM(N30:N34)</f>
        <v>2203</v>
      </c>
      <c r="O35" s="207">
        <f t="shared" si="38"/>
        <v>2162</v>
      </c>
      <c r="P35" s="205">
        <f>RATE(4,,-I35,M35)</f>
        <v>9.1932378448857766E-2</v>
      </c>
      <c r="Q35" s="154"/>
      <c r="R35" s="192" t="str">
        <f t="shared" si="1"/>
        <v>Total Other Assets</v>
      </c>
      <c r="S35" s="201">
        <f t="shared" si="31"/>
        <v>0.17436672599166197</v>
      </c>
      <c r="T35" s="201">
        <f t="shared" si="31"/>
        <v>0.16647505793170347</v>
      </c>
      <c r="U35" s="201">
        <f t="shared" si="31"/>
        <v>0.19746083694932701</v>
      </c>
      <c r="V35" s="201">
        <f t="shared" si="31"/>
        <v>0.18364712118880283</v>
      </c>
      <c r="W35" s="201">
        <f t="shared" si="31"/>
        <v>0.16135855649090955</v>
      </c>
      <c r="X35" s="201">
        <f t="shared" si="32"/>
        <v>0.14503749730450688</v>
      </c>
      <c r="Y35" s="202">
        <f t="shared" si="32"/>
        <v>0.12620863541036659</v>
      </c>
      <c r="Z35" s="202">
        <f t="shared" si="32"/>
        <v>0.10612463943113973</v>
      </c>
      <c r="AA35" s="202">
        <f t="shared" si="33"/>
        <v>0.11458029941166191</v>
      </c>
      <c r="AB35" s="202">
        <f t="shared" si="33"/>
        <v>9.7912053147738057E-2</v>
      </c>
      <c r="AC35" s="202">
        <f t="shared" si="34"/>
        <v>0.10220391144644098</v>
      </c>
      <c r="AD35" s="202">
        <f t="shared" si="34"/>
        <v>0.10655737704918032</v>
      </c>
      <c r="AE35" s="202">
        <f t="shared" si="34"/>
        <v>0.101389911634757</v>
      </c>
      <c r="AF35" s="202">
        <f t="shared" si="35"/>
        <v>9.962674531127598E-2</v>
      </c>
      <c r="AG35" s="202">
        <f>SUM(I35:N35)/SUM(I$37:N$37)</f>
        <v>0.10451675144711454</v>
      </c>
    </row>
    <row r="36" spans="1:35">
      <c r="A36" s="148" t="s">
        <v>36</v>
      </c>
      <c r="B36" s="152">
        <f t="shared" ref="B36:L36" si="40">B27+B35</f>
        <v>11343.9</v>
      </c>
      <c r="C36" s="152">
        <f t="shared" si="40"/>
        <v>9776.4</v>
      </c>
      <c r="D36" s="152">
        <f t="shared" si="40"/>
        <v>10117.4</v>
      </c>
      <c r="E36" s="152">
        <f t="shared" si="40"/>
        <v>10846.4</v>
      </c>
      <c r="F36" s="152">
        <f t="shared" si="40"/>
        <v>10920.7</v>
      </c>
      <c r="G36" s="152">
        <f t="shared" si="40"/>
        <v>11306.599999999999</v>
      </c>
      <c r="H36" s="151">
        <f t="shared" si="40"/>
        <v>11715.999999999998</v>
      </c>
      <c r="I36" s="151">
        <f t="shared" si="40"/>
        <v>13431</v>
      </c>
      <c r="J36" s="151">
        <f>J27+J35</f>
        <v>15791</v>
      </c>
      <c r="K36" s="151">
        <f>K27+K35</f>
        <v>17394</v>
      </c>
      <c r="L36" s="151">
        <f t="shared" si="40"/>
        <v>18451</v>
      </c>
      <c r="M36" s="151">
        <f t="shared" ref="M36:O36" si="41">M27+M35</f>
        <v>19623</v>
      </c>
      <c r="N36" s="151">
        <f t="shared" ref="N36" si="42">N27+N35</f>
        <v>20260</v>
      </c>
      <c r="O36" s="151">
        <f t="shared" si="41"/>
        <v>20296</v>
      </c>
      <c r="P36" s="155">
        <f>RATE(4,,-I36,M36)</f>
        <v>9.9421596260228132E-2</v>
      </c>
      <c r="Q36" s="156"/>
      <c r="R36" s="2" t="str">
        <f t="shared" si="1"/>
        <v>Total Non-Current Assets</v>
      </c>
      <c r="S36" s="6">
        <f t="shared" si="31"/>
        <v>0.92188604724870171</v>
      </c>
      <c r="T36" s="6">
        <f t="shared" si="31"/>
        <v>0.87808295460669317</v>
      </c>
      <c r="U36" s="6">
        <f t="shared" si="31"/>
        <v>0.93011326027800245</v>
      </c>
      <c r="V36" s="6">
        <f t="shared" si="31"/>
        <v>0.927375639118316</v>
      </c>
      <c r="W36" s="6">
        <f t="shared" si="31"/>
        <v>0.93522364285653137</v>
      </c>
      <c r="X36" s="6">
        <f t="shared" si="32"/>
        <v>0.90301815364710214</v>
      </c>
      <c r="Y36" s="97">
        <f t="shared" si="32"/>
        <v>0.92025166322370855</v>
      </c>
      <c r="Z36" s="97">
        <f t="shared" si="32"/>
        <v>0.90098611390621852</v>
      </c>
      <c r="AA36" s="97">
        <f t="shared" si="33"/>
        <v>0.91984621657831889</v>
      </c>
      <c r="AB36" s="97">
        <f t="shared" si="33"/>
        <v>0.91711483707687436</v>
      </c>
      <c r="AC36" s="97">
        <f t="shared" si="34"/>
        <v>0.91586419140275988</v>
      </c>
      <c r="AD36" s="97">
        <f t="shared" si="34"/>
        <v>0.92973562020278588</v>
      </c>
      <c r="AE36" s="97">
        <f t="shared" si="34"/>
        <v>0.93243740795287189</v>
      </c>
      <c r="AF36" s="97">
        <f t="shared" si="35"/>
        <v>0.93525643979540118</v>
      </c>
      <c r="AG36" s="254">
        <f>SUM(I36:N36)/SUM(I$37:N$37)</f>
        <v>0.92045255218382738</v>
      </c>
    </row>
    <row r="37" spans="1:35" ht="13.5" thickBot="1">
      <c r="A37" s="183" t="s">
        <v>31</v>
      </c>
      <c r="B37" s="208">
        <f t="shared" ref="B37:G37" si="43">B16+B27+B35</f>
        <v>12305.1</v>
      </c>
      <c r="C37" s="208">
        <f t="shared" si="43"/>
        <v>11133.8</v>
      </c>
      <c r="D37" s="208">
        <f t="shared" si="43"/>
        <v>10877.6</v>
      </c>
      <c r="E37" s="208">
        <f t="shared" si="43"/>
        <v>11695.8</v>
      </c>
      <c r="F37" s="208">
        <f t="shared" si="43"/>
        <v>11677.099999999999</v>
      </c>
      <c r="G37" s="208">
        <f t="shared" si="43"/>
        <v>12520.899999999998</v>
      </c>
      <c r="H37" s="209">
        <f t="shared" ref="H37:L37" si="44">H16+H27+H35</f>
        <v>12731.299999999997</v>
      </c>
      <c r="I37" s="209">
        <f t="shared" si="44"/>
        <v>14907</v>
      </c>
      <c r="J37" s="209">
        <f t="shared" si="44"/>
        <v>17167</v>
      </c>
      <c r="K37" s="209">
        <f t="shared" si="44"/>
        <v>18966</v>
      </c>
      <c r="L37" s="209">
        <f t="shared" si="44"/>
        <v>20146</v>
      </c>
      <c r="M37" s="209">
        <f t="shared" ref="M37:O37" si="45">M16+M27+M35</f>
        <v>21106</v>
      </c>
      <c r="N37" s="209">
        <f t="shared" ref="N37" si="46">N16+N27+N35</f>
        <v>21728</v>
      </c>
      <c r="O37" s="209">
        <f t="shared" si="45"/>
        <v>21701</v>
      </c>
      <c r="P37" s="205">
        <f>RATE(4,,-I37,M37)</f>
        <v>9.0822081016122796E-2</v>
      </c>
      <c r="Q37" s="157"/>
      <c r="R37" s="192" t="str">
        <f t="shared" si="1"/>
        <v>Total Assets</v>
      </c>
      <c r="S37" s="203">
        <f t="shared" si="31"/>
        <v>1</v>
      </c>
      <c r="T37" s="203">
        <f t="shared" si="31"/>
        <v>1</v>
      </c>
      <c r="U37" s="203">
        <f t="shared" si="31"/>
        <v>1</v>
      </c>
      <c r="V37" s="203">
        <f t="shared" si="31"/>
        <v>1</v>
      </c>
      <c r="W37" s="203">
        <f t="shared" si="31"/>
        <v>1</v>
      </c>
      <c r="X37" s="203">
        <f t="shared" si="32"/>
        <v>1</v>
      </c>
      <c r="Y37" s="204">
        <f t="shared" si="32"/>
        <v>1</v>
      </c>
      <c r="Z37" s="204">
        <f t="shared" si="32"/>
        <v>1</v>
      </c>
      <c r="AA37" s="204">
        <f t="shared" si="33"/>
        <v>1</v>
      </c>
      <c r="AB37" s="204">
        <f t="shared" si="33"/>
        <v>1</v>
      </c>
      <c r="AC37" s="204">
        <f t="shared" si="34"/>
        <v>1</v>
      </c>
      <c r="AD37" s="204">
        <f t="shared" si="34"/>
        <v>1</v>
      </c>
      <c r="AE37" s="204">
        <f t="shared" si="34"/>
        <v>1</v>
      </c>
      <c r="AF37" s="204">
        <f t="shared" si="35"/>
        <v>1</v>
      </c>
      <c r="AG37" s="204">
        <f>SUM(I37:N37)/SUM(I$37:N$37)</f>
        <v>1</v>
      </c>
    </row>
    <row r="38" spans="1:35" ht="13.5" thickTop="1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60"/>
      <c r="Q38" s="154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131"/>
    </row>
    <row r="39" spans="1:35" ht="7.5" customHeight="1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93"/>
      <c r="P39" s="150"/>
      <c r="Q39" s="154"/>
      <c r="R39" s="2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5"/>
    </row>
    <row r="40" spans="1:35">
      <c r="A40" s="185" t="s">
        <v>9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"/>
      <c r="P40" s="150"/>
      <c r="Q40" s="157"/>
      <c r="R40" s="198" t="str">
        <f t="shared" si="1"/>
        <v>Current Liabilities:</v>
      </c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5"/>
    </row>
    <row r="41" spans="1:35">
      <c r="A41" s="148" t="s">
        <v>56</v>
      </c>
      <c r="B41" s="148">
        <v>186.9</v>
      </c>
      <c r="C41" s="148">
        <v>51.2</v>
      </c>
      <c r="D41" s="148">
        <v>144.5</v>
      </c>
      <c r="E41" s="148">
        <v>136.69999999999999</v>
      </c>
      <c r="F41" s="148">
        <v>240</v>
      </c>
      <c r="G41" s="148">
        <v>269.89999999999998</v>
      </c>
      <c r="H41" s="148">
        <v>216.9</v>
      </c>
      <c r="I41" s="148">
        <v>414</v>
      </c>
      <c r="J41" s="148">
        <v>144</v>
      </c>
      <c r="K41" s="148">
        <v>16</v>
      </c>
      <c r="L41" s="148">
        <v>588</v>
      </c>
      <c r="M41" s="148">
        <v>19</v>
      </c>
      <c r="N41" s="148">
        <v>267</v>
      </c>
      <c r="O41" s="2">
        <v>285</v>
      </c>
      <c r="P41" s="150">
        <f t="shared" ref="P41:P46" si="47">RATE(5,,-I41,N41)</f>
        <v>-8.3985846570393999E-2</v>
      </c>
      <c r="Q41" s="157"/>
      <c r="R41" s="2" t="str">
        <f t="shared" si="1"/>
        <v>Current Maturities LTD</v>
      </c>
      <c r="S41" s="5">
        <f t="shared" ref="S41:W44" si="48">B41/B$37</f>
        <v>1.5188824146085769E-2</v>
      </c>
      <c r="T41" s="5">
        <f t="shared" si="48"/>
        <v>4.5986096391169235E-3</v>
      </c>
      <c r="U41" s="5">
        <f t="shared" si="48"/>
        <v>1.3284180333897182E-2</v>
      </c>
      <c r="V41" s="5">
        <f t="shared" si="48"/>
        <v>1.1687956360402879E-2</v>
      </c>
      <c r="W41" s="5">
        <f t="shared" si="48"/>
        <v>2.0553048273972137E-2</v>
      </c>
      <c r="X41" s="5">
        <f t="shared" ref="X41:Z44" si="49">G41/G$37</f>
        <v>2.1555958437492515E-2</v>
      </c>
      <c r="Y41" s="5">
        <f t="shared" si="49"/>
        <v>1.7036751942064051E-2</v>
      </c>
      <c r="Z41" s="5">
        <f t="shared" si="49"/>
        <v>2.7772187562889919E-2</v>
      </c>
      <c r="AA41" s="5">
        <f t="shared" ref="AA41:AB47" si="50">J41/J$37</f>
        <v>8.3881866371526767E-3</v>
      </c>
      <c r="AB41" s="5">
        <f t="shared" si="50"/>
        <v>8.4361488980280502E-4</v>
      </c>
      <c r="AC41" s="5">
        <f t="shared" ref="AC41:AE47" si="51">L41/L$37</f>
        <v>2.9186935371785964E-2</v>
      </c>
      <c r="AD41" s="5">
        <f t="shared" si="51"/>
        <v>9.0021794750307972E-4</v>
      </c>
      <c r="AE41" s="5">
        <f t="shared" si="51"/>
        <v>1.2288291605301914E-2</v>
      </c>
      <c r="AF41" s="5">
        <f t="shared" ref="AF41:AF47" si="52">O41/O$37</f>
        <v>1.3133035343993365E-2</v>
      </c>
      <c r="AG41" s="55">
        <f>SUM(I41:N41)/SUM(I$37:N$37)</f>
        <v>1.269952639887739E-2</v>
      </c>
    </row>
    <row r="42" spans="1:35">
      <c r="A42" s="140" t="s">
        <v>172</v>
      </c>
      <c r="B42" s="148">
        <v>109</v>
      </c>
      <c r="C42" s="148">
        <v>240.5</v>
      </c>
      <c r="D42" s="148">
        <v>177.5</v>
      </c>
      <c r="E42" s="148">
        <v>25</v>
      </c>
      <c r="F42" s="148">
        <v>124.9</v>
      </c>
      <c r="G42" s="148">
        <v>468.8</v>
      </c>
      <c r="H42" s="148">
        <v>184.4</v>
      </c>
      <c r="I42" s="148">
        <v>0</v>
      </c>
      <c r="J42" s="148">
        <v>85</v>
      </c>
      <c r="K42" s="148">
        <v>0</v>
      </c>
      <c r="L42" s="148">
        <v>36</v>
      </c>
      <c r="M42" s="148">
        <v>688</v>
      </c>
      <c r="N42" s="148">
        <v>0</v>
      </c>
      <c r="O42" s="2">
        <v>0</v>
      </c>
      <c r="P42" s="150">
        <f>RATE(4,,-J42,N42)</f>
        <v>-0.99999959914231695</v>
      </c>
      <c r="Q42" s="157"/>
      <c r="R42" s="2" t="str">
        <f t="shared" si="1"/>
        <v>Short-term Debt</v>
      </c>
      <c r="S42" s="5">
        <f t="shared" si="48"/>
        <v>8.8581157406278695E-3</v>
      </c>
      <c r="T42" s="5">
        <f t="shared" si="48"/>
        <v>2.1600890980617581E-2</v>
      </c>
      <c r="U42" s="5">
        <f t="shared" si="48"/>
        <v>1.6317937780392734E-2</v>
      </c>
      <c r="V42" s="5">
        <f t="shared" si="48"/>
        <v>2.1375194514270082E-3</v>
      </c>
      <c r="W42" s="5">
        <f t="shared" si="48"/>
        <v>1.0696148872579666E-2</v>
      </c>
      <c r="X42" s="5">
        <f t="shared" si="49"/>
        <v>3.7441397982573142E-2</v>
      </c>
      <c r="Y42" s="5">
        <f t="shared" si="49"/>
        <v>1.4483988280851134E-2</v>
      </c>
      <c r="Z42" s="5">
        <f t="shared" si="49"/>
        <v>0</v>
      </c>
      <c r="AA42" s="5">
        <f t="shared" si="50"/>
        <v>4.9513601677637327E-3</v>
      </c>
      <c r="AB42" s="5">
        <f t="shared" si="50"/>
        <v>0</v>
      </c>
      <c r="AC42" s="5">
        <f t="shared" si="51"/>
        <v>1.7869552268440386E-3</v>
      </c>
      <c r="AD42" s="5">
        <f t="shared" si="51"/>
        <v>3.2597365678006252E-2</v>
      </c>
      <c r="AE42" s="5">
        <f t="shared" si="51"/>
        <v>0</v>
      </c>
      <c r="AF42" s="5">
        <f t="shared" si="52"/>
        <v>0</v>
      </c>
      <c r="AG42" s="55">
        <f t="shared" ref="AG42:AG46" si="53">SUM(I42:N42)/SUM(I$37:N$37)</f>
        <v>7.0952464479915808E-3</v>
      </c>
      <c r="AI42" s="55">
        <f>AVERAGE(Y42:AC42)</f>
        <v>4.2444607350917811E-3</v>
      </c>
    </row>
    <row r="43" spans="1:35">
      <c r="A43" s="148" t="s">
        <v>1</v>
      </c>
      <c r="B43" s="148">
        <v>437.4</v>
      </c>
      <c r="C43" s="148">
        <v>609.9</v>
      </c>
      <c r="D43" s="148">
        <v>292.7</v>
      </c>
      <c r="E43" s="148">
        <v>243.4</v>
      </c>
      <c r="F43" s="148">
        <v>262.60000000000002</v>
      </c>
      <c r="G43" s="148">
        <v>350.4</v>
      </c>
      <c r="H43" s="148">
        <v>361.3</v>
      </c>
      <c r="I43" s="148">
        <v>451</v>
      </c>
      <c r="J43" s="148">
        <v>757</v>
      </c>
      <c r="K43" s="148">
        <v>553</v>
      </c>
      <c r="L43" s="148">
        <v>479</v>
      </c>
      <c r="M43" s="148">
        <v>582</v>
      </c>
      <c r="N43" s="148">
        <v>467</v>
      </c>
      <c r="O43" s="2">
        <v>412</v>
      </c>
      <c r="P43" s="150">
        <f t="shared" si="47"/>
        <v>6.9967472913496816E-3</v>
      </c>
      <c r="Q43" s="154"/>
      <c r="R43" s="2" t="str">
        <f t="shared" si="1"/>
        <v>Accounts Payable</v>
      </c>
      <c r="S43" s="5">
        <f t="shared" si="48"/>
        <v>3.5546236926152566E-2</v>
      </c>
      <c r="T43" s="5">
        <f t="shared" si="48"/>
        <v>5.4779140994090071E-2</v>
      </c>
      <c r="U43" s="5">
        <f t="shared" si="48"/>
        <v>2.6908509229977198E-2</v>
      </c>
      <c r="V43" s="5">
        <f t="shared" si="48"/>
        <v>2.0810889379093353E-2</v>
      </c>
      <c r="W43" s="5">
        <f t="shared" si="48"/>
        <v>2.248846031977118E-2</v>
      </c>
      <c r="X43" s="5">
        <f t="shared" si="49"/>
        <v>2.7985208731001767E-2</v>
      </c>
      <c r="Y43" s="5">
        <f t="shared" si="49"/>
        <v>2.8378877255268518E-2</v>
      </c>
      <c r="Z43" s="5">
        <f t="shared" si="49"/>
        <v>3.0254242973099886E-2</v>
      </c>
      <c r="AA43" s="5">
        <f t="shared" si="50"/>
        <v>4.4096231141142889E-2</v>
      </c>
      <c r="AB43" s="5">
        <f t="shared" si="50"/>
        <v>2.9157439628809449E-2</v>
      </c>
      <c r="AC43" s="5">
        <f t="shared" si="51"/>
        <v>2.3776432046063736E-2</v>
      </c>
      <c r="AD43" s="5">
        <f t="shared" si="51"/>
        <v>2.7575097128778547E-2</v>
      </c>
      <c r="AE43" s="5">
        <f t="shared" si="51"/>
        <v>2.149300441826215E-2</v>
      </c>
      <c r="AF43" s="5">
        <f t="shared" si="52"/>
        <v>1.8985300216579883E-2</v>
      </c>
      <c r="AG43" s="55">
        <f t="shared" si="53"/>
        <v>2.8845816523416945E-2</v>
      </c>
    </row>
    <row r="44" spans="1:35">
      <c r="A44" s="140" t="s">
        <v>173</v>
      </c>
      <c r="B44" s="148">
        <f>153.8+97.3+4.2+4.6</f>
        <v>259.90000000000003</v>
      </c>
      <c r="C44" s="148">
        <f>61.9+84.1+377.5+18.7</f>
        <v>542.20000000000005</v>
      </c>
      <c r="D44" s="148">
        <f>91.8+115.9+100.8+151.7</f>
        <v>460.2</v>
      </c>
      <c r="E44" s="148">
        <f>141.3+63.1+67.9+91.7+39.6</f>
        <v>403.6</v>
      </c>
      <c r="F44" s="148">
        <f>131.5+54.2+66.1+76.9+3.7+2.6</f>
        <v>335</v>
      </c>
      <c r="G44" s="148">
        <f>134.3+39.8+64.8+136.7+2+3.7+3.9</f>
        <v>385.2</v>
      </c>
      <c r="H44" s="148">
        <f>118+47+63+97.9+16.9+3.7+3.8</f>
        <v>350.29999999999995</v>
      </c>
      <c r="I44" s="148">
        <f>80+28+74</f>
        <v>182</v>
      </c>
      <c r="J44" s="148">
        <f>77+89+73</f>
        <v>239</v>
      </c>
      <c r="K44" s="148">
        <f>76+111+67</f>
        <v>254</v>
      </c>
      <c r="L44" s="148">
        <f>81+110+63</f>
        <v>254</v>
      </c>
      <c r="M44" s="148">
        <f>72+105+66</f>
        <v>243</v>
      </c>
      <c r="N44" s="148">
        <f>77+113+54</f>
        <v>244</v>
      </c>
      <c r="O44" s="2">
        <f>106+97+82</f>
        <v>285</v>
      </c>
      <c r="P44" s="150">
        <f t="shared" si="47"/>
        <v>6.0385273490325519E-2</v>
      </c>
      <c r="Q44" s="154"/>
      <c r="R44" s="2" t="str">
        <f>A44</f>
        <v>Accrued Expenses</v>
      </c>
      <c r="S44" s="5">
        <f t="shared" si="48"/>
        <v>2.1121323678799851E-2</v>
      </c>
      <c r="T44" s="5">
        <f t="shared" si="48"/>
        <v>4.8698557545492113E-2</v>
      </c>
      <c r="U44" s="5">
        <f t="shared" si="48"/>
        <v>4.2307126572037945E-2</v>
      </c>
      <c r="V44" s="5">
        <f t="shared" si="48"/>
        <v>3.4508114023837619E-2</v>
      </c>
      <c r="W44" s="5">
        <f t="shared" si="48"/>
        <v>2.868862988241944E-2</v>
      </c>
      <c r="X44" s="5">
        <f t="shared" si="49"/>
        <v>3.0764561652916328E-2</v>
      </c>
      <c r="Y44" s="5">
        <f t="shared" si="49"/>
        <v>2.7514864939165679E-2</v>
      </c>
      <c r="Z44" s="5">
        <f t="shared" si="49"/>
        <v>1.2209029315086871E-2</v>
      </c>
      <c r="AA44" s="5">
        <f>J44/J$37</f>
        <v>1.3922059765829789E-2</v>
      </c>
      <c r="AB44" s="5">
        <f>K44/K$37</f>
        <v>1.3392386375619529E-2</v>
      </c>
      <c r="AC44" s="5">
        <f t="shared" si="51"/>
        <v>1.2607961878288493E-2</v>
      </c>
      <c r="AD44" s="5">
        <f t="shared" si="51"/>
        <v>1.1513313749644651E-2</v>
      </c>
      <c r="AE44" s="5">
        <f t="shared" si="51"/>
        <v>1.1229749631811487E-2</v>
      </c>
      <c r="AF44" s="5">
        <f t="shared" ref="AF44:AF45" si="54">O44/O$37</f>
        <v>1.3133035343993365E-2</v>
      </c>
      <c r="AG44" s="55">
        <f t="shared" si="53"/>
        <v>1.2418873881775127E-2</v>
      </c>
    </row>
    <row r="45" spans="1:35">
      <c r="A45" s="140" t="s">
        <v>170</v>
      </c>
      <c r="B45" s="148"/>
      <c r="C45" s="148"/>
      <c r="D45" s="148"/>
      <c r="E45" s="148"/>
      <c r="F45" s="148"/>
      <c r="G45" s="148"/>
      <c r="H45" s="148"/>
      <c r="I45" s="148">
        <v>117</v>
      </c>
      <c r="J45" s="148">
        <v>130</v>
      </c>
      <c r="K45" s="148">
        <v>85</v>
      </c>
      <c r="L45" s="148">
        <v>84</v>
      </c>
      <c r="M45" s="148">
        <v>90</v>
      </c>
      <c r="N45" s="148">
        <v>49</v>
      </c>
      <c r="O45" s="303" t="s">
        <v>78</v>
      </c>
      <c r="P45" s="150">
        <f t="shared" si="47"/>
        <v>-0.15976253220117476</v>
      </c>
      <c r="Q45" s="154"/>
      <c r="R45" s="2" t="str">
        <f t="shared" si="1"/>
        <v>Derivative Contacts</v>
      </c>
      <c r="S45" s="5"/>
      <c r="T45" s="5"/>
      <c r="U45" s="5"/>
      <c r="V45" s="5"/>
      <c r="W45" s="5">
        <f>F45/F$37</f>
        <v>0</v>
      </c>
      <c r="X45" s="5">
        <f t="shared" ref="X45:Z47" si="55">G45/G$37</f>
        <v>0</v>
      </c>
      <c r="Y45" s="5">
        <f t="shared" si="55"/>
        <v>0</v>
      </c>
      <c r="Z45" s="5">
        <f t="shared" si="55"/>
        <v>7.8486617025558467E-3</v>
      </c>
      <c r="AA45" s="5">
        <f>J45/J$37</f>
        <v>7.5726684918739438E-3</v>
      </c>
      <c r="AB45" s="5">
        <f>K45/K$37</f>
        <v>4.4817041020774016E-3</v>
      </c>
      <c r="AC45" s="5">
        <f t="shared" si="51"/>
        <v>4.1695621959694229E-3</v>
      </c>
      <c r="AD45" s="5">
        <f t="shared" si="51"/>
        <v>4.2641902776461666E-3</v>
      </c>
      <c r="AE45" s="5">
        <f t="shared" si="51"/>
        <v>2.2551546391752575E-3</v>
      </c>
      <c r="AF45" s="5" t="e">
        <f t="shared" si="54"/>
        <v>#VALUE!</v>
      </c>
      <c r="AG45" s="55">
        <f t="shared" si="53"/>
        <v>4.8675670934923698E-3</v>
      </c>
    </row>
    <row r="46" spans="1:35">
      <c r="A46" s="148" t="s">
        <v>61</v>
      </c>
      <c r="B46" s="152">
        <v>103</v>
      </c>
      <c r="C46" s="152">
        <v>157.4</v>
      </c>
      <c r="D46" s="152">
        <v>142</v>
      </c>
      <c r="E46" s="152">
        <v>127.3</v>
      </c>
      <c r="F46" s="152">
        <v>111.8</v>
      </c>
      <c r="G46" s="152">
        <v>123.4</v>
      </c>
      <c r="H46" s="153">
        <v>103.2</v>
      </c>
      <c r="I46" s="153">
        <v>149</v>
      </c>
      <c r="J46" s="153">
        <v>111</v>
      </c>
      <c r="K46" s="153">
        <v>105</v>
      </c>
      <c r="L46" s="153">
        <v>121</v>
      </c>
      <c r="M46" s="153">
        <v>192</v>
      </c>
      <c r="N46" s="153">
        <f>48+62+147</f>
        <v>257</v>
      </c>
      <c r="O46" s="2">
        <f>64+201+16</f>
        <v>281</v>
      </c>
      <c r="P46" s="150">
        <f t="shared" si="47"/>
        <v>0.11519129563708393</v>
      </c>
      <c r="Q46" s="154"/>
      <c r="R46" s="2" t="str">
        <f t="shared" si="1"/>
        <v xml:space="preserve">Other </v>
      </c>
      <c r="S46" s="6">
        <f t="shared" ref="S46:V47" si="56">B46/B$37</f>
        <v>8.3705130393089047E-3</v>
      </c>
      <c r="T46" s="6">
        <f t="shared" si="56"/>
        <v>1.4137131976503981E-2</v>
      </c>
      <c r="U46" s="6">
        <f t="shared" si="56"/>
        <v>1.3054350224314186E-2</v>
      </c>
      <c r="V46" s="6">
        <f t="shared" si="56"/>
        <v>1.0884249046666326E-2</v>
      </c>
      <c r="W46" s="6">
        <f>F46/F$37</f>
        <v>9.5742949876253536E-3</v>
      </c>
      <c r="X46" s="6">
        <f t="shared" si="55"/>
        <v>9.8555215679384089E-3</v>
      </c>
      <c r="Y46" s="103">
        <f t="shared" si="55"/>
        <v>8.1060064565284008E-3</v>
      </c>
      <c r="Z46" s="103">
        <f t="shared" si="55"/>
        <v>9.9953042194941971E-3</v>
      </c>
      <c r="AA46" s="103">
        <f t="shared" si="50"/>
        <v>6.4658938661385215E-3</v>
      </c>
      <c r="AB46" s="103">
        <f t="shared" si="50"/>
        <v>5.5362227143309082E-3</v>
      </c>
      <c r="AC46" s="103">
        <f t="shared" si="51"/>
        <v>6.0061550680035741E-3</v>
      </c>
      <c r="AD46" s="103">
        <f t="shared" si="51"/>
        <v>9.0969392589784898E-3</v>
      </c>
      <c r="AE46" s="103">
        <f t="shared" si="51"/>
        <v>1.1828055964653902E-2</v>
      </c>
      <c r="AF46" s="103">
        <f t="shared" si="52"/>
        <v>1.2948712040919774E-2</v>
      </c>
      <c r="AG46" s="55">
        <f t="shared" si="53"/>
        <v>8.2003157340817395E-3</v>
      </c>
    </row>
    <row r="47" spans="1:35">
      <c r="A47" s="183" t="s">
        <v>33</v>
      </c>
      <c r="B47" s="183">
        <f t="shared" ref="B47:L47" si="57">SUM(B40:B46)</f>
        <v>1096.2</v>
      </c>
      <c r="C47" s="183">
        <f t="shared" si="57"/>
        <v>1601.2</v>
      </c>
      <c r="D47" s="183">
        <f t="shared" si="57"/>
        <v>1216.9000000000001</v>
      </c>
      <c r="E47" s="183">
        <f t="shared" si="57"/>
        <v>936</v>
      </c>
      <c r="F47" s="183">
        <f t="shared" si="57"/>
        <v>1074.3</v>
      </c>
      <c r="G47" s="183">
        <f t="shared" si="57"/>
        <v>1597.7</v>
      </c>
      <c r="H47" s="183">
        <f t="shared" si="57"/>
        <v>1216.1000000000001</v>
      </c>
      <c r="I47" s="183">
        <f t="shared" si="57"/>
        <v>1313</v>
      </c>
      <c r="J47" s="183">
        <f t="shared" si="57"/>
        <v>1466</v>
      </c>
      <c r="K47" s="183">
        <f t="shared" si="57"/>
        <v>1013</v>
      </c>
      <c r="L47" s="183">
        <f t="shared" si="57"/>
        <v>1562</v>
      </c>
      <c r="M47" s="183">
        <f t="shared" ref="M47:O47" si="58">SUM(M40:M46)</f>
        <v>1814</v>
      </c>
      <c r="N47" s="183">
        <f t="shared" ref="N47" si="59">SUM(N40:N46)</f>
        <v>1284</v>
      </c>
      <c r="O47" s="212">
        <f t="shared" si="58"/>
        <v>1263</v>
      </c>
      <c r="P47" s="205">
        <f>RATE(5,,-I47,N47)</f>
        <v>-4.4569163490254336E-3</v>
      </c>
      <c r="Q47" s="154"/>
      <c r="R47" s="192" t="str">
        <f t="shared" si="1"/>
        <v>Total Current Liabilities</v>
      </c>
      <c r="S47" s="199">
        <f t="shared" si="56"/>
        <v>8.9085013530974963E-2</v>
      </c>
      <c r="T47" s="199">
        <f t="shared" si="56"/>
        <v>0.14381433113582068</v>
      </c>
      <c r="U47" s="199">
        <f t="shared" si="56"/>
        <v>0.11187210414061925</v>
      </c>
      <c r="V47" s="199">
        <f t="shared" si="56"/>
        <v>8.0028728261427179E-2</v>
      </c>
      <c r="W47" s="199">
        <f>F47/F$37</f>
        <v>9.2000582336367764E-2</v>
      </c>
      <c r="X47" s="199">
        <f t="shared" si="55"/>
        <v>0.12760264837192217</v>
      </c>
      <c r="Y47" s="199">
        <f t="shared" si="55"/>
        <v>9.552048887387779E-2</v>
      </c>
      <c r="Z47" s="199">
        <f t="shared" si="55"/>
        <v>8.8079425773126718E-2</v>
      </c>
      <c r="AA47" s="199">
        <f t="shared" si="50"/>
        <v>8.5396400069901554E-2</v>
      </c>
      <c r="AB47" s="199">
        <f t="shared" si="50"/>
        <v>5.341136771064009E-2</v>
      </c>
      <c r="AC47" s="199">
        <f t="shared" si="51"/>
        <v>7.7534001786955228E-2</v>
      </c>
      <c r="AD47" s="199">
        <f t="shared" si="51"/>
        <v>8.5947124040557182E-2</v>
      </c>
      <c r="AE47" s="199">
        <f t="shared" si="51"/>
        <v>5.9094256259204711E-2</v>
      </c>
      <c r="AF47" s="199">
        <f t="shared" si="52"/>
        <v>5.8200082945486384E-2</v>
      </c>
      <c r="AG47" s="200">
        <f>SUM(I47:N47)/SUM(I$37:N$37)</f>
        <v>7.4127346079635156E-2</v>
      </c>
      <c r="AH47" s="192"/>
    </row>
    <row r="48" spans="1:35" ht="7.5" customHeight="1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2"/>
      <c r="P48" s="150"/>
      <c r="Q48" s="154"/>
      <c r="R48" s="2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5"/>
    </row>
    <row r="49" spans="1:33">
      <c r="A49" s="183" t="s">
        <v>57</v>
      </c>
      <c r="B49" s="183">
        <f>4221.5+340.9</f>
        <v>4562.3999999999996</v>
      </c>
      <c r="C49" s="183">
        <v>2906.9</v>
      </c>
      <c r="D49" s="183">
        <v>3553.8</v>
      </c>
      <c r="E49" s="183">
        <v>3417.6</v>
      </c>
      <c r="F49" s="183">
        <v>3520.2</v>
      </c>
      <c r="G49" s="183">
        <v>3629</v>
      </c>
      <c r="H49" s="183">
        <v>3721</v>
      </c>
      <c r="I49" s="183">
        <v>4753</v>
      </c>
      <c r="J49" s="183">
        <v>5424</v>
      </c>
      <c r="K49" s="183">
        <v>6400</v>
      </c>
      <c r="L49" s="183">
        <v>5813</v>
      </c>
      <c r="M49" s="183">
        <v>6194</v>
      </c>
      <c r="N49" s="183">
        <v>6594</v>
      </c>
      <c r="O49" s="192">
        <v>6565</v>
      </c>
      <c r="P49" s="184">
        <f>RATE(5,,-I49,N49)</f>
        <v>6.7667998522538866E-2</v>
      </c>
      <c r="Q49" s="154"/>
      <c r="R49" s="192" t="str">
        <f t="shared" si="1"/>
        <v>Long-Term Debt</v>
      </c>
      <c r="S49" s="199">
        <f t="shared" ref="S49:W50" si="60">B49/B$37</f>
        <v>0.37077309408294118</v>
      </c>
      <c r="T49" s="199">
        <f t="shared" si="60"/>
        <v>0.26108785859275363</v>
      </c>
      <c r="U49" s="199">
        <f t="shared" si="60"/>
        <v>0.32670809737442086</v>
      </c>
      <c r="V49" s="199">
        <f t="shared" si="60"/>
        <v>0.29220745908787771</v>
      </c>
      <c r="W49" s="199">
        <f t="shared" si="60"/>
        <v>0.30146183555848627</v>
      </c>
      <c r="X49" s="199">
        <f t="shared" ref="X49:Y53" si="61">G49/G$37</f>
        <v>0.28983539521919355</v>
      </c>
      <c r="Y49" s="199">
        <f t="shared" si="61"/>
        <v>0.2922718025653312</v>
      </c>
      <c r="Z49" s="199">
        <f>I49/I$37</f>
        <v>0.31884349634399944</v>
      </c>
      <c r="AA49" s="199">
        <f t="shared" ref="AA49:AB53" si="62">J49/J$37</f>
        <v>0.31595502999941749</v>
      </c>
      <c r="AB49" s="199">
        <f t="shared" si="62"/>
        <v>0.33744595592112203</v>
      </c>
      <c r="AC49" s="199">
        <f t="shared" ref="AC49:AE53" si="63">L49/L$37</f>
        <v>0.28854363149012213</v>
      </c>
      <c r="AD49" s="199">
        <f t="shared" si="63"/>
        <v>0.293471050886004</v>
      </c>
      <c r="AE49" s="199">
        <f t="shared" si="63"/>
        <v>0.30347938144329895</v>
      </c>
      <c r="AF49" s="199">
        <f t="shared" ref="AF49:AF53" si="64">O49/O$37</f>
        <v>0.30252062116953138</v>
      </c>
      <c r="AG49" s="199">
        <f>SUM(I49:N49)/SUM(I$37:N$37)</f>
        <v>0.30852482020698124</v>
      </c>
    </row>
    <row r="50" spans="1:33">
      <c r="A50" s="148" t="s">
        <v>11</v>
      </c>
      <c r="B50" s="148">
        <v>1642.2</v>
      </c>
      <c r="C50" s="148">
        <v>1645</v>
      </c>
      <c r="D50" s="148">
        <v>1434.8</v>
      </c>
      <c r="E50" s="148">
        <v>1511.1</v>
      </c>
      <c r="F50" s="148">
        <v>1564.6</v>
      </c>
      <c r="G50" s="148">
        <v>1629</v>
      </c>
      <c r="H50" s="148">
        <v>1621.2</v>
      </c>
      <c r="I50" s="148">
        <v>1701</v>
      </c>
      <c r="J50" s="148">
        <v>2025</v>
      </c>
      <c r="K50" s="148">
        <v>2625</v>
      </c>
      <c r="L50" s="148">
        <v>3448</v>
      </c>
      <c r="M50" s="148">
        <v>3863</v>
      </c>
      <c r="N50" s="148">
        <v>4168</v>
      </c>
      <c r="O50" s="2">
        <v>4201</v>
      </c>
      <c r="P50" s="150">
        <f t="shared" ref="P50:P52" si="65">RATE(5,,-I50,N50)</f>
        <v>0.19631260669107342</v>
      </c>
      <c r="Q50" s="154"/>
      <c r="R50" s="2" t="str">
        <f t="shared" si="1"/>
        <v>Deferred Income Taxes</v>
      </c>
      <c r="S50" s="5">
        <f t="shared" si="60"/>
        <v>0.13345685935100079</v>
      </c>
      <c r="T50" s="5">
        <f t="shared" si="60"/>
        <v>0.14774829797553396</v>
      </c>
      <c r="U50" s="5">
        <f t="shared" si="60"/>
        <v>0.13190409649187321</v>
      </c>
      <c r="V50" s="5">
        <f t="shared" si="60"/>
        <v>0.12920022572205406</v>
      </c>
      <c r="W50" s="5">
        <f t="shared" si="60"/>
        <v>0.13398874720607001</v>
      </c>
      <c r="X50" s="5">
        <f t="shared" si="61"/>
        <v>0.13010246867237982</v>
      </c>
      <c r="Y50" s="5">
        <f t="shared" si="61"/>
        <v>0.12733970607871942</v>
      </c>
      <c r="Z50" s="5">
        <f>I50/I$37</f>
        <v>0.11410746629100423</v>
      </c>
      <c r="AA50" s="5">
        <f t="shared" si="62"/>
        <v>0.11795887458495952</v>
      </c>
      <c r="AB50" s="5">
        <f t="shared" si="62"/>
        <v>0.13840556785827271</v>
      </c>
      <c r="AC50" s="5">
        <f t="shared" si="63"/>
        <v>0.1711506006155068</v>
      </c>
      <c r="AD50" s="5">
        <f t="shared" si="63"/>
        <v>0.18302852269496825</v>
      </c>
      <c r="AE50" s="5">
        <f t="shared" si="63"/>
        <v>0.19182621502209132</v>
      </c>
      <c r="AF50" s="5">
        <f t="shared" si="64"/>
        <v>0.19358554905303904</v>
      </c>
      <c r="AG50" s="55">
        <f t="shared" ref="AG50:AG52" si="66">SUM(I50:N50)/SUM(I$37:N$37)</f>
        <v>0.15637607437291703</v>
      </c>
    </row>
    <row r="51" spans="1:33">
      <c r="A51" s="140" t="s">
        <v>171</v>
      </c>
      <c r="B51" s="148"/>
      <c r="C51" s="148"/>
      <c r="D51" s="148"/>
      <c r="E51" s="148"/>
      <c r="F51" s="148"/>
      <c r="G51" s="148"/>
      <c r="H51" s="148"/>
      <c r="I51" s="148">
        <v>497</v>
      </c>
      <c r="J51" s="148">
        <v>490</v>
      </c>
      <c r="K51" s="148">
        <v>410</v>
      </c>
      <c r="L51" s="148">
        <v>399</v>
      </c>
      <c r="M51" s="148">
        <v>66</v>
      </c>
      <c r="N51" s="148">
        <v>26</v>
      </c>
      <c r="O51" s="2">
        <v>0</v>
      </c>
      <c r="P51" s="150">
        <f t="shared" si="65"/>
        <v>-0.4457274233464667</v>
      </c>
      <c r="Q51" s="154"/>
      <c r="R51" s="2" t="str">
        <f t="shared" si="1"/>
        <v>Derivative Contracts</v>
      </c>
      <c r="S51" s="5"/>
      <c r="T51" s="5"/>
      <c r="U51" s="5"/>
      <c r="V51" s="5"/>
      <c r="W51" s="5">
        <f>F51/F$37</f>
        <v>0</v>
      </c>
      <c r="X51" s="5">
        <f>G51/G$37</f>
        <v>0</v>
      </c>
      <c r="Y51" s="5">
        <f>H51/H$37</f>
        <v>0</v>
      </c>
      <c r="Z51" s="5">
        <f>I51/I$37</f>
        <v>3.3340041591198764E-2</v>
      </c>
      <c r="AA51" s="5">
        <f>J51/J$37</f>
        <v>2.8543135084755637E-2</v>
      </c>
      <c r="AB51" s="5">
        <f>K51/K$37</f>
        <v>2.1617631551196878E-2</v>
      </c>
      <c r="AC51" s="5">
        <f t="shared" si="63"/>
        <v>1.9805420430854759E-2</v>
      </c>
      <c r="AD51" s="5">
        <f t="shared" si="63"/>
        <v>3.1270728702738559E-3</v>
      </c>
      <c r="AE51" s="5">
        <f t="shared" si="63"/>
        <v>1.1966126656848307E-3</v>
      </c>
      <c r="AF51" s="5">
        <f t="shared" si="64"/>
        <v>0</v>
      </c>
      <c r="AG51" s="55">
        <f t="shared" si="66"/>
        <v>1.6558498509033504E-2</v>
      </c>
    </row>
    <row r="52" spans="1:33" ht="12.75" customHeight="1">
      <c r="A52" s="148" t="s">
        <v>175</v>
      </c>
      <c r="B52" s="151">
        <f>115.2+101.6+691.1</f>
        <v>907.90000000000009</v>
      </c>
      <c r="C52" s="151">
        <f>107.2+256+645.4</f>
        <v>1008.5999999999999</v>
      </c>
      <c r="D52" s="151">
        <f>99.3+219.7+560.5+443.7</f>
        <v>1323.2</v>
      </c>
      <c r="E52" s="151">
        <f>801.9+91.4+643.5+650.1</f>
        <v>2186.9</v>
      </c>
      <c r="F52" s="151">
        <f>3706.3-1564.6</f>
        <v>2141.7000000000003</v>
      </c>
      <c r="G52" s="151">
        <f>3868.3-1629</f>
        <v>2239.3000000000002</v>
      </c>
      <c r="H52" s="151">
        <f>3701.1-H50</f>
        <v>2079.8999999999996</v>
      </c>
      <c r="I52" s="151">
        <f>799+764</f>
        <v>1563</v>
      </c>
      <c r="J52" s="151">
        <f>821+874</f>
        <v>1695</v>
      </c>
      <c r="K52" s="151">
        <f>838+948</f>
        <v>1786</v>
      </c>
      <c r="L52" s="153">
        <f>825+788</f>
        <v>1613</v>
      </c>
      <c r="M52" s="153">
        <f>826+1031</f>
        <v>1857</v>
      </c>
      <c r="N52" s="153">
        <f>1187-26+851</f>
        <v>2012</v>
      </c>
      <c r="O52" s="2">
        <f>861+1158</f>
        <v>2019</v>
      </c>
      <c r="P52" s="150">
        <f t="shared" si="65"/>
        <v>5.1801533511354483E-2</v>
      </c>
      <c r="Q52" s="156"/>
      <c r="R52" s="2" t="str">
        <f t="shared" si="1"/>
        <v>Other Long-term Liabilities</v>
      </c>
      <c r="S52" s="6">
        <f t="shared" ref="S52:W53" si="67">B52/B$37</f>
        <v>7.378241542124811E-2</v>
      </c>
      <c r="T52" s="6">
        <f t="shared" si="67"/>
        <v>9.0589017226822832E-2</v>
      </c>
      <c r="U52" s="6">
        <f t="shared" si="67"/>
        <v>0.12164448040008825</v>
      </c>
      <c r="V52" s="6">
        <f t="shared" si="67"/>
        <v>0.18698165153302898</v>
      </c>
      <c r="W52" s="6">
        <f t="shared" si="67"/>
        <v>0.18341026453485887</v>
      </c>
      <c r="X52" s="6">
        <f t="shared" si="61"/>
        <v>0.17884497120814002</v>
      </c>
      <c r="Y52" s="103">
        <f t="shared" si="61"/>
        <v>0.16336901966020753</v>
      </c>
      <c r="Z52" s="103">
        <f>I52/I$37</f>
        <v>0.10485007043670759</v>
      </c>
      <c r="AA52" s="103">
        <f t="shared" si="62"/>
        <v>9.8735946874817959E-2</v>
      </c>
      <c r="AB52" s="103">
        <f t="shared" si="62"/>
        <v>9.4168512074238112E-2</v>
      </c>
      <c r="AC52" s="103">
        <f t="shared" si="63"/>
        <v>8.0065521691650945E-2</v>
      </c>
      <c r="AD52" s="103">
        <f t="shared" si="63"/>
        <v>8.7984459395432577E-2</v>
      </c>
      <c r="AE52" s="103">
        <f t="shared" si="63"/>
        <v>9.2599410898379975E-2</v>
      </c>
      <c r="AF52" s="103">
        <f t="shared" si="64"/>
        <v>9.3037187226395091E-2</v>
      </c>
      <c r="AG52" s="55">
        <f t="shared" si="66"/>
        <v>9.2317137344325562E-2</v>
      </c>
    </row>
    <row r="53" spans="1:33">
      <c r="A53" s="211" t="s">
        <v>58</v>
      </c>
      <c r="B53" s="212">
        <f t="shared" ref="B53:L53" si="68">SUM(B49:B52)</f>
        <v>7112.5</v>
      </c>
      <c r="C53" s="212">
        <f t="shared" si="68"/>
        <v>5560.5</v>
      </c>
      <c r="D53" s="212">
        <f t="shared" si="68"/>
        <v>6311.8</v>
      </c>
      <c r="E53" s="212">
        <f t="shared" si="68"/>
        <v>7115.6</v>
      </c>
      <c r="F53" s="212">
        <f t="shared" si="68"/>
        <v>7226.5</v>
      </c>
      <c r="G53" s="212">
        <f t="shared" si="68"/>
        <v>7497.3</v>
      </c>
      <c r="H53" s="212">
        <f t="shared" si="68"/>
        <v>7422.0999999999995</v>
      </c>
      <c r="I53" s="212">
        <f t="shared" si="68"/>
        <v>8514</v>
      </c>
      <c r="J53" s="212">
        <f t="shared" si="68"/>
        <v>9634</v>
      </c>
      <c r="K53" s="212">
        <f t="shared" si="68"/>
        <v>11221</v>
      </c>
      <c r="L53" s="212">
        <f t="shared" si="68"/>
        <v>11273</v>
      </c>
      <c r="M53" s="212">
        <f t="shared" ref="M53:O53" si="69">SUM(M49:M52)</f>
        <v>11980</v>
      </c>
      <c r="N53" s="212">
        <f t="shared" ref="N53" si="70">SUM(N49:N52)</f>
        <v>12800</v>
      </c>
      <c r="O53" s="212">
        <f t="shared" si="69"/>
        <v>12785</v>
      </c>
      <c r="P53" s="205">
        <f>RATE(5,,-I53,N53)</f>
        <v>8.4963841579725238E-2</v>
      </c>
      <c r="Q53" s="157"/>
      <c r="R53" s="192" t="str">
        <f t="shared" si="1"/>
        <v>Total LTD &amp; Deferrals</v>
      </c>
      <c r="S53" s="199">
        <f t="shared" si="67"/>
        <v>0.57801236885519014</v>
      </c>
      <c r="T53" s="199">
        <f t="shared" si="67"/>
        <v>0.49942517379511042</v>
      </c>
      <c r="U53" s="199">
        <f t="shared" si="67"/>
        <v>0.58025667426638228</v>
      </c>
      <c r="V53" s="199">
        <f t="shared" si="67"/>
        <v>0.60838933634296077</v>
      </c>
      <c r="W53" s="199">
        <f t="shared" si="67"/>
        <v>0.61886084729941515</v>
      </c>
      <c r="X53" s="199">
        <f t="shared" si="61"/>
        <v>0.59878283509971342</v>
      </c>
      <c r="Y53" s="199">
        <f t="shared" si="61"/>
        <v>0.58298052830425806</v>
      </c>
      <c r="Z53" s="199">
        <f>I53/I$37</f>
        <v>0.57114107466291009</v>
      </c>
      <c r="AA53" s="199">
        <f t="shared" si="62"/>
        <v>0.56119298654395056</v>
      </c>
      <c r="AB53" s="199">
        <f t="shared" si="62"/>
        <v>0.5916376674048297</v>
      </c>
      <c r="AC53" s="199">
        <f t="shared" si="63"/>
        <v>0.55956517422813457</v>
      </c>
      <c r="AD53" s="199">
        <f t="shared" si="63"/>
        <v>0.56761110584667862</v>
      </c>
      <c r="AE53" s="199">
        <f t="shared" si="63"/>
        <v>0.5891016200294551</v>
      </c>
      <c r="AF53" s="199">
        <f t="shared" si="64"/>
        <v>0.58914335744896551</v>
      </c>
      <c r="AG53" s="200">
        <f>SUM(I53:N53)/SUM(I$37:N$37)</f>
        <v>0.57377653043325727</v>
      </c>
    </row>
    <row r="54" spans="1:33" ht="7.5" customHeight="1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2"/>
      <c r="P54" s="150"/>
      <c r="Q54" s="154"/>
      <c r="R54" s="2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5"/>
    </row>
    <row r="55" spans="1:33">
      <c r="A55" s="183" t="s">
        <v>34</v>
      </c>
      <c r="B55" s="183">
        <f t="shared" ref="B55:G55" si="71">B53+B47</f>
        <v>8208.7000000000007</v>
      </c>
      <c r="C55" s="183">
        <f t="shared" si="71"/>
        <v>7161.7</v>
      </c>
      <c r="D55" s="183">
        <f t="shared" si="71"/>
        <v>7528.7000000000007</v>
      </c>
      <c r="E55" s="183">
        <f t="shared" si="71"/>
        <v>8051.6</v>
      </c>
      <c r="F55" s="183">
        <f t="shared" si="71"/>
        <v>8300.7999999999993</v>
      </c>
      <c r="G55" s="183">
        <f t="shared" si="71"/>
        <v>9095</v>
      </c>
      <c r="H55" s="183">
        <f t="shared" ref="H55:L55" si="72">H53+H47</f>
        <v>8638.1999999999989</v>
      </c>
      <c r="I55" s="183">
        <f t="shared" si="72"/>
        <v>9827</v>
      </c>
      <c r="J55" s="183">
        <f t="shared" si="72"/>
        <v>11100</v>
      </c>
      <c r="K55" s="183">
        <f t="shared" si="72"/>
        <v>12234</v>
      </c>
      <c r="L55" s="183">
        <f t="shared" si="72"/>
        <v>12835</v>
      </c>
      <c r="M55" s="183">
        <f t="shared" ref="M55:O55" si="73">M53+M47</f>
        <v>13794</v>
      </c>
      <c r="N55" s="183">
        <f t="shared" ref="N55" si="74">N53+N47</f>
        <v>14084</v>
      </c>
      <c r="O55" s="183">
        <f t="shared" si="73"/>
        <v>14048</v>
      </c>
      <c r="P55" s="184">
        <f>RATE(5,,-I55,N55)</f>
        <v>7.4635076666202074E-2</v>
      </c>
      <c r="Q55" s="154"/>
      <c r="R55" s="192" t="str">
        <f t="shared" si="1"/>
        <v>Total Liabilities</v>
      </c>
      <c r="S55" s="199">
        <f t="shared" ref="S55:AE55" si="75">B55/B$37</f>
        <v>0.66709738238616512</v>
      </c>
      <c r="T55" s="199">
        <f t="shared" si="75"/>
        <v>0.64323950493093107</v>
      </c>
      <c r="U55" s="199">
        <f t="shared" si="75"/>
        <v>0.6921287784070016</v>
      </c>
      <c r="V55" s="199">
        <f t="shared" si="75"/>
        <v>0.68841806460438792</v>
      </c>
      <c r="W55" s="199">
        <f t="shared" si="75"/>
        <v>0.71086142963578292</v>
      </c>
      <c r="X55" s="199">
        <f t="shared" si="75"/>
        <v>0.72638548347163556</v>
      </c>
      <c r="Y55" s="199">
        <f t="shared" si="75"/>
        <v>0.67850101717813582</v>
      </c>
      <c r="Z55" s="199">
        <f t="shared" si="75"/>
        <v>0.65922050043603675</v>
      </c>
      <c r="AA55" s="199">
        <f t="shared" si="75"/>
        <v>0.64658938661385212</v>
      </c>
      <c r="AB55" s="199">
        <f t="shared" si="75"/>
        <v>0.64504903511546974</v>
      </c>
      <c r="AC55" s="199">
        <f t="shared" si="75"/>
        <v>0.63709917601508981</v>
      </c>
      <c r="AD55" s="199">
        <f t="shared" si="75"/>
        <v>0.65355822988723589</v>
      </c>
      <c r="AE55" s="199">
        <f t="shared" si="75"/>
        <v>0.64819587628865982</v>
      </c>
      <c r="AF55" s="199">
        <f t="shared" ref="AF55" si="76">O55/O$37</f>
        <v>0.64734344039445191</v>
      </c>
      <c r="AG55" s="199">
        <f>SUM(I55:N55)/SUM(I$37:N$37)</f>
        <v>0.6479038765128925</v>
      </c>
    </row>
    <row r="56" spans="1:33" ht="7.5" customHeight="1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2"/>
      <c r="P56" s="150"/>
      <c r="Q56" s="157"/>
      <c r="R56" s="2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5"/>
    </row>
    <row r="57" spans="1:33">
      <c r="A57" s="148" t="s">
        <v>59</v>
      </c>
      <c r="B57" s="148">
        <f>175+41.5</f>
        <v>216.5</v>
      </c>
      <c r="C57" s="148">
        <f>341.2+175+41.5</f>
        <v>557.70000000000005</v>
      </c>
      <c r="D57" s="148">
        <f>341.5+74.2+41.3</f>
        <v>457</v>
      </c>
      <c r="E57" s="148">
        <f>341.8+66.7+41.3</f>
        <v>449.8</v>
      </c>
      <c r="F57" s="148">
        <f>56.3+41.3</f>
        <v>97.6</v>
      </c>
      <c r="G57" s="148">
        <f>48.8+41.3</f>
        <v>90.1</v>
      </c>
      <c r="H57" s="148">
        <f>41.3+41.3</f>
        <v>82.6</v>
      </c>
      <c r="I57" s="148">
        <v>41</v>
      </c>
      <c r="J57" s="148">
        <v>41</v>
      </c>
      <c r="K57" s="148">
        <v>41</v>
      </c>
      <c r="L57" s="148">
        <v>41</v>
      </c>
      <c r="M57" s="148">
        <v>41</v>
      </c>
      <c r="N57" s="148">
        <v>41</v>
      </c>
      <c r="O57" s="2">
        <v>41</v>
      </c>
      <c r="P57" s="150">
        <f t="shared" ref="P57" si="77">RATE(5,,-I57,N57)</f>
        <v>1.7006478088997884E-16</v>
      </c>
      <c r="Q57" s="157"/>
      <c r="R57" s="2" t="str">
        <f t="shared" si="1"/>
        <v>Preferred Stock</v>
      </c>
      <c r="S57" s="5">
        <f t="shared" ref="S57:AE57" si="78">B57/B$37</f>
        <v>1.7594330805925998E-2</v>
      </c>
      <c r="T57" s="5">
        <f t="shared" si="78"/>
        <v>5.0090714760459149E-2</v>
      </c>
      <c r="U57" s="5">
        <f t="shared" si="78"/>
        <v>4.2012944031771714E-2</v>
      </c>
      <c r="V57" s="5">
        <f t="shared" si="78"/>
        <v>3.8458249970074729E-2</v>
      </c>
      <c r="W57" s="5">
        <f t="shared" si="78"/>
        <v>8.3582396314153349E-3</v>
      </c>
      <c r="X57" s="5">
        <f t="shared" si="78"/>
        <v>7.1959683409339595E-3</v>
      </c>
      <c r="Y57" s="5">
        <f t="shared" si="78"/>
        <v>6.4879470281903667E-3</v>
      </c>
      <c r="Z57" s="5">
        <f t="shared" si="78"/>
        <v>2.7503857248272622E-3</v>
      </c>
      <c r="AA57" s="5">
        <f t="shared" si="78"/>
        <v>2.3883031397448594E-3</v>
      </c>
      <c r="AB57" s="5">
        <f t="shared" si="78"/>
        <v>2.1617631551196881E-3</v>
      </c>
      <c r="AC57" s="5">
        <f t="shared" si="78"/>
        <v>2.0351434527945992E-3</v>
      </c>
      <c r="AD57" s="5">
        <f t="shared" si="78"/>
        <v>1.9425755709276983E-3</v>
      </c>
      <c r="AE57" s="5">
        <f t="shared" si="78"/>
        <v>1.8869661266568483E-3</v>
      </c>
      <c r="AF57" s="5">
        <f t="shared" ref="AF57" si="79">O57/O$37</f>
        <v>1.8893138565043086E-3</v>
      </c>
      <c r="AG57" s="55">
        <f t="shared" ref="AG57" si="80">SUM(I57:N57)/SUM(I$37:N$37)</f>
        <v>2.1575162252236448E-3</v>
      </c>
    </row>
    <row r="58" spans="1:33" ht="7.5" customHeight="1">
      <c r="A58" s="13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2"/>
      <c r="P58" s="150"/>
      <c r="Q58" s="157"/>
      <c r="R58" s="2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5"/>
    </row>
    <row r="59" spans="1:33">
      <c r="A59" s="185" t="s">
        <v>62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2"/>
      <c r="P59" s="150"/>
      <c r="Q59" s="157"/>
      <c r="R59" s="192" t="str">
        <f t="shared" si="1"/>
        <v>Common Equity:</v>
      </c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 s="55"/>
    </row>
    <row r="60" spans="1:33">
      <c r="A60" s="159" t="s">
        <v>6</v>
      </c>
      <c r="B60" s="148">
        <v>3284.9</v>
      </c>
      <c r="C60" s="148">
        <f>3284.9+0.9</f>
        <v>3285.8</v>
      </c>
      <c r="D60" s="148">
        <f>2742.1+0.7-24</f>
        <v>2718.7999999999997</v>
      </c>
      <c r="E60" s="148">
        <f>2892.1-1.7-1.9</f>
        <v>2888.5</v>
      </c>
      <c r="F60" s="148">
        <f>2892.1+4.5-8</f>
        <v>2888.6</v>
      </c>
      <c r="G60" s="148">
        <f>2894.1+4.3-9</f>
        <v>2889.4</v>
      </c>
      <c r="H60" s="148">
        <f>3381.9+2.7-4.1</f>
        <v>3380.5</v>
      </c>
      <c r="I60" s="148">
        <f>3804-4</f>
        <v>3800</v>
      </c>
      <c r="J60" s="148">
        <f>4254-2+80</f>
        <v>4332</v>
      </c>
      <c r="K60" s="148">
        <f>4379-6+84</f>
        <v>4457</v>
      </c>
      <c r="L60" s="148">
        <f>4479-7</f>
        <v>4472</v>
      </c>
      <c r="M60" s="148">
        <v>4479</v>
      </c>
      <c r="N60" s="148">
        <v>4479</v>
      </c>
      <c r="O60" s="19">
        <v>4479</v>
      </c>
      <c r="P60" s="150">
        <f t="shared" ref="P60:P61" si="81">RATE(5,,-I60,N60)</f>
        <v>3.3426260296940381E-2</v>
      </c>
      <c r="Q60" s="154"/>
      <c r="R60" s="2" t="str">
        <f t="shared" si="1"/>
        <v>Common Stock</v>
      </c>
      <c r="S60" s="5">
        <f t="shared" ref="S60:W63" si="82">B60/B$37</f>
        <v>0.26695435226044484</v>
      </c>
      <c r="T60" s="5">
        <f t="shared" si="82"/>
        <v>0.29511936625410917</v>
      </c>
      <c r="U60" s="5">
        <f t="shared" si="82"/>
        <v>0.24994484077370005</v>
      </c>
      <c r="V60" s="5">
        <f t="shared" si="82"/>
        <v>0.24696899741787651</v>
      </c>
      <c r="W60" s="5">
        <f t="shared" si="82"/>
        <v>0.24737306351748295</v>
      </c>
      <c r="X60" s="5">
        <f t="shared" ref="X60:Y63" si="83">G60/G$37</f>
        <v>0.23076615898218183</v>
      </c>
      <c r="Y60" s="5">
        <f t="shared" si="83"/>
        <v>0.26552669405323892</v>
      </c>
      <c r="Z60" s="5">
        <f>I60/I$37</f>
        <v>0.25491379888642918</v>
      </c>
      <c r="AA60" s="5">
        <f t="shared" ref="AA60:AB63" si="84">J60/J$37</f>
        <v>0.25234461466767638</v>
      </c>
      <c r="AB60" s="5">
        <f t="shared" si="84"/>
        <v>0.23499947274069388</v>
      </c>
      <c r="AC60" s="5">
        <f t="shared" ref="AC60:AE63" si="85">L60/L$37</f>
        <v>0.22197954929018168</v>
      </c>
      <c r="AD60" s="5">
        <f t="shared" si="85"/>
        <v>0.21221453615085759</v>
      </c>
      <c r="AE60" s="5">
        <f t="shared" si="85"/>
        <v>0.20613954344624447</v>
      </c>
      <c r="AF60" s="5">
        <f t="shared" ref="AF60:AF63" si="86">O60/O$37</f>
        <v>0.2063960186166536</v>
      </c>
      <c r="AG60" s="55">
        <f t="shared" ref="AG60:AG61" si="87">SUM(I60:N60)/SUM(I$37:N$37)</f>
        <v>0.22819680757761795</v>
      </c>
    </row>
    <row r="61" spans="1:33">
      <c r="A61" s="159" t="s">
        <v>27</v>
      </c>
      <c r="B61" s="152">
        <f>622.2-27.2</f>
        <v>595</v>
      </c>
      <c r="C61" s="152">
        <v>128.6</v>
      </c>
      <c r="D61" s="152">
        <v>173.1</v>
      </c>
      <c r="E61" s="152">
        <v>305.89999999999998</v>
      </c>
      <c r="F61" s="152">
        <v>390.1</v>
      </c>
      <c r="G61" s="152">
        <v>446.4</v>
      </c>
      <c r="H61" s="153">
        <v>630</v>
      </c>
      <c r="I61" s="153">
        <v>1239</v>
      </c>
      <c r="J61" s="153">
        <v>1694</v>
      </c>
      <c r="K61" s="153">
        <v>2234</v>
      </c>
      <c r="L61" s="153">
        <v>2798</v>
      </c>
      <c r="M61" s="153">
        <v>2792</v>
      </c>
      <c r="N61" s="153">
        <f>3136-12</f>
        <v>3124</v>
      </c>
      <c r="O61" s="19">
        <f>3145-12</f>
        <v>3133</v>
      </c>
      <c r="P61" s="150">
        <f t="shared" si="81"/>
        <v>0.20317262949978424</v>
      </c>
      <c r="Q61" s="154"/>
      <c r="R61" s="2" t="str">
        <f t="shared" si="1"/>
        <v>Retained Earnings</v>
      </c>
      <c r="S61" s="6">
        <f t="shared" si="82"/>
        <v>4.8353934547464061E-2</v>
      </c>
      <c r="T61" s="6">
        <f t="shared" si="82"/>
        <v>1.155041405450071E-2</v>
      </c>
      <c r="U61" s="6">
        <f t="shared" si="82"/>
        <v>1.5913436787526658E-2</v>
      </c>
      <c r="V61" s="6">
        <f t="shared" si="82"/>
        <v>2.6154688007660871E-2</v>
      </c>
      <c r="W61" s="6">
        <f t="shared" si="82"/>
        <v>3.3407267215318878E-2</v>
      </c>
      <c r="X61" s="6">
        <f t="shared" si="83"/>
        <v>3.5652389205248831E-2</v>
      </c>
      <c r="Y61" s="103">
        <f t="shared" si="83"/>
        <v>4.9484341740434999E-2</v>
      </c>
      <c r="Z61" s="103">
        <f>I61/I$37</f>
        <v>8.3115314952706784E-2</v>
      </c>
      <c r="AA61" s="103">
        <f t="shared" si="84"/>
        <v>9.8677695578726632E-2</v>
      </c>
      <c r="AB61" s="103">
        <f t="shared" si="84"/>
        <v>0.11778972898871665</v>
      </c>
      <c r="AC61" s="103">
        <f t="shared" si="85"/>
        <v>0.13888613124193389</v>
      </c>
      <c r="AD61" s="103">
        <f t="shared" si="85"/>
        <v>0.13228465839097886</v>
      </c>
      <c r="AE61" s="103">
        <f t="shared" si="85"/>
        <v>0.14377761413843887</v>
      </c>
      <c r="AF61" s="103">
        <f t="shared" si="86"/>
        <v>0.1443712271323902</v>
      </c>
      <c r="AG61" s="55">
        <f t="shared" si="87"/>
        <v>0.12174179968426592</v>
      </c>
    </row>
    <row r="62" spans="1:33">
      <c r="A62" s="183" t="s">
        <v>63</v>
      </c>
      <c r="B62" s="206">
        <f t="shared" ref="B62:L62" si="88">SUM(B59:B61)</f>
        <v>3879.9</v>
      </c>
      <c r="C62" s="206">
        <f t="shared" si="88"/>
        <v>3414.4</v>
      </c>
      <c r="D62" s="206">
        <f t="shared" si="88"/>
        <v>2891.8999999999996</v>
      </c>
      <c r="E62" s="206">
        <f t="shared" si="88"/>
        <v>3194.4</v>
      </c>
      <c r="F62" s="206">
        <f t="shared" si="88"/>
        <v>3278.7</v>
      </c>
      <c r="G62" s="206">
        <f t="shared" si="88"/>
        <v>3335.8</v>
      </c>
      <c r="H62" s="211">
        <f t="shared" si="88"/>
        <v>4010.5</v>
      </c>
      <c r="I62" s="211">
        <f t="shared" si="88"/>
        <v>5039</v>
      </c>
      <c r="J62" s="211">
        <f>SUM(J59:J61)</f>
        <v>6026</v>
      </c>
      <c r="K62" s="211">
        <f>SUM(K59:K61)</f>
        <v>6691</v>
      </c>
      <c r="L62" s="211">
        <f t="shared" si="88"/>
        <v>7270</v>
      </c>
      <c r="M62" s="211">
        <f t="shared" ref="M62:O62" si="89">SUM(M59:M61)</f>
        <v>7271</v>
      </c>
      <c r="N62" s="211">
        <f t="shared" ref="N62" si="90">SUM(N59:N61)</f>
        <v>7603</v>
      </c>
      <c r="O62" s="207">
        <f t="shared" si="89"/>
        <v>7612</v>
      </c>
      <c r="P62" s="205">
        <f>RATE(5,,-I62,N62)</f>
        <v>8.5745720934043229E-2</v>
      </c>
      <c r="Q62" s="154"/>
      <c r="R62" s="192" t="str">
        <f t="shared" si="1"/>
        <v>Total Common Equity</v>
      </c>
      <c r="S62" s="201">
        <f t="shared" si="82"/>
        <v>0.3153082868079089</v>
      </c>
      <c r="T62" s="201">
        <f t="shared" si="82"/>
        <v>0.30666978030860986</v>
      </c>
      <c r="U62" s="201">
        <f t="shared" si="82"/>
        <v>0.26585827756122671</v>
      </c>
      <c r="V62" s="201">
        <f t="shared" si="82"/>
        <v>0.27312368542553739</v>
      </c>
      <c r="W62" s="201">
        <f t="shared" si="82"/>
        <v>0.28078033073280184</v>
      </c>
      <c r="X62" s="201">
        <f t="shared" si="83"/>
        <v>0.26641854818743066</v>
      </c>
      <c r="Y62" s="202">
        <f t="shared" si="83"/>
        <v>0.3150110357936739</v>
      </c>
      <c r="Z62" s="202">
        <f>I62/I$37</f>
        <v>0.33802911383913598</v>
      </c>
      <c r="AA62" s="202">
        <f t="shared" si="84"/>
        <v>0.35102231024640296</v>
      </c>
      <c r="AB62" s="202">
        <f t="shared" si="84"/>
        <v>0.35278920172941053</v>
      </c>
      <c r="AC62" s="202">
        <f t="shared" si="85"/>
        <v>0.36086568053211554</v>
      </c>
      <c r="AD62" s="202">
        <f t="shared" si="85"/>
        <v>0.34449919454183642</v>
      </c>
      <c r="AE62" s="202">
        <f t="shared" si="85"/>
        <v>0.34991715758468334</v>
      </c>
      <c r="AF62" s="202">
        <f t="shared" si="86"/>
        <v>0.35076724574904383</v>
      </c>
      <c r="AG62" s="200">
        <f>SUM(I62:N62)/SUM(I$37:N$37)</f>
        <v>0.34993860726188386</v>
      </c>
    </row>
    <row r="63" spans="1:33" ht="13.5" thickBot="1">
      <c r="A63" s="183" t="s">
        <v>35</v>
      </c>
      <c r="B63" s="208">
        <f t="shared" ref="B63:L63" si="91">B62+B55+B57</f>
        <v>12305.1</v>
      </c>
      <c r="C63" s="208">
        <f t="shared" si="91"/>
        <v>11133.800000000001</v>
      </c>
      <c r="D63" s="208">
        <f t="shared" si="91"/>
        <v>10877.6</v>
      </c>
      <c r="E63" s="208">
        <f t="shared" si="91"/>
        <v>11695.8</v>
      </c>
      <c r="F63" s="208">
        <f t="shared" si="91"/>
        <v>11677.1</v>
      </c>
      <c r="G63" s="208">
        <f t="shared" si="91"/>
        <v>12520.9</v>
      </c>
      <c r="H63" s="209">
        <f t="shared" si="91"/>
        <v>12731.3</v>
      </c>
      <c r="I63" s="209">
        <f t="shared" si="91"/>
        <v>14907</v>
      </c>
      <c r="J63" s="209">
        <f>J62+J55+J57</f>
        <v>17167</v>
      </c>
      <c r="K63" s="209">
        <f>K62+K55+K57</f>
        <v>18966</v>
      </c>
      <c r="L63" s="209">
        <f t="shared" si="91"/>
        <v>20146</v>
      </c>
      <c r="M63" s="209">
        <f t="shared" ref="M63:O63" si="92">M62+M55+M57</f>
        <v>21106</v>
      </c>
      <c r="N63" s="209">
        <f t="shared" ref="N63" si="93">N62+N55+N57</f>
        <v>21728</v>
      </c>
      <c r="O63" s="209">
        <f t="shared" si="92"/>
        <v>21701</v>
      </c>
      <c r="P63" s="210">
        <f>RATE(5,,-I63,N63)</f>
        <v>7.8265972744255688E-2</v>
      </c>
      <c r="Q63" s="154"/>
      <c r="R63" s="192" t="str">
        <f t="shared" si="1"/>
        <v>Total Liabilities &amp; Equity</v>
      </c>
      <c r="S63" s="203">
        <f t="shared" si="82"/>
        <v>1</v>
      </c>
      <c r="T63" s="203">
        <f t="shared" si="82"/>
        <v>1.0000000000000002</v>
      </c>
      <c r="U63" s="203">
        <f t="shared" si="82"/>
        <v>1</v>
      </c>
      <c r="V63" s="203">
        <f t="shared" si="82"/>
        <v>1</v>
      </c>
      <c r="W63" s="203">
        <f t="shared" si="82"/>
        <v>1.0000000000000002</v>
      </c>
      <c r="X63" s="203">
        <f t="shared" si="83"/>
        <v>1.0000000000000002</v>
      </c>
      <c r="Y63" s="204">
        <f t="shared" si="83"/>
        <v>1.0000000000000002</v>
      </c>
      <c r="Z63" s="204">
        <f>I63/I$37</f>
        <v>1</v>
      </c>
      <c r="AA63" s="204">
        <f t="shared" si="84"/>
        <v>1</v>
      </c>
      <c r="AB63" s="204">
        <f t="shared" si="84"/>
        <v>1</v>
      </c>
      <c r="AC63" s="204">
        <f t="shared" si="85"/>
        <v>1</v>
      </c>
      <c r="AD63" s="204">
        <f t="shared" si="85"/>
        <v>1</v>
      </c>
      <c r="AE63" s="204">
        <f t="shared" si="85"/>
        <v>1</v>
      </c>
      <c r="AF63" s="204">
        <f t="shared" si="86"/>
        <v>1</v>
      </c>
      <c r="AG63" s="204">
        <f>SUM(I63:N63)/SUM(I$37:N$37)</f>
        <v>1</v>
      </c>
    </row>
    <row r="64" spans="1:33" ht="13.5" thickTop="1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2"/>
      <c r="P64" s="213"/>
      <c r="Q64" s="157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252"/>
    </row>
    <row r="65" spans="1:34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2"/>
      <c r="P65" s="141"/>
      <c r="Q65" s="140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15" t="s">
        <v>115</v>
      </c>
    </row>
    <row r="66" spans="1:34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2"/>
      <c r="P66" s="214" t="s">
        <v>115</v>
      </c>
      <c r="Q66" s="140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54" t="s">
        <v>122</v>
      </c>
    </row>
    <row r="67" spans="1:34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2"/>
      <c r="P67" s="161" t="s">
        <v>121</v>
      </c>
      <c r="Q67" s="140"/>
      <c r="R67" s="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3"/>
    </row>
    <row r="68" spans="1:34" ht="18.75">
      <c r="A68" s="142" t="str">
        <f>A4</f>
        <v>PacifiCorp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2"/>
      <c r="P68" s="144"/>
      <c r="Q68" s="140"/>
      <c r="R68" s="216" t="str">
        <f t="shared" si="1"/>
        <v>PacifiCorp</v>
      </c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3"/>
    </row>
    <row r="69" spans="1:34" ht="15.75">
      <c r="A69" s="145" t="s">
        <v>14</v>
      </c>
      <c r="B69" s="146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2"/>
      <c r="P69" s="147"/>
      <c r="Q69" s="140"/>
      <c r="R69" s="217" t="str">
        <f t="shared" si="1"/>
        <v>Historical Income Statements</v>
      </c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3"/>
    </row>
    <row r="70" spans="1:34" ht="15.75">
      <c r="A70" s="245" t="str">
        <f>A6</f>
        <v>Fiscal Years Ended December 31, 2007-2012, Three Months Ended March 31, 2013</v>
      </c>
      <c r="B70" s="146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2"/>
      <c r="P70" s="147"/>
      <c r="Q70" s="140"/>
      <c r="R70" s="217" t="str">
        <f t="shared" si="1"/>
        <v>Fiscal Years Ended December 31, 2007-2012, Three Months Ended March 31, 2013</v>
      </c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3"/>
    </row>
    <row r="71" spans="1:34">
      <c r="A71" s="183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 t="s">
        <v>236</v>
      </c>
      <c r="P71" s="188" t="str">
        <f>P7</f>
        <v>2007-2012</v>
      </c>
      <c r="Q71" s="140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5"/>
    </row>
    <row r="72" spans="1:34" ht="12.75" customHeight="1">
      <c r="A72" s="183"/>
      <c r="B72" s="183"/>
      <c r="C72" s="183"/>
      <c r="D72" s="183"/>
      <c r="E72" s="183"/>
      <c r="F72" s="183"/>
      <c r="G72" s="183"/>
      <c r="H72" s="189"/>
      <c r="I72" s="189"/>
      <c r="J72" s="189"/>
      <c r="K72" s="189"/>
      <c r="L72" s="189"/>
      <c r="M72" s="189"/>
      <c r="N72" s="189"/>
      <c r="O72" s="189" t="str">
        <f>O8</f>
        <v>March</v>
      </c>
      <c r="P72" s="188" t="s">
        <v>4</v>
      </c>
      <c r="Q72" s="140"/>
      <c r="R72" s="2"/>
      <c r="S72" s="192"/>
      <c r="T72" s="192"/>
      <c r="U72" s="192"/>
      <c r="V72" s="192"/>
      <c r="W72" s="192"/>
      <c r="X72" s="192"/>
      <c r="Y72" s="193"/>
      <c r="Z72" s="193"/>
      <c r="AA72" s="193"/>
      <c r="AB72" s="193"/>
      <c r="AC72" s="193"/>
      <c r="AD72" s="193"/>
      <c r="AE72" s="193"/>
      <c r="AF72" s="193" t="str">
        <f>AF8</f>
        <v>March</v>
      </c>
      <c r="AG72" s="194" t="str">
        <f>P7</f>
        <v>2007-2012</v>
      </c>
    </row>
    <row r="73" spans="1:34">
      <c r="A73" s="206" t="s">
        <v>0</v>
      </c>
      <c r="B73" s="186">
        <f>B9</f>
        <v>2000</v>
      </c>
      <c r="C73" s="186">
        <f t="shared" ref="C73:H73" si="94">B73+1</f>
        <v>2001</v>
      </c>
      <c r="D73" s="186">
        <f t="shared" si="94"/>
        <v>2002</v>
      </c>
      <c r="E73" s="186">
        <f t="shared" si="94"/>
        <v>2003</v>
      </c>
      <c r="F73" s="186">
        <f t="shared" si="94"/>
        <v>2004</v>
      </c>
      <c r="G73" s="186">
        <f>F73+1</f>
        <v>2005</v>
      </c>
      <c r="H73" s="186">
        <f t="shared" si="94"/>
        <v>2006</v>
      </c>
      <c r="I73" s="186">
        <f>Z9</f>
        <v>2007</v>
      </c>
      <c r="J73" s="186">
        <f>I73+1</f>
        <v>2008</v>
      </c>
      <c r="K73" s="186">
        <f>J73+1</f>
        <v>2009</v>
      </c>
      <c r="L73" s="186">
        <f>AC9</f>
        <v>2010</v>
      </c>
      <c r="M73" s="186">
        <f>AD9</f>
        <v>2011</v>
      </c>
      <c r="N73" s="186">
        <f>AE9</f>
        <v>2012</v>
      </c>
      <c r="O73" s="186">
        <f>AF9</f>
        <v>2013</v>
      </c>
      <c r="P73" s="191" t="s">
        <v>23</v>
      </c>
      <c r="Q73" s="157"/>
      <c r="R73" s="192" t="str">
        <f t="shared" si="1"/>
        <v>Account Name</v>
      </c>
      <c r="S73" s="196">
        <f t="shared" ref="S73:AE73" si="95">B73</f>
        <v>2000</v>
      </c>
      <c r="T73" s="196">
        <f t="shared" si="95"/>
        <v>2001</v>
      </c>
      <c r="U73" s="196">
        <f t="shared" si="95"/>
        <v>2002</v>
      </c>
      <c r="V73" s="196">
        <f t="shared" si="95"/>
        <v>2003</v>
      </c>
      <c r="W73" s="196">
        <f t="shared" si="95"/>
        <v>2004</v>
      </c>
      <c r="X73" s="196">
        <f t="shared" si="95"/>
        <v>2005</v>
      </c>
      <c r="Y73" s="196">
        <f t="shared" si="95"/>
        <v>2006</v>
      </c>
      <c r="Z73" s="196">
        <f t="shared" si="95"/>
        <v>2007</v>
      </c>
      <c r="AA73" s="196">
        <f t="shared" si="95"/>
        <v>2008</v>
      </c>
      <c r="AB73" s="196">
        <f t="shared" si="95"/>
        <v>2009</v>
      </c>
      <c r="AC73" s="196">
        <f t="shared" si="95"/>
        <v>2010</v>
      </c>
      <c r="AD73" s="196">
        <f t="shared" si="95"/>
        <v>2011</v>
      </c>
      <c r="AE73" s="196">
        <f t="shared" si="95"/>
        <v>2012</v>
      </c>
      <c r="AF73" s="196">
        <f t="shared" ref="AF73" si="96">O73</f>
        <v>2013</v>
      </c>
      <c r="AG73" s="197" t="s">
        <v>3</v>
      </c>
    </row>
    <row r="74" spans="1:34">
      <c r="A74" s="183" t="s">
        <v>152</v>
      </c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4"/>
      <c r="Q74" s="154"/>
      <c r="R74" s="218" t="str">
        <f t="shared" si="1"/>
        <v>Operating Sales and Revenues:</v>
      </c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4">
      <c r="A75" s="148" t="s">
        <v>44</v>
      </c>
      <c r="B75" s="162">
        <v>3986.9</v>
      </c>
      <c r="C75" s="163">
        <v>5055.7</v>
      </c>
      <c r="D75" s="163">
        <v>3353.7</v>
      </c>
      <c r="E75" s="163">
        <v>3082.4</v>
      </c>
      <c r="F75" s="163">
        <v>3194.5</v>
      </c>
      <c r="G75" s="163">
        <v>3048.8</v>
      </c>
      <c r="H75" s="163">
        <v>3896.7</v>
      </c>
      <c r="I75" s="152">
        <v>4258</v>
      </c>
      <c r="J75" s="151">
        <v>4498</v>
      </c>
      <c r="K75" s="151">
        <v>4457</v>
      </c>
      <c r="L75" s="153">
        <v>4432</v>
      </c>
      <c r="M75" s="153">
        <v>4586</v>
      </c>
      <c r="N75" s="153">
        <v>4882</v>
      </c>
      <c r="O75" s="153">
        <v>1232</v>
      </c>
      <c r="P75" s="150">
        <f t="shared" ref="P75" si="97">RATE(5,,-I75,N75)</f>
        <v>2.7728555506615498E-2</v>
      </c>
      <c r="Q75" s="154"/>
      <c r="R75" s="2" t="str">
        <f t="shared" si="1"/>
        <v>Revenues</v>
      </c>
      <c r="S75" s="6">
        <f t="shared" ref="S75:X76" si="98">B75/B$76</f>
        <v>1</v>
      </c>
      <c r="T75" s="6">
        <f t="shared" si="98"/>
        <v>1</v>
      </c>
      <c r="U75" s="6">
        <f t="shared" si="98"/>
        <v>1</v>
      </c>
      <c r="V75" s="6">
        <f t="shared" si="98"/>
        <v>1</v>
      </c>
      <c r="W75" s="6">
        <f t="shared" si="98"/>
        <v>1</v>
      </c>
      <c r="X75" s="5">
        <f t="shared" si="98"/>
        <v>1</v>
      </c>
      <c r="Y75" s="5">
        <f t="shared" ref="Y75:AE76" si="99">H75/H$76</f>
        <v>1</v>
      </c>
      <c r="Z75" s="5">
        <f t="shared" si="99"/>
        <v>1</v>
      </c>
      <c r="AA75" s="5">
        <f t="shared" si="99"/>
        <v>1</v>
      </c>
      <c r="AB75" s="5">
        <f t="shared" si="99"/>
        <v>1</v>
      </c>
      <c r="AC75" s="5">
        <f t="shared" si="99"/>
        <v>1</v>
      </c>
      <c r="AD75" s="5">
        <f t="shared" si="99"/>
        <v>1</v>
      </c>
      <c r="AE75" s="5">
        <f t="shared" si="99"/>
        <v>1</v>
      </c>
      <c r="AF75" s="5">
        <f t="shared" ref="AF75:AF76" si="100">O75/O$76</f>
        <v>1</v>
      </c>
      <c r="AG75" s="55">
        <f t="shared" ref="AG75" si="101">SUM(I75:N75)/SUM(I$37:N$37)</f>
        <v>0.23779161550605157</v>
      </c>
    </row>
    <row r="76" spans="1:34">
      <c r="A76" s="183" t="s">
        <v>45</v>
      </c>
      <c r="B76" s="220">
        <f t="shared" ref="B76:L76" si="102">SUM(B74:B75)</f>
        <v>3986.9</v>
      </c>
      <c r="C76" s="220">
        <f t="shared" si="102"/>
        <v>5055.7</v>
      </c>
      <c r="D76" s="220">
        <f t="shared" si="102"/>
        <v>3353.7</v>
      </c>
      <c r="E76" s="220">
        <f t="shared" si="102"/>
        <v>3082.4</v>
      </c>
      <c r="F76" s="220">
        <f t="shared" si="102"/>
        <v>3194.5</v>
      </c>
      <c r="G76" s="220">
        <f t="shared" si="102"/>
        <v>3048.8</v>
      </c>
      <c r="H76" s="220">
        <f t="shared" si="102"/>
        <v>3896.7</v>
      </c>
      <c r="I76" s="183">
        <f t="shared" si="102"/>
        <v>4258</v>
      </c>
      <c r="J76" s="212">
        <f t="shared" si="102"/>
        <v>4498</v>
      </c>
      <c r="K76" s="212">
        <f t="shared" si="102"/>
        <v>4457</v>
      </c>
      <c r="L76" s="183">
        <f t="shared" si="102"/>
        <v>4432</v>
      </c>
      <c r="M76" s="183">
        <f t="shared" ref="M76:N76" si="103">SUM(M74:M75)</f>
        <v>4586</v>
      </c>
      <c r="N76" s="183">
        <f t="shared" si="103"/>
        <v>4882</v>
      </c>
      <c r="O76" s="183">
        <f>SUM(O74:O75)</f>
        <v>1232</v>
      </c>
      <c r="P76" s="205">
        <f>RATE(5,,-I76,N76)</f>
        <v>2.7728555506615498E-2</v>
      </c>
      <c r="Q76" s="154"/>
      <c r="R76" s="192" t="str">
        <f t="shared" si="1"/>
        <v>Total Revenues</v>
      </c>
      <c r="S76" s="199">
        <f t="shared" si="98"/>
        <v>1</v>
      </c>
      <c r="T76" s="199">
        <f t="shared" si="98"/>
        <v>1</v>
      </c>
      <c r="U76" s="199">
        <f t="shared" si="98"/>
        <v>1</v>
      </c>
      <c r="V76" s="199">
        <f t="shared" si="98"/>
        <v>1</v>
      </c>
      <c r="W76" s="199">
        <f t="shared" si="98"/>
        <v>1</v>
      </c>
      <c r="X76" s="200">
        <f t="shared" si="98"/>
        <v>1</v>
      </c>
      <c r="Y76" s="200">
        <f t="shared" si="99"/>
        <v>1</v>
      </c>
      <c r="Z76" s="200">
        <f t="shared" si="99"/>
        <v>1</v>
      </c>
      <c r="AA76" s="200">
        <f t="shared" si="99"/>
        <v>1</v>
      </c>
      <c r="AB76" s="200">
        <f t="shared" si="99"/>
        <v>1</v>
      </c>
      <c r="AC76" s="200">
        <f t="shared" si="99"/>
        <v>1</v>
      </c>
      <c r="AD76" s="200">
        <f t="shared" si="99"/>
        <v>1</v>
      </c>
      <c r="AE76" s="200">
        <f t="shared" si="99"/>
        <v>1</v>
      </c>
      <c r="AF76" s="200">
        <f t="shared" si="100"/>
        <v>1</v>
      </c>
      <c r="AG76" s="200">
        <f>SUM(I76:N76)/SUM(I$76:N$76)</f>
        <v>1</v>
      </c>
      <c r="AH76" s="192"/>
    </row>
    <row r="77" spans="1:34" ht="7.5" customHeight="1">
      <c r="A77" s="148"/>
      <c r="B77" s="165"/>
      <c r="C77" s="165"/>
      <c r="D77" s="165"/>
      <c r="E77" s="165"/>
      <c r="F77" s="165"/>
      <c r="G77" s="165"/>
      <c r="H77" s="165"/>
      <c r="I77" s="148"/>
      <c r="J77" s="148"/>
      <c r="K77" s="148"/>
      <c r="L77" s="148"/>
      <c r="M77" s="148"/>
      <c r="N77" s="148"/>
      <c r="O77" s="148"/>
      <c r="P77" s="150"/>
      <c r="Q77" s="154"/>
      <c r="R77" s="2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199"/>
    </row>
    <row r="78" spans="1:34">
      <c r="A78" s="183" t="s">
        <v>21</v>
      </c>
      <c r="B78" s="165"/>
      <c r="C78" s="165"/>
      <c r="D78" s="165"/>
      <c r="E78" s="165"/>
      <c r="F78" s="165"/>
      <c r="G78" s="165"/>
      <c r="H78" s="165"/>
      <c r="I78" s="148"/>
      <c r="J78" s="148"/>
      <c r="K78" s="148"/>
      <c r="L78" s="148"/>
      <c r="M78" s="148"/>
      <c r="N78" s="148"/>
      <c r="O78" s="148"/>
      <c r="P78" s="150"/>
      <c r="Q78" s="154"/>
      <c r="R78" s="192" t="str">
        <f t="shared" ref="R78:R101" si="104">A78</f>
        <v>Operating Expenses:</v>
      </c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199"/>
    </row>
    <row r="79" spans="1:34">
      <c r="A79" s="166" t="s">
        <v>174</v>
      </c>
      <c r="B79" s="167">
        <f>1217.8+512.3</f>
        <v>1730.1</v>
      </c>
      <c r="C79" s="165">
        <f>2636+491</f>
        <v>3127</v>
      </c>
      <c r="D79" s="165">
        <f>974.4+490.9</f>
        <v>1465.3</v>
      </c>
      <c r="E79" s="165">
        <f>698.5+482.2</f>
        <v>1180.7</v>
      </c>
      <c r="F79" s="165">
        <f>672.8+483.9</f>
        <v>1156.6999999999998</v>
      </c>
      <c r="G79" s="165">
        <f>448+500</f>
        <v>948</v>
      </c>
      <c r="H79" s="168">
        <f>1545.1</f>
        <v>1545.1</v>
      </c>
      <c r="I79" s="149">
        <v>1768</v>
      </c>
      <c r="J79" s="149">
        <v>1957</v>
      </c>
      <c r="K79" s="149">
        <v>1677</v>
      </c>
      <c r="L79" s="149">
        <v>1618</v>
      </c>
      <c r="M79" s="149">
        <v>1636</v>
      </c>
      <c r="N79" s="149">
        <v>1818</v>
      </c>
      <c r="O79" s="149">
        <v>453</v>
      </c>
      <c r="P79" s="150">
        <f t="shared" ref="P79:P82" si="105">RATE(5,,-I79,N79)</f>
        <v>5.5931901140034773E-3</v>
      </c>
      <c r="Q79" s="154"/>
      <c r="R79" s="2" t="str">
        <f t="shared" si="104"/>
        <v>Energy Costs</v>
      </c>
      <c r="S79" s="5">
        <f t="shared" ref="S79:W85" si="106">B79/B$76</f>
        <v>0.43394617371892946</v>
      </c>
      <c r="T79" s="5">
        <f t="shared" si="106"/>
        <v>0.61850980081887774</v>
      </c>
      <c r="U79" s="5">
        <f t="shared" si="106"/>
        <v>0.43692041625667177</v>
      </c>
      <c r="V79" s="5">
        <f t="shared" si="106"/>
        <v>0.38304567869192835</v>
      </c>
      <c r="W79" s="5">
        <f t="shared" si="106"/>
        <v>0.36209109406792922</v>
      </c>
      <c r="X79" s="5">
        <f t="shared" ref="X79:Z85" si="107">G79/G$76</f>
        <v>0.31094200997113619</v>
      </c>
      <c r="Y79" s="5">
        <f t="shared" si="107"/>
        <v>0.39651499987168631</v>
      </c>
      <c r="Z79" s="5">
        <f t="shared" si="107"/>
        <v>0.41521841240018786</v>
      </c>
      <c r="AA79" s="5">
        <f t="shared" ref="AA79:AB85" si="108">J79/J$76</f>
        <v>0.43508225878168072</v>
      </c>
      <c r="AB79" s="5">
        <f t="shared" si="108"/>
        <v>0.37626205968140003</v>
      </c>
      <c r="AC79" s="5">
        <f t="shared" ref="AC79:AE85" si="109">L79/L$76</f>
        <v>0.36507220216606501</v>
      </c>
      <c r="AD79" s="5">
        <f t="shared" si="109"/>
        <v>0.35673789795028349</v>
      </c>
      <c r="AE79" s="5">
        <f t="shared" si="109"/>
        <v>0.37238836542400655</v>
      </c>
      <c r="AF79" s="5">
        <f t="shared" ref="AF79:AF85" si="110">O79/O$76</f>
        <v>0.36769480519480519</v>
      </c>
      <c r="AG79" s="55">
        <f t="shared" ref="AG79:AG82" si="111">SUM(I79:N79)/SUM(I$37:N$37)</f>
        <v>9.1861077004034383E-2</v>
      </c>
    </row>
    <row r="80" spans="1:34">
      <c r="A80" s="166" t="s">
        <v>161</v>
      </c>
      <c r="B80" s="167">
        <f>726+283</f>
        <v>1009</v>
      </c>
      <c r="C80" s="165">
        <f>705.2+200.8</f>
        <v>906</v>
      </c>
      <c r="D80" s="165">
        <v>813.4</v>
      </c>
      <c r="E80" s="165">
        <v>885.1</v>
      </c>
      <c r="F80" s="165">
        <v>895.8</v>
      </c>
      <c r="G80" s="165">
        <v>913.1</v>
      </c>
      <c r="H80" s="165">
        <v>1014.5</v>
      </c>
      <c r="I80" s="149">
        <v>998</v>
      </c>
      <c r="J80" s="149">
        <v>985</v>
      </c>
      <c r="K80" s="149">
        <v>1035</v>
      </c>
      <c r="L80" s="148">
        <v>1081</v>
      </c>
      <c r="M80" s="148">
        <v>1103</v>
      </c>
      <c r="N80" s="148">
        <v>1242</v>
      </c>
      <c r="O80" s="148">
        <v>271</v>
      </c>
      <c r="P80" s="150">
        <f t="shared" si="105"/>
        <v>4.4715915472925645E-2</v>
      </c>
      <c r="Q80" s="154"/>
      <c r="R80" s="2" t="str">
        <f t="shared" si="104"/>
        <v>Other operations and maintenance</v>
      </c>
      <c r="S80" s="5">
        <f t="shared" si="106"/>
        <v>0.25307883317866009</v>
      </c>
      <c r="T80" s="5">
        <f t="shared" si="106"/>
        <v>0.17920367110390253</v>
      </c>
      <c r="U80" s="5">
        <f t="shared" si="106"/>
        <v>0.24253809225631393</v>
      </c>
      <c r="V80" s="5">
        <f t="shared" si="106"/>
        <v>0.28714637944458865</v>
      </c>
      <c r="W80" s="5">
        <f t="shared" si="106"/>
        <v>0.28041947096572234</v>
      </c>
      <c r="X80" s="5">
        <f t="shared" si="107"/>
        <v>0.29949488323274731</v>
      </c>
      <c r="Y80" s="5">
        <f t="shared" si="107"/>
        <v>0.26034850001283139</v>
      </c>
      <c r="Z80" s="5">
        <f t="shared" si="107"/>
        <v>0.2343823391263504</v>
      </c>
      <c r="AA80" s="5">
        <f t="shared" si="108"/>
        <v>0.21898621609604269</v>
      </c>
      <c r="AB80" s="5">
        <f t="shared" si="108"/>
        <v>0.23221898137760827</v>
      </c>
      <c r="AC80" s="5">
        <f t="shared" si="109"/>
        <v>0.24390794223826714</v>
      </c>
      <c r="AD80" s="5">
        <f t="shared" si="109"/>
        <v>0.24051460968163976</v>
      </c>
      <c r="AE80" s="5">
        <f t="shared" si="109"/>
        <v>0.25440393281442031</v>
      </c>
      <c r="AF80" s="5">
        <f t="shared" si="110"/>
        <v>0.21996753246753248</v>
      </c>
      <c r="AG80" s="55">
        <f t="shared" si="111"/>
        <v>5.6516400631468164E-2</v>
      </c>
    </row>
    <row r="81" spans="1:56">
      <c r="A81" s="166" t="s">
        <v>162</v>
      </c>
      <c r="B81" s="167">
        <v>441.3</v>
      </c>
      <c r="C81" s="165">
        <v>429</v>
      </c>
      <c r="D81" s="165">
        <v>403</v>
      </c>
      <c r="E81" s="165">
        <v>434.3</v>
      </c>
      <c r="F81" s="165">
        <v>428.8</v>
      </c>
      <c r="G81" s="165">
        <v>436.9</v>
      </c>
      <c r="H81" s="165">
        <v>448.3</v>
      </c>
      <c r="I81" s="149">
        <v>497</v>
      </c>
      <c r="J81" s="149">
        <v>490</v>
      </c>
      <c r="K81" s="149">
        <v>549</v>
      </c>
      <c r="L81" s="148">
        <v>561</v>
      </c>
      <c r="M81" s="148">
        <v>611</v>
      </c>
      <c r="N81" s="148">
        <v>640</v>
      </c>
      <c r="O81" s="148">
        <v>168</v>
      </c>
      <c r="P81" s="150">
        <f t="shared" si="105"/>
        <v>5.1876413814035377E-2</v>
      </c>
      <c r="Q81" s="156"/>
      <c r="R81" s="2" t="str">
        <f t="shared" si="104"/>
        <v>Depreciation and amortization</v>
      </c>
      <c r="S81" s="5">
        <f t="shared" si="106"/>
        <v>0.110687501567634</v>
      </c>
      <c r="T81" s="5">
        <f t="shared" si="106"/>
        <v>8.48547184366161E-2</v>
      </c>
      <c r="U81" s="5">
        <f t="shared" si="106"/>
        <v>0.1201657870411784</v>
      </c>
      <c r="V81" s="5">
        <f t="shared" si="106"/>
        <v>0.14089670386711653</v>
      </c>
      <c r="W81" s="5">
        <f t="shared" si="106"/>
        <v>0.13423070903114728</v>
      </c>
      <c r="X81" s="5">
        <f t="shared" si="107"/>
        <v>0.14330228286538965</v>
      </c>
      <c r="Y81" s="5">
        <f t="shared" si="107"/>
        <v>0.11504606461878</v>
      </c>
      <c r="Z81" s="5">
        <f t="shared" si="107"/>
        <v>0.11672146547674965</v>
      </c>
      <c r="AA81" s="5">
        <f t="shared" si="108"/>
        <v>0.10893730546909737</v>
      </c>
      <c r="AB81" s="5">
        <f t="shared" si="108"/>
        <v>0.12317702490464438</v>
      </c>
      <c r="AC81" s="5">
        <f t="shared" si="109"/>
        <v>0.12657942238267147</v>
      </c>
      <c r="AD81" s="5">
        <f t="shared" si="109"/>
        <v>0.13323157435673791</v>
      </c>
      <c r="AE81" s="5">
        <f t="shared" si="109"/>
        <v>0.13109381401065137</v>
      </c>
      <c r="AF81" s="5">
        <f t="shared" si="110"/>
        <v>0.13636363636363635</v>
      </c>
      <c r="AG81" s="55">
        <f t="shared" si="111"/>
        <v>2.9363269601824241E-2</v>
      </c>
    </row>
    <row r="82" spans="1:56">
      <c r="A82" s="166" t="s">
        <v>164</v>
      </c>
      <c r="B82" s="167">
        <v>101.4</v>
      </c>
      <c r="C82" s="165">
        <v>100.3</v>
      </c>
      <c r="D82" s="165">
        <v>90.8</v>
      </c>
      <c r="E82" s="165">
        <v>93.4</v>
      </c>
      <c r="F82" s="165">
        <v>95.3</v>
      </c>
      <c r="G82" s="165">
        <v>94.4</v>
      </c>
      <c r="H82" s="165">
        <v>96.8</v>
      </c>
      <c r="I82" s="149">
        <v>101</v>
      </c>
      <c r="J82" s="149">
        <v>112</v>
      </c>
      <c r="K82" s="149">
        <v>136</v>
      </c>
      <c r="L82" s="148">
        <v>136</v>
      </c>
      <c r="M82" s="148">
        <v>152</v>
      </c>
      <c r="N82" s="148">
        <v>161</v>
      </c>
      <c r="O82" s="148">
        <v>43</v>
      </c>
      <c r="P82" s="150">
        <f t="shared" si="105"/>
        <v>9.7743566293481562E-2</v>
      </c>
      <c r="Q82" s="157"/>
      <c r="R82" s="2" t="str">
        <f t="shared" si="104"/>
        <v>Taxes, other than income taxes</v>
      </c>
      <c r="S82" s="5">
        <f t="shared" si="106"/>
        <v>2.5433294037974365E-2</v>
      </c>
      <c r="T82" s="5">
        <f t="shared" si="106"/>
        <v>1.983899361117155E-2</v>
      </c>
      <c r="U82" s="5">
        <f t="shared" si="106"/>
        <v>2.7074574350717119E-2</v>
      </c>
      <c r="V82" s="5">
        <f t="shared" si="106"/>
        <v>3.0301064105891513E-2</v>
      </c>
      <c r="W82" s="5">
        <f t="shared" si="106"/>
        <v>2.9832524651745185E-2</v>
      </c>
      <c r="X82" s="5">
        <f t="shared" si="107"/>
        <v>3.0963001836788243E-2</v>
      </c>
      <c r="Y82" s="5">
        <f t="shared" si="107"/>
        <v>2.4841532578848771E-2</v>
      </c>
      <c r="Z82" s="5">
        <f t="shared" si="107"/>
        <v>2.3720056364490372E-2</v>
      </c>
      <c r="AA82" s="5">
        <f t="shared" si="108"/>
        <v>2.4899955535793685E-2</v>
      </c>
      <c r="AB82" s="5">
        <f t="shared" si="108"/>
        <v>3.0513798519183306E-2</v>
      </c>
      <c r="AC82" s="5">
        <f t="shared" si="109"/>
        <v>3.0685920577617327E-2</v>
      </c>
      <c r="AD82" s="5">
        <f t="shared" si="109"/>
        <v>3.3144352376798955E-2</v>
      </c>
      <c r="AE82" s="5">
        <f t="shared" si="109"/>
        <v>3.2978287587054483E-2</v>
      </c>
      <c r="AF82" s="5">
        <f t="shared" si="110"/>
        <v>3.49025974025974E-2</v>
      </c>
      <c r="AG82" s="55">
        <f t="shared" si="111"/>
        <v>6.9987721452376772E-3</v>
      </c>
    </row>
    <row r="83" spans="1:56" s="21" customFormat="1" hidden="1">
      <c r="A83" s="166" t="s">
        <v>163</v>
      </c>
      <c r="B83" s="169">
        <v>0</v>
      </c>
      <c r="C83" s="163">
        <v>-30.6</v>
      </c>
      <c r="D83" s="163">
        <v>-32.4</v>
      </c>
      <c r="E83" s="163">
        <v>0</v>
      </c>
      <c r="F83" s="163">
        <v>0</v>
      </c>
      <c r="G83" s="163">
        <v>0</v>
      </c>
      <c r="H83" s="164">
        <v>0</v>
      </c>
      <c r="I83" s="153">
        <v>0</v>
      </c>
      <c r="J83" s="153">
        <v>0</v>
      </c>
      <c r="K83" s="153">
        <v>0</v>
      </c>
      <c r="L83" s="153">
        <v>0</v>
      </c>
      <c r="M83" s="153">
        <v>0</v>
      </c>
      <c r="N83" s="153">
        <v>0</v>
      </c>
      <c r="O83" s="153">
        <v>0</v>
      </c>
      <c r="P83" s="150" t="e">
        <f>RATE(5.75,,-F83,K83)</f>
        <v>#NUM!</v>
      </c>
      <c r="Q83" s="154"/>
      <c r="R83" s="2" t="str">
        <f t="shared" si="104"/>
        <v>Other Operating Expenses</v>
      </c>
      <c r="S83" s="6">
        <f t="shared" si="106"/>
        <v>0</v>
      </c>
      <c r="T83" s="6">
        <f t="shared" si="106"/>
        <v>-6.0525743220523377E-3</v>
      </c>
      <c r="U83" s="6">
        <f t="shared" si="106"/>
        <v>-9.6609714643528053E-3</v>
      </c>
      <c r="V83" s="6">
        <f t="shared" si="106"/>
        <v>0</v>
      </c>
      <c r="W83" s="18">
        <f t="shared" si="106"/>
        <v>0</v>
      </c>
      <c r="X83" s="18">
        <f t="shared" si="107"/>
        <v>0</v>
      </c>
      <c r="Y83" s="18">
        <f t="shared" si="107"/>
        <v>0</v>
      </c>
      <c r="Z83" s="18">
        <f t="shared" si="107"/>
        <v>0</v>
      </c>
      <c r="AA83" s="18">
        <f t="shared" si="108"/>
        <v>0</v>
      </c>
      <c r="AB83" s="18">
        <f t="shared" si="108"/>
        <v>0</v>
      </c>
      <c r="AC83" s="18">
        <f t="shared" si="109"/>
        <v>0</v>
      </c>
      <c r="AD83" s="18">
        <f t="shared" si="109"/>
        <v>0</v>
      </c>
      <c r="AE83" s="18">
        <f t="shared" si="109"/>
        <v>0</v>
      </c>
      <c r="AF83" s="18">
        <f t="shared" si="110"/>
        <v>0</v>
      </c>
      <c r="AG83" s="55">
        <f>SUM(F83:K83)/SUM(F$76:K$76)</f>
        <v>0</v>
      </c>
      <c r="AH83" s="52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</row>
    <row r="84" spans="1:56" s="21" customFormat="1" ht="12.75" customHeight="1">
      <c r="A84" s="148" t="s">
        <v>37</v>
      </c>
      <c r="B84" s="163">
        <f t="shared" ref="B84:L84" si="112">SUM(B78:B83)</f>
        <v>3281.8</v>
      </c>
      <c r="C84" s="163">
        <f t="shared" si="112"/>
        <v>4531.7</v>
      </c>
      <c r="D84" s="163">
        <f t="shared" si="112"/>
        <v>2740.1</v>
      </c>
      <c r="E84" s="163">
        <f t="shared" si="112"/>
        <v>2593.5000000000005</v>
      </c>
      <c r="F84" s="170">
        <f t="shared" si="112"/>
        <v>2576.6000000000004</v>
      </c>
      <c r="G84" s="170">
        <f t="shared" si="112"/>
        <v>2392.4</v>
      </c>
      <c r="H84" s="170">
        <f t="shared" si="112"/>
        <v>3104.7000000000003</v>
      </c>
      <c r="I84" s="300">
        <f t="shared" si="112"/>
        <v>3364</v>
      </c>
      <c r="J84" s="300">
        <f>SUM(J78:J83)</f>
        <v>3544</v>
      </c>
      <c r="K84" s="300">
        <f>SUM(K78:K83)</f>
        <v>3397</v>
      </c>
      <c r="L84" s="300">
        <f t="shared" si="112"/>
        <v>3396</v>
      </c>
      <c r="M84" s="300">
        <f t="shared" ref="M84:N84" si="113">SUM(M78:M83)</f>
        <v>3502</v>
      </c>
      <c r="N84" s="300">
        <f t="shared" si="113"/>
        <v>3861</v>
      </c>
      <c r="O84" s="300">
        <f>SUM(O78:O83)</f>
        <v>935</v>
      </c>
      <c r="P84" s="158">
        <f>RATE(5,,-I84,N84)</f>
        <v>2.7942359603198474E-2</v>
      </c>
      <c r="Q84" s="154"/>
      <c r="R84" s="2" t="str">
        <f t="shared" si="104"/>
        <v>Total Operating Expenses</v>
      </c>
      <c r="S84" s="6">
        <f t="shared" si="106"/>
        <v>0.82314580250319802</v>
      </c>
      <c r="T84" s="6">
        <f t="shared" si="106"/>
        <v>0.89635460964851554</v>
      </c>
      <c r="U84" s="6">
        <f t="shared" si="106"/>
        <v>0.81703789844052843</v>
      </c>
      <c r="V84" s="6">
        <f t="shared" si="106"/>
        <v>0.84138982610952517</v>
      </c>
      <c r="W84" s="97">
        <f t="shared" si="106"/>
        <v>0.80657379871654422</v>
      </c>
      <c r="X84" s="97">
        <f t="shared" si="107"/>
        <v>0.78470217790606134</v>
      </c>
      <c r="Y84" s="97">
        <f t="shared" si="107"/>
        <v>0.79675109708214653</v>
      </c>
      <c r="Z84" s="97">
        <f t="shared" si="107"/>
        <v>0.79004227336777832</v>
      </c>
      <c r="AA84" s="97">
        <f t="shared" si="108"/>
        <v>0.78790573588261448</v>
      </c>
      <c r="AB84" s="97">
        <f t="shared" si="108"/>
        <v>0.76217186448283603</v>
      </c>
      <c r="AC84" s="97">
        <f t="shared" si="109"/>
        <v>0.76624548736462095</v>
      </c>
      <c r="AD84" s="97">
        <f t="shared" si="109"/>
        <v>0.76362843436546013</v>
      </c>
      <c r="AE84" s="97">
        <f t="shared" si="109"/>
        <v>0.79086439983613277</v>
      </c>
      <c r="AF84" s="97">
        <f t="shared" si="110"/>
        <v>0.7589285714285714</v>
      </c>
      <c r="AG84" s="254">
        <f>SUM(I84:N84)/SUM(I$76:N$76)</f>
        <v>0.77689669162394426</v>
      </c>
      <c r="AH84" s="52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</row>
    <row r="85" spans="1:56" s="21" customFormat="1">
      <c r="A85" s="183" t="s">
        <v>13</v>
      </c>
      <c r="B85" s="220">
        <f t="shared" ref="B85:L85" si="114">B76-B84</f>
        <v>705.09999999999991</v>
      </c>
      <c r="C85" s="220">
        <f t="shared" si="114"/>
        <v>524</v>
      </c>
      <c r="D85" s="220">
        <f t="shared" si="114"/>
        <v>613.59999999999991</v>
      </c>
      <c r="E85" s="220">
        <f t="shared" si="114"/>
        <v>488.89999999999964</v>
      </c>
      <c r="F85" s="220">
        <f t="shared" si="114"/>
        <v>617.89999999999964</v>
      </c>
      <c r="G85" s="220">
        <f t="shared" si="114"/>
        <v>656.40000000000009</v>
      </c>
      <c r="H85" s="220">
        <f t="shared" si="114"/>
        <v>791.99999999999955</v>
      </c>
      <c r="I85" s="183">
        <f t="shared" si="114"/>
        <v>894</v>
      </c>
      <c r="J85" s="183">
        <f t="shared" si="114"/>
        <v>954</v>
      </c>
      <c r="K85" s="183">
        <f t="shared" si="114"/>
        <v>1060</v>
      </c>
      <c r="L85" s="183">
        <f t="shared" si="114"/>
        <v>1036</v>
      </c>
      <c r="M85" s="183">
        <f t="shared" ref="M85:N85" si="115">M76-M84</f>
        <v>1084</v>
      </c>
      <c r="N85" s="183">
        <f t="shared" si="115"/>
        <v>1021</v>
      </c>
      <c r="O85" s="183">
        <f>O76-O84</f>
        <v>297</v>
      </c>
      <c r="P85" s="205">
        <f>RATE(5,,-I85,N85)</f>
        <v>2.6922441479339764E-2</v>
      </c>
      <c r="Q85" s="157"/>
      <c r="R85" s="192" t="str">
        <f t="shared" si="104"/>
        <v>Earnings From Operations</v>
      </c>
      <c r="S85" s="199">
        <f t="shared" si="106"/>
        <v>0.17685419749680201</v>
      </c>
      <c r="T85" s="199">
        <f t="shared" si="106"/>
        <v>0.10364539035148447</v>
      </c>
      <c r="U85" s="199">
        <f t="shared" si="106"/>
        <v>0.18296210155947162</v>
      </c>
      <c r="V85" s="199">
        <f t="shared" si="106"/>
        <v>0.15861017389047483</v>
      </c>
      <c r="W85" s="199">
        <f t="shared" si="106"/>
        <v>0.19342620128345583</v>
      </c>
      <c r="X85" s="199">
        <f t="shared" si="107"/>
        <v>0.21529782209393861</v>
      </c>
      <c r="Y85" s="199">
        <f t="shared" si="107"/>
        <v>0.20324890291785347</v>
      </c>
      <c r="Z85" s="199">
        <f t="shared" si="107"/>
        <v>0.2099577266322217</v>
      </c>
      <c r="AA85" s="199">
        <f t="shared" si="108"/>
        <v>0.21209426411738549</v>
      </c>
      <c r="AB85" s="199">
        <f t="shared" si="108"/>
        <v>0.237828135517164</v>
      </c>
      <c r="AC85" s="199">
        <f t="shared" si="109"/>
        <v>0.23375451263537905</v>
      </c>
      <c r="AD85" s="199">
        <f t="shared" si="109"/>
        <v>0.2363715656345399</v>
      </c>
      <c r="AE85" s="199">
        <f t="shared" si="109"/>
        <v>0.20913560016386726</v>
      </c>
      <c r="AF85" s="199">
        <f t="shared" si="110"/>
        <v>0.24107142857142858</v>
      </c>
      <c r="AG85" s="200">
        <f>SUM(I85:N85)/SUM(I$76:N$76)</f>
        <v>0.22310330837605577</v>
      </c>
      <c r="AH85" s="104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</row>
    <row r="86" spans="1:56" s="21" customFormat="1" ht="7.5" customHeight="1">
      <c r="A86" s="148"/>
      <c r="B86" s="165"/>
      <c r="C86" s="165"/>
      <c r="D86" s="165"/>
      <c r="E86" s="165"/>
      <c r="F86" s="165"/>
      <c r="G86" s="165"/>
      <c r="H86" s="165"/>
      <c r="I86" s="148"/>
      <c r="J86" s="148"/>
      <c r="K86" s="148"/>
      <c r="L86" s="148"/>
      <c r="M86" s="148"/>
      <c r="N86" s="148"/>
      <c r="O86" s="148"/>
      <c r="P86" s="150"/>
      <c r="Q86" s="157"/>
      <c r="R86" s="2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5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</row>
    <row r="87" spans="1:56">
      <c r="A87" s="221" t="s">
        <v>165</v>
      </c>
      <c r="B87" s="220">
        <f>341.4-20.2</f>
        <v>321.2</v>
      </c>
      <c r="C87" s="220">
        <f>290.4-12.9</f>
        <v>277.5</v>
      </c>
      <c r="D87" s="220">
        <f>227.7-6.9</f>
        <v>220.79999999999998</v>
      </c>
      <c r="E87" s="220">
        <f>270.3-18</f>
        <v>252.3</v>
      </c>
      <c r="F87" s="220">
        <f>256.5-19.9</f>
        <v>236.6</v>
      </c>
      <c r="G87" s="220">
        <f>267.4-14.8</f>
        <v>252.59999999999997</v>
      </c>
      <c r="H87" s="220">
        <f>279.9-32.4</f>
        <v>247.49999999999997</v>
      </c>
      <c r="I87" s="183">
        <f>314-29</f>
        <v>285</v>
      </c>
      <c r="J87" s="183">
        <f>343-34</f>
        <v>309</v>
      </c>
      <c r="K87" s="183">
        <f>394-35</f>
        <v>359</v>
      </c>
      <c r="L87" s="183">
        <f>387-45</f>
        <v>342</v>
      </c>
      <c r="M87" s="183">
        <f>392-25</f>
        <v>367</v>
      </c>
      <c r="N87" s="183">
        <f>380-29</f>
        <v>351</v>
      </c>
      <c r="O87" s="183">
        <v>94</v>
      </c>
      <c r="P87" s="184">
        <f>RATE(5,,-I87,N87)</f>
        <v>4.253933838373393E-2</v>
      </c>
      <c r="Q87" s="157"/>
      <c r="R87" s="192" t="str">
        <f t="shared" si="104"/>
        <v>Interest expense (net)</v>
      </c>
      <c r="S87" s="108">
        <f t="shared" ref="S87:W91" si="116">B87/B$76</f>
        <v>8.0563846597607153E-2</v>
      </c>
      <c r="T87" s="108">
        <f t="shared" si="116"/>
        <v>5.4888541646062862E-2</v>
      </c>
      <c r="U87" s="108">
        <f t="shared" si="116"/>
        <v>6.5837731460774665E-2</v>
      </c>
      <c r="V87" s="108">
        <f t="shared" si="116"/>
        <v>8.185180378925512E-2</v>
      </c>
      <c r="W87" s="108">
        <f t="shared" si="116"/>
        <v>7.4064798873063081E-2</v>
      </c>
      <c r="X87" s="199">
        <f t="shared" ref="X87:Z91" si="117">G87/G$76</f>
        <v>8.285226974547362E-2</v>
      </c>
      <c r="Y87" s="199">
        <f t="shared" si="117"/>
        <v>6.3515282161829237E-2</v>
      </c>
      <c r="Z87" s="199">
        <f t="shared" si="117"/>
        <v>6.693283231564115E-2</v>
      </c>
      <c r="AA87" s="199">
        <f t="shared" ref="AA87:AB91" si="118">J87/J$76</f>
        <v>6.8697198755002228E-2</v>
      </c>
      <c r="AB87" s="199">
        <f t="shared" si="118"/>
        <v>8.0547453444020645E-2</v>
      </c>
      <c r="AC87" s="199">
        <f t="shared" ref="AC87:AE91" si="119">L87/L$76</f>
        <v>7.7166064981949459E-2</v>
      </c>
      <c r="AD87" s="199">
        <f t="shared" si="119"/>
        <v>8.0026166593981679E-2</v>
      </c>
      <c r="AE87" s="199">
        <f t="shared" si="119"/>
        <v>7.1896763621466617E-2</v>
      </c>
      <c r="AF87" s="199">
        <f t="shared" ref="AF87:AF91" si="120">O87/O$76</f>
        <v>7.6298701298701296E-2</v>
      </c>
      <c r="AG87" s="199">
        <f>SUM(I87:N87)/SUM(I$76:N$76)</f>
        <v>7.4244827204661967E-2</v>
      </c>
      <c r="AH87" s="104"/>
    </row>
    <row r="88" spans="1:56" ht="12.75" customHeight="1">
      <c r="A88" s="166" t="s">
        <v>166</v>
      </c>
      <c r="B88" s="165">
        <v>-17.100000000000001</v>
      </c>
      <c r="C88" s="165">
        <v>-32.6</v>
      </c>
      <c r="D88" s="165">
        <v>-47.5</v>
      </c>
      <c r="E88" s="165">
        <v>-21.6</v>
      </c>
      <c r="F88" s="165">
        <v>-13.8</v>
      </c>
      <c r="G88" s="165">
        <v>-9.1</v>
      </c>
      <c r="H88" s="165">
        <v>-9.5</v>
      </c>
      <c r="I88" s="148">
        <v>-15</v>
      </c>
      <c r="J88" s="148">
        <v>-11</v>
      </c>
      <c r="K88" s="148">
        <v>-19</v>
      </c>
      <c r="L88" s="148">
        <v>-5</v>
      </c>
      <c r="M88" s="148">
        <v>-5</v>
      </c>
      <c r="N88" s="148">
        <v>-4</v>
      </c>
      <c r="O88" s="148">
        <v>-1</v>
      </c>
      <c r="P88" s="150">
        <f t="shared" ref="P88:P90" si="121">RATE(5,,-I88,N88)</f>
        <v>-0.23229610072523701</v>
      </c>
      <c r="Q88" s="157"/>
      <c r="R88" s="2" t="str">
        <f t="shared" si="104"/>
        <v>Interest income</v>
      </c>
      <c r="S88" s="18">
        <f t="shared" si="116"/>
        <v>-4.2890466277057367E-3</v>
      </c>
      <c r="T88" s="18">
        <f t="shared" si="116"/>
        <v>-6.4481674149969347E-3</v>
      </c>
      <c r="U88" s="18">
        <f t="shared" si="116"/>
        <v>-1.4163461251751797E-2</v>
      </c>
      <c r="V88" s="18">
        <f t="shared" si="116"/>
        <v>-7.007526602647288E-3</v>
      </c>
      <c r="W88" s="18">
        <f t="shared" si="116"/>
        <v>-4.3199248708718115E-3</v>
      </c>
      <c r="X88" s="5">
        <f t="shared" si="117"/>
        <v>-2.9847808974022565E-3</v>
      </c>
      <c r="Y88" s="5">
        <f t="shared" si="117"/>
        <v>-2.4379603254035469E-3</v>
      </c>
      <c r="Z88" s="5">
        <f t="shared" si="117"/>
        <v>-3.5227806481916393E-3</v>
      </c>
      <c r="AA88" s="5">
        <f t="shared" si="118"/>
        <v>-2.4455313472654511E-3</v>
      </c>
      <c r="AB88" s="5">
        <f t="shared" si="118"/>
        <v>-4.2629571460623735E-3</v>
      </c>
      <c r="AC88" s="5">
        <f t="shared" si="119"/>
        <v>-1.1281588447653429E-3</v>
      </c>
      <c r="AD88" s="5">
        <f t="shared" si="119"/>
        <v>-1.0902747492368076E-3</v>
      </c>
      <c r="AE88" s="5">
        <f t="shared" si="119"/>
        <v>-8.1933633756657109E-4</v>
      </c>
      <c r="AF88" s="5">
        <f t="shared" si="120"/>
        <v>-8.1168831168831174E-4</v>
      </c>
      <c r="AG88" s="55">
        <f t="shared" ref="AG88:AG90" si="122">SUM(I88:N88)/SUM(I$37:N$37)</f>
        <v>-5.1745307840729701E-4</v>
      </c>
      <c r="AH88" s="111"/>
    </row>
    <row r="89" spans="1:56" ht="12.75" hidden="1" customHeight="1">
      <c r="A89" s="166" t="s">
        <v>167</v>
      </c>
      <c r="B89" s="165">
        <v>0</v>
      </c>
      <c r="C89" s="165">
        <v>184.2</v>
      </c>
      <c r="D89" s="165">
        <v>-27.4</v>
      </c>
      <c r="E89" s="165">
        <v>0</v>
      </c>
      <c r="F89" s="165">
        <v>0</v>
      </c>
      <c r="G89" s="165">
        <v>0</v>
      </c>
      <c r="H89" s="171">
        <v>0</v>
      </c>
      <c r="I89" s="151">
        <v>0</v>
      </c>
      <c r="J89" s="151">
        <v>0</v>
      </c>
      <c r="K89" s="151">
        <v>0</v>
      </c>
      <c r="L89" s="151">
        <v>0</v>
      </c>
      <c r="M89" s="151">
        <v>0</v>
      </c>
      <c r="N89" s="151">
        <v>0</v>
      </c>
      <c r="O89" s="151">
        <v>0</v>
      </c>
      <c r="P89" s="150" t="e">
        <f t="shared" si="121"/>
        <v>#NUM!</v>
      </c>
      <c r="Q89" s="154"/>
      <c r="R89" s="2" t="str">
        <f t="shared" si="104"/>
        <v>Loss (Gain) on Sale of Assets</v>
      </c>
      <c r="S89" s="18">
        <f t="shared" si="116"/>
        <v>0</v>
      </c>
      <c r="T89" s="18">
        <f t="shared" si="116"/>
        <v>3.6434123860197398E-2</v>
      </c>
      <c r="U89" s="18">
        <f t="shared" si="116"/>
        <v>-8.1700808062736673E-3</v>
      </c>
      <c r="V89" s="18">
        <f t="shared" si="116"/>
        <v>0</v>
      </c>
      <c r="W89" s="18">
        <f t="shared" si="116"/>
        <v>0</v>
      </c>
      <c r="X89" s="18">
        <f t="shared" si="117"/>
        <v>0</v>
      </c>
      <c r="Y89" s="18">
        <f t="shared" si="117"/>
        <v>0</v>
      </c>
      <c r="Z89" s="18">
        <f t="shared" si="117"/>
        <v>0</v>
      </c>
      <c r="AA89" s="18">
        <f t="shared" si="118"/>
        <v>0</v>
      </c>
      <c r="AB89" s="18">
        <f t="shared" si="118"/>
        <v>0</v>
      </c>
      <c r="AC89" s="18">
        <f t="shared" si="119"/>
        <v>0</v>
      </c>
      <c r="AD89" s="18">
        <f t="shared" si="119"/>
        <v>0</v>
      </c>
      <c r="AE89" s="18">
        <f t="shared" si="119"/>
        <v>0</v>
      </c>
      <c r="AF89" s="18">
        <f t="shared" si="120"/>
        <v>0</v>
      </c>
      <c r="AG89" s="55">
        <f t="shared" si="122"/>
        <v>0</v>
      </c>
    </row>
    <row r="90" spans="1:56">
      <c r="A90" s="219" t="s">
        <v>168</v>
      </c>
      <c r="B90" s="163">
        <f>2.6-13.7</f>
        <v>-11.1</v>
      </c>
      <c r="C90" s="163">
        <v>2.7</v>
      </c>
      <c r="D90" s="163">
        <f>-1.8</f>
        <v>-1.8</v>
      </c>
      <c r="E90" s="163">
        <v>19</v>
      </c>
      <c r="F90" s="163">
        <v>1.6</v>
      </c>
      <c r="G90" s="163">
        <v>-7.3</v>
      </c>
      <c r="H90" s="164">
        <v>-6.1</v>
      </c>
      <c r="I90" s="153">
        <v>-41</v>
      </c>
      <c r="J90" s="153">
        <v>-47</v>
      </c>
      <c r="K90" s="153">
        <v>-64</v>
      </c>
      <c r="L90" s="153">
        <f>-79+1</f>
        <v>-78</v>
      </c>
      <c r="M90" s="153">
        <f>-47+1</f>
        <v>-46</v>
      </c>
      <c r="N90" s="153">
        <f>-58-2</f>
        <v>-60</v>
      </c>
      <c r="O90" s="153">
        <v>-23</v>
      </c>
      <c r="P90" s="150">
        <f t="shared" si="121"/>
        <v>7.9129285787650994E-2</v>
      </c>
      <c r="Q90" s="154"/>
      <c r="R90" s="2" t="str">
        <f t="shared" si="104"/>
        <v>Other (Income) Expense</v>
      </c>
      <c r="S90" s="6">
        <f t="shared" si="116"/>
        <v>-2.7841179864054777E-3</v>
      </c>
      <c r="T90" s="6">
        <f t="shared" si="116"/>
        <v>5.3405067547520626E-4</v>
      </c>
      <c r="U90" s="6">
        <f t="shared" si="116"/>
        <v>-5.3672063690848914E-4</v>
      </c>
      <c r="V90" s="6">
        <f t="shared" si="116"/>
        <v>6.1640280301064106E-3</v>
      </c>
      <c r="W90" s="103">
        <f t="shared" si="116"/>
        <v>5.008608545938332E-4</v>
      </c>
      <c r="X90" s="103">
        <f t="shared" si="117"/>
        <v>-2.394384675938074E-3</v>
      </c>
      <c r="Y90" s="103">
        <f t="shared" si="117"/>
        <v>-1.565427156311751E-3</v>
      </c>
      <c r="Z90" s="103">
        <f t="shared" si="117"/>
        <v>-9.6289337717238143E-3</v>
      </c>
      <c r="AA90" s="103">
        <f t="shared" si="118"/>
        <v>-1.0449088483770564E-2</v>
      </c>
      <c r="AB90" s="103">
        <f t="shared" si="118"/>
        <v>-1.4359434597262733E-2</v>
      </c>
      <c r="AC90" s="103">
        <f t="shared" si="119"/>
        <v>-1.759927797833935E-2</v>
      </c>
      <c r="AD90" s="103">
        <f t="shared" si="119"/>
        <v>-1.003052769297863E-2</v>
      </c>
      <c r="AE90" s="103">
        <f t="shared" si="119"/>
        <v>-1.2290045063498567E-2</v>
      </c>
      <c r="AF90" s="103">
        <f t="shared" si="120"/>
        <v>-1.8668831168831168E-2</v>
      </c>
      <c r="AG90" s="55">
        <f t="shared" si="122"/>
        <v>-2.9468514295737588E-3</v>
      </c>
    </row>
    <row r="91" spans="1:56">
      <c r="A91" s="140" t="s">
        <v>208</v>
      </c>
      <c r="B91" s="165">
        <f t="shared" ref="B91:L91" si="123">SUM(B87:B90)</f>
        <v>292.99999999999994</v>
      </c>
      <c r="C91" s="165">
        <f t="shared" si="123"/>
        <v>431.8</v>
      </c>
      <c r="D91" s="165">
        <f t="shared" si="123"/>
        <v>144.09999999999997</v>
      </c>
      <c r="E91" s="165">
        <f t="shared" si="123"/>
        <v>249.70000000000002</v>
      </c>
      <c r="F91" s="165">
        <f t="shared" si="123"/>
        <v>224.39999999999998</v>
      </c>
      <c r="G91" s="165">
        <f t="shared" si="123"/>
        <v>236.19999999999996</v>
      </c>
      <c r="H91" s="165">
        <f t="shared" si="123"/>
        <v>231.89999999999998</v>
      </c>
      <c r="I91" s="148">
        <f t="shared" si="123"/>
        <v>229</v>
      </c>
      <c r="J91" s="148">
        <f>SUM(J87:J90)</f>
        <v>251</v>
      </c>
      <c r="K91" s="148">
        <f>SUM(K87:K90)</f>
        <v>276</v>
      </c>
      <c r="L91" s="148">
        <f t="shared" si="123"/>
        <v>259</v>
      </c>
      <c r="M91" s="148">
        <f t="shared" ref="M91:N91" si="124">SUM(M87:M90)</f>
        <v>316</v>
      </c>
      <c r="N91" s="148">
        <f t="shared" si="124"/>
        <v>287</v>
      </c>
      <c r="O91" s="148">
        <f>SUM(O87:O90)</f>
        <v>70</v>
      </c>
      <c r="P91" s="155">
        <f>RATE(4,,-I91,M91)</f>
        <v>8.3834322710240425E-2</v>
      </c>
      <c r="Q91" s="154"/>
      <c r="R91" s="2" t="str">
        <f t="shared" si="104"/>
        <v>Total Other (Income)/Expense</v>
      </c>
      <c r="S91" s="18">
        <f t="shared" si="116"/>
        <v>7.349068198349594E-2</v>
      </c>
      <c r="T91" s="18">
        <f t="shared" si="116"/>
        <v>8.5408548766738535E-2</v>
      </c>
      <c r="U91" s="18">
        <f t="shared" si="116"/>
        <v>4.2967468765840705E-2</v>
      </c>
      <c r="V91" s="18">
        <f t="shared" si="116"/>
        <v>8.1008305216714246E-2</v>
      </c>
      <c r="W91" s="18">
        <f t="shared" si="116"/>
        <v>7.0245734856785091E-2</v>
      </c>
      <c r="X91" s="5">
        <f t="shared" si="117"/>
        <v>7.7473104172133281E-2</v>
      </c>
      <c r="Y91" s="5">
        <f t="shared" si="117"/>
        <v>5.951189468011394E-2</v>
      </c>
      <c r="Z91" s="5">
        <f t="shared" si="117"/>
        <v>5.3781117895725691E-2</v>
      </c>
      <c r="AA91" s="5">
        <f t="shared" si="118"/>
        <v>5.5802578923966208E-2</v>
      </c>
      <c r="AB91" s="5">
        <f t="shared" si="118"/>
        <v>6.1925061700695533E-2</v>
      </c>
      <c r="AC91" s="5">
        <f t="shared" si="119"/>
        <v>5.8438628158844763E-2</v>
      </c>
      <c r="AD91" s="5">
        <f t="shared" si="119"/>
        <v>6.8905364151766249E-2</v>
      </c>
      <c r="AE91" s="5">
        <f t="shared" si="119"/>
        <v>5.8787382220401474E-2</v>
      </c>
      <c r="AF91" s="5">
        <f t="shared" si="120"/>
        <v>5.6818181818181816E-2</v>
      </c>
      <c r="AG91" s="253">
        <f>SUM(I91:M91)/SUM(I$76:M$76)</f>
        <v>5.9871350816427513E-2</v>
      </c>
    </row>
    <row r="92" spans="1:56" ht="7.5" customHeight="1">
      <c r="A92" s="148"/>
      <c r="B92" s="171"/>
      <c r="C92" s="171"/>
      <c r="D92" s="171"/>
      <c r="E92" s="171"/>
      <c r="F92" s="171"/>
      <c r="G92" s="171"/>
      <c r="H92" s="171"/>
      <c r="I92" s="151"/>
      <c r="J92" s="151"/>
      <c r="K92" s="151"/>
      <c r="L92" s="301"/>
      <c r="M92" s="301"/>
      <c r="N92" s="301"/>
      <c r="O92" s="301"/>
      <c r="P92" s="150"/>
      <c r="Q92" s="154"/>
      <c r="R92" s="2"/>
      <c r="S92" s="18"/>
      <c r="T92" s="18"/>
      <c r="U92" s="18"/>
      <c r="V92" s="18"/>
      <c r="W92" s="18"/>
      <c r="X92" s="5"/>
      <c r="Y92" s="5"/>
      <c r="Z92" s="5"/>
      <c r="AA92" s="5"/>
      <c r="AB92" s="5"/>
      <c r="AC92" s="5"/>
      <c r="AD92" s="5"/>
      <c r="AE92" s="5"/>
      <c r="AF92" s="5"/>
      <c r="AG92" s="55"/>
    </row>
    <row r="93" spans="1:56">
      <c r="A93" s="183" t="s">
        <v>12</v>
      </c>
      <c r="B93" s="222">
        <f t="shared" ref="B93:G93" si="125">B85-B91</f>
        <v>412.09999999999997</v>
      </c>
      <c r="C93" s="222">
        <f t="shared" si="125"/>
        <v>92.199999999999989</v>
      </c>
      <c r="D93" s="222">
        <f t="shared" si="125"/>
        <v>469.49999999999994</v>
      </c>
      <c r="E93" s="222">
        <f t="shared" si="125"/>
        <v>239.19999999999962</v>
      </c>
      <c r="F93" s="222">
        <f t="shared" si="125"/>
        <v>393.49999999999966</v>
      </c>
      <c r="G93" s="222">
        <f t="shared" si="125"/>
        <v>420.20000000000016</v>
      </c>
      <c r="H93" s="222">
        <f t="shared" ref="H93:O93" si="126">H85-H91</f>
        <v>560.09999999999957</v>
      </c>
      <c r="I93" s="211">
        <f t="shared" si="126"/>
        <v>665</v>
      </c>
      <c r="J93" s="211">
        <f t="shared" si="126"/>
        <v>703</v>
      </c>
      <c r="K93" s="211">
        <f t="shared" si="126"/>
        <v>784</v>
      </c>
      <c r="L93" s="211">
        <f t="shared" si="126"/>
        <v>777</v>
      </c>
      <c r="M93" s="211">
        <f t="shared" ref="M93:N93" si="127">M85-M91</f>
        <v>768</v>
      </c>
      <c r="N93" s="211">
        <f t="shared" si="127"/>
        <v>734</v>
      </c>
      <c r="O93" s="211">
        <f t="shared" si="126"/>
        <v>227</v>
      </c>
      <c r="P93" s="184">
        <f>RATE(5,,-I93,N93)</f>
        <v>1.9940607430686284E-2</v>
      </c>
      <c r="Q93" s="157"/>
      <c r="R93" s="192" t="str">
        <f t="shared" si="104"/>
        <v>Earnings Before Taxes</v>
      </c>
      <c r="S93" s="199">
        <f t="shared" ref="S93:AE93" si="128">B93/B$76</f>
        <v>0.10336351551330607</v>
      </c>
      <c r="T93" s="199">
        <f t="shared" si="128"/>
        <v>1.8236841584745929E-2</v>
      </c>
      <c r="U93" s="199">
        <f t="shared" si="128"/>
        <v>0.13999463279363092</v>
      </c>
      <c r="V93" s="199">
        <f t="shared" si="128"/>
        <v>7.760186867376058E-2</v>
      </c>
      <c r="W93" s="199">
        <f t="shared" si="128"/>
        <v>0.12318046642667073</v>
      </c>
      <c r="X93" s="199">
        <f t="shared" si="128"/>
        <v>0.13782471792180534</v>
      </c>
      <c r="Y93" s="199">
        <f t="shared" si="128"/>
        <v>0.14373700823773952</v>
      </c>
      <c r="Z93" s="199">
        <f t="shared" si="128"/>
        <v>0.156176608736496</v>
      </c>
      <c r="AA93" s="199">
        <f t="shared" si="128"/>
        <v>0.15629168519341929</v>
      </c>
      <c r="AB93" s="199">
        <f t="shared" si="128"/>
        <v>0.17590307381646847</v>
      </c>
      <c r="AC93" s="199">
        <f t="shared" si="128"/>
        <v>0.17531588447653429</v>
      </c>
      <c r="AD93" s="199">
        <f t="shared" si="128"/>
        <v>0.16746620148277366</v>
      </c>
      <c r="AE93" s="199">
        <f t="shared" si="128"/>
        <v>0.15034821794346578</v>
      </c>
      <c r="AF93" s="199">
        <f t="shared" ref="AF93" si="129">O93/O$76</f>
        <v>0.18425324675324675</v>
      </c>
      <c r="AG93" s="199">
        <f>SUM(I93:N93)/SUM(I$76:N$76)</f>
        <v>0.16342713827315311</v>
      </c>
    </row>
    <row r="94" spans="1:56" ht="7.5" customHeight="1">
      <c r="A94" s="148"/>
      <c r="B94" s="171"/>
      <c r="C94" s="171"/>
      <c r="D94" s="171"/>
      <c r="E94" s="171"/>
      <c r="F94" s="171"/>
      <c r="G94" s="171"/>
      <c r="H94" s="171"/>
      <c r="I94" s="151"/>
      <c r="J94" s="151"/>
      <c r="K94" s="151"/>
      <c r="L94" s="151"/>
      <c r="M94" s="151"/>
      <c r="N94" s="151"/>
      <c r="O94" s="151"/>
      <c r="P94" s="150"/>
      <c r="Q94" s="157"/>
      <c r="R94" s="2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5"/>
    </row>
    <row r="95" spans="1:56">
      <c r="A95" s="148" t="s">
        <v>43</v>
      </c>
      <c r="B95" s="165">
        <f>195.5+-1.1</f>
        <v>194.4</v>
      </c>
      <c r="C95" s="165">
        <v>0</v>
      </c>
      <c r="D95" s="165">
        <f>-146.7+112.8</f>
        <v>-33.899999999999991</v>
      </c>
      <c r="E95" s="165">
        <v>1.9</v>
      </c>
      <c r="F95" s="165">
        <v>0.9</v>
      </c>
      <c r="G95" s="165">
        <v>0</v>
      </c>
      <c r="H95" s="165">
        <v>0</v>
      </c>
      <c r="I95" s="148">
        <v>0</v>
      </c>
      <c r="J95" s="148">
        <v>0</v>
      </c>
      <c r="K95" s="148">
        <v>0</v>
      </c>
      <c r="L95" s="148">
        <v>0</v>
      </c>
      <c r="M95" s="148">
        <v>0</v>
      </c>
      <c r="N95" s="148">
        <v>0</v>
      </c>
      <c r="O95" s="148">
        <v>0</v>
      </c>
      <c r="P95" s="150"/>
      <c r="Q95" s="154"/>
      <c r="R95" s="2" t="str">
        <f t="shared" si="104"/>
        <v>Extraordinary Items</v>
      </c>
      <c r="S95" s="5">
        <f t="shared" ref="S95:W97" si="130">B95/B$76</f>
        <v>4.8759687978128373E-2</v>
      </c>
      <c r="T95" s="5">
        <f t="shared" si="130"/>
        <v>0</v>
      </c>
      <c r="U95" s="5">
        <f t="shared" si="130"/>
        <v>-1.0108238661776544E-2</v>
      </c>
      <c r="V95" s="5">
        <f t="shared" si="130"/>
        <v>6.16402803010641E-4</v>
      </c>
      <c r="W95" s="5">
        <f t="shared" si="130"/>
        <v>2.8173423070903115E-4</v>
      </c>
      <c r="X95" s="5">
        <f t="shared" ref="X95:Z97" si="131">G95/G$76</f>
        <v>0</v>
      </c>
      <c r="Y95" s="5">
        <f t="shared" si="131"/>
        <v>0</v>
      </c>
      <c r="Z95" s="5">
        <f t="shared" si="131"/>
        <v>0</v>
      </c>
      <c r="AA95" s="5">
        <f t="shared" ref="AA95:AB97" si="132">J95/J$76</f>
        <v>0</v>
      </c>
      <c r="AB95" s="5">
        <f t="shared" si="132"/>
        <v>0</v>
      </c>
      <c r="AC95" s="5">
        <f t="shared" ref="AC95:AE97" si="133">L95/L$76</f>
        <v>0</v>
      </c>
      <c r="AD95" s="5">
        <f t="shared" si="133"/>
        <v>0</v>
      </c>
      <c r="AE95" s="5">
        <f t="shared" si="133"/>
        <v>0</v>
      </c>
      <c r="AF95" s="5">
        <f t="shared" ref="AF95:AF97" si="134">O95/O$76</f>
        <v>0</v>
      </c>
      <c r="AG95" s="55">
        <f t="shared" ref="AG95:AG96" si="135">SUM(I95:N95)/SUM(I$37:N$37)</f>
        <v>0</v>
      </c>
    </row>
    <row r="96" spans="1:56">
      <c r="A96" s="148" t="s">
        <v>15</v>
      </c>
      <c r="B96" s="163">
        <v>134</v>
      </c>
      <c r="C96" s="163">
        <v>180.4</v>
      </c>
      <c r="D96" s="163">
        <v>176.1</v>
      </c>
      <c r="E96" s="163">
        <v>97.2</v>
      </c>
      <c r="F96" s="163">
        <v>144.5</v>
      </c>
      <c r="G96" s="163">
        <v>168.5</v>
      </c>
      <c r="H96" s="164">
        <v>199.4</v>
      </c>
      <c r="I96" s="153">
        <v>220</v>
      </c>
      <c r="J96" s="151">
        <v>238</v>
      </c>
      <c r="K96" s="151">
        <v>234</v>
      </c>
      <c r="L96" s="151">
        <v>211</v>
      </c>
      <c r="M96" s="151">
        <v>213</v>
      </c>
      <c r="N96" s="151">
        <v>197</v>
      </c>
      <c r="O96" s="151">
        <v>67</v>
      </c>
      <c r="P96" s="150">
        <f>RATE(4,,-I96,M96)</f>
        <v>-8.0512587513920254E-3</v>
      </c>
      <c r="Q96" s="154"/>
      <c r="R96" s="2" t="str">
        <f t="shared" si="104"/>
        <v>Income Taxes</v>
      </c>
      <c r="S96" s="6">
        <f t="shared" si="130"/>
        <v>3.3610072989039105E-2</v>
      </c>
      <c r="T96" s="6">
        <f t="shared" si="130"/>
        <v>3.5682496983602666E-2</v>
      </c>
      <c r="U96" s="6">
        <f t="shared" si="130"/>
        <v>5.2509168977547191E-2</v>
      </c>
      <c r="V96" s="6">
        <f t="shared" si="130"/>
        <v>3.1533869711912799E-2</v>
      </c>
      <c r="W96" s="18">
        <f t="shared" si="130"/>
        <v>4.5233995930505554E-2</v>
      </c>
      <c r="X96" s="5">
        <f t="shared" si="131"/>
        <v>5.5267646287063758E-2</v>
      </c>
      <c r="Y96" s="5">
        <f t="shared" si="131"/>
        <v>5.1171504093207074E-2</v>
      </c>
      <c r="Z96" s="5">
        <f t="shared" si="131"/>
        <v>5.1667449506810709E-2</v>
      </c>
      <c r="AA96" s="5">
        <f t="shared" si="132"/>
        <v>5.2912405513561585E-2</v>
      </c>
      <c r="AB96" s="5">
        <f t="shared" si="132"/>
        <v>5.2501682746241868E-2</v>
      </c>
      <c r="AC96" s="5">
        <f t="shared" si="133"/>
        <v>4.7608303249097469E-2</v>
      </c>
      <c r="AD96" s="5">
        <f t="shared" si="133"/>
        <v>4.6445704317488005E-2</v>
      </c>
      <c r="AE96" s="5">
        <f t="shared" si="133"/>
        <v>4.0352314625153624E-2</v>
      </c>
      <c r="AF96" s="5">
        <f t="shared" si="134"/>
        <v>5.438311688311688E-2</v>
      </c>
      <c r="AG96" s="55">
        <f t="shared" si="135"/>
        <v>1.1515523592352219E-2</v>
      </c>
      <c r="AI96" s="55">
        <f>AC96/AC93</f>
        <v>0.27155727155727155</v>
      </c>
    </row>
    <row r="97" spans="1:33" ht="13.5" thickBot="1">
      <c r="A97" s="183" t="s">
        <v>17</v>
      </c>
      <c r="B97" s="223">
        <f t="shared" ref="B97:L97" si="136">B93-B95-B96</f>
        <v>83.69999999999996</v>
      </c>
      <c r="C97" s="223">
        <f t="shared" si="136"/>
        <v>-88.200000000000017</v>
      </c>
      <c r="D97" s="223">
        <f t="shared" si="136"/>
        <v>327.29999999999995</v>
      </c>
      <c r="E97" s="223">
        <f t="shared" si="136"/>
        <v>140.09999999999962</v>
      </c>
      <c r="F97" s="223">
        <f t="shared" si="136"/>
        <v>248.09999999999968</v>
      </c>
      <c r="G97" s="223">
        <f t="shared" si="136"/>
        <v>251.70000000000016</v>
      </c>
      <c r="H97" s="224">
        <f t="shared" si="136"/>
        <v>360.69999999999959</v>
      </c>
      <c r="I97" s="209">
        <f t="shared" si="136"/>
        <v>445</v>
      </c>
      <c r="J97" s="209">
        <f t="shared" si="136"/>
        <v>465</v>
      </c>
      <c r="K97" s="209">
        <f t="shared" si="136"/>
        <v>550</v>
      </c>
      <c r="L97" s="209">
        <f t="shared" si="136"/>
        <v>566</v>
      </c>
      <c r="M97" s="209">
        <f t="shared" ref="M97:N97" si="137">M93-M95-M96</f>
        <v>555</v>
      </c>
      <c r="N97" s="209">
        <f t="shared" si="137"/>
        <v>537</v>
      </c>
      <c r="O97" s="209">
        <f>O93-O95-O96</f>
        <v>160</v>
      </c>
      <c r="P97" s="210">
        <f>RATE(5,,-I97,N97)</f>
        <v>3.8300002223517322E-2</v>
      </c>
      <c r="Q97" s="172"/>
      <c r="R97" s="2" t="str">
        <f t="shared" si="104"/>
        <v>Net Income</v>
      </c>
      <c r="S97" s="7">
        <f t="shared" si="130"/>
        <v>2.0993754546138593E-2</v>
      </c>
      <c r="T97" s="7">
        <f t="shared" si="130"/>
        <v>-1.744565539885674E-2</v>
      </c>
      <c r="U97" s="7">
        <f t="shared" si="130"/>
        <v>9.759370247786027E-2</v>
      </c>
      <c r="V97" s="7">
        <f t="shared" si="130"/>
        <v>4.5451596158837149E-2</v>
      </c>
      <c r="W97" s="204">
        <f t="shared" si="130"/>
        <v>7.7664736265456155E-2</v>
      </c>
      <c r="X97" s="204">
        <f t="shared" si="131"/>
        <v>8.2557071634741588E-2</v>
      </c>
      <c r="Y97" s="204">
        <f t="shared" si="131"/>
        <v>9.2565504144532448E-2</v>
      </c>
      <c r="Z97" s="204">
        <f t="shared" si="131"/>
        <v>0.1045091592296853</v>
      </c>
      <c r="AA97" s="204">
        <f t="shared" si="132"/>
        <v>0.10337927967985772</v>
      </c>
      <c r="AB97" s="204">
        <f t="shared" si="132"/>
        <v>0.12340139107022662</v>
      </c>
      <c r="AC97" s="204">
        <f t="shared" si="133"/>
        <v>0.12770758122743683</v>
      </c>
      <c r="AD97" s="204">
        <f t="shared" si="133"/>
        <v>0.12102049716528565</v>
      </c>
      <c r="AE97" s="204">
        <f t="shared" si="133"/>
        <v>0.10999590331831216</v>
      </c>
      <c r="AF97" s="204">
        <f t="shared" si="134"/>
        <v>0.12987012987012986</v>
      </c>
      <c r="AG97" s="204">
        <f>SUM(I97:N97)/SUM(I$76:N$76)</f>
        <v>0.11500018441338103</v>
      </c>
    </row>
    <row r="98" spans="1:33" ht="13.5" thickTop="1">
      <c r="A98" s="183"/>
      <c r="B98" s="220"/>
      <c r="C98" s="220"/>
      <c r="D98" s="220"/>
      <c r="E98" s="220"/>
      <c r="F98" s="220"/>
      <c r="G98" s="220"/>
      <c r="H98" s="220"/>
      <c r="I98" s="183"/>
      <c r="J98" s="183"/>
      <c r="K98" s="183"/>
      <c r="L98" s="183"/>
      <c r="M98" s="183"/>
      <c r="N98" s="183"/>
      <c r="O98" s="183"/>
      <c r="P98" s="160"/>
      <c r="Q98" s="140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5"/>
      <c r="AG98" s="252"/>
    </row>
    <row r="99" spans="1:33">
      <c r="A99" s="148" t="s">
        <v>46</v>
      </c>
      <c r="B99" s="165">
        <v>18.899999999999999</v>
      </c>
      <c r="C99" s="165">
        <v>17.899999999999999</v>
      </c>
      <c r="D99" s="165">
        <v>12.7</v>
      </c>
      <c r="E99" s="165">
        <v>7.3</v>
      </c>
      <c r="F99" s="165">
        <v>3.3</v>
      </c>
      <c r="G99" s="165">
        <v>2.1</v>
      </c>
      <c r="H99" s="165">
        <v>2.1</v>
      </c>
      <c r="I99" s="148">
        <v>2</v>
      </c>
      <c r="J99" s="148">
        <v>2</v>
      </c>
      <c r="K99" s="148">
        <v>2</v>
      </c>
      <c r="L99" s="148">
        <v>2</v>
      </c>
      <c r="M99" s="148">
        <v>2</v>
      </c>
      <c r="N99" s="148">
        <v>2</v>
      </c>
      <c r="O99" s="148">
        <v>1</v>
      </c>
      <c r="P99" s="150">
        <f t="shared" ref="P99" si="138">RATE(5,,-I99,N99)</f>
        <v>8.8113899357329076E-17</v>
      </c>
      <c r="Q99" s="140"/>
      <c r="R99" s="2" t="str">
        <f t="shared" si="104"/>
        <v>Preferred Stock Dividends</v>
      </c>
      <c r="S99" s="5">
        <f t="shared" ref="S99:V100" si="139">B99/B$97</f>
        <v>0.2258064516129033</v>
      </c>
      <c r="T99" s="5">
        <f t="shared" si="139"/>
        <v>-0.20294784580498862</v>
      </c>
      <c r="U99" s="5">
        <f t="shared" si="139"/>
        <v>3.8802322028719832E-2</v>
      </c>
      <c r="V99" s="5">
        <f t="shared" si="139"/>
        <v>5.2105638829407705E-2</v>
      </c>
      <c r="W99" s="5">
        <f t="shared" ref="W99:AE100" si="140">F99/F$76</f>
        <v>1.0330255125997809E-3</v>
      </c>
      <c r="X99" s="5">
        <f t="shared" si="140"/>
        <v>6.887955917082131E-4</v>
      </c>
      <c r="Y99" s="5">
        <f t="shared" si="140"/>
        <v>5.3891754561552084E-4</v>
      </c>
      <c r="Z99" s="5">
        <f t="shared" si="140"/>
        <v>4.6970408642555192E-4</v>
      </c>
      <c r="AA99" s="5">
        <f t="shared" si="140"/>
        <v>4.4464206313917296E-4</v>
      </c>
      <c r="AB99" s="5">
        <f t="shared" si="140"/>
        <v>4.4873233116446041E-4</v>
      </c>
      <c r="AC99" s="5">
        <f t="shared" si="140"/>
        <v>4.512635379061372E-4</v>
      </c>
      <c r="AD99" s="5">
        <f t="shared" si="140"/>
        <v>4.3610989969472308E-4</v>
      </c>
      <c r="AE99" s="5">
        <f t="shared" si="140"/>
        <v>4.0966816878328555E-4</v>
      </c>
      <c r="AF99" s="5">
        <f t="shared" ref="AF99:AF100" si="141">O99/O$76</f>
        <v>8.1168831168831174E-4</v>
      </c>
      <c r="AG99" s="55">
        <f t="shared" ref="AG99:AG100" si="142">SUM(I99:N99)/SUM(I$37:N$37)</f>
        <v>1.0524469391334853E-4</v>
      </c>
    </row>
    <row r="100" spans="1:33">
      <c r="A100" s="148" t="s">
        <v>47</v>
      </c>
      <c r="B100" s="165">
        <f>269.5-B99</f>
        <v>250.6</v>
      </c>
      <c r="C100" s="165">
        <f>347.7-C99</f>
        <v>329.8</v>
      </c>
      <c r="D100" s="165">
        <f>310.3-D99</f>
        <v>297.60000000000002</v>
      </c>
      <c r="E100" s="165">
        <f>7.3-E99</f>
        <v>0</v>
      </c>
      <c r="F100" s="165">
        <v>160.6</v>
      </c>
      <c r="G100" s="165">
        <f>195.4-G99</f>
        <v>193.3</v>
      </c>
      <c r="H100" s="165">
        <v>175</v>
      </c>
      <c r="I100" s="148">
        <v>0</v>
      </c>
      <c r="J100" s="148">
        <v>0</v>
      </c>
      <c r="K100" s="148">
        <v>0</v>
      </c>
      <c r="L100" s="148">
        <v>0</v>
      </c>
      <c r="M100" s="148">
        <v>550</v>
      </c>
      <c r="N100" s="148">
        <v>200</v>
      </c>
      <c r="O100" s="148">
        <v>150</v>
      </c>
      <c r="P100" s="150"/>
      <c r="Q100" s="140"/>
      <c r="R100" s="2" t="str">
        <f t="shared" si="104"/>
        <v>Common Stock Dividends</v>
      </c>
      <c r="S100" s="5">
        <f t="shared" si="139"/>
        <v>2.9940262843488665</v>
      </c>
      <c r="T100" s="5">
        <f t="shared" si="139"/>
        <v>-3.73922902494331</v>
      </c>
      <c r="U100" s="5">
        <f t="shared" si="139"/>
        <v>0.90925756186984441</v>
      </c>
      <c r="V100" s="5">
        <f t="shared" si="139"/>
        <v>0</v>
      </c>
      <c r="W100" s="5">
        <f t="shared" si="140"/>
        <v>5.0273908279855999E-2</v>
      </c>
      <c r="X100" s="5">
        <f t="shared" si="140"/>
        <v>6.3401994227236941E-2</v>
      </c>
      <c r="Y100" s="5">
        <f t="shared" si="140"/>
        <v>4.4909795467960069E-2</v>
      </c>
      <c r="Z100" s="5">
        <f t="shared" si="140"/>
        <v>0</v>
      </c>
      <c r="AA100" s="5">
        <f t="shared" si="140"/>
        <v>0</v>
      </c>
      <c r="AB100" s="5">
        <f t="shared" si="140"/>
        <v>0</v>
      </c>
      <c r="AC100" s="5">
        <f t="shared" si="140"/>
        <v>0</v>
      </c>
      <c r="AD100" s="5">
        <f t="shared" si="140"/>
        <v>0.11993022241604885</v>
      </c>
      <c r="AE100" s="5">
        <f t="shared" si="140"/>
        <v>4.0966816878328552E-2</v>
      </c>
      <c r="AF100" s="5">
        <f t="shared" si="141"/>
        <v>0.12175324675324675</v>
      </c>
      <c r="AG100" s="55">
        <f t="shared" si="142"/>
        <v>6.5777933695842835E-3</v>
      </c>
    </row>
    <row r="101" spans="1:33">
      <c r="A101" s="149" t="s">
        <v>153</v>
      </c>
      <c r="B101" s="165" t="s">
        <v>155</v>
      </c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48"/>
      <c r="P101" s="150"/>
      <c r="Q101" s="140"/>
      <c r="R101" s="14" t="str">
        <f t="shared" si="104"/>
        <v>*</v>
      </c>
      <c r="S101" s="173" t="s">
        <v>154</v>
      </c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>
      <c r="A102" s="148"/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50"/>
      <c r="Q102" s="140"/>
      <c r="R102" s="2"/>
      <c r="S102" s="140"/>
      <c r="T102" s="140"/>
      <c r="U102" s="140"/>
      <c r="V102" s="140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</row>
    <row r="103" spans="1:33">
      <c r="A103" s="148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50"/>
      <c r="Q103" s="140"/>
      <c r="R103" s="2"/>
      <c r="T103" s="140"/>
      <c r="U103" s="140"/>
      <c r="V103" s="140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</row>
    <row r="104" spans="1:33">
      <c r="A104" s="148"/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214" t="s">
        <v>115</v>
      </c>
      <c r="Q104" s="140"/>
      <c r="R104" s="2"/>
      <c r="S104" s="140"/>
      <c r="T104" s="140"/>
      <c r="U104" s="140"/>
      <c r="V104" s="140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</row>
    <row r="105" spans="1:33">
      <c r="A105" s="148"/>
      <c r="B105" s="148"/>
      <c r="C105" s="148"/>
      <c r="D105" s="148"/>
      <c r="E105" s="14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61" t="s">
        <v>119</v>
      </c>
      <c r="Q105" s="140"/>
      <c r="R105" s="2"/>
      <c r="S105" s="140"/>
      <c r="T105" s="140"/>
      <c r="U105" s="140"/>
      <c r="V105" s="140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</row>
    <row r="106" spans="1:33" ht="18.75">
      <c r="A106" s="142" t="str">
        <f>A4</f>
        <v>PacifiCorp</v>
      </c>
      <c r="B106" s="143"/>
      <c r="C106" s="143"/>
      <c r="D106" s="143"/>
      <c r="E106" s="143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3"/>
      <c r="Q106" s="140"/>
      <c r="R106" s="2"/>
      <c r="S106" s="140"/>
      <c r="T106" s="140"/>
      <c r="U106" s="140"/>
      <c r="V106" s="140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</row>
    <row r="107" spans="1:33" ht="15.75">
      <c r="A107" s="145" t="s">
        <v>41</v>
      </c>
      <c r="B107" s="146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7"/>
      <c r="Q107" s="140"/>
      <c r="R107" s="2"/>
      <c r="S107" s="140"/>
      <c r="T107" s="140"/>
      <c r="U107" s="140"/>
      <c r="V107" s="140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</row>
    <row r="108" spans="1:33" ht="14.25">
      <c r="A108" s="245" t="str">
        <f>A6</f>
        <v>Fiscal Years Ended December 31, 2007-2012, Three Months Ended March 31, 2013</v>
      </c>
      <c r="B108" s="146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7"/>
      <c r="Q108" s="140"/>
      <c r="R108" s="2"/>
      <c r="S108" s="140"/>
      <c r="T108" s="140"/>
      <c r="U108" s="140"/>
      <c r="V108" s="140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</row>
    <row r="109" spans="1:33">
      <c r="A109" s="148"/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50"/>
      <c r="Q109" s="140"/>
      <c r="R109" s="2"/>
      <c r="S109" s="140"/>
      <c r="T109" s="140"/>
      <c r="U109" s="140"/>
      <c r="V109" s="140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</row>
    <row r="110" spans="1:33">
      <c r="A110" s="183"/>
      <c r="B110" s="183"/>
      <c r="C110" s="183"/>
      <c r="D110" s="183"/>
      <c r="E110" s="183"/>
      <c r="F110" s="183"/>
      <c r="G110" s="183"/>
      <c r="H110" s="189"/>
      <c r="I110" s="189"/>
      <c r="J110" s="189"/>
      <c r="K110" s="189"/>
      <c r="L110" s="189"/>
      <c r="M110" s="189"/>
      <c r="N110" s="189"/>
      <c r="O110" s="189" t="str">
        <f>O72</f>
        <v>March</v>
      </c>
      <c r="P110" s="188" t="str">
        <f>P7</f>
        <v>2007-2012</v>
      </c>
      <c r="Q110" s="140"/>
      <c r="R110" s="2"/>
      <c r="S110" s="140"/>
      <c r="T110" s="140"/>
      <c r="U110" s="140"/>
      <c r="V110" s="140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</row>
    <row r="111" spans="1:33">
      <c r="A111" s="206" t="s">
        <v>26</v>
      </c>
      <c r="B111" s="186">
        <f t="shared" ref="B111:H111" si="143">S9</f>
        <v>2000</v>
      </c>
      <c r="C111" s="186">
        <f t="shared" si="143"/>
        <v>2001</v>
      </c>
      <c r="D111" s="186">
        <f t="shared" si="143"/>
        <v>2002</v>
      </c>
      <c r="E111" s="186">
        <f t="shared" si="143"/>
        <v>2003</v>
      </c>
      <c r="F111" s="186">
        <f t="shared" si="143"/>
        <v>2004</v>
      </c>
      <c r="G111" s="186">
        <f t="shared" si="143"/>
        <v>2005</v>
      </c>
      <c r="H111" s="186">
        <f t="shared" si="143"/>
        <v>2006</v>
      </c>
      <c r="I111" s="186">
        <f>Z73</f>
        <v>2007</v>
      </c>
      <c r="J111" s="186">
        <f t="shared" ref="J111:N111" si="144">AA73</f>
        <v>2008</v>
      </c>
      <c r="K111" s="186">
        <f t="shared" si="144"/>
        <v>2009</v>
      </c>
      <c r="L111" s="186">
        <f t="shared" si="144"/>
        <v>2010</v>
      </c>
      <c r="M111" s="186">
        <f t="shared" si="144"/>
        <v>2011</v>
      </c>
      <c r="N111" s="186">
        <f t="shared" si="144"/>
        <v>2012</v>
      </c>
      <c r="O111" s="186">
        <f>O73</f>
        <v>2013</v>
      </c>
      <c r="P111" s="191" t="s">
        <v>3</v>
      </c>
      <c r="Q111" s="140"/>
      <c r="R111" s="2"/>
      <c r="S111" s="140"/>
      <c r="T111" s="140"/>
      <c r="U111" s="140"/>
      <c r="V111" s="140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</row>
    <row r="112" spans="1:33" ht="7.5" customHeight="1">
      <c r="A112" s="151"/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6"/>
      <c r="Q112" s="140"/>
      <c r="R112" s="2"/>
      <c r="S112" s="140"/>
      <c r="T112" s="140"/>
      <c r="U112" s="140"/>
      <c r="V112" s="140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</row>
    <row r="113" spans="1:33" ht="12.75" customHeight="1">
      <c r="A113" s="185" t="s">
        <v>29</v>
      </c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50"/>
      <c r="Q113" s="140"/>
      <c r="R113" s="2"/>
      <c r="S113" s="140"/>
      <c r="T113" s="140"/>
      <c r="U113" s="140"/>
      <c r="V113" s="140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174"/>
    </row>
    <row r="114" spans="1:33" ht="12.75" customHeight="1">
      <c r="A114" s="148" t="s">
        <v>7</v>
      </c>
      <c r="B114" s="177">
        <f t="shared" ref="B114:L114" si="145">B16/B47</f>
        <v>0.87684729064039402</v>
      </c>
      <c r="C114" s="177">
        <f t="shared" si="145"/>
        <v>0.84773919560329747</v>
      </c>
      <c r="D114" s="177">
        <f t="shared" si="145"/>
        <v>0.62470211192374059</v>
      </c>
      <c r="E114" s="177">
        <f t="shared" si="145"/>
        <v>0.90747863247863247</v>
      </c>
      <c r="F114" s="177">
        <f t="shared" si="145"/>
        <v>0.70408638183002892</v>
      </c>
      <c r="G114" s="177">
        <f t="shared" si="145"/>
        <v>0.76003004318708134</v>
      </c>
      <c r="H114" s="177">
        <f t="shared" si="145"/>
        <v>0.83488199983553968</v>
      </c>
      <c r="I114" s="177">
        <f t="shared" si="145"/>
        <v>1.1241431835491242</v>
      </c>
      <c r="J114" s="177">
        <f t="shared" si="145"/>
        <v>0.93860845839017737</v>
      </c>
      <c r="K114" s="177">
        <f t="shared" si="145"/>
        <v>1.5518262586377098</v>
      </c>
      <c r="L114" s="177">
        <f t="shared" si="145"/>
        <v>1.0851472471190782</v>
      </c>
      <c r="M114" s="177">
        <f t="shared" ref="M114:N114" si="146">M16/M47</f>
        <v>0.81753031973539136</v>
      </c>
      <c r="N114" s="177">
        <f t="shared" si="146"/>
        <v>1.1433021806853583</v>
      </c>
      <c r="O114" s="177">
        <f>O16/O47</f>
        <v>1.1124307205067301</v>
      </c>
      <c r="P114" s="177">
        <f>AVERAGE(I114:N114)</f>
        <v>1.1100929413528067</v>
      </c>
      <c r="Q114" s="140"/>
      <c r="R114" s="2"/>
      <c r="S114" s="140"/>
      <c r="T114" s="140"/>
      <c r="U114" s="140"/>
      <c r="V114" s="140"/>
      <c r="W114" s="174"/>
      <c r="X114" s="174"/>
      <c r="Y114" s="174"/>
      <c r="Z114" s="174"/>
      <c r="AA114" s="174"/>
      <c r="AB114" s="174"/>
      <c r="AC114" s="174"/>
      <c r="AD114" s="174"/>
      <c r="AE114" s="174"/>
      <c r="AF114" s="174"/>
      <c r="AG114" s="174"/>
    </row>
    <row r="115" spans="1:33" ht="12.75" customHeight="1">
      <c r="A115" s="148" t="s">
        <v>25</v>
      </c>
      <c r="B115" s="177">
        <f t="shared" ref="B115:L115" si="147">(B12+B13)/B47</f>
        <v>0.65298303229337706</v>
      </c>
      <c r="C115" s="177">
        <f t="shared" si="147"/>
        <v>0.44116912315763174</v>
      </c>
      <c r="D115" s="177">
        <f t="shared" si="147"/>
        <v>0.33445640562083984</v>
      </c>
      <c r="E115" s="177">
        <f t="shared" si="147"/>
        <v>0.43878205128205128</v>
      </c>
      <c r="F115" s="177">
        <f t="shared" si="147"/>
        <v>0.27329423810853581</v>
      </c>
      <c r="G115" s="177">
        <f t="shared" si="147"/>
        <v>0.30813043750391189</v>
      </c>
      <c r="H115" s="177">
        <f t="shared" si="147"/>
        <v>0.31773702820491728</v>
      </c>
      <c r="I115" s="177">
        <f t="shared" si="147"/>
        <v>0.61766945925361771</v>
      </c>
      <c r="J115" s="177">
        <f t="shared" si="147"/>
        <v>0.45566166439290584</v>
      </c>
      <c r="K115" s="177">
        <f t="shared" si="147"/>
        <v>0.72655478775913129</v>
      </c>
      <c r="L115" s="177">
        <f t="shared" si="147"/>
        <v>0.42189500640204863</v>
      </c>
      <c r="M115" s="177">
        <f t="shared" ref="M115:N115" si="148">(M12+M13)/M47</f>
        <v>0.38588754134509373</v>
      </c>
      <c r="N115" s="177">
        <f t="shared" si="148"/>
        <v>0.58489096573208721</v>
      </c>
      <c r="O115" s="177">
        <f>(O12+O13)/O47</f>
        <v>0.55502771179730803</v>
      </c>
      <c r="P115" s="177">
        <f t="shared" ref="P115:P124" si="149">AVERAGE(I115:N115)</f>
        <v>0.53209323748081405</v>
      </c>
      <c r="Q115" s="140"/>
      <c r="R115" s="2"/>
      <c r="S115" s="140"/>
      <c r="T115" s="140"/>
      <c r="U115" s="140"/>
      <c r="V115" s="140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74"/>
    </row>
    <row r="116" spans="1:33" ht="12.75" customHeight="1">
      <c r="A116" s="140" t="s">
        <v>209</v>
      </c>
      <c r="B116" s="177"/>
      <c r="C116" s="177"/>
      <c r="D116" s="177"/>
      <c r="E116" s="177"/>
      <c r="F116" s="177"/>
      <c r="G116" s="177"/>
      <c r="H116" s="177">
        <f t="shared" ref="H116:N116" si="150">((H76/365)/((G12+H12)/2))^-1</f>
        <v>14.935522365078143</v>
      </c>
      <c r="I116" s="177">
        <f t="shared" si="150"/>
        <v>14.898309065288869</v>
      </c>
      <c r="J116" s="177">
        <f t="shared" si="150"/>
        <v>11.644619831036016</v>
      </c>
      <c r="K116" s="177">
        <f t="shared" si="150"/>
        <v>7.2066412385012342</v>
      </c>
      <c r="L116" s="177">
        <f t="shared" si="150"/>
        <v>6.0943140794223831</v>
      </c>
      <c r="M116" s="177">
        <f t="shared" si="150"/>
        <v>3.1040122110771917</v>
      </c>
      <c r="N116" s="177">
        <f t="shared" si="150"/>
        <v>4.7475419909873002</v>
      </c>
      <c r="O116" s="177">
        <f>(((O76*(4))/365)/((M12+O12)/2))^-1</f>
        <v>6.6659902597402603</v>
      </c>
      <c r="P116" s="177">
        <f t="shared" si="149"/>
        <v>7.9492397360521645</v>
      </c>
      <c r="Q116" s="140"/>
      <c r="R116" s="2"/>
      <c r="S116" s="140"/>
      <c r="T116" s="140"/>
      <c r="U116" s="140"/>
      <c r="V116" s="140"/>
      <c r="W116" s="174"/>
      <c r="X116" s="174"/>
      <c r="Y116" s="174"/>
      <c r="Z116" s="174"/>
      <c r="AA116" s="174"/>
      <c r="AB116" s="174"/>
      <c r="AC116" s="174"/>
      <c r="AD116" s="174"/>
      <c r="AE116" s="174"/>
      <c r="AF116" s="174"/>
      <c r="AG116" s="174"/>
    </row>
    <row r="117" spans="1:33" ht="12.75" customHeight="1">
      <c r="A117" s="148" t="s">
        <v>10</v>
      </c>
      <c r="B117" s="177">
        <f>365*(B13/B76)</f>
        <v>51.414382101382024</v>
      </c>
      <c r="C117" s="177">
        <f t="shared" ref="C117:N117" si="151">365*(((B13+C13)/2)/((B76+C76)/2))</f>
        <v>45.555371242784148</v>
      </c>
      <c r="D117" s="177">
        <f t="shared" si="151"/>
        <v>35.42184935905059</v>
      </c>
      <c r="E117" s="177">
        <f t="shared" si="151"/>
        <v>28.769674181569581</v>
      </c>
      <c r="F117" s="177">
        <f t="shared" si="151"/>
        <v>28.685258646784238</v>
      </c>
      <c r="G117" s="177">
        <f t="shared" si="151"/>
        <v>30.87413707494434</v>
      </c>
      <c r="H117" s="177">
        <f t="shared" si="151"/>
        <v>29.41861637031171</v>
      </c>
      <c r="I117" s="177">
        <f t="shared" si="151"/>
        <v>38.03659239457</v>
      </c>
      <c r="J117" s="177">
        <f t="shared" si="151"/>
        <v>49.689355870260393</v>
      </c>
      <c r="K117" s="177">
        <f t="shared" si="151"/>
        <v>50.052484645449468</v>
      </c>
      <c r="L117" s="177">
        <f t="shared" si="151"/>
        <v>51.204297446281927</v>
      </c>
      <c r="M117" s="177">
        <f t="shared" si="151"/>
        <v>51.847970725216236</v>
      </c>
      <c r="N117" s="177">
        <f t="shared" si="151"/>
        <v>51.041402619349384</v>
      </c>
      <c r="O117" s="177">
        <f>365*(((M13+O13)/2)/((M76+O76*(4))/2))</f>
        <v>46.843073365566532</v>
      </c>
      <c r="P117" s="177">
        <f t="shared" si="149"/>
        <v>48.645350616854564</v>
      </c>
      <c r="Q117" s="140"/>
      <c r="R117" s="2"/>
      <c r="S117" s="140"/>
      <c r="T117" s="140"/>
      <c r="U117" s="140"/>
      <c r="V117" s="140"/>
      <c r="W117" s="174"/>
      <c r="X117" s="174"/>
      <c r="Y117" s="174"/>
      <c r="Z117" s="174"/>
      <c r="AA117" s="174"/>
      <c r="AB117" s="174"/>
      <c r="AC117" s="174"/>
      <c r="AD117" s="174"/>
      <c r="AE117" s="174"/>
      <c r="AF117" s="174"/>
      <c r="AG117" s="174"/>
    </row>
    <row r="118" spans="1:33" ht="7.5" customHeight="1">
      <c r="A118" s="148"/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40"/>
      <c r="R118" s="2"/>
      <c r="S118" s="140"/>
      <c r="T118" s="140"/>
      <c r="U118" s="140"/>
      <c r="V118" s="140"/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  <c r="AG118" s="174"/>
    </row>
    <row r="119" spans="1:33">
      <c r="A119" s="185" t="s">
        <v>16</v>
      </c>
      <c r="B119" s="177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40"/>
      <c r="R119" s="2"/>
      <c r="S119" s="140"/>
      <c r="T119" s="140"/>
      <c r="U119" s="140"/>
      <c r="V119" s="140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  <c r="AG119" s="174"/>
    </row>
    <row r="120" spans="1:33">
      <c r="A120" s="148" t="s">
        <v>20</v>
      </c>
      <c r="B120" s="177">
        <f t="shared" ref="B120:L120" si="152">B62/B55</f>
        <v>0.47265705897401533</v>
      </c>
      <c r="C120" s="177">
        <f t="shared" si="152"/>
        <v>0.47675831157406762</v>
      </c>
      <c r="D120" s="177">
        <f t="shared" si="152"/>
        <v>0.38411677978933939</v>
      </c>
      <c r="E120" s="177">
        <f t="shared" si="152"/>
        <v>0.39674102041830195</v>
      </c>
      <c r="F120" s="177">
        <f t="shared" si="152"/>
        <v>0.39498602544333078</v>
      </c>
      <c r="G120" s="177">
        <f t="shared" si="152"/>
        <v>0.36677295217152284</v>
      </c>
      <c r="H120" s="177">
        <f t="shared" si="152"/>
        <v>0.46427496469171825</v>
      </c>
      <c r="I120" s="177">
        <f t="shared" si="152"/>
        <v>0.51277093721379874</v>
      </c>
      <c r="J120" s="177">
        <f>J62/J55</f>
        <v>0.54288288288288289</v>
      </c>
      <c r="K120" s="177">
        <f>K62/K55</f>
        <v>0.54691842406408375</v>
      </c>
      <c r="L120" s="177">
        <f t="shared" si="152"/>
        <v>0.56641994546162833</v>
      </c>
      <c r="M120" s="177">
        <f t="shared" ref="M120:N120" si="153">M62/M55</f>
        <v>0.52711323763955342</v>
      </c>
      <c r="N120" s="177">
        <f t="shared" si="153"/>
        <v>0.53983243396762282</v>
      </c>
      <c r="O120" s="177">
        <f>O62/O55</f>
        <v>0.54185649202733488</v>
      </c>
      <c r="P120" s="177">
        <f t="shared" si="149"/>
        <v>0.53932297687159492</v>
      </c>
      <c r="Q120" s="140"/>
      <c r="R120" s="2"/>
      <c r="S120" s="140"/>
      <c r="T120" s="140"/>
      <c r="U120" s="140"/>
      <c r="V120" s="140"/>
      <c r="W120" s="174"/>
      <c r="X120" s="174"/>
      <c r="Y120" s="174"/>
      <c r="Z120" s="174"/>
      <c r="AA120" s="174"/>
      <c r="AB120" s="174"/>
      <c r="AC120" s="174"/>
      <c r="AD120" s="174"/>
      <c r="AE120" s="174"/>
      <c r="AF120" s="174"/>
      <c r="AG120" s="174"/>
    </row>
    <row r="121" spans="1:33">
      <c r="A121" s="148" t="s">
        <v>19</v>
      </c>
      <c r="B121" s="177">
        <f t="shared" ref="B121:L121" si="154">B62/B53</f>
        <v>0.54550439367311077</v>
      </c>
      <c r="C121" s="177">
        <f t="shared" si="154"/>
        <v>0.61404549950544018</v>
      </c>
      <c r="D121" s="177">
        <f t="shared" si="154"/>
        <v>0.45817357964447536</v>
      </c>
      <c r="E121" s="177">
        <f t="shared" si="154"/>
        <v>0.44892911349710496</v>
      </c>
      <c r="F121" s="177">
        <f t="shared" si="154"/>
        <v>0.45370511312530271</v>
      </c>
      <c r="G121" s="177">
        <f t="shared" si="154"/>
        <v>0.44493350939671616</v>
      </c>
      <c r="H121" s="177">
        <f t="shared" si="154"/>
        <v>0.54034572425593841</v>
      </c>
      <c r="I121" s="177">
        <f t="shared" si="154"/>
        <v>0.59184871975569653</v>
      </c>
      <c r="J121" s="177">
        <f>J62/J53</f>
        <v>0.62549304546398177</v>
      </c>
      <c r="K121" s="177">
        <f>K62/K53</f>
        <v>0.59629266553783089</v>
      </c>
      <c r="L121" s="177">
        <f t="shared" si="154"/>
        <v>0.64490375232857267</v>
      </c>
      <c r="M121" s="177">
        <f t="shared" ref="M121:N121" si="155">M62/M53</f>
        <v>0.60692821368948247</v>
      </c>
      <c r="N121" s="177">
        <f t="shared" si="155"/>
        <v>0.59398437500000001</v>
      </c>
      <c r="O121" s="177">
        <f>O62/O53</f>
        <v>0.59538521705123193</v>
      </c>
      <c r="P121" s="177">
        <f t="shared" si="149"/>
        <v>0.60990846196259396</v>
      </c>
      <c r="Q121" s="140"/>
      <c r="R121" s="2"/>
      <c r="S121" s="140"/>
      <c r="T121" s="140"/>
      <c r="U121" s="140"/>
      <c r="V121" s="140"/>
      <c r="W121" s="174"/>
      <c r="X121" s="174"/>
      <c r="Y121" s="174"/>
      <c r="Z121" s="174"/>
      <c r="AA121" s="174"/>
      <c r="AB121" s="174"/>
      <c r="AC121" s="174"/>
      <c r="AD121" s="174"/>
      <c r="AE121" s="174"/>
      <c r="AF121" s="174"/>
      <c r="AG121" s="174"/>
    </row>
    <row r="122" spans="1:33">
      <c r="A122" s="148" t="s">
        <v>18</v>
      </c>
      <c r="B122" s="177">
        <f t="shared" ref="B122:L122" si="156">B62/B27</f>
        <v>0.42180620332017876</v>
      </c>
      <c r="C122" s="177">
        <f t="shared" si="156"/>
        <v>0.43095331254969776</v>
      </c>
      <c r="D122" s="177">
        <f t="shared" si="156"/>
        <v>0.3628709454796411</v>
      </c>
      <c r="E122" s="177">
        <f t="shared" si="156"/>
        <v>0.36723573029832729</v>
      </c>
      <c r="F122" s="177">
        <f t="shared" si="156"/>
        <v>0.36282852874453603</v>
      </c>
      <c r="G122" s="177">
        <f t="shared" si="156"/>
        <v>0.35148462689397936</v>
      </c>
      <c r="H122" s="177">
        <f t="shared" si="156"/>
        <v>0.39671784117437586</v>
      </c>
      <c r="I122" s="177">
        <f t="shared" si="156"/>
        <v>0.42526795510169635</v>
      </c>
      <c r="J122" s="177">
        <f t="shared" si="156"/>
        <v>0.43590856481481483</v>
      </c>
      <c r="K122" s="177">
        <f t="shared" si="156"/>
        <v>0.43064941751946967</v>
      </c>
      <c r="L122" s="177">
        <f t="shared" si="156"/>
        <v>0.44350902879453391</v>
      </c>
      <c r="M122" s="177">
        <f t="shared" ref="M122:N122" si="157">M62/M27</f>
        <v>0.41849890641187981</v>
      </c>
      <c r="N122" s="177">
        <f t="shared" si="157"/>
        <v>0.42105554632552472</v>
      </c>
      <c r="O122" s="177">
        <f>O62/O27</f>
        <v>0.41976397926546816</v>
      </c>
      <c r="P122" s="177">
        <f t="shared" si="149"/>
        <v>0.42914823649465322</v>
      </c>
      <c r="Q122" s="140"/>
      <c r="R122" s="2"/>
      <c r="S122" s="140"/>
      <c r="T122" s="140"/>
      <c r="U122" s="140"/>
      <c r="V122" s="140"/>
      <c r="W122" s="174"/>
      <c r="X122" s="174"/>
      <c r="Y122" s="174"/>
      <c r="Z122" s="174"/>
      <c r="AA122" s="174"/>
      <c r="AB122" s="174"/>
      <c r="AC122" s="174"/>
      <c r="AD122" s="174"/>
      <c r="AE122" s="174"/>
      <c r="AF122" s="174"/>
      <c r="AG122" s="174"/>
    </row>
    <row r="123" spans="1:33">
      <c r="A123" s="148" t="s">
        <v>30</v>
      </c>
      <c r="B123" s="177">
        <f t="shared" ref="B123:I123" si="158">(B93+B87)/B87</f>
        <v>2.2830012453300124</v>
      </c>
      <c r="C123" s="177">
        <f t="shared" si="158"/>
        <v>1.3322522522522522</v>
      </c>
      <c r="D123" s="177">
        <f t="shared" si="158"/>
        <v>3.1263586956521738</v>
      </c>
      <c r="E123" s="177">
        <f t="shared" si="158"/>
        <v>1.9480776852952819</v>
      </c>
      <c r="F123" s="177">
        <f t="shared" si="158"/>
        <v>2.6631445477599311</v>
      </c>
      <c r="G123" s="177">
        <f t="shared" si="158"/>
        <v>2.6634996041171823</v>
      </c>
      <c r="H123" s="177">
        <f t="shared" si="158"/>
        <v>3.2630303030303018</v>
      </c>
      <c r="I123" s="177">
        <f t="shared" si="158"/>
        <v>3.3333333333333335</v>
      </c>
      <c r="J123" s="177">
        <f>(J93+J87)/J87</f>
        <v>3.2750809061488675</v>
      </c>
      <c r="K123" s="177">
        <f>(K93+K87)/K87</f>
        <v>3.1838440111420612</v>
      </c>
      <c r="L123" s="177">
        <f>((L93+L87)/L87)</f>
        <v>3.2719298245614037</v>
      </c>
      <c r="M123" s="177">
        <f>((M93+M87)/M87)</f>
        <v>3.092643051771117</v>
      </c>
      <c r="N123" s="177">
        <f>((N93+N87)/N87)</f>
        <v>3.091168091168091</v>
      </c>
      <c r="O123" s="177">
        <f>((O93+O87)/O87)</f>
        <v>3.4148936170212765</v>
      </c>
      <c r="P123" s="177">
        <f t="shared" si="149"/>
        <v>3.2079998696874785</v>
      </c>
      <c r="Q123" s="140"/>
      <c r="R123" s="2"/>
      <c r="S123" s="140"/>
      <c r="T123" s="140"/>
      <c r="U123" s="140"/>
      <c r="V123" s="140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  <c r="AG123" s="174"/>
    </row>
    <row r="124" spans="1:33">
      <c r="A124" s="148" t="s">
        <v>213</v>
      </c>
      <c r="B124" s="177"/>
      <c r="C124" s="177"/>
      <c r="D124" s="177"/>
      <c r="E124" s="177"/>
      <c r="F124" s="177"/>
      <c r="G124" s="177"/>
      <c r="H124" s="177"/>
      <c r="I124" s="177">
        <f>(I93+I87+I81)/I87</f>
        <v>5.0771929824561406</v>
      </c>
      <c r="J124" s="177">
        <f t="shared" ref="J124:O124" si="159">(J93+J87+J81)/J87</f>
        <v>4.8608414239482203</v>
      </c>
      <c r="K124" s="177">
        <f t="shared" si="159"/>
        <v>4.7130919220055709</v>
      </c>
      <c r="L124" s="177">
        <f t="shared" si="159"/>
        <v>4.9122807017543861</v>
      </c>
      <c r="M124" s="177">
        <f t="shared" si="159"/>
        <v>4.7574931880108995</v>
      </c>
      <c r="N124" s="177">
        <f t="shared" ref="N124" si="160">(N93+N87+N81)/N87</f>
        <v>4.9145299145299148</v>
      </c>
      <c r="O124" s="177">
        <f t="shared" si="159"/>
        <v>5.2021276595744679</v>
      </c>
      <c r="P124" s="177">
        <f t="shared" si="149"/>
        <v>4.8725716887841886</v>
      </c>
      <c r="Q124" s="140"/>
      <c r="R124" s="2"/>
      <c r="S124" s="140"/>
      <c r="T124" s="140"/>
      <c r="U124" s="140"/>
      <c r="V124" s="140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174"/>
      <c r="AG124" s="174"/>
    </row>
    <row r="125" spans="1:33">
      <c r="A125" s="148"/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40"/>
      <c r="R125" s="2"/>
      <c r="S125" s="140"/>
      <c r="T125" s="140"/>
      <c r="U125" s="140"/>
      <c r="V125" s="140"/>
      <c r="W125" s="174"/>
      <c r="X125" s="174"/>
      <c r="Y125" s="174"/>
      <c r="Z125" s="174"/>
      <c r="AA125" s="174"/>
      <c r="AB125" s="174"/>
      <c r="AC125" s="174"/>
      <c r="AD125" s="174"/>
      <c r="AE125" s="174"/>
      <c r="AF125" s="174"/>
      <c r="AG125" s="174"/>
    </row>
    <row r="126" spans="1:33">
      <c r="A126" s="185" t="s">
        <v>66</v>
      </c>
      <c r="B126" s="177"/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40"/>
      <c r="R126" s="2"/>
      <c r="S126" s="140"/>
      <c r="T126" s="140"/>
      <c r="U126" s="140"/>
      <c r="V126" s="140"/>
      <c r="W126" s="174"/>
      <c r="X126" s="174"/>
      <c r="Y126" s="174"/>
      <c r="Z126" s="174"/>
      <c r="AA126" s="174"/>
      <c r="AB126" s="174"/>
      <c r="AC126" s="174"/>
      <c r="AD126" s="174"/>
      <c r="AE126" s="174"/>
      <c r="AF126" s="174"/>
      <c r="AG126" s="174"/>
    </row>
    <row r="127" spans="1:33">
      <c r="A127" s="148" t="s">
        <v>28</v>
      </c>
      <c r="B127" s="150">
        <f>(B97+(B87*(1-(B96/B93))))/((B37)/1)</f>
        <v>2.4417305749913163E-2</v>
      </c>
      <c r="C127" s="150">
        <f t="shared" ref="C127:K127" si="161">(C97+(C87*(1-(C96/C93))))/((B37+C37)/2)</f>
        <v>-3.0177265524137634E-2</v>
      </c>
      <c r="D127" s="150">
        <f t="shared" si="161"/>
        <v>4.2276489838652002E-2</v>
      </c>
      <c r="E127" s="150">
        <f t="shared" si="161"/>
        <v>2.5683038962038707E-2</v>
      </c>
      <c r="F127" s="150">
        <f t="shared" si="161"/>
        <v>3.4040824318727507E-2</v>
      </c>
      <c r="G127" s="150">
        <f>(G97+(G87*(1-(G96/G93))))/((F37+G37)/2)</f>
        <v>3.3309159453546809E-2</v>
      </c>
      <c r="H127" s="150">
        <f t="shared" si="161"/>
        <v>4.1191504558362284E-2</v>
      </c>
      <c r="I127" s="150">
        <f t="shared" si="161"/>
        <v>4.6002415902156493E-2</v>
      </c>
      <c r="J127" s="150">
        <f t="shared" si="161"/>
        <v>4.174024666110402E-2</v>
      </c>
      <c r="K127" s="150">
        <f t="shared" si="161"/>
        <v>4.4383222527657175E-2</v>
      </c>
      <c r="L127" s="150">
        <f>((L97+(L87*(1-(L96/L93))))/((K37+L37)/2))</f>
        <v>4.1681704496185981E-2</v>
      </c>
      <c r="M127" s="150">
        <f>((M97+(M87*(1-(M96/M93))))/((L37+M37)/2))</f>
        <v>3.9766064372636481E-2</v>
      </c>
      <c r="N127" s="150">
        <f>((N97+(N87*(1-(N96/N93))))/((M37+N37)/2))</f>
        <v>3.7063747393619804E-2</v>
      </c>
      <c r="O127" s="150">
        <f>((O97+(O87*(1-(O96/O93))))/((M37+O37)/2))*(4)</f>
        <v>4.2283833318462777E-2</v>
      </c>
      <c r="P127" s="178">
        <f>AVERAGE(I127:N127)</f>
        <v>4.1772900225559989E-2</v>
      </c>
      <c r="Q127" s="140"/>
      <c r="R127" s="2"/>
      <c r="S127" s="140"/>
      <c r="T127" s="140"/>
      <c r="U127" s="140"/>
      <c r="V127" s="140"/>
      <c r="W127" s="174"/>
      <c r="X127" s="174"/>
      <c r="Y127" s="174"/>
      <c r="Z127" s="174"/>
      <c r="AA127" s="174"/>
      <c r="AB127" s="174"/>
      <c r="AC127" s="174"/>
      <c r="AD127" s="174"/>
      <c r="AE127" s="174"/>
      <c r="AF127" s="174"/>
      <c r="AG127" s="174"/>
    </row>
    <row r="128" spans="1:33">
      <c r="A128" s="148" t="s">
        <v>65</v>
      </c>
      <c r="B128" s="150">
        <f>(B97+(B87*(1-(B96/B93))))/((B49+B57+B62)/1)</f>
        <v>3.4699656878927392E-2</v>
      </c>
      <c r="C128" s="150">
        <f t="shared" ref="C128:K128" si="162">(C97+(C87*(1-(C96/C93))))/((B49+C49+B57+C57+B62+C62)/2)</f>
        <v>-4.5522655002233889E-2</v>
      </c>
      <c r="D128" s="150">
        <f t="shared" si="162"/>
        <v>6.7521766431899152E-2</v>
      </c>
      <c r="E128" s="150">
        <f t="shared" si="162"/>
        <v>4.1516238440737915E-2</v>
      </c>
      <c r="F128" s="150">
        <f t="shared" si="162"/>
        <v>5.7000693689001243E-2</v>
      </c>
      <c r="G128" s="150">
        <f>(G97+(G87*(1-(G96/G93))))/((F49+G49+F57+G57+F62+G62)/2)</f>
        <v>5.7773057933750413E-2</v>
      </c>
      <c r="H128" s="150">
        <f t="shared" si="162"/>
        <v>6.9956023364629499E-2</v>
      </c>
      <c r="I128" s="150">
        <f t="shared" si="162"/>
        <v>7.2047450936900209E-2</v>
      </c>
      <c r="J128" s="150">
        <f t="shared" si="162"/>
        <v>6.2782623870204959E-2</v>
      </c>
      <c r="K128" s="150">
        <f t="shared" si="162"/>
        <v>6.5130121414605724E-2</v>
      </c>
      <c r="L128" s="150">
        <f>((L97+(L87*(1-(L96/L93))))/((K49+L49+K57+L57+K62+L62)/2))</f>
        <v>6.2090753589839509E-2</v>
      </c>
      <c r="M128" s="150">
        <f>((M97+(M87*(1-(M96/M93))))/((L49+M49+L57+M57+L62+M62)/2))</f>
        <v>6.1600814401051446E-2</v>
      </c>
      <c r="N128" s="150">
        <f>((N97+(N87*(1-(N96/N93))))/((M49+N49+M57+N57+M62+N62)/2))</f>
        <v>5.7222770900313968E-2</v>
      </c>
      <c r="O128" s="150">
        <f>((O97+(O87*(1-(O96/O93))))/((M49+O49+M57+O57+M62+O62)/2))*(4)</f>
        <v>6.5287983439021646E-2</v>
      </c>
      <c r="P128" s="178">
        <f t="shared" ref="P128:P129" si="163">AVERAGE(I128:N128)</f>
        <v>6.3479089185485976E-2</v>
      </c>
      <c r="Q128" s="140"/>
      <c r="R128" s="2"/>
      <c r="S128" s="140"/>
      <c r="T128" s="140"/>
      <c r="U128" s="140"/>
      <c r="V128" s="140"/>
      <c r="W128" s="174"/>
      <c r="X128" s="174"/>
      <c r="Y128" s="174"/>
      <c r="Z128" s="174"/>
      <c r="AA128" s="174"/>
      <c r="AB128" s="174"/>
      <c r="AC128" s="174"/>
      <c r="AD128" s="174"/>
      <c r="AE128" s="174"/>
      <c r="AF128" s="174"/>
      <c r="AG128" s="174"/>
    </row>
    <row r="129" spans="1:33">
      <c r="A129" s="148" t="s">
        <v>64</v>
      </c>
      <c r="B129" s="150">
        <f>(B97-B99)/((B62)/1)</f>
        <v>1.6701461377870552E-2</v>
      </c>
      <c r="C129" s="150">
        <f t="shared" ref="C129:K129" si="164">(C97-C99)/((C62+B62)/2)</f>
        <v>-2.9091208203665883E-2</v>
      </c>
      <c r="D129" s="150">
        <f t="shared" si="164"/>
        <v>9.9773242630385492E-2</v>
      </c>
      <c r="E129" s="150">
        <f t="shared" si="164"/>
        <v>4.3638992491332872E-2</v>
      </c>
      <c r="F129" s="150">
        <f t="shared" si="164"/>
        <v>7.563609398896963E-2</v>
      </c>
      <c r="G129" s="150">
        <f>(G97-G99)/((G62+F62)/2)</f>
        <v>7.5470557109380956E-2</v>
      </c>
      <c r="H129" s="150">
        <f t="shared" si="164"/>
        <v>9.7627377046948682E-2</v>
      </c>
      <c r="I129" s="150">
        <f t="shared" si="164"/>
        <v>9.7905961655340074E-2</v>
      </c>
      <c r="J129" s="150">
        <f t="shared" si="164"/>
        <v>8.3687302304563935E-2</v>
      </c>
      <c r="K129" s="150">
        <f t="shared" si="164"/>
        <v>8.6183848391916326E-2</v>
      </c>
      <c r="L129" s="150">
        <f>((L97-L99)/((L62+K62)/2))</f>
        <v>8.0796504548384787E-2</v>
      </c>
      <c r="M129" s="150">
        <f>((M97-M99)/((M62+L62)/2))</f>
        <v>7.6060793618045533E-2</v>
      </c>
      <c r="N129" s="150">
        <f>((N97-N99)/((N62+M62)/2))</f>
        <v>7.1937609251042089E-2</v>
      </c>
      <c r="O129" s="150">
        <f>((O97-O99)/((O62+M62)/2))*(4)</f>
        <v>8.546663979036484E-2</v>
      </c>
      <c r="P129" s="178">
        <f t="shared" si="163"/>
        <v>8.2762003294882119E-2</v>
      </c>
      <c r="Q129" s="140"/>
      <c r="R129" s="2"/>
      <c r="S129" s="140"/>
      <c r="T129" s="140"/>
      <c r="U129" s="140"/>
      <c r="V129" s="140"/>
      <c r="W129" s="174"/>
      <c r="X129" s="174"/>
      <c r="Y129" s="174"/>
      <c r="Z129" s="174"/>
      <c r="AA129" s="174"/>
      <c r="AB129" s="174"/>
      <c r="AC129" s="174"/>
      <c r="AD129" s="174"/>
      <c r="AE129" s="174"/>
      <c r="AF129" s="174"/>
      <c r="AG129" s="174"/>
    </row>
    <row r="130" spans="1:33">
      <c r="A130" s="148"/>
      <c r="B130" s="177"/>
      <c r="C130" s="177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40"/>
      <c r="R130" s="2"/>
      <c r="S130" s="140"/>
      <c r="T130" s="140"/>
      <c r="U130" s="140"/>
      <c r="V130" s="140"/>
      <c r="W130" s="174"/>
      <c r="X130" s="174"/>
      <c r="Y130" s="174"/>
      <c r="Z130" s="174"/>
      <c r="AA130" s="174"/>
      <c r="AB130" s="174"/>
      <c r="AC130" s="174"/>
      <c r="AD130" s="174"/>
      <c r="AE130" s="174"/>
      <c r="AF130" s="174"/>
      <c r="AG130" s="174"/>
    </row>
    <row r="131" spans="1:33">
      <c r="A131" s="225" t="s">
        <v>156</v>
      </c>
      <c r="B131" s="177"/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40"/>
      <c r="R131" s="2"/>
      <c r="S131" s="140"/>
      <c r="T131" s="140"/>
      <c r="U131" s="140"/>
      <c r="V131" s="140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</row>
    <row r="132" spans="1:33">
      <c r="A132" s="148" t="s">
        <v>197</v>
      </c>
      <c r="B132" s="177">
        <f>B76/(B27)</f>
        <v>0.43343878760205695</v>
      </c>
      <c r="C132" s="177">
        <f t="shared" ref="C132:K132" si="165">C76/((B27+C27)/2)</f>
        <v>0.59057776324089439</v>
      </c>
      <c r="D132" s="177">
        <f t="shared" si="165"/>
        <v>0.42205079157333064</v>
      </c>
      <c r="E132" s="177">
        <f t="shared" si="165"/>
        <v>0.36985841132709385</v>
      </c>
      <c r="F132" s="177">
        <f t="shared" si="165"/>
        <v>0.36024809698336624</v>
      </c>
      <c r="G132" s="177">
        <f>G76/((F27+G27)/2)</f>
        <v>0.32911788677127024</v>
      </c>
      <c r="H132" s="177">
        <f t="shared" si="165"/>
        <v>0.39762650639292246</v>
      </c>
      <c r="I132" s="177">
        <f t="shared" si="165"/>
        <v>0.38782778187647443</v>
      </c>
      <c r="J132" s="177">
        <f t="shared" si="165"/>
        <v>0.35040704241810461</v>
      </c>
      <c r="K132" s="177">
        <f t="shared" si="165"/>
        <v>0.30360001362351419</v>
      </c>
      <c r="L132" s="177">
        <f>(L76/((K27+L27)/2))</f>
        <v>0.27761596041216446</v>
      </c>
      <c r="M132" s="177">
        <f>(M76/((L27+M27)/2))</f>
        <v>0.27163418823668778</v>
      </c>
      <c r="N132" s="177">
        <f>(N76/((M27+N27)/2))</f>
        <v>0.27557788377409614</v>
      </c>
      <c r="O132" s="177">
        <f>(O76/((M27+O27)/2))*(4)</f>
        <v>0.27757125154894674</v>
      </c>
      <c r="P132" s="177">
        <f>AVERAGE(I132:N132)</f>
        <v>0.31111047839017358</v>
      </c>
      <c r="Q132" s="140"/>
      <c r="R132" s="2"/>
      <c r="S132" s="140"/>
      <c r="T132" s="140"/>
      <c r="U132" s="140"/>
      <c r="V132" s="140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</row>
    <row r="133" spans="1:33">
      <c r="A133" s="148" t="s">
        <v>198</v>
      </c>
      <c r="B133" s="177">
        <f>B76/B37</f>
        <v>0.3240038683147638</v>
      </c>
      <c r="C133" s="177">
        <f t="shared" ref="C133:K133" si="166">C76/((B37+C37)/2)</f>
        <v>0.43139396473383984</v>
      </c>
      <c r="D133" s="177">
        <f t="shared" si="166"/>
        <v>0.30472391578909108</v>
      </c>
      <c r="E133" s="177">
        <f t="shared" si="166"/>
        <v>0.27310019757767989</v>
      </c>
      <c r="F133" s="177">
        <f t="shared" si="166"/>
        <v>0.27335076092397609</v>
      </c>
      <c r="G133" s="177">
        <f>G76/((F37+G37)/2)</f>
        <v>0.25198776758409791</v>
      </c>
      <c r="H133" s="177">
        <f t="shared" si="166"/>
        <v>0.30862261505928196</v>
      </c>
      <c r="I133" s="177">
        <f t="shared" si="166"/>
        <v>0.30812314795048906</v>
      </c>
      <c r="J133" s="177">
        <f t="shared" si="166"/>
        <v>0.28047639832886451</v>
      </c>
      <c r="K133" s="177">
        <f t="shared" si="166"/>
        <v>0.24669969280159412</v>
      </c>
      <c r="L133" s="177">
        <f>(L76/((K37+L37)/2))</f>
        <v>0.22663121292697894</v>
      </c>
      <c r="M133" s="177">
        <f>(M76/((L37+M37)/2))</f>
        <v>0.22234073499466692</v>
      </c>
      <c r="N133" s="177">
        <f>(N76/((M37+N37)/2))</f>
        <v>0.22794975953681654</v>
      </c>
      <c r="O133" s="177">
        <f>(O76/((M37+O37)/2))*(4)</f>
        <v>0.23024271731258905</v>
      </c>
      <c r="P133" s="177">
        <f>AVERAGE(I133:N133)</f>
        <v>0.252036824423235</v>
      </c>
      <c r="Q133" s="140"/>
      <c r="R133" s="2"/>
      <c r="S133" s="140"/>
      <c r="T133" s="140"/>
      <c r="U133" s="140"/>
      <c r="V133" s="140"/>
      <c r="W133" s="174"/>
      <c r="X133" s="174"/>
      <c r="Y133" s="174"/>
      <c r="Z133" s="174"/>
      <c r="AA133" s="174"/>
      <c r="AB133" s="174"/>
      <c r="AC133" s="174"/>
      <c r="AD133" s="174"/>
      <c r="AE133" s="174"/>
      <c r="AF133" s="174"/>
      <c r="AG133" s="174"/>
    </row>
    <row r="134" spans="1:33">
      <c r="A134" s="148"/>
      <c r="B134" s="148"/>
      <c r="C134" s="148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77"/>
      <c r="Q134" s="140"/>
      <c r="R134" s="2"/>
      <c r="S134" s="140"/>
      <c r="T134" s="140"/>
      <c r="U134" s="140"/>
      <c r="V134" s="140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</row>
    <row r="135" spans="1:33">
      <c r="A135" s="185" t="s">
        <v>157</v>
      </c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77"/>
      <c r="Q135" s="140"/>
      <c r="R135" s="2"/>
      <c r="S135" s="140"/>
      <c r="T135" s="140"/>
      <c r="U135" s="140"/>
      <c r="V135" s="140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74"/>
    </row>
    <row r="136" spans="1:33">
      <c r="A136" s="148" t="s">
        <v>150</v>
      </c>
      <c r="B136" s="141">
        <f t="shared" ref="B136:L136" si="167">B62/B$141</f>
        <v>0.43861989441197424</v>
      </c>
      <c r="C136" s="141">
        <f t="shared" si="167"/>
        <v>0.49268419381836021</v>
      </c>
      <c r="D136" s="141">
        <f t="shared" si="167"/>
        <v>0.4103615620388239</v>
      </c>
      <c r="E136" s="141">
        <f t="shared" si="167"/>
        <v>0.44375911648260058</v>
      </c>
      <c r="F136" s="141">
        <f t="shared" si="167"/>
        <v>0.45942688993203951</v>
      </c>
      <c r="G136" s="141">
        <f t="shared" si="167"/>
        <v>0.45541175185670602</v>
      </c>
      <c r="H136" s="141">
        <f t="shared" si="167"/>
        <v>0.49937741252645995</v>
      </c>
      <c r="I136" s="141">
        <f t="shared" si="167"/>
        <v>0.49175368400507463</v>
      </c>
      <c r="J136" s="141">
        <f t="shared" si="167"/>
        <v>0.51792006875805763</v>
      </c>
      <c r="K136" s="141">
        <f t="shared" si="167"/>
        <v>0.50889869181624581</v>
      </c>
      <c r="L136" s="141">
        <f t="shared" si="167"/>
        <v>0.53019253208868145</v>
      </c>
      <c r="M136" s="141">
        <f t="shared" ref="M136:N136" si="168">M62/M$141</f>
        <v>0.5375970425138632</v>
      </c>
      <c r="N136" s="141">
        <f t="shared" si="168"/>
        <v>0.52416408135125814</v>
      </c>
      <c r="O136" s="141">
        <f>O62/O$141</f>
        <v>0.52485692615320967</v>
      </c>
      <c r="P136" s="178">
        <f>AVERAGE(I136:N136)</f>
        <v>0.51842101675553021</v>
      </c>
      <c r="Q136" s="140"/>
      <c r="R136" s="2"/>
      <c r="S136" s="140"/>
      <c r="T136" s="140"/>
      <c r="U136" s="140"/>
      <c r="V136" s="140"/>
      <c r="W136" s="174"/>
      <c r="X136" s="174"/>
      <c r="Y136" s="174"/>
      <c r="Z136" s="174"/>
      <c r="AA136" s="174"/>
      <c r="AB136" s="174"/>
      <c r="AC136" s="174"/>
      <c r="AD136" s="174"/>
      <c r="AE136" s="174"/>
      <c r="AF136" s="174"/>
      <c r="AG136" s="174"/>
    </row>
    <row r="137" spans="1:33">
      <c r="A137" s="148" t="s">
        <v>59</v>
      </c>
      <c r="B137" s="141">
        <f t="shared" ref="B137:L137" si="169">B57/B$141</f>
        <v>2.4475168726047686E-2</v>
      </c>
      <c r="C137" s="141">
        <f t="shared" si="169"/>
        <v>8.0473867998037574E-2</v>
      </c>
      <c r="D137" s="141">
        <f t="shared" si="169"/>
        <v>6.4848450448405037E-2</v>
      </c>
      <c r="E137" s="141">
        <f t="shared" si="169"/>
        <v>6.2485239980551506E-2</v>
      </c>
      <c r="F137" s="141">
        <f t="shared" si="169"/>
        <v>1.3676171792895677E-2</v>
      </c>
      <c r="G137" s="141">
        <f t="shared" si="169"/>
        <v>1.2300677151594582E-2</v>
      </c>
      <c r="H137" s="141">
        <f t="shared" si="169"/>
        <v>1.0285145062881335E-2</v>
      </c>
      <c r="I137" s="141">
        <f t="shared" si="169"/>
        <v>4.0011710744608181E-3</v>
      </c>
      <c r="J137" s="141">
        <f t="shared" si="169"/>
        <v>3.5238504512247527E-3</v>
      </c>
      <c r="K137" s="141">
        <f t="shared" si="169"/>
        <v>3.1183449954365681E-3</v>
      </c>
      <c r="L137" s="141">
        <f t="shared" si="169"/>
        <v>2.9900816802800466E-3</v>
      </c>
      <c r="M137" s="141">
        <f t="shared" ref="M137:N137" si="170">M57/M$141</f>
        <v>3.0314232902033272E-3</v>
      </c>
      <c r="N137" s="141">
        <f t="shared" si="170"/>
        <v>2.8266115132712859E-3</v>
      </c>
      <c r="O137" s="141">
        <f>O57/O$141</f>
        <v>2.8270013100737778E-3</v>
      </c>
      <c r="P137" s="178">
        <f t="shared" ref="P137:P138" si="171">AVERAGE(I137:N137)</f>
        <v>3.2485805008128001E-3</v>
      </c>
      <c r="Q137" s="140"/>
      <c r="R137" s="2"/>
      <c r="S137" s="140"/>
      <c r="T137" s="140"/>
      <c r="U137" s="140"/>
      <c r="V137" s="140"/>
      <c r="W137" s="174"/>
      <c r="X137" s="174"/>
      <c r="Y137" s="174"/>
      <c r="Z137" s="174"/>
      <c r="AA137" s="174"/>
      <c r="AB137" s="174"/>
      <c r="AC137" s="174"/>
      <c r="AD137" s="174"/>
      <c r="AE137" s="174"/>
      <c r="AF137" s="174"/>
      <c r="AG137" s="174"/>
    </row>
    <row r="138" spans="1:33">
      <c r="A138" s="148" t="s">
        <v>158</v>
      </c>
      <c r="B138" s="141">
        <f t="shared" ref="B138:L138" si="172">(B41+B49)/B$141</f>
        <v>0.53690493686197815</v>
      </c>
      <c r="C138" s="141">
        <f t="shared" si="172"/>
        <v>0.42684193818360217</v>
      </c>
      <c r="D138" s="141">
        <f t="shared" si="172"/>
        <v>0.52478998751277106</v>
      </c>
      <c r="E138" s="179">
        <f t="shared" si="172"/>
        <v>0.49375564353684792</v>
      </c>
      <c r="F138" s="179">
        <f t="shared" si="172"/>
        <v>0.52689693827506479</v>
      </c>
      <c r="G138" s="179">
        <f t="shared" si="172"/>
        <v>0.53228757099169943</v>
      </c>
      <c r="H138" s="179">
        <f t="shared" si="172"/>
        <v>0.49033744241065869</v>
      </c>
      <c r="I138" s="179">
        <f t="shared" si="172"/>
        <v>0.50424514492046457</v>
      </c>
      <c r="J138" s="179">
        <f t="shared" si="172"/>
        <v>0.47855608079071765</v>
      </c>
      <c r="K138" s="179">
        <f t="shared" si="172"/>
        <v>0.48798296318831763</v>
      </c>
      <c r="L138" s="179">
        <f t="shared" si="172"/>
        <v>0.46681738623103852</v>
      </c>
      <c r="M138" s="179">
        <f t="shared" ref="M138:N138" si="173">(M41+M49)/M$141</f>
        <v>0.45937153419593346</v>
      </c>
      <c r="N138" s="179">
        <f t="shared" si="173"/>
        <v>0.47300930713547051</v>
      </c>
      <c r="O138" s="179">
        <f>(O41+O49)/O$141</f>
        <v>0.47231607253671654</v>
      </c>
      <c r="P138" s="178">
        <f t="shared" si="171"/>
        <v>0.47833040274365707</v>
      </c>
      <c r="Q138" s="140"/>
      <c r="R138" s="2"/>
      <c r="S138" s="140"/>
      <c r="T138" s="140"/>
      <c r="U138" s="140"/>
      <c r="V138" s="140"/>
      <c r="W138" s="174"/>
      <c r="X138" s="174"/>
      <c r="Y138" s="174"/>
      <c r="Z138" s="174"/>
      <c r="AA138" s="174"/>
      <c r="AB138" s="174"/>
      <c r="AC138" s="174"/>
      <c r="AD138" s="174"/>
      <c r="AE138" s="174"/>
      <c r="AF138" s="174"/>
      <c r="AG138" s="174"/>
    </row>
    <row r="139" spans="1:33">
      <c r="A139" s="148"/>
      <c r="B139" s="141"/>
      <c r="C139" s="141"/>
      <c r="D139" s="141"/>
      <c r="E139" s="281"/>
      <c r="F139" s="281"/>
      <c r="G139" s="281">
        <f>SUM(G136:G138)</f>
        <v>1</v>
      </c>
      <c r="H139" s="281">
        <f t="shared" ref="H139:P139" si="174">SUM(H136:H138)</f>
        <v>1</v>
      </c>
      <c r="I139" s="281">
        <f t="shared" si="174"/>
        <v>1</v>
      </c>
      <c r="J139" s="281">
        <f t="shared" si="174"/>
        <v>1</v>
      </c>
      <c r="K139" s="281">
        <f t="shared" si="174"/>
        <v>1</v>
      </c>
      <c r="L139" s="281">
        <f t="shared" si="174"/>
        <v>1</v>
      </c>
      <c r="M139" s="281">
        <f t="shared" ref="M139:N139" si="175">SUM(M136:M138)</f>
        <v>1</v>
      </c>
      <c r="N139" s="281">
        <f t="shared" si="175"/>
        <v>0.99999999999999989</v>
      </c>
      <c r="O139" s="281">
        <f>SUM(O136:O138)</f>
        <v>1</v>
      </c>
      <c r="P139" s="282">
        <f t="shared" si="174"/>
        <v>1</v>
      </c>
      <c r="Q139" s="281"/>
      <c r="R139" s="2"/>
      <c r="S139" s="140"/>
      <c r="T139" s="140"/>
      <c r="U139" s="140"/>
      <c r="V139" s="140"/>
      <c r="W139" s="174"/>
      <c r="X139" s="174"/>
      <c r="Y139" s="174"/>
      <c r="Z139" s="174"/>
      <c r="AA139" s="174"/>
      <c r="AB139" s="174"/>
      <c r="AC139" s="174"/>
      <c r="AD139" s="174"/>
      <c r="AE139" s="174"/>
      <c r="AF139" s="174"/>
      <c r="AG139" s="174"/>
    </row>
    <row r="140" spans="1:33" ht="7.5" customHeight="1">
      <c r="A140" s="148"/>
      <c r="B140" s="141"/>
      <c r="C140" s="141"/>
      <c r="D140" s="141"/>
      <c r="E140" s="281"/>
      <c r="F140" s="281"/>
      <c r="G140" s="281"/>
      <c r="H140" s="281"/>
      <c r="I140" s="281"/>
      <c r="J140" s="281"/>
      <c r="K140" s="281"/>
      <c r="L140" s="281"/>
      <c r="M140" s="281"/>
      <c r="N140" s="281"/>
      <c r="O140" s="281"/>
      <c r="P140" s="178"/>
      <c r="Q140" s="140"/>
      <c r="R140" s="2"/>
      <c r="S140" s="140"/>
      <c r="T140" s="140"/>
      <c r="U140" s="140"/>
      <c r="V140" s="140"/>
      <c r="W140" s="174"/>
      <c r="X140" s="174"/>
      <c r="Y140" s="174"/>
      <c r="Z140" s="174"/>
      <c r="AA140" s="174"/>
      <c r="AB140" s="174"/>
      <c r="AC140" s="174"/>
      <c r="AD140" s="174"/>
      <c r="AE140" s="174"/>
      <c r="AF140" s="174"/>
      <c r="AG140" s="174"/>
    </row>
    <row r="141" spans="1:33">
      <c r="A141" s="148" t="s">
        <v>159</v>
      </c>
      <c r="B141" s="226">
        <f t="shared" ref="B141:L141" si="176">B41+B49+B57+B62</f>
        <v>8845.6999999999989</v>
      </c>
      <c r="C141" s="226">
        <f t="shared" si="176"/>
        <v>6930.2000000000007</v>
      </c>
      <c r="D141" s="226">
        <f t="shared" si="176"/>
        <v>7047.2</v>
      </c>
      <c r="E141" s="140">
        <f t="shared" si="176"/>
        <v>7198.5</v>
      </c>
      <c r="F141" s="140">
        <f t="shared" si="176"/>
        <v>7136.5</v>
      </c>
      <c r="G141" s="140">
        <f t="shared" si="176"/>
        <v>7324.8</v>
      </c>
      <c r="H141" s="140">
        <f t="shared" si="176"/>
        <v>8031</v>
      </c>
      <c r="I141" s="140">
        <f t="shared" si="176"/>
        <v>10247</v>
      </c>
      <c r="J141" s="140">
        <f t="shared" si="176"/>
        <v>11635</v>
      </c>
      <c r="K141" s="140">
        <f t="shared" si="176"/>
        <v>13148</v>
      </c>
      <c r="L141" s="140">
        <f t="shared" si="176"/>
        <v>13712</v>
      </c>
      <c r="M141" s="140">
        <f t="shared" ref="M141:N141" si="177">M41+M49+M57+M62</f>
        <v>13525</v>
      </c>
      <c r="N141" s="140">
        <f t="shared" si="177"/>
        <v>14505</v>
      </c>
      <c r="O141" s="140">
        <f>O41+O49+O57+O62</f>
        <v>14503</v>
      </c>
      <c r="P141" s="283">
        <f>AVERAGE(I141:N141)</f>
        <v>12795.333333333334</v>
      </c>
      <c r="Q141" s="140"/>
      <c r="R141" s="2"/>
      <c r="S141" s="140"/>
      <c r="T141" s="140"/>
      <c r="U141" s="140"/>
      <c r="V141" s="140"/>
      <c r="W141" s="174"/>
      <c r="X141" s="174"/>
      <c r="Y141" s="174"/>
      <c r="Z141" s="174"/>
      <c r="AA141" s="174"/>
      <c r="AB141" s="174"/>
      <c r="AC141" s="174"/>
      <c r="AD141" s="174"/>
      <c r="AE141" s="174"/>
      <c r="AF141" s="174"/>
      <c r="AG141" s="174"/>
    </row>
    <row r="142" spans="1:33">
      <c r="A142" s="138"/>
      <c r="B142" s="140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80"/>
      <c r="Q142" s="140"/>
      <c r="R142" s="2"/>
      <c r="S142" s="140"/>
      <c r="T142" s="140"/>
      <c r="U142" s="140"/>
      <c r="V142" s="140"/>
      <c r="W142" s="174"/>
      <c r="X142" s="174"/>
      <c r="Y142" s="174"/>
      <c r="Z142" s="174"/>
      <c r="AA142" s="174"/>
      <c r="AB142" s="174"/>
      <c r="AC142" s="174"/>
      <c r="AD142" s="174"/>
      <c r="AE142" s="174"/>
      <c r="AF142" s="174"/>
      <c r="AG142" s="174"/>
    </row>
    <row r="143" spans="1:33">
      <c r="A143" s="185" t="s">
        <v>67</v>
      </c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50"/>
      <c r="Q143" s="140"/>
      <c r="R143" s="2"/>
      <c r="S143" s="140"/>
      <c r="T143" s="140"/>
      <c r="U143" s="140"/>
      <c r="V143" s="140"/>
      <c r="W143" s="174"/>
      <c r="X143" s="174"/>
      <c r="Y143" s="174"/>
      <c r="Z143" s="174"/>
      <c r="AA143" s="174"/>
      <c r="AB143" s="174"/>
      <c r="AC143" s="174"/>
      <c r="AD143" s="174"/>
      <c r="AE143" s="174"/>
      <c r="AF143" s="174"/>
      <c r="AG143" s="174"/>
    </row>
    <row r="144" spans="1:33">
      <c r="A144" s="148" t="s">
        <v>68</v>
      </c>
      <c r="B144" s="148"/>
      <c r="C144" s="148"/>
      <c r="D144" s="148"/>
      <c r="E144" s="148"/>
      <c r="F144" s="148"/>
      <c r="G144" s="148"/>
      <c r="H144" s="149" t="s">
        <v>160</v>
      </c>
      <c r="I144" s="149"/>
      <c r="J144" s="149"/>
      <c r="K144" s="149"/>
      <c r="L144" s="276" t="s">
        <v>199</v>
      </c>
      <c r="M144" s="276" t="s">
        <v>199</v>
      </c>
      <c r="N144" s="276" t="s">
        <v>199</v>
      </c>
      <c r="O144" s="149" t="s">
        <v>199</v>
      </c>
      <c r="P144" s="150"/>
      <c r="Q144" s="140"/>
      <c r="R144" s="2"/>
      <c r="S144" s="140"/>
      <c r="T144" s="140"/>
      <c r="U144" s="140"/>
      <c r="V144" s="140"/>
      <c r="W144" s="174"/>
      <c r="X144" s="174"/>
      <c r="Y144" s="174"/>
      <c r="Z144" s="174"/>
      <c r="AA144" s="174"/>
      <c r="AB144" s="174"/>
      <c r="AC144" s="174"/>
      <c r="AD144" s="174"/>
      <c r="AE144" s="174"/>
      <c r="AF144" s="174"/>
      <c r="AG144" s="174"/>
    </row>
    <row r="145" spans="1:33">
      <c r="A145" s="148" t="s">
        <v>70</v>
      </c>
      <c r="B145" s="148"/>
      <c r="C145" s="148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  <c r="P145" s="150"/>
      <c r="Q145" s="140"/>
      <c r="R145" s="2"/>
      <c r="S145" s="140"/>
      <c r="T145" s="140"/>
      <c r="U145" s="140"/>
      <c r="V145" s="140"/>
      <c r="W145" s="174"/>
      <c r="X145" s="174"/>
      <c r="Y145" s="174"/>
      <c r="Z145" s="174"/>
      <c r="AA145" s="174"/>
      <c r="AB145" s="174"/>
      <c r="AC145" s="174"/>
      <c r="AD145" s="174"/>
      <c r="AE145" s="174"/>
      <c r="AF145" s="174"/>
      <c r="AG145" s="174"/>
    </row>
    <row r="146" spans="1:33">
      <c r="A146" s="148" t="s">
        <v>69</v>
      </c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50"/>
      <c r="Q146" s="174"/>
      <c r="R146" s="2"/>
      <c r="S146" s="140"/>
      <c r="T146" s="140"/>
      <c r="U146" s="140"/>
      <c r="V146" s="140"/>
      <c r="W146" s="174"/>
      <c r="X146" s="174"/>
      <c r="Y146" s="174"/>
      <c r="Z146" s="174"/>
      <c r="AA146" s="174"/>
      <c r="AB146" s="174"/>
      <c r="AC146" s="174"/>
      <c r="AD146" s="174"/>
      <c r="AE146" s="174"/>
      <c r="AF146" s="174"/>
      <c r="AG146" s="174"/>
    </row>
    <row r="147" spans="1:33">
      <c r="A147" s="181"/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74"/>
      <c r="M147" s="174"/>
      <c r="N147" s="174"/>
      <c r="O147" s="174"/>
      <c r="P147" s="174"/>
      <c r="Q147" s="174"/>
      <c r="R147" s="2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  <c r="AC147" s="174"/>
      <c r="AD147" s="174"/>
      <c r="AE147" s="174"/>
      <c r="AF147" s="174"/>
      <c r="AG147" s="174"/>
    </row>
    <row r="148" spans="1:33">
      <c r="A148" s="181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74"/>
      <c r="M148" s="174"/>
      <c r="N148" s="174"/>
      <c r="O148" s="174"/>
      <c r="P148" s="174"/>
      <c r="Q148" s="174"/>
      <c r="R148" s="2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4"/>
      <c r="AC148" s="174"/>
      <c r="AD148" s="174"/>
      <c r="AE148" s="174"/>
      <c r="AF148" s="174"/>
      <c r="AG148" s="174"/>
    </row>
    <row r="149" spans="1:33">
      <c r="A149" s="182"/>
      <c r="B149" s="139"/>
      <c r="C149" s="139"/>
      <c r="D149" s="139"/>
      <c r="E149" s="139"/>
      <c r="F149" s="139"/>
      <c r="G149" s="139"/>
      <c r="H149" s="139"/>
      <c r="I149" s="139"/>
      <c r="J149" s="139"/>
      <c r="K149" s="139"/>
      <c r="L149" s="174"/>
      <c r="M149" s="174"/>
      <c r="N149" s="174"/>
      <c r="O149" s="174"/>
      <c r="P149" s="174"/>
      <c r="Q149" s="174"/>
      <c r="R149" s="2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  <c r="AC149" s="174"/>
      <c r="AD149" s="174"/>
      <c r="AE149" s="174"/>
      <c r="AF149" s="174"/>
      <c r="AG149" s="174"/>
    </row>
    <row r="150" spans="1:33">
      <c r="A150" s="181"/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74"/>
      <c r="M150" s="174"/>
      <c r="N150" s="174"/>
      <c r="O150" s="174"/>
      <c r="P150" s="174"/>
      <c r="Q150" s="174"/>
      <c r="R150" s="2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4"/>
      <c r="AC150" s="174"/>
      <c r="AD150" s="174"/>
      <c r="AE150" s="174"/>
      <c r="AF150" s="174"/>
      <c r="AG150" s="174"/>
    </row>
    <row r="151" spans="1:33">
      <c r="A151" s="181"/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74"/>
      <c r="M151" s="174"/>
      <c r="N151" s="174"/>
      <c r="O151" s="174"/>
      <c r="P151" s="174"/>
      <c r="Q151" s="174"/>
      <c r="R151" s="2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4"/>
      <c r="AC151" s="174"/>
      <c r="AD151" s="174"/>
      <c r="AE151" s="174"/>
      <c r="AF151" s="174"/>
      <c r="AG151" s="174"/>
    </row>
    <row r="152" spans="1:33" ht="7.5" customHeight="1">
      <c r="A152" s="182"/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74"/>
      <c r="M152" s="174"/>
      <c r="N152" s="174"/>
      <c r="O152" s="174"/>
      <c r="P152" s="174"/>
      <c r="Q152" s="174"/>
      <c r="R152" s="2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74"/>
      <c r="AC152" s="174"/>
      <c r="AD152" s="174"/>
      <c r="AE152" s="174"/>
      <c r="AF152" s="174"/>
      <c r="AG152" s="174"/>
    </row>
    <row r="153" spans="1:33">
      <c r="A153" s="181"/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74"/>
      <c r="M153" s="174"/>
      <c r="N153" s="174"/>
      <c r="O153" s="174"/>
      <c r="P153" s="174"/>
      <c r="Q153" s="174"/>
      <c r="R153" s="2"/>
      <c r="S153" s="174"/>
      <c r="T153" s="174"/>
      <c r="U153" s="174"/>
      <c r="V153" s="174"/>
      <c r="W153" s="174"/>
      <c r="X153" s="174"/>
      <c r="Y153" s="174"/>
      <c r="Z153" s="174"/>
      <c r="AA153" s="174"/>
      <c r="AB153" s="174"/>
      <c r="AC153" s="174"/>
      <c r="AD153" s="174"/>
      <c r="AE153" s="174"/>
      <c r="AF153" s="174"/>
      <c r="AG153" s="174"/>
    </row>
    <row r="154" spans="1:33">
      <c r="A154" s="181"/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74"/>
      <c r="M154" s="174"/>
      <c r="N154" s="174"/>
      <c r="O154" s="174"/>
      <c r="P154" s="174"/>
      <c r="Q154" s="174"/>
      <c r="R154" s="2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  <c r="AC154" s="174"/>
      <c r="AD154" s="174"/>
      <c r="AE154" s="174"/>
      <c r="AF154" s="174"/>
      <c r="AG154" s="174"/>
    </row>
    <row r="155" spans="1:33">
      <c r="R155" s="2"/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</row>
    <row r="156" spans="1:33">
      <c r="R156" s="2"/>
    </row>
    <row r="157" spans="1:33">
      <c r="R157" s="2"/>
    </row>
    <row r="158" spans="1:33">
      <c r="R158" s="2"/>
    </row>
    <row r="159" spans="1:33">
      <c r="R159" s="2"/>
    </row>
    <row r="160" spans="1:33">
      <c r="R160" s="2"/>
    </row>
    <row r="161" spans="18:18">
      <c r="R161" s="2"/>
    </row>
    <row r="162" spans="18:18">
      <c r="R162" s="2"/>
    </row>
    <row r="163" spans="18:18">
      <c r="R163" s="2"/>
    </row>
    <row r="164" spans="18:18">
      <c r="R164" s="2"/>
    </row>
    <row r="165" spans="18:18">
      <c r="R165" s="2"/>
    </row>
    <row r="166" spans="18:18">
      <c r="R166" s="2"/>
    </row>
    <row r="167" spans="18:18">
      <c r="R167" s="2"/>
    </row>
  </sheetData>
  <sortState ref="R101:AG101">
    <sortCondition sortBy="cellColor" ref="AG99" dxfId="0"/>
  </sortState>
  <phoneticPr fontId="6" type="noConversion"/>
  <printOptions horizontalCentered="1"/>
  <pageMargins left="0.5" right="0.5" top="1" bottom="1" header="0.5" footer="0.5"/>
  <pageSetup scale="66" fitToHeight="5" orientation="portrait" r:id="rId1"/>
  <headerFooter alignWithMargins="0"/>
  <rowBreaks count="2" manualBreakCount="2">
    <brk id="64" max="26" man="1"/>
    <brk id="101" max="26" man="1"/>
  </rowBreaks>
  <colBreaks count="1" manualBreakCount="1">
    <brk id="16" max="1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234"/>
  <sheetViews>
    <sheetView showGridLines="0" zoomScaleNormal="100" workbookViewId="0">
      <selection activeCell="O56" sqref="O56"/>
    </sheetView>
  </sheetViews>
  <sheetFormatPr defaultRowHeight="12.75"/>
  <cols>
    <col min="1" max="1" width="49.140625" style="32" customWidth="1"/>
    <col min="2" max="5" width="10.7109375" style="24" hidden="1" customWidth="1"/>
    <col min="6" max="6" width="10.7109375" style="33" hidden="1" customWidth="1"/>
    <col min="7" max="8" width="10.7109375" style="24" hidden="1" customWidth="1"/>
    <col min="9" max="16" width="10.7109375" style="24" customWidth="1"/>
    <col min="17" max="16384" width="9.140625" style="24"/>
  </cols>
  <sheetData>
    <row r="1" spans="1:16">
      <c r="P1" s="215" t="s">
        <v>115</v>
      </c>
    </row>
    <row r="2" spans="1:16">
      <c r="P2" s="54" t="s">
        <v>118</v>
      </c>
    </row>
    <row r="3" spans="1:16" ht="18.75">
      <c r="A3" s="40" t="str">
        <f>Historical!A4</f>
        <v>PacifiCorp</v>
      </c>
      <c r="B3" s="39"/>
      <c r="C3" s="39"/>
      <c r="D3" s="39"/>
      <c r="E3" s="39"/>
      <c r="F3" s="41"/>
      <c r="G3" s="39"/>
      <c r="H3" s="39"/>
      <c r="I3" s="39"/>
      <c r="J3" s="39"/>
      <c r="K3" s="39"/>
      <c r="L3" s="39"/>
      <c r="M3" s="39"/>
      <c r="N3" s="39"/>
      <c r="O3" s="39"/>
      <c r="P3" s="56"/>
    </row>
    <row r="4" spans="1:16" ht="15.75">
      <c r="A4" s="50" t="s">
        <v>113</v>
      </c>
      <c r="B4" s="39"/>
      <c r="C4" s="39"/>
      <c r="D4" s="39"/>
      <c r="E4" s="39"/>
      <c r="F4" s="41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s="32" customFormat="1">
      <c r="A5" s="51" t="str">
        <f>Historical!A6</f>
        <v>Fiscal Years Ended December 31, 2007-2012, Three Months Ended March 31, 2013</v>
      </c>
      <c r="B5" s="43"/>
      <c r="C5" s="43"/>
      <c r="D5" s="43"/>
      <c r="E5" s="43"/>
      <c r="F5" s="45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>
      <c r="A6" s="227"/>
      <c r="B6" s="227"/>
      <c r="C6" s="227"/>
      <c r="D6" s="227"/>
      <c r="E6" s="227"/>
      <c r="F6" s="228"/>
      <c r="G6" s="227"/>
      <c r="H6" s="227"/>
      <c r="I6" s="229"/>
      <c r="J6" s="229"/>
      <c r="K6" s="229"/>
      <c r="L6" s="229"/>
      <c r="M6" s="229"/>
      <c r="N6" s="229"/>
      <c r="O6" s="229"/>
      <c r="P6" s="230" t="s">
        <v>215</v>
      </c>
    </row>
    <row r="7" spans="1:16">
      <c r="A7" s="231"/>
      <c r="B7" s="308"/>
      <c r="C7" s="308"/>
      <c r="D7" s="308"/>
      <c r="E7" s="308"/>
      <c r="F7" s="308"/>
      <c r="G7" s="308"/>
      <c r="H7" s="193"/>
      <c r="I7" s="232"/>
      <c r="J7" s="232"/>
      <c r="K7" s="232"/>
      <c r="L7" s="232"/>
      <c r="M7" s="232"/>
      <c r="N7" s="232"/>
      <c r="O7" s="34" t="str">
        <f>Historical!O8</f>
        <v>March</v>
      </c>
      <c r="P7" s="194" t="s">
        <v>4</v>
      </c>
    </row>
    <row r="8" spans="1:16">
      <c r="A8" s="231"/>
      <c r="B8" s="233">
        <f>Historical!B9</f>
        <v>2000</v>
      </c>
      <c r="C8" s="233">
        <f>Historical!C9</f>
        <v>2001</v>
      </c>
      <c r="D8" s="233">
        <f>Historical!D9</f>
        <v>2002</v>
      </c>
      <c r="E8" s="233">
        <f>Historical!E9</f>
        <v>2003</v>
      </c>
      <c r="F8" s="233">
        <f>Historical!F9</f>
        <v>2004</v>
      </c>
      <c r="G8" s="233">
        <f>Historical!G9</f>
        <v>2005</v>
      </c>
      <c r="H8" s="233">
        <f>Historical!H9</f>
        <v>2006</v>
      </c>
      <c r="I8" s="233">
        <f>Historical!I9</f>
        <v>2007</v>
      </c>
      <c r="J8" s="233">
        <f>Historical!J9</f>
        <v>2008</v>
      </c>
      <c r="K8" s="233">
        <f>Historical!K9</f>
        <v>2009</v>
      </c>
      <c r="L8" s="233">
        <f>Historical!L9</f>
        <v>2010</v>
      </c>
      <c r="M8" s="233">
        <f>Historical!M9</f>
        <v>2011</v>
      </c>
      <c r="N8" s="233">
        <f>Historical!N9</f>
        <v>2012</v>
      </c>
      <c r="O8" s="233">
        <f>Historical!O9</f>
        <v>2013</v>
      </c>
      <c r="P8" s="197" t="s">
        <v>23</v>
      </c>
    </row>
    <row r="9" spans="1:16" ht="7.5" customHeight="1">
      <c r="A9" s="231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285"/>
    </row>
    <row r="10" spans="1:16">
      <c r="A10" s="234" t="s">
        <v>73</v>
      </c>
      <c r="B10" s="61"/>
      <c r="C10" s="26"/>
      <c r="D10" s="26"/>
      <c r="E10" s="26"/>
      <c r="F10" s="26"/>
      <c r="G10" s="26"/>
      <c r="H10" s="62"/>
      <c r="I10" s="12"/>
      <c r="J10" s="12"/>
      <c r="K10" s="12"/>
      <c r="L10" s="12"/>
      <c r="M10" s="12"/>
      <c r="N10" s="12"/>
      <c r="O10" s="12"/>
    </row>
    <row r="11" spans="1:16">
      <c r="A11" s="27" t="s">
        <v>74</v>
      </c>
      <c r="B11" s="61">
        <f>Historical!B97</f>
        <v>83.69999999999996</v>
      </c>
      <c r="C11" s="61">
        <f>Historical!C97</f>
        <v>-88.200000000000017</v>
      </c>
      <c r="D11" s="61">
        <f>Historical!D97</f>
        <v>327.29999999999995</v>
      </c>
      <c r="E11" s="61">
        <f>Historical!E97</f>
        <v>140.09999999999962</v>
      </c>
      <c r="F11" s="61">
        <f>Historical!F97</f>
        <v>248.09999999999968</v>
      </c>
      <c r="G11" s="61">
        <f>Historical!G97</f>
        <v>251.70000000000016</v>
      </c>
      <c r="H11" s="288">
        <f>Historical!H97</f>
        <v>360.69999999999959</v>
      </c>
      <c r="I11" s="288">
        <f>Historical!I97</f>
        <v>445</v>
      </c>
      <c r="J11" s="288">
        <f>Historical!J97</f>
        <v>465</v>
      </c>
      <c r="K11" s="288">
        <f>Historical!K97</f>
        <v>550</v>
      </c>
      <c r="L11" s="288">
        <f>Historical!L97</f>
        <v>566</v>
      </c>
      <c r="M11" s="288">
        <f>Historical!M97</f>
        <v>555</v>
      </c>
      <c r="N11" s="288">
        <f>Historical!N97</f>
        <v>537</v>
      </c>
      <c r="O11" s="288">
        <f>Historical!O97</f>
        <v>160</v>
      </c>
      <c r="P11" s="199">
        <f>RATE(($N$8-$I$8),,-I11,N11)</f>
        <v>3.8300002223517322E-2</v>
      </c>
    </row>
    <row r="12" spans="1:16">
      <c r="A12" s="25" t="s">
        <v>75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5"/>
    </row>
    <row r="13" spans="1:16">
      <c r="A13" s="25" t="s">
        <v>76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5"/>
    </row>
    <row r="14" spans="1:16" hidden="1">
      <c r="A14" s="60" t="s">
        <v>77</v>
      </c>
      <c r="B14" s="28">
        <v>-1.1000000000000001</v>
      </c>
      <c r="C14" s="26">
        <v>0</v>
      </c>
      <c r="D14" s="26">
        <v>-146.69999999999999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/>
      <c r="L14" s="26"/>
      <c r="M14" s="26"/>
      <c r="N14" s="26"/>
      <c r="O14" s="26"/>
      <c r="P14" s="5" t="e">
        <f>RATE(($L$8-$G$8+0.75),,-G14,L14)</f>
        <v>#NUM!</v>
      </c>
    </row>
    <row r="15" spans="1:16" hidden="1">
      <c r="A15" s="27" t="s">
        <v>79</v>
      </c>
      <c r="B15" s="63">
        <v>0</v>
      </c>
      <c r="C15" s="26">
        <v>0</v>
      </c>
      <c r="D15" s="26">
        <v>112.8</v>
      </c>
      <c r="E15" s="26">
        <v>1.9</v>
      </c>
      <c r="F15" s="26">
        <v>0.9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5" t="e">
        <f>RATE(($L$8-$G$8+0.75),,-G15,L15)</f>
        <v>#NUM!</v>
      </c>
    </row>
    <row r="16" spans="1:16" hidden="1">
      <c r="A16" s="27" t="s">
        <v>80</v>
      </c>
      <c r="B16" s="63">
        <v>0</v>
      </c>
      <c r="C16" s="26">
        <v>0</v>
      </c>
      <c r="D16" s="26">
        <v>-182.8</v>
      </c>
      <c r="E16" s="26">
        <v>-3.1</v>
      </c>
      <c r="F16" s="26">
        <v>-6.1</v>
      </c>
      <c r="G16" s="26">
        <v>-8.4</v>
      </c>
      <c r="H16" s="26">
        <v>-86.8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5">
        <v>0</v>
      </c>
    </row>
    <row r="17" spans="1:17">
      <c r="A17" s="27" t="s">
        <v>81</v>
      </c>
      <c r="B17" s="61">
        <v>456.3</v>
      </c>
      <c r="C17" s="26">
        <v>429</v>
      </c>
      <c r="D17" s="26">
        <v>403</v>
      </c>
      <c r="E17" s="26">
        <v>434.3</v>
      </c>
      <c r="F17" s="26">
        <v>428.8</v>
      </c>
      <c r="G17" s="26">
        <v>436.9</v>
      </c>
      <c r="H17" s="26">
        <v>448.3</v>
      </c>
      <c r="I17" s="26">
        <v>497</v>
      </c>
      <c r="J17" s="26">
        <v>490</v>
      </c>
      <c r="K17" s="26">
        <v>549</v>
      </c>
      <c r="L17" s="26">
        <v>561</v>
      </c>
      <c r="M17" s="26">
        <v>611</v>
      </c>
      <c r="N17" s="26">
        <v>640</v>
      </c>
      <c r="O17" s="26">
        <v>168</v>
      </c>
      <c r="P17" s="5">
        <f>RATE(($N$8-$I$8),,-I17,N17)</f>
        <v>5.1876413814035377E-2</v>
      </c>
    </row>
    <row r="18" spans="1:17">
      <c r="A18" s="27" t="s">
        <v>82</v>
      </c>
      <c r="B18" s="64">
        <v>136.69999999999999</v>
      </c>
      <c r="C18" s="26">
        <v>-26.4</v>
      </c>
      <c r="D18" s="26">
        <v>60.9</v>
      </c>
      <c r="E18" s="26">
        <v>31.8</v>
      </c>
      <c r="F18" s="26">
        <v>80.5</v>
      </c>
      <c r="G18" s="26">
        <v>120</v>
      </c>
      <c r="H18" s="26">
        <v>13.9</v>
      </c>
      <c r="I18" s="26">
        <v>39</v>
      </c>
      <c r="J18" s="26">
        <v>308</v>
      </c>
      <c r="K18" s="26">
        <v>645</v>
      </c>
      <c r="L18" s="26">
        <v>710</v>
      </c>
      <c r="M18" s="26">
        <v>374</v>
      </c>
      <c r="N18" s="26">
        <v>312</v>
      </c>
      <c r="O18" s="26">
        <v>51</v>
      </c>
      <c r="P18" s="5">
        <f t="shared" ref="P18:P28" si="0">RATE(($N$8-$I$8),,-I18,N18)</f>
        <v>0.51571656651039521</v>
      </c>
    </row>
    <row r="19" spans="1:17" hidden="1">
      <c r="A19" s="29" t="s">
        <v>83</v>
      </c>
      <c r="B19" s="64">
        <v>-1</v>
      </c>
      <c r="C19" s="26">
        <v>189.2</v>
      </c>
      <c r="D19" s="26">
        <v>-52.6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/>
      <c r="L19" s="26"/>
      <c r="M19" s="26"/>
      <c r="N19" s="26"/>
      <c r="O19" s="26"/>
      <c r="P19" s="5" t="e">
        <f t="shared" si="0"/>
        <v>#NUM!</v>
      </c>
    </row>
    <row r="20" spans="1:17">
      <c r="A20" s="27" t="s">
        <v>84</v>
      </c>
      <c r="B20" s="61">
        <v>0</v>
      </c>
      <c r="C20" s="26">
        <v>-35.1</v>
      </c>
      <c r="D20" s="26">
        <v>-210.9</v>
      </c>
      <c r="E20" s="26">
        <v>146.80000000000001</v>
      </c>
      <c r="F20" s="26">
        <v>111.1</v>
      </c>
      <c r="G20" s="26">
        <v>66.7</v>
      </c>
      <c r="H20" s="26">
        <v>51.6</v>
      </c>
      <c r="I20" s="26">
        <v>-45</v>
      </c>
      <c r="J20" s="26">
        <v>-37</v>
      </c>
      <c r="K20" s="26">
        <v>5</v>
      </c>
      <c r="L20" s="26">
        <v>4</v>
      </c>
      <c r="M20" s="26">
        <v>-23</v>
      </c>
      <c r="N20" s="26">
        <v>1</v>
      </c>
      <c r="O20" s="26">
        <v>-7</v>
      </c>
      <c r="P20" s="5"/>
    </row>
    <row r="21" spans="1:17">
      <c r="A21" s="27" t="s">
        <v>85</v>
      </c>
      <c r="B21" s="64">
        <f>43.3-8.1-3.2-11.2-40.3+71</f>
        <v>51.5</v>
      </c>
      <c r="C21" s="26">
        <f>-3.9+16.4-137.5-39.4</f>
        <v>-164.4</v>
      </c>
      <c r="D21" s="26">
        <v>65</v>
      </c>
      <c r="E21" s="26">
        <v>3.4</v>
      </c>
      <c r="F21" s="26">
        <v>-6.5</v>
      </c>
      <c r="G21" s="26">
        <v>-27</v>
      </c>
      <c r="H21" s="26">
        <v>50</v>
      </c>
      <c r="I21" s="26">
        <v>3</v>
      </c>
      <c r="J21" s="26">
        <v>-10</v>
      </c>
      <c r="K21" s="26">
        <v>-32</v>
      </c>
      <c r="L21" s="26">
        <v>-58</v>
      </c>
      <c r="M21" s="26">
        <v>-25</v>
      </c>
      <c r="N21" s="26">
        <v>-32</v>
      </c>
      <c r="O21" s="26">
        <v>-10</v>
      </c>
      <c r="P21" s="5"/>
    </row>
    <row r="22" spans="1:17">
      <c r="A22" s="25" t="s">
        <v>86</v>
      </c>
      <c r="B22" s="61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5"/>
    </row>
    <row r="23" spans="1:17">
      <c r="A23" s="27" t="s">
        <v>87</v>
      </c>
      <c r="B23" s="64">
        <v>-40.9</v>
      </c>
      <c r="C23" s="26">
        <v>-161.80000000000001</v>
      </c>
      <c r="D23" s="26">
        <v>165.2</v>
      </c>
      <c r="E23" s="26">
        <v>7.6</v>
      </c>
      <c r="F23" s="26">
        <v>-1.7</v>
      </c>
      <c r="G23" s="26">
        <v>-137.80000000000001</v>
      </c>
      <c r="H23" s="26">
        <v>71.099999999999994</v>
      </c>
      <c r="I23" s="26">
        <v>-81</v>
      </c>
      <c r="J23" s="26">
        <v>3</v>
      </c>
      <c r="K23" s="26">
        <v>-5</v>
      </c>
      <c r="L23" s="26">
        <v>-14</v>
      </c>
      <c r="M23" s="26">
        <v>-42</v>
      </c>
      <c r="N23" s="26">
        <v>-17</v>
      </c>
      <c r="O23" s="26">
        <v>110</v>
      </c>
      <c r="P23" s="5">
        <f t="shared" si="0"/>
        <v>-0.26819936752326801</v>
      </c>
    </row>
    <row r="24" spans="1:17">
      <c r="A24" s="27" t="s">
        <v>200</v>
      </c>
      <c r="B24" s="64"/>
      <c r="C24" s="26"/>
      <c r="D24" s="26"/>
      <c r="E24" s="26"/>
      <c r="F24" s="26"/>
      <c r="G24" s="26"/>
      <c r="H24" s="26"/>
      <c r="I24" s="26">
        <v>0</v>
      </c>
      <c r="J24" s="26">
        <v>-82</v>
      </c>
      <c r="K24" s="26">
        <v>57</v>
      </c>
      <c r="L24" s="26">
        <v>-102</v>
      </c>
      <c r="M24" s="26">
        <v>4</v>
      </c>
      <c r="N24" s="26">
        <v>68</v>
      </c>
      <c r="O24" s="26">
        <v>22</v>
      </c>
      <c r="P24" s="5"/>
    </row>
    <row r="25" spans="1:17">
      <c r="A25" s="27" t="s">
        <v>88</v>
      </c>
      <c r="B25" s="64">
        <v>3.9</v>
      </c>
      <c r="C25" s="26">
        <v>-9.3000000000000007</v>
      </c>
      <c r="D25" s="26">
        <v>7</v>
      </c>
      <c r="E25" s="26">
        <v>-17.8</v>
      </c>
      <c r="F25" s="26">
        <v>14.1</v>
      </c>
      <c r="G25" s="26">
        <v>-16.2</v>
      </c>
      <c r="H25" s="26">
        <v>-38.9</v>
      </c>
      <c r="I25" s="26">
        <v>-48</v>
      </c>
      <c r="J25" s="26">
        <v>-52</v>
      </c>
      <c r="K25" s="26">
        <v>-39</v>
      </c>
      <c r="L25" s="26">
        <v>-26</v>
      </c>
      <c r="M25" s="26">
        <v>-59</v>
      </c>
      <c r="N25" s="26">
        <v>-35</v>
      </c>
      <c r="O25" s="26">
        <v>-10</v>
      </c>
      <c r="P25" s="5">
        <f t="shared" si="0"/>
        <v>-6.121668690552081E-2</v>
      </c>
    </row>
    <row r="26" spans="1:17">
      <c r="A26" s="289" t="s">
        <v>237</v>
      </c>
      <c r="B26" s="26">
        <v>0</v>
      </c>
      <c r="C26" s="26">
        <v>0</v>
      </c>
      <c r="D26" s="26">
        <v>-11.6</v>
      </c>
      <c r="E26" s="26">
        <v>32.5</v>
      </c>
      <c r="F26" s="26">
        <v>-36.799999999999997</v>
      </c>
      <c r="G26" s="26">
        <v>-32.799999999999997</v>
      </c>
      <c r="H26" s="26">
        <f>3.6+32.6</f>
        <v>36.200000000000003</v>
      </c>
      <c r="I26" s="26">
        <v>21</v>
      </c>
      <c r="J26" s="26">
        <v>-20</v>
      </c>
      <c r="K26" s="26">
        <v>-206</v>
      </c>
      <c r="L26" s="26">
        <v>-96</v>
      </c>
      <c r="M26" s="26">
        <v>275</v>
      </c>
      <c r="N26" s="26">
        <v>118</v>
      </c>
      <c r="O26" s="26">
        <v>-32</v>
      </c>
      <c r="P26" s="5">
        <f t="shared" si="0"/>
        <v>0.41231815700645169</v>
      </c>
    </row>
    <row r="27" spans="1:17">
      <c r="A27" s="46" t="s">
        <v>89</v>
      </c>
      <c r="B27" s="64">
        <v>66.3</v>
      </c>
      <c r="C27" s="26">
        <v>543.79999999999995</v>
      </c>
      <c r="D27" s="26">
        <v>-151</v>
      </c>
      <c r="E27" s="26">
        <v>-97.1</v>
      </c>
      <c r="F27" s="26">
        <v>-3.3</v>
      </c>
      <c r="G27" s="26">
        <v>84.1</v>
      </c>
      <c r="H27" s="26">
        <v>-13.4</v>
      </c>
      <c r="I27" s="26">
        <v>0</v>
      </c>
      <c r="J27" s="26">
        <v>-73</v>
      </c>
      <c r="K27" s="26">
        <v>-24</v>
      </c>
      <c r="L27" s="26">
        <v>-135</v>
      </c>
      <c r="M27" s="26">
        <v>-34</v>
      </c>
      <c r="N27" s="26">
        <v>35</v>
      </c>
      <c r="O27" s="26">
        <v>17</v>
      </c>
      <c r="P27" s="5"/>
    </row>
    <row r="28" spans="1:17">
      <c r="A28" s="46" t="s">
        <v>90</v>
      </c>
      <c r="B28" s="26">
        <v>0</v>
      </c>
      <c r="C28" s="26">
        <v>-32.1</v>
      </c>
      <c r="D28" s="26">
        <v>-43</v>
      </c>
      <c r="E28" s="26">
        <v>1.2</v>
      </c>
      <c r="F28" s="26">
        <v>2.8</v>
      </c>
      <c r="G28" s="26">
        <v>-26.1</v>
      </c>
      <c r="H28" s="26">
        <v>1.9</v>
      </c>
      <c r="I28" s="26">
        <v>-7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5">
        <f t="shared" si="0"/>
        <v>-0.99999940981024027</v>
      </c>
    </row>
    <row r="29" spans="1:17" ht="7.5" customHeight="1">
      <c r="A29" s="27"/>
      <c r="B29" s="61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5"/>
    </row>
    <row r="30" spans="1:17">
      <c r="A30" s="235" t="s">
        <v>91</v>
      </c>
      <c r="B30" s="236">
        <f t="shared" ref="B30:K30" si="1">SUM(B11:B29)</f>
        <v>755.39999999999986</v>
      </c>
      <c r="C30" s="236">
        <f t="shared" si="1"/>
        <v>644.69999999999982</v>
      </c>
      <c r="D30" s="236">
        <f t="shared" si="1"/>
        <v>342.5999999999998</v>
      </c>
      <c r="E30" s="236">
        <f t="shared" si="1"/>
        <v>681.59999999999957</v>
      </c>
      <c r="F30" s="236">
        <f t="shared" si="1"/>
        <v>831.89999999999975</v>
      </c>
      <c r="G30" s="236">
        <f t="shared" si="1"/>
        <v>711.10000000000014</v>
      </c>
      <c r="H30" s="236">
        <f t="shared" si="1"/>
        <v>894.59999999999968</v>
      </c>
      <c r="I30" s="236">
        <f t="shared" si="1"/>
        <v>824</v>
      </c>
      <c r="J30" s="236">
        <f t="shared" si="1"/>
        <v>992</v>
      </c>
      <c r="K30" s="236">
        <f t="shared" si="1"/>
        <v>1500</v>
      </c>
      <c r="L30" s="236">
        <f>SUM(L10:L29)</f>
        <v>1410</v>
      </c>
      <c r="M30" s="236">
        <f>SUM(M10:M29)</f>
        <v>1636</v>
      </c>
      <c r="N30" s="236">
        <f>SUM(N10:N29)</f>
        <v>1627</v>
      </c>
      <c r="O30" s="236">
        <f>SUM(O10:O29)</f>
        <v>469</v>
      </c>
      <c r="P30" s="202">
        <f>RATE(($N$8-$I$8),,-I30,N30)</f>
        <v>0.14575581017578204</v>
      </c>
    </row>
    <row r="31" spans="1:17">
      <c r="A31" s="27"/>
      <c r="B31" s="64"/>
      <c r="C31" s="26"/>
      <c r="D31" s="26"/>
      <c r="E31" s="26"/>
      <c r="F31" s="26"/>
      <c r="G31" s="26"/>
      <c r="H31" s="26"/>
      <c r="I31" s="297"/>
      <c r="J31" s="297"/>
      <c r="K31" s="297"/>
      <c r="L31" s="297"/>
      <c r="M31" s="297"/>
      <c r="N31" s="297"/>
      <c r="O31" s="297"/>
      <c r="P31" s="5"/>
      <c r="Q31" s="298"/>
    </row>
    <row r="32" spans="1:17">
      <c r="A32" s="234" t="s">
        <v>92</v>
      </c>
      <c r="B32" s="61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5"/>
    </row>
    <row r="33" spans="1:16" hidden="1">
      <c r="A33" s="69" t="s">
        <v>146</v>
      </c>
      <c r="B33" s="28">
        <v>-2.6</v>
      </c>
      <c r="C33" s="28">
        <v>-361.3</v>
      </c>
      <c r="D33" s="28">
        <v>-358.2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/>
      <c r="L33" s="26"/>
      <c r="M33" s="26"/>
      <c r="N33" s="26"/>
      <c r="O33" s="26"/>
      <c r="P33" s="5">
        <f>RATE(($K$8-$F$8+0.75),,-B33,J33)</f>
        <v>-0.99999935422939301</v>
      </c>
    </row>
    <row r="34" spans="1:16">
      <c r="A34" s="27" t="s">
        <v>94</v>
      </c>
      <c r="B34" s="28">
        <v>-574</v>
      </c>
      <c r="C34" s="26">
        <v>-485.7</v>
      </c>
      <c r="D34" s="26">
        <v>-505.3</v>
      </c>
      <c r="E34" s="26">
        <v>-550</v>
      </c>
      <c r="F34" s="26">
        <v>-690.4</v>
      </c>
      <c r="G34" s="26">
        <v>-851.6</v>
      </c>
      <c r="H34" s="26">
        <v>-1049</v>
      </c>
      <c r="I34" s="26">
        <v>-1519</v>
      </c>
      <c r="J34" s="26">
        <v>-1789</v>
      </c>
      <c r="K34" s="26">
        <v>-2328</v>
      </c>
      <c r="L34" s="26">
        <v>-1607</v>
      </c>
      <c r="M34" s="26">
        <v>-1506</v>
      </c>
      <c r="N34" s="26">
        <v>-1346</v>
      </c>
      <c r="O34" s="26">
        <v>-259</v>
      </c>
      <c r="P34" s="5">
        <f t="shared" ref="P34:P38" si="2">RATE(($N$8-$I$8),,-I34,N34)</f>
        <v>-2.3892932695127763E-2</v>
      </c>
    </row>
    <row r="35" spans="1:16">
      <c r="A35" s="27" t="s">
        <v>95</v>
      </c>
      <c r="B35" s="61">
        <v>169.3</v>
      </c>
      <c r="C35" s="26">
        <v>1010</v>
      </c>
      <c r="D35" s="26">
        <v>83.2</v>
      </c>
      <c r="E35" s="26">
        <v>16.3</v>
      </c>
      <c r="F35" s="26">
        <v>3.3</v>
      </c>
      <c r="G35" s="26">
        <v>7.1</v>
      </c>
      <c r="H35" s="26">
        <v>1.3</v>
      </c>
      <c r="I35" s="26">
        <v>9</v>
      </c>
      <c r="J35" s="26">
        <v>-308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5">
        <f t="shared" si="2"/>
        <v>-0.99999940914518248</v>
      </c>
    </row>
    <row r="36" spans="1:16" hidden="1">
      <c r="A36" s="29" t="s">
        <v>96</v>
      </c>
      <c r="B36" s="61">
        <v>47.8</v>
      </c>
      <c r="C36" s="26">
        <v>48.5</v>
      </c>
      <c r="D36" s="26">
        <v>36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/>
      <c r="M36" s="26"/>
      <c r="N36" s="26"/>
      <c r="O36" s="26"/>
      <c r="P36" s="5" t="e">
        <f t="shared" si="2"/>
        <v>#NUM!</v>
      </c>
    </row>
    <row r="37" spans="1:16">
      <c r="A37" s="27" t="s">
        <v>97</v>
      </c>
      <c r="B37" s="61">
        <v>125.9</v>
      </c>
      <c r="C37" s="26">
        <v>119.9</v>
      </c>
      <c r="D37" s="26">
        <v>120.9</v>
      </c>
      <c r="E37" s="26">
        <v>132.9</v>
      </c>
      <c r="F37" s="26">
        <v>95.8</v>
      </c>
      <c r="G37" s="26">
        <v>49.1</v>
      </c>
      <c r="H37" s="26">
        <v>123.4</v>
      </c>
      <c r="I37" s="26">
        <v>30</v>
      </c>
      <c r="J37" s="26">
        <v>67</v>
      </c>
      <c r="K37" s="26">
        <v>36</v>
      </c>
      <c r="L37" s="26">
        <v>0</v>
      </c>
      <c r="M37" s="26">
        <v>0</v>
      </c>
      <c r="N37" s="26">
        <v>0</v>
      </c>
      <c r="O37" s="26">
        <v>0</v>
      </c>
      <c r="P37" s="5">
        <f t="shared" si="2"/>
        <v>-0.99999940914518248</v>
      </c>
    </row>
    <row r="38" spans="1:16">
      <c r="A38" s="27" t="s">
        <v>98</v>
      </c>
      <c r="B38" s="61">
        <v>-130.4</v>
      </c>
      <c r="C38" s="26">
        <v>-114.5</v>
      </c>
      <c r="D38" s="26">
        <v>-152</v>
      </c>
      <c r="E38" s="26">
        <v>-134.30000000000001</v>
      </c>
      <c r="F38" s="26">
        <v>-89.4</v>
      </c>
      <c r="G38" s="26">
        <v>-44.7</v>
      </c>
      <c r="H38" s="26">
        <v>-84.9</v>
      </c>
      <c r="I38" s="26">
        <v>-25</v>
      </c>
      <c r="J38" s="26">
        <v>-52</v>
      </c>
      <c r="K38" s="26">
        <v>-21</v>
      </c>
      <c r="L38" s="26">
        <v>0</v>
      </c>
      <c r="M38" s="26">
        <v>0</v>
      </c>
      <c r="N38" s="26">
        <v>0</v>
      </c>
      <c r="O38" s="26">
        <v>0</v>
      </c>
      <c r="P38" s="5">
        <f t="shared" si="2"/>
        <v>-0.99999940981024027</v>
      </c>
    </row>
    <row r="39" spans="1:16">
      <c r="A39" s="27" t="s">
        <v>99</v>
      </c>
      <c r="B39" s="61">
        <v>10.3</v>
      </c>
      <c r="C39" s="26">
        <v>14.9</v>
      </c>
      <c r="D39" s="26">
        <f>17.1+189.9</f>
        <v>207</v>
      </c>
      <c r="E39" s="26">
        <v>10</v>
      </c>
      <c r="F39" s="26">
        <v>-22.8</v>
      </c>
      <c r="G39" s="26">
        <v>-6.6</v>
      </c>
      <c r="H39" s="26">
        <v>-14.9</v>
      </c>
      <c r="I39" s="26">
        <v>8</v>
      </c>
      <c r="J39" s="26">
        <v>6</v>
      </c>
      <c r="K39" s="26">
        <v>5</v>
      </c>
      <c r="L39" s="26">
        <v>-6</v>
      </c>
      <c r="M39" s="26">
        <v>-23</v>
      </c>
      <c r="N39" s="26">
        <v>4</v>
      </c>
      <c r="O39" s="26">
        <v>6</v>
      </c>
      <c r="P39" s="5"/>
    </row>
    <row r="40" spans="1:16" ht="7.5" customHeight="1">
      <c r="A40" s="27"/>
      <c r="B40" s="6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5"/>
    </row>
    <row r="41" spans="1:16">
      <c r="A41" s="235" t="s">
        <v>100</v>
      </c>
      <c r="B41" s="236">
        <v>-353.7</v>
      </c>
      <c r="C41" s="237">
        <v>231.8</v>
      </c>
      <c r="D41" s="237">
        <v>-568.4</v>
      </c>
      <c r="E41" s="237">
        <v>-525.1</v>
      </c>
      <c r="F41" s="237">
        <v>-703.5</v>
      </c>
      <c r="G41" s="237">
        <v>-846.7</v>
      </c>
      <c r="H41" s="237">
        <f t="shared" ref="H41:O41" si="3">SUM(H32:H40)</f>
        <v>-1024.1000000000001</v>
      </c>
      <c r="I41" s="237">
        <f t="shared" si="3"/>
        <v>-1497</v>
      </c>
      <c r="J41" s="237">
        <f t="shared" si="3"/>
        <v>-2076</v>
      </c>
      <c r="K41" s="237">
        <f t="shared" si="3"/>
        <v>-2308</v>
      </c>
      <c r="L41" s="237">
        <f t="shared" si="3"/>
        <v>-1613</v>
      </c>
      <c r="M41" s="237">
        <f t="shared" ref="M41:N41" si="4">SUM(M32:M40)</f>
        <v>-1529</v>
      </c>
      <c r="N41" s="237">
        <f t="shared" si="4"/>
        <v>-1342</v>
      </c>
      <c r="O41" s="237">
        <f t="shared" si="3"/>
        <v>-253</v>
      </c>
      <c r="P41" s="202">
        <f>RATE(($N$8-$I$8),,-I41,N41)</f>
        <v>-2.1623206167809456E-2</v>
      </c>
    </row>
    <row r="42" spans="1:16">
      <c r="A42" s="27"/>
      <c r="B42" s="61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5"/>
    </row>
    <row r="43" spans="1:16">
      <c r="A43" s="234" t="s">
        <v>101</v>
      </c>
      <c r="B43" s="6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5"/>
    </row>
    <row r="44" spans="1:16">
      <c r="A44" s="27" t="s">
        <v>102</v>
      </c>
      <c r="B44" s="61">
        <v>-88.1</v>
      </c>
      <c r="C44" s="26">
        <v>131.5</v>
      </c>
      <c r="D44" s="26">
        <v>-64</v>
      </c>
      <c r="E44" s="26">
        <v>-152.5</v>
      </c>
      <c r="F44" s="26">
        <v>99.9</v>
      </c>
      <c r="G44" s="26">
        <v>343.9</v>
      </c>
      <c r="H44" s="26">
        <v>-284.39999999999998</v>
      </c>
      <c r="I44" s="26">
        <v>-397</v>
      </c>
      <c r="J44" s="26">
        <v>85</v>
      </c>
      <c r="K44" s="26">
        <v>-85</v>
      </c>
      <c r="L44" s="26">
        <v>36</v>
      </c>
      <c r="M44" s="26">
        <v>652</v>
      </c>
      <c r="N44" s="26">
        <v>-688</v>
      </c>
      <c r="O44" s="26">
        <v>0</v>
      </c>
      <c r="P44" s="5"/>
    </row>
    <row r="45" spans="1:16">
      <c r="A45" s="27" t="s">
        <v>103</v>
      </c>
      <c r="B45" s="61">
        <v>1812</v>
      </c>
      <c r="C45" s="26">
        <v>1114</v>
      </c>
      <c r="D45" s="26">
        <v>791.1</v>
      </c>
      <c r="E45" s="26">
        <v>0</v>
      </c>
      <c r="F45" s="26">
        <v>0</v>
      </c>
      <c r="G45" s="26">
        <v>395.2</v>
      </c>
      <c r="H45" s="26">
        <v>296</v>
      </c>
      <c r="I45" s="26">
        <v>1193</v>
      </c>
      <c r="J45" s="26">
        <f>797+216</f>
        <v>1013</v>
      </c>
      <c r="K45" s="26">
        <v>992</v>
      </c>
      <c r="L45" s="26">
        <v>0</v>
      </c>
      <c r="M45" s="26">
        <v>399</v>
      </c>
      <c r="N45" s="26">
        <v>749</v>
      </c>
      <c r="O45" s="26">
        <v>0</v>
      </c>
      <c r="P45" s="5">
        <f t="shared" ref="P45:P51" si="5">RATE(($N$8-$I$8),,-I45,N45)</f>
        <v>-8.8895325547379597E-2</v>
      </c>
    </row>
    <row r="46" spans="1:16">
      <c r="A46" s="46" t="s">
        <v>145</v>
      </c>
      <c r="B46" s="26">
        <v>0</v>
      </c>
      <c r="C46" s="26">
        <v>0</v>
      </c>
      <c r="D46" s="26">
        <v>0</v>
      </c>
      <c r="E46" s="26">
        <v>150</v>
      </c>
      <c r="F46" s="26">
        <v>0</v>
      </c>
      <c r="G46" s="26">
        <v>0</v>
      </c>
      <c r="H46" s="26">
        <v>484.7</v>
      </c>
      <c r="I46" s="26">
        <v>200</v>
      </c>
      <c r="J46" s="26">
        <v>450</v>
      </c>
      <c r="K46" s="26">
        <v>125</v>
      </c>
      <c r="L46" s="26">
        <v>100</v>
      </c>
      <c r="M46" s="26">
        <v>0</v>
      </c>
      <c r="N46" s="26">
        <v>0</v>
      </c>
      <c r="O46" s="26">
        <v>0</v>
      </c>
      <c r="P46" s="5">
        <f t="shared" si="5"/>
        <v>-0.99999940914518248</v>
      </c>
    </row>
    <row r="47" spans="1:16">
      <c r="A47" s="299" t="s">
        <v>214</v>
      </c>
      <c r="B47" s="61">
        <v>-269.5</v>
      </c>
      <c r="C47" s="26">
        <v>-347.7</v>
      </c>
      <c r="D47" s="26">
        <v>-310.3</v>
      </c>
      <c r="E47" s="26">
        <v>-7.3</v>
      </c>
      <c r="F47" s="26">
        <v>-165.1</v>
      </c>
      <c r="G47" s="26">
        <v>-195.4</v>
      </c>
      <c r="H47" s="26">
        <v>-177.1</v>
      </c>
      <c r="I47" s="26">
        <v>-2</v>
      </c>
      <c r="J47" s="26">
        <v>-2</v>
      </c>
      <c r="K47" s="26">
        <v>-2</v>
      </c>
      <c r="L47" s="26">
        <v>-2</v>
      </c>
      <c r="M47" s="26">
        <v>-2</v>
      </c>
      <c r="N47" s="26">
        <v>-2</v>
      </c>
      <c r="O47" s="26">
        <v>-1</v>
      </c>
      <c r="P47" s="5">
        <f t="shared" si="5"/>
        <v>8.3961973870722271E-17</v>
      </c>
    </row>
    <row r="48" spans="1:16">
      <c r="A48" s="27" t="s">
        <v>210</v>
      </c>
      <c r="B48" s="61"/>
      <c r="C48" s="26"/>
      <c r="D48" s="26"/>
      <c r="E48" s="26"/>
      <c r="F48" s="26"/>
      <c r="G48" s="26"/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-550</v>
      </c>
      <c r="N48" s="26">
        <v>-200</v>
      </c>
      <c r="O48" s="26">
        <v>-150</v>
      </c>
      <c r="P48" s="5"/>
    </row>
    <row r="49" spans="1:17">
      <c r="A49" s="27" t="s">
        <v>106</v>
      </c>
      <c r="B49" s="64">
        <v>-2099</v>
      </c>
      <c r="C49" s="26">
        <v>-1787</v>
      </c>
      <c r="D49" s="26">
        <v>-59</v>
      </c>
      <c r="E49" s="26">
        <v>-144.6</v>
      </c>
      <c r="F49" s="26">
        <v>-194.1</v>
      </c>
      <c r="G49" s="26">
        <v>-259.8</v>
      </c>
      <c r="H49" s="26">
        <v>-269.7</v>
      </c>
      <c r="I49" s="26">
        <v>-127</v>
      </c>
      <c r="J49" s="26">
        <v>-413</v>
      </c>
      <c r="K49" s="26">
        <v>-144</v>
      </c>
      <c r="L49" s="26">
        <v>-16</v>
      </c>
      <c r="M49" s="26">
        <v>-588</v>
      </c>
      <c r="N49" s="26">
        <v>-102</v>
      </c>
      <c r="O49" s="26">
        <v>-11</v>
      </c>
      <c r="P49" s="5">
        <f t="shared" si="5"/>
        <v>-4.289564983126444E-2</v>
      </c>
    </row>
    <row r="50" spans="1:17" hidden="1">
      <c r="A50" s="27" t="s">
        <v>107</v>
      </c>
      <c r="B50" s="26">
        <v>0</v>
      </c>
      <c r="C50" s="26">
        <v>0</v>
      </c>
      <c r="D50" s="26">
        <v>0</v>
      </c>
      <c r="E50" s="26">
        <v>0</v>
      </c>
      <c r="F50" s="26">
        <v>-352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5" t="e">
        <f t="shared" si="5"/>
        <v>#NUM!</v>
      </c>
    </row>
    <row r="51" spans="1:17">
      <c r="A51" s="27" t="s">
        <v>108</v>
      </c>
      <c r="B51" s="61">
        <v>-26.1</v>
      </c>
      <c r="C51" s="26">
        <v>0</v>
      </c>
      <c r="D51" s="26">
        <v>0</v>
      </c>
      <c r="E51" s="26">
        <v>-7.5</v>
      </c>
      <c r="F51" s="26">
        <v>-7.5</v>
      </c>
      <c r="G51" s="26">
        <v>-7.5</v>
      </c>
      <c r="H51" s="26">
        <v>-7.5</v>
      </c>
      <c r="I51" s="26">
        <v>-38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5">
        <f t="shared" si="5"/>
        <v>-0.99999940981024027</v>
      </c>
    </row>
    <row r="52" spans="1:17">
      <c r="A52" s="27" t="s">
        <v>99</v>
      </c>
      <c r="B52" s="61">
        <v>7</v>
      </c>
      <c r="C52" s="26">
        <v>-2.1</v>
      </c>
      <c r="D52" s="26">
        <v>-13.5</v>
      </c>
      <c r="E52" s="26">
        <v>0</v>
      </c>
      <c r="F52" s="26">
        <v>-0.3</v>
      </c>
      <c r="G52" s="26">
        <v>0</v>
      </c>
      <c r="H52" s="26">
        <v>7.8</v>
      </c>
      <c r="I52" s="26">
        <v>13</v>
      </c>
      <c r="J52" s="26">
        <f>-2-216</f>
        <v>-218</v>
      </c>
      <c r="K52" s="26">
        <v>-20</v>
      </c>
      <c r="L52" s="26">
        <f>-1</f>
        <v>-1</v>
      </c>
      <c r="M52" s="26">
        <v>-2</v>
      </c>
      <c r="N52" s="26">
        <v>-9</v>
      </c>
      <c r="O52" s="26">
        <v>-1</v>
      </c>
      <c r="P52" s="5"/>
    </row>
    <row r="53" spans="1:17" ht="7.5" customHeight="1">
      <c r="A53" s="27"/>
      <c r="B53" s="61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5"/>
    </row>
    <row r="54" spans="1:17">
      <c r="A54" s="235" t="s">
        <v>109</v>
      </c>
      <c r="B54" s="238">
        <v>-663.7</v>
      </c>
      <c r="C54" s="237">
        <v>-891.3</v>
      </c>
      <c r="D54" s="237">
        <v>244.3</v>
      </c>
      <c r="E54" s="237">
        <v>-161.9</v>
      </c>
      <c r="F54" s="237">
        <v>-222.4</v>
      </c>
      <c r="G54" s="237">
        <v>276.39999999999998</v>
      </c>
      <c r="H54" s="237">
        <f t="shared" ref="H54:O54" si="6">SUM(H43:H53)</f>
        <v>49.800000000000054</v>
      </c>
      <c r="I54" s="237">
        <f t="shared" si="6"/>
        <v>842</v>
      </c>
      <c r="J54" s="237">
        <f t="shared" si="6"/>
        <v>915</v>
      </c>
      <c r="K54" s="237">
        <f t="shared" si="6"/>
        <v>866</v>
      </c>
      <c r="L54" s="237">
        <f t="shared" si="6"/>
        <v>117</v>
      </c>
      <c r="M54" s="237">
        <f t="shared" ref="M54:N54" si="7">SUM(M43:M53)</f>
        <v>-91</v>
      </c>
      <c r="N54" s="237">
        <f t="shared" si="7"/>
        <v>-252</v>
      </c>
      <c r="O54" s="237">
        <f t="shared" si="6"/>
        <v>-163</v>
      </c>
      <c r="P54" s="202"/>
    </row>
    <row r="55" spans="1:17">
      <c r="A55" s="235" t="s">
        <v>110</v>
      </c>
      <c r="B55" s="236">
        <v>-262</v>
      </c>
      <c r="C55" s="237">
        <v>-14.800000000000182</v>
      </c>
      <c r="D55" s="237">
        <v>18.500000000000057</v>
      </c>
      <c r="E55" s="237">
        <v>-5.4000000000001194</v>
      </c>
      <c r="F55" s="237">
        <v>-94.000000000000284</v>
      </c>
      <c r="G55" s="237">
        <v>140.80000000000001</v>
      </c>
      <c r="H55" s="237">
        <v>-79.7</v>
      </c>
      <c r="I55" s="237">
        <f>I30+I41+I54</f>
        <v>169</v>
      </c>
      <c r="J55" s="237">
        <f>J30+J41+J54</f>
        <v>-169</v>
      </c>
      <c r="K55" s="237">
        <f>K30+K41+K54</f>
        <v>58</v>
      </c>
      <c r="L55" s="237">
        <f>L57-L56</f>
        <v>-86</v>
      </c>
      <c r="M55" s="237">
        <f>M57-M56</f>
        <v>16</v>
      </c>
      <c r="N55" s="237">
        <f>N57-N56</f>
        <v>33</v>
      </c>
      <c r="O55" s="237">
        <v>53</v>
      </c>
      <c r="P55" s="202">
        <f>RATE(($N$8-$I$8),,-I55,N55)</f>
        <v>-0.27868419701952291</v>
      </c>
      <c r="Q55" s="241"/>
    </row>
    <row r="56" spans="1:17">
      <c r="A56" s="30" t="s">
        <v>111</v>
      </c>
      <c r="B56" s="65">
        <v>416.2</v>
      </c>
      <c r="C56" s="31">
        <v>154.19999999999999</v>
      </c>
      <c r="D56" s="31">
        <v>139.4</v>
      </c>
      <c r="E56" s="31">
        <v>157.9</v>
      </c>
      <c r="F56" s="31">
        <v>152.5</v>
      </c>
      <c r="G56" s="31">
        <v>58.499999999999602</v>
      </c>
      <c r="H56" s="31">
        <f>G57</f>
        <v>199.3</v>
      </c>
      <c r="I56" s="31">
        <v>59</v>
      </c>
      <c r="J56" s="31">
        <v>228</v>
      </c>
      <c r="K56" s="31">
        <v>59</v>
      </c>
      <c r="L56" s="31">
        <f>Historical!K12:K12</f>
        <v>117</v>
      </c>
      <c r="M56" s="31">
        <f>Historical!L12:L12</f>
        <v>31</v>
      </c>
      <c r="N56" s="31">
        <f>Historical!M12:M12</f>
        <v>47</v>
      </c>
      <c r="O56" s="31">
        <v>47</v>
      </c>
      <c r="P56" s="97">
        <f>RATE(($N$8-$I$8),,-I56,N56)</f>
        <v>-4.4459345607604429E-2</v>
      </c>
    </row>
    <row r="57" spans="1:17">
      <c r="A57" s="30" t="s">
        <v>112</v>
      </c>
      <c r="B57" s="66">
        <f>B55+B56</f>
        <v>154.19999999999999</v>
      </c>
      <c r="C57" s="31">
        <v>139.4</v>
      </c>
      <c r="D57" s="31">
        <v>157.9</v>
      </c>
      <c r="E57" s="31">
        <v>152.5</v>
      </c>
      <c r="F57" s="31">
        <v>58.499999999999602</v>
      </c>
      <c r="G57" s="31">
        <v>199.3</v>
      </c>
      <c r="H57" s="31">
        <f>H55+H56</f>
        <v>119.60000000000001</v>
      </c>
      <c r="I57" s="31">
        <f>I55+I56</f>
        <v>228</v>
      </c>
      <c r="J57" s="31">
        <f>J55+J56</f>
        <v>59</v>
      </c>
      <c r="K57" s="31">
        <f>K55+K56</f>
        <v>117</v>
      </c>
      <c r="L57" s="31">
        <f>Historical!L12</f>
        <v>31</v>
      </c>
      <c r="M57" s="31">
        <f>Historical!M12</f>
        <v>47</v>
      </c>
      <c r="N57" s="31">
        <f>Historical!N12</f>
        <v>80</v>
      </c>
      <c r="O57" s="31">
        <f>Historical!O12</f>
        <v>133</v>
      </c>
      <c r="P57" s="97">
        <f>RATE(($N$8-$I$8),,-I57,N57)</f>
        <v>-0.18898100128286219</v>
      </c>
    </row>
    <row r="58" spans="1:17">
      <c r="B58" s="67"/>
      <c r="C58" s="68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277"/>
    </row>
    <row r="60" spans="1:17">
      <c r="P60" s="53" t="s">
        <v>115</v>
      </c>
    </row>
    <row r="61" spans="1:17">
      <c r="P61" s="54" t="s">
        <v>117</v>
      </c>
    </row>
    <row r="62" spans="1:17" ht="18.75">
      <c r="A62" s="48" t="str">
        <f>A3</f>
        <v>PacifiCorp</v>
      </c>
      <c r="B62" s="49"/>
      <c r="C62" s="49"/>
      <c r="D62" s="49"/>
      <c r="E62" s="49"/>
      <c r="F62" s="49"/>
      <c r="G62" s="47"/>
      <c r="H62" s="47"/>
      <c r="I62" s="47"/>
      <c r="J62" s="47"/>
      <c r="K62" s="47"/>
      <c r="L62" s="47"/>
      <c r="M62" s="47"/>
      <c r="N62" s="47"/>
      <c r="O62" s="47"/>
      <c r="P62" s="39"/>
    </row>
    <row r="63" spans="1:17" s="37" customFormat="1" ht="15.75">
      <c r="A63" s="50" t="s">
        <v>114</v>
      </c>
      <c r="B63" s="42"/>
      <c r="C63" s="42"/>
      <c r="D63" s="42"/>
      <c r="E63" s="42"/>
      <c r="F63" s="42"/>
      <c r="G63" s="42"/>
      <c r="H63" s="56"/>
      <c r="I63" s="56"/>
      <c r="J63" s="56"/>
      <c r="K63" s="56"/>
      <c r="L63" s="56"/>
      <c r="M63" s="56"/>
      <c r="N63" s="56"/>
      <c r="O63" s="56"/>
      <c r="P63" s="56"/>
    </row>
    <row r="64" spans="1:17" s="37" customFormat="1" ht="15.75">
      <c r="A64" s="51" t="str">
        <f>A5</f>
        <v>Fiscal Years Ended December 31, 2007-2012, Three Months Ended March 31, 2013</v>
      </c>
      <c r="B64" s="42"/>
      <c r="C64" s="42"/>
      <c r="D64" s="42"/>
      <c r="E64" s="42"/>
      <c r="F64" s="42"/>
      <c r="G64" s="42"/>
      <c r="H64" s="56"/>
      <c r="I64" s="56"/>
      <c r="J64" s="56"/>
      <c r="K64" s="56"/>
      <c r="L64" s="56"/>
      <c r="M64" s="56"/>
      <c r="N64" s="56"/>
      <c r="O64" s="56"/>
      <c r="P64" s="56"/>
    </row>
    <row r="65" spans="1:23">
      <c r="A65" s="44"/>
      <c r="B65" s="239"/>
      <c r="C65" s="239"/>
      <c r="D65" s="239"/>
      <c r="E65" s="239"/>
      <c r="F65" s="239"/>
      <c r="G65" s="239"/>
      <c r="H65" s="193"/>
      <c r="I65" s="240"/>
      <c r="J65" s="240"/>
      <c r="K65" s="240"/>
      <c r="L65" s="240"/>
      <c r="M65" s="240"/>
      <c r="N65" s="240"/>
      <c r="O65" s="240" t="str">
        <f>O7</f>
        <v>March</v>
      </c>
      <c r="P65" s="230" t="str">
        <f>P6</f>
        <v>2007-2012</v>
      </c>
    </row>
    <row r="66" spans="1:23">
      <c r="A66" s="241"/>
      <c r="B66" s="233">
        <f>B8</f>
        <v>2000</v>
      </c>
      <c r="C66" s="233">
        <f t="shared" ref="C66:H66" si="8">C8</f>
        <v>2001</v>
      </c>
      <c r="D66" s="233">
        <f t="shared" si="8"/>
        <v>2002</v>
      </c>
      <c r="E66" s="233">
        <f t="shared" si="8"/>
        <v>2003</v>
      </c>
      <c r="F66" s="233">
        <f t="shared" si="8"/>
        <v>2004</v>
      </c>
      <c r="G66" s="233">
        <f t="shared" si="8"/>
        <v>2005</v>
      </c>
      <c r="H66" s="233">
        <f t="shared" si="8"/>
        <v>2006</v>
      </c>
      <c r="I66" s="196">
        <f t="shared" ref="I66:N66" si="9">I8</f>
        <v>2007</v>
      </c>
      <c r="J66" s="196">
        <f t="shared" si="9"/>
        <v>2008</v>
      </c>
      <c r="K66" s="196">
        <f t="shared" si="9"/>
        <v>2009</v>
      </c>
      <c r="L66" s="196">
        <f t="shared" si="9"/>
        <v>2010</v>
      </c>
      <c r="M66" s="196">
        <f t="shared" si="9"/>
        <v>2011</v>
      </c>
      <c r="N66" s="196">
        <f t="shared" si="9"/>
        <v>2012</v>
      </c>
      <c r="O66" s="196">
        <f>O8</f>
        <v>2013</v>
      </c>
      <c r="P66" s="242" t="s">
        <v>38</v>
      </c>
    </row>
    <row r="67" spans="1:23" ht="7.5" customHeight="1">
      <c r="B67" s="34"/>
      <c r="C67" s="35"/>
      <c r="D67" s="35"/>
      <c r="E67" s="35"/>
      <c r="F67" s="35"/>
      <c r="G67" s="35"/>
      <c r="H67" s="12"/>
      <c r="I67" s="12"/>
      <c r="J67" s="12"/>
      <c r="K67" s="12"/>
      <c r="L67" s="12"/>
      <c r="M67" s="12"/>
      <c r="N67" s="12"/>
      <c r="O67" s="12"/>
    </row>
    <row r="68" spans="1:23">
      <c r="A68" s="36" t="s">
        <v>45</v>
      </c>
      <c r="B68" s="244">
        <f>Historical!B76</f>
        <v>3986.9</v>
      </c>
      <c r="C68" s="244">
        <f>Historical!C76</f>
        <v>5055.7</v>
      </c>
      <c r="D68" s="244">
        <f>Historical!D76</f>
        <v>3353.7</v>
      </c>
      <c r="E68" s="244">
        <f>Historical!E76</f>
        <v>3082.4</v>
      </c>
      <c r="F68" s="244">
        <f>Historical!F76</f>
        <v>3194.5</v>
      </c>
      <c r="G68" s="244">
        <f>Historical!G76</f>
        <v>3048.8</v>
      </c>
      <c r="H68" s="244">
        <f>Historical!H76</f>
        <v>3896.7</v>
      </c>
      <c r="I68" s="244">
        <f>Historical!I76</f>
        <v>4258</v>
      </c>
      <c r="J68" s="244">
        <f>Historical!J76</f>
        <v>4498</v>
      </c>
      <c r="K68" s="244">
        <f>Historical!K76</f>
        <v>4457</v>
      </c>
      <c r="L68" s="244">
        <f>Historical!L76</f>
        <v>4432</v>
      </c>
      <c r="M68" s="244">
        <f>Historical!M76</f>
        <v>4586</v>
      </c>
      <c r="N68" s="244">
        <f>Historical!N76</f>
        <v>4882</v>
      </c>
      <c r="O68" s="244">
        <f>Historical!O76</f>
        <v>1232</v>
      </c>
      <c r="P68" s="256">
        <f>SUM(I68:N68)/SUM($I$68:$N$68)</f>
        <v>1</v>
      </c>
      <c r="Q68" s="37"/>
      <c r="R68" s="37"/>
      <c r="S68" s="37"/>
      <c r="T68" s="37"/>
      <c r="U68" s="37"/>
      <c r="V68" s="37"/>
      <c r="W68" s="37"/>
    </row>
    <row r="69" spans="1:23" ht="7.5" customHeight="1">
      <c r="A69" s="36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7"/>
      <c r="Q69" s="37"/>
      <c r="R69" s="37"/>
      <c r="S69" s="37"/>
      <c r="T69" s="37"/>
      <c r="U69" s="37"/>
      <c r="V69" s="37"/>
      <c r="W69" s="37"/>
    </row>
    <row r="70" spans="1:23">
      <c r="A70" s="234" t="s">
        <v>73</v>
      </c>
      <c r="B70" s="37"/>
      <c r="C70" s="37"/>
      <c r="D70" s="37"/>
      <c r="E70" s="37"/>
      <c r="F70" s="38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</row>
    <row r="71" spans="1:23">
      <c r="A71" s="27" t="s">
        <v>74</v>
      </c>
      <c r="B71" s="57">
        <f t="shared" ref="B71:L71" si="10">(B11/B$68)</f>
        <v>2.0993754546138593E-2</v>
      </c>
      <c r="C71" s="57">
        <f t="shared" si="10"/>
        <v>-1.744565539885674E-2</v>
      </c>
      <c r="D71" s="57">
        <f t="shared" si="10"/>
        <v>9.759370247786027E-2</v>
      </c>
      <c r="E71" s="57">
        <f t="shared" si="10"/>
        <v>4.5451596158837149E-2</v>
      </c>
      <c r="F71" s="57">
        <f t="shared" si="10"/>
        <v>7.7664736265456155E-2</v>
      </c>
      <c r="G71" s="57">
        <f t="shared" si="10"/>
        <v>8.2557071634741588E-2</v>
      </c>
      <c r="H71" s="57">
        <f t="shared" si="10"/>
        <v>9.2565504144532448E-2</v>
      </c>
      <c r="I71" s="57">
        <f t="shared" si="10"/>
        <v>0.1045091592296853</v>
      </c>
      <c r="J71" s="57">
        <f t="shared" si="10"/>
        <v>0.10337927967985772</v>
      </c>
      <c r="K71" s="57">
        <f t="shared" si="10"/>
        <v>0.12340139107022662</v>
      </c>
      <c r="L71" s="57">
        <f t="shared" si="10"/>
        <v>0.12770758122743683</v>
      </c>
      <c r="M71" s="57">
        <f t="shared" ref="M71:N71" si="11">(M11/M$68)</f>
        <v>0.12102049716528565</v>
      </c>
      <c r="N71" s="57">
        <f t="shared" si="11"/>
        <v>0.10999590331831216</v>
      </c>
      <c r="O71" s="57">
        <f>(O11/O$68)</f>
        <v>0.12987012987012986</v>
      </c>
      <c r="P71" s="58">
        <f>SUM(I11:N11)/SUM($I$68:$N$68)</f>
        <v>0.11500018441338103</v>
      </c>
      <c r="Q71" s="37"/>
      <c r="R71" s="37"/>
      <c r="S71" s="37"/>
      <c r="T71" s="37"/>
      <c r="U71" s="37"/>
      <c r="V71" s="37"/>
      <c r="W71" s="37"/>
    </row>
    <row r="72" spans="1:23">
      <c r="A72" s="25" t="s">
        <v>75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8"/>
      <c r="Q72" s="37"/>
      <c r="R72" s="37"/>
      <c r="S72" s="37"/>
      <c r="T72" s="37"/>
      <c r="U72" s="37"/>
      <c r="V72" s="37"/>
      <c r="W72" s="37"/>
    </row>
    <row r="73" spans="1:23">
      <c r="A73" s="25" t="s">
        <v>76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8"/>
      <c r="Q73" s="37"/>
      <c r="R73" s="37"/>
      <c r="S73" s="37"/>
      <c r="T73" s="37"/>
      <c r="U73" s="37"/>
      <c r="V73" s="37"/>
      <c r="W73" s="37"/>
    </row>
    <row r="74" spans="1:23" hidden="1">
      <c r="A74" s="29" t="s">
        <v>77</v>
      </c>
      <c r="B74" s="57">
        <f>(B14/B$68)</f>
        <v>-2.7590358423838069E-4</v>
      </c>
      <c r="C74" s="59" t="s">
        <v>78</v>
      </c>
      <c r="D74" s="57">
        <f t="shared" ref="D74:D80" si="12">(D14/D$68)</f>
        <v>-4.3742731908041864E-2</v>
      </c>
      <c r="E74" s="59" t="s">
        <v>78</v>
      </c>
      <c r="F74" s="59" t="s">
        <v>78</v>
      </c>
      <c r="G74" s="59" t="s">
        <v>78</v>
      </c>
      <c r="H74" s="59" t="s">
        <v>78</v>
      </c>
      <c r="I74" s="59" t="s">
        <v>78</v>
      </c>
      <c r="J74" s="59"/>
      <c r="K74" s="59"/>
      <c r="L74" s="59"/>
      <c r="M74" s="59"/>
      <c r="N74" s="59"/>
      <c r="O74" s="59"/>
      <c r="P74" s="58">
        <f t="shared" ref="P74:P88" si="13">SUM(I14:N14)/SUM($I$68:$N$68)</f>
        <v>0</v>
      </c>
      <c r="Q74" s="37"/>
      <c r="R74" s="37"/>
      <c r="S74" s="37"/>
      <c r="T74" s="37"/>
      <c r="U74" s="37"/>
      <c r="V74" s="37"/>
      <c r="W74" s="37"/>
    </row>
    <row r="75" spans="1:23" hidden="1">
      <c r="A75" s="27" t="s">
        <v>79</v>
      </c>
      <c r="B75" s="59" t="s">
        <v>78</v>
      </c>
      <c r="C75" s="59" t="s">
        <v>78</v>
      </c>
      <c r="D75" s="57">
        <f t="shared" si="12"/>
        <v>3.3634493246265322E-2</v>
      </c>
      <c r="E75" s="57">
        <f t="shared" ref="E75:F78" si="14">(E15/E$68)</f>
        <v>6.16402803010641E-4</v>
      </c>
      <c r="F75" s="57">
        <f t="shared" si="14"/>
        <v>2.8173423070903115E-4</v>
      </c>
      <c r="G75" s="57" t="s">
        <v>78</v>
      </c>
      <c r="H75" s="59" t="s">
        <v>78</v>
      </c>
      <c r="I75" s="59" t="s">
        <v>78</v>
      </c>
      <c r="J75" s="59"/>
      <c r="K75" s="59"/>
      <c r="L75" s="59"/>
      <c r="M75" s="59"/>
      <c r="N75" s="59"/>
      <c r="O75" s="59"/>
      <c r="P75" s="58">
        <f t="shared" si="13"/>
        <v>0</v>
      </c>
      <c r="Q75" s="37"/>
      <c r="R75" s="37"/>
      <c r="S75" s="37"/>
      <c r="T75" s="37"/>
      <c r="U75" s="37"/>
      <c r="V75" s="37"/>
      <c r="W75" s="37"/>
    </row>
    <row r="76" spans="1:23">
      <c r="A76" s="27" t="s">
        <v>80</v>
      </c>
      <c r="B76" s="59" t="s">
        <v>78</v>
      </c>
      <c r="C76" s="59" t="s">
        <v>78</v>
      </c>
      <c r="D76" s="57">
        <f t="shared" si="12"/>
        <v>-5.4506962459373233E-2</v>
      </c>
      <c r="E76" s="57">
        <f t="shared" si="14"/>
        <v>-1.0057098364910459E-3</v>
      </c>
      <c r="F76" s="57">
        <f t="shared" si="14"/>
        <v>-1.9095320081389889E-3</v>
      </c>
      <c r="G76" s="57">
        <f t="shared" ref="G76:O78" si="15">(G16/G$68)</f>
        <v>-2.7551823668328524E-3</v>
      </c>
      <c r="H76" s="57">
        <f t="shared" si="15"/>
        <v>-2.2275258552108195E-2</v>
      </c>
      <c r="I76" s="57">
        <f t="shared" si="15"/>
        <v>0</v>
      </c>
      <c r="J76" s="57">
        <f t="shared" si="15"/>
        <v>0</v>
      </c>
      <c r="K76" s="57">
        <f t="shared" si="15"/>
        <v>0</v>
      </c>
      <c r="L76" s="57">
        <f t="shared" si="15"/>
        <v>0</v>
      </c>
      <c r="M76" s="57">
        <f t="shared" ref="M76:N76" si="16">(M16/M$68)</f>
        <v>0</v>
      </c>
      <c r="N76" s="57">
        <f t="shared" si="16"/>
        <v>0</v>
      </c>
      <c r="O76" s="57">
        <f t="shared" si="15"/>
        <v>0</v>
      </c>
      <c r="P76" s="58">
        <f t="shared" si="13"/>
        <v>0</v>
      </c>
      <c r="Q76" s="37"/>
      <c r="R76" s="37"/>
      <c r="S76" s="37"/>
      <c r="T76" s="37"/>
      <c r="U76" s="37"/>
      <c r="V76" s="37"/>
      <c r="W76" s="37"/>
    </row>
    <row r="77" spans="1:23">
      <c r="A77" s="27" t="s">
        <v>81</v>
      </c>
      <c r="B77" s="57">
        <f t="shared" ref="B77:C79" si="17">(B17/B$68)</f>
        <v>0.11444982317088465</v>
      </c>
      <c r="C77" s="57">
        <f t="shared" si="17"/>
        <v>8.48547184366161E-2</v>
      </c>
      <c r="D77" s="57">
        <f t="shared" si="12"/>
        <v>0.1201657870411784</v>
      </c>
      <c r="E77" s="57">
        <f t="shared" si="14"/>
        <v>0.14089670386711653</v>
      </c>
      <c r="F77" s="57">
        <f t="shared" si="14"/>
        <v>0.13423070903114728</v>
      </c>
      <c r="G77" s="57">
        <f t="shared" si="15"/>
        <v>0.14330228286538965</v>
      </c>
      <c r="H77" s="57">
        <f t="shared" si="15"/>
        <v>0.11504606461878</v>
      </c>
      <c r="I77" s="57">
        <f t="shared" si="15"/>
        <v>0.11672146547674965</v>
      </c>
      <c r="J77" s="57">
        <f t="shared" si="15"/>
        <v>0.10893730546909737</v>
      </c>
      <c r="K77" s="57">
        <f t="shared" si="15"/>
        <v>0.12317702490464438</v>
      </c>
      <c r="L77" s="57">
        <f t="shared" si="15"/>
        <v>0.12657942238267147</v>
      </c>
      <c r="M77" s="57">
        <f t="shared" ref="M77:N77" si="18">(M17/M$68)</f>
        <v>0.13323157435673791</v>
      </c>
      <c r="N77" s="57">
        <f t="shared" si="18"/>
        <v>0.13109381401065137</v>
      </c>
      <c r="O77" s="57">
        <f t="shared" si="15"/>
        <v>0.13636363636363635</v>
      </c>
      <c r="P77" s="58">
        <f t="shared" si="13"/>
        <v>0.12348319994098772</v>
      </c>
      <c r="Q77" s="37"/>
      <c r="R77" s="37"/>
      <c r="S77" s="37"/>
      <c r="T77" s="37"/>
      <c r="U77" s="37"/>
      <c r="V77" s="37"/>
      <c r="W77" s="37"/>
    </row>
    <row r="78" spans="1:23">
      <c r="A78" s="27" t="s">
        <v>82</v>
      </c>
      <c r="B78" s="57">
        <f t="shared" si="17"/>
        <v>3.4287290877624214E-2</v>
      </c>
      <c r="C78" s="57">
        <f t="shared" si="17"/>
        <v>-5.2218288268686824E-3</v>
      </c>
      <c r="D78" s="57">
        <f t="shared" si="12"/>
        <v>1.8159048215403883E-2</v>
      </c>
      <c r="E78" s="57">
        <f t="shared" si="14"/>
        <v>1.0316636387230729E-2</v>
      </c>
      <c r="F78" s="57">
        <f t="shared" si="14"/>
        <v>2.5199561746752232E-2</v>
      </c>
      <c r="G78" s="57">
        <f t="shared" si="15"/>
        <v>3.9359748097612175E-2</v>
      </c>
      <c r="H78" s="57">
        <f t="shared" si="15"/>
        <v>3.5671208971694E-3</v>
      </c>
      <c r="I78" s="57">
        <f t="shared" si="15"/>
        <v>9.1592296852982622E-3</v>
      </c>
      <c r="J78" s="57">
        <f t="shared" si="15"/>
        <v>6.8474877723432637E-2</v>
      </c>
      <c r="K78" s="57">
        <f t="shared" si="15"/>
        <v>0.14471617680053847</v>
      </c>
      <c r="L78" s="57">
        <f t="shared" si="15"/>
        <v>0.1601985559566787</v>
      </c>
      <c r="M78" s="57">
        <f t="shared" ref="M78:N78" si="19">(M18/M$68)</f>
        <v>8.1552551242913218E-2</v>
      </c>
      <c r="N78" s="57">
        <f t="shared" si="19"/>
        <v>6.3908234330192548E-2</v>
      </c>
      <c r="O78" s="57">
        <f t="shared" si="15"/>
        <v>4.1396103896103896E-2</v>
      </c>
      <c r="P78" s="58">
        <f t="shared" si="13"/>
        <v>8.8075830782281567E-2</v>
      </c>
      <c r="Q78" s="37"/>
      <c r="R78" s="37"/>
      <c r="S78" s="37"/>
      <c r="T78" s="37"/>
      <c r="U78" s="37"/>
      <c r="V78" s="37"/>
      <c r="W78" s="37"/>
    </row>
    <row r="79" spans="1:23" hidden="1">
      <c r="A79" s="29" t="s">
        <v>83</v>
      </c>
      <c r="B79" s="57">
        <f t="shared" si="17"/>
        <v>-2.5082144021670974E-4</v>
      </c>
      <c r="C79" s="57">
        <f t="shared" si="17"/>
        <v>3.7423106592558895E-2</v>
      </c>
      <c r="D79" s="57">
        <f t="shared" si="12"/>
        <v>-1.5684169722992518E-2</v>
      </c>
      <c r="E79" s="59" t="s">
        <v>78</v>
      </c>
      <c r="F79" s="59" t="s">
        <v>78</v>
      </c>
      <c r="G79" s="59" t="s">
        <v>78</v>
      </c>
      <c r="H79" s="59" t="s">
        <v>78</v>
      </c>
      <c r="I79" s="59" t="s">
        <v>78</v>
      </c>
      <c r="J79" s="59"/>
      <c r="K79" s="59"/>
      <c r="L79" s="59"/>
      <c r="M79" s="59"/>
      <c r="N79" s="59"/>
      <c r="O79" s="59"/>
      <c r="P79" s="58">
        <f t="shared" si="13"/>
        <v>0</v>
      </c>
      <c r="Q79" s="37"/>
      <c r="R79" s="37"/>
      <c r="S79" s="37"/>
      <c r="T79" s="37"/>
      <c r="U79" s="37"/>
      <c r="V79" s="37"/>
      <c r="W79" s="37"/>
    </row>
    <row r="80" spans="1:23">
      <c r="A80" s="27" t="s">
        <v>84</v>
      </c>
      <c r="B80" s="59" t="s">
        <v>78</v>
      </c>
      <c r="C80" s="57">
        <f>(C20/C$68)</f>
        <v>-6.9426587811776816E-3</v>
      </c>
      <c r="D80" s="57">
        <f t="shared" si="12"/>
        <v>-6.2885767957777977E-2</v>
      </c>
      <c r="E80" s="57">
        <f t="shared" ref="E80:O80" si="20">(E20/E$68)</f>
        <v>4.762522709576953E-2</v>
      </c>
      <c r="F80" s="57">
        <f t="shared" si="20"/>
        <v>3.477852559085929E-2</v>
      </c>
      <c r="G80" s="57">
        <f t="shared" si="20"/>
        <v>2.1877459984256102E-2</v>
      </c>
      <c r="H80" s="57">
        <f t="shared" si="20"/>
        <v>1.324197397798137E-2</v>
      </c>
      <c r="I80" s="57">
        <f t="shared" si="20"/>
        <v>-1.0568341944574918E-2</v>
      </c>
      <c r="J80" s="57">
        <f t="shared" si="20"/>
        <v>-8.2258781680747007E-3</v>
      </c>
      <c r="K80" s="57">
        <f t="shared" si="20"/>
        <v>1.121830827911151E-3</v>
      </c>
      <c r="L80" s="57">
        <f t="shared" si="20"/>
        <v>9.025270758122744E-4</v>
      </c>
      <c r="M80" s="57">
        <f t="shared" ref="M80:N80" si="21">(M20/M$68)</f>
        <v>-5.0152638464893151E-3</v>
      </c>
      <c r="N80" s="57">
        <f t="shared" si="21"/>
        <v>2.0483408439164277E-4</v>
      </c>
      <c r="O80" s="57">
        <f t="shared" si="20"/>
        <v>-5.681818181818182E-3</v>
      </c>
      <c r="P80" s="58">
        <f t="shared" si="13"/>
        <v>-3.5038542396636299E-3</v>
      </c>
      <c r="Q80" s="37"/>
      <c r="R80" s="37"/>
      <c r="S80" s="37"/>
      <c r="T80" s="37"/>
      <c r="U80" s="37"/>
      <c r="V80" s="37"/>
      <c r="W80" s="37"/>
    </row>
    <row r="81" spans="1:23">
      <c r="A81" s="27" t="s">
        <v>85</v>
      </c>
      <c r="B81" s="57">
        <f>(B21/B$68)</f>
        <v>1.291730417116055E-2</v>
      </c>
      <c r="C81" s="59" t="s">
        <v>78</v>
      </c>
      <c r="D81" s="59" t="s">
        <v>78</v>
      </c>
      <c r="E81" s="57">
        <f t="shared" ref="E81:O81" si="22">(E21/E$68)</f>
        <v>1.103036594861147E-3</v>
      </c>
      <c r="F81" s="57">
        <f t="shared" si="22"/>
        <v>-2.0347472217874473E-3</v>
      </c>
      <c r="G81" s="57">
        <f t="shared" si="22"/>
        <v>-8.8559433219627393E-3</v>
      </c>
      <c r="H81" s="57">
        <f t="shared" si="22"/>
        <v>1.2831370133702877E-2</v>
      </c>
      <c r="I81" s="57">
        <f t="shared" si="22"/>
        <v>7.045561296383278E-4</v>
      </c>
      <c r="J81" s="57">
        <f t="shared" si="22"/>
        <v>-2.2232103156958646E-3</v>
      </c>
      <c r="K81" s="57">
        <f t="shared" si="22"/>
        <v>-7.1797172986313666E-3</v>
      </c>
      <c r="L81" s="57">
        <f t="shared" si="22"/>
        <v>-1.3086642599277979E-2</v>
      </c>
      <c r="M81" s="57">
        <f t="shared" ref="M81:N81" si="23">(M21/M$68)</f>
        <v>-5.451373746184038E-3</v>
      </c>
      <c r="N81" s="57">
        <f t="shared" si="23"/>
        <v>-6.5546907005325688E-3</v>
      </c>
      <c r="O81" s="57">
        <f t="shared" si="22"/>
        <v>-8.1168831168831161E-3</v>
      </c>
      <c r="P81" s="58">
        <f t="shared" si="13"/>
        <v>-5.6799321358757789E-3</v>
      </c>
      <c r="Q81" s="37"/>
      <c r="R81" s="37"/>
      <c r="S81" s="37"/>
      <c r="T81" s="37"/>
      <c r="U81" s="37"/>
      <c r="V81" s="37"/>
      <c r="W81" s="37"/>
    </row>
    <row r="82" spans="1:23">
      <c r="A82" s="25" t="s">
        <v>86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8"/>
      <c r="Q82" s="37"/>
      <c r="R82" s="37"/>
      <c r="S82" s="37"/>
      <c r="T82" s="37"/>
      <c r="U82" s="37"/>
      <c r="V82" s="37"/>
      <c r="W82" s="37"/>
    </row>
    <row r="83" spans="1:23">
      <c r="A83" s="27" t="str">
        <f t="shared" ref="A83:A88" si="24">A23</f>
        <v xml:space="preserve">      Accounts receivable, prepayments and other current assets</v>
      </c>
      <c r="B83" s="57">
        <f t="shared" ref="B83:L83" si="25">(B23/B$68)</f>
        <v>-1.0258596904863427E-2</v>
      </c>
      <c r="C83" s="57">
        <f t="shared" si="25"/>
        <v>-3.2003481219217915E-2</v>
      </c>
      <c r="D83" s="57">
        <f t="shared" si="25"/>
        <v>4.9259027342934671E-2</v>
      </c>
      <c r="E83" s="57">
        <f t="shared" si="25"/>
        <v>2.465611212042564E-3</v>
      </c>
      <c r="F83" s="57">
        <f t="shared" si="25"/>
        <v>-5.321646580059477E-4</v>
      </c>
      <c r="G83" s="57">
        <f t="shared" si="25"/>
        <v>-4.5198110732091318E-2</v>
      </c>
      <c r="H83" s="57">
        <f t="shared" si="25"/>
        <v>1.8246208330125489E-2</v>
      </c>
      <c r="I83" s="57">
        <f t="shared" si="25"/>
        <v>-1.9023015500234851E-2</v>
      </c>
      <c r="J83" s="57">
        <f t="shared" si="25"/>
        <v>6.6696309470875941E-4</v>
      </c>
      <c r="K83" s="57">
        <f t="shared" si="25"/>
        <v>-1.121830827911151E-3</v>
      </c>
      <c r="L83" s="57">
        <f t="shared" si="25"/>
        <v>-3.1588447653429601E-3</v>
      </c>
      <c r="M83" s="57">
        <f t="shared" ref="M83:N83" si="26">(M23/M$68)</f>
        <v>-9.1583078935891845E-3</v>
      </c>
      <c r="N83" s="57">
        <f t="shared" si="26"/>
        <v>-3.482179434657927E-3</v>
      </c>
      <c r="O83" s="57">
        <f t="shared" ref="O83:O88" si="27">(O23/O$68)</f>
        <v>8.9285714285714288E-2</v>
      </c>
      <c r="P83" s="58">
        <f t="shared" si="13"/>
        <v>-5.7536974882897501E-3</v>
      </c>
      <c r="Q83" s="37"/>
      <c r="R83" s="37"/>
      <c r="S83" s="37"/>
      <c r="T83" s="37"/>
      <c r="U83" s="37"/>
      <c r="V83" s="37"/>
      <c r="W83" s="37"/>
    </row>
    <row r="84" spans="1:23">
      <c r="A84" s="27" t="str">
        <f t="shared" si="24"/>
        <v xml:space="preserve">      Derivative Collateral, net</v>
      </c>
      <c r="B84" s="57">
        <f>(B25/B$68)</f>
        <v>9.782036168451678E-4</v>
      </c>
      <c r="C84" s="57">
        <f>(C25/C$68)</f>
        <v>-1.8395078821923771E-3</v>
      </c>
      <c r="D84" s="57">
        <f>(D25/D$68)</f>
        <v>2.0872469213107912E-3</v>
      </c>
      <c r="E84" s="57">
        <f>(E25/E$68)</f>
        <v>-5.7747209966260054E-3</v>
      </c>
      <c r="F84" s="57">
        <f>(F25/F$68)</f>
        <v>4.413836281108155E-3</v>
      </c>
      <c r="G84" s="57">
        <f t="shared" ref="G84:L88" si="28">(G24/G$68)</f>
        <v>0</v>
      </c>
      <c r="H84" s="57">
        <f t="shared" si="28"/>
        <v>0</v>
      </c>
      <c r="I84" s="57">
        <f t="shared" si="28"/>
        <v>0</v>
      </c>
      <c r="J84" s="57">
        <f t="shared" si="28"/>
        <v>-1.823032458870609E-2</v>
      </c>
      <c r="K84" s="57">
        <f t="shared" si="28"/>
        <v>1.2788871438187121E-2</v>
      </c>
      <c r="L84" s="57">
        <f t="shared" si="28"/>
        <v>-2.3014440433212997E-2</v>
      </c>
      <c r="M84" s="57">
        <f t="shared" ref="M84:N84" si="29">(M24/M$68)</f>
        <v>8.7221979938944616E-4</v>
      </c>
      <c r="N84" s="57">
        <f t="shared" si="29"/>
        <v>1.3928717738631708E-2</v>
      </c>
      <c r="O84" s="57">
        <f t="shared" si="27"/>
        <v>1.7857142857142856E-2</v>
      </c>
      <c r="P84" s="58">
        <f t="shared" si="13"/>
        <v>-2.028547191384207E-3</v>
      </c>
      <c r="Q84" s="37"/>
      <c r="R84" s="37"/>
      <c r="S84" s="37"/>
      <c r="T84" s="37"/>
      <c r="U84" s="37"/>
      <c r="V84" s="37"/>
      <c r="W84" s="37"/>
    </row>
    <row r="85" spans="1:23">
      <c r="A85" s="27" t="str">
        <f t="shared" si="24"/>
        <v xml:space="preserve">      Inventories</v>
      </c>
      <c r="B85" s="59" t="s">
        <v>78</v>
      </c>
      <c r="C85" s="59" t="s">
        <v>78</v>
      </c>
      <c r="D85" s="57">
        <f t="shared" ref="D85:F86" si="30">(D26/D$68)</f>
        <v>-3.4588663267435967E-3</v>
      </c>
      <c r="E85" s="57">
        <f t="shared" si="30"/>
        <v>1.0543732156760965E-2</v>
      </c>
      <c r="F85" s="57">
        <f t="shared" si="30"/>
        <v>-1.1519799655658162E-2</v>
      </c>
      <c r="G85" s="57">
        <f t="shared" si="28"/>
        <v>-5.3135659931776427E-3</v>
      </c>
      <c r="H85" s="57">
        <f t="shared" si="28"/>
        <v>-9.982805964020838E-3</v>
      </c>
      <c r="I85" s="57">
        <f t="shared" si="28"/>
        <v>-1.1272898074213245E-2</v>
      </c>
      <c r="J85" s="57">
        <f t="shared" si="28"/>
        <v>-1.1560693641618497E-2</v>
      </c>
      <c r="K85" s="57">
        <f t="shared" si="28"/>
        <v>-8.7502804577069774E-3</v>
      </c>
      <c r="L85" s="57">
        <f t="shared" si="28"/>
        <v>-5.8664259927797835E-3</v>
      </c>
      <c r="M85" s="57">
        <f t="shared" ref="M85:N85" si="31">(M25/M$68)</f>
        <v>-1.286524204099433E-2</v>
      </c>
      <c r="N85" s="57">
        <f t="shared" si="31"/>
        <v>-7.1691929537074971E-3</v>
      </c>
      <c r="O85" s="57">
        <f t="shared" si="27"/>
        <v>-8.1168831168831161E-3</v>
      </c>
      <c r="P85" s="58">
        <f t="shared" si="13"/>
        <v>-9.5526131376092657E-3</v>
      </c>
      <c r="Q85" s="37"/>
      <c r="R85" s="37"/>
      <c r="S85" s="37"/>
      <c r="T85" s="37"/>
      <c r="U85" s="37"/>
      <c r="V85" s="37"/>
      <c r="W85" s="37"/>
    </row>
    <row r="86" spans="1:23">
      <c r="A86" s="27" t="str">
        <f t="shared" si="24"/>
        <v xml:space="preserve">      Income taxes, net</v>
      </c>
      <c r="B86" s="57">
        <f>(B27/B$68)</f>
        <v>1.6629461486367854E-2</v>
      </c>
      <c r="C86" s="57">
        <f>(C27/C$68)</f>
        <v>0.10756176197163597</v>
      </c>
      <c r="D86" s="57">
        <f t="shared" si="30"/>
        <v>-4.5024897873989923E-2</v>
      </c>
      <c r="E86" s="57">
        <f t="shared" si="30"/>
        <v>-3.1501427459122759E-2</v>
      </c>
      <c r="F86" s="57">
        <f t="shared" si="30"/>
        <v>-1.0330255125997809E-3</v>
      </c>
      <c r="G86" s="57">
        <f t="shared" si="28"/>
        <v>-1.075833114668066E-2</v>
      </c>
      <c r="H86" s="57">
        <f t="shared" si="28"/>
        <v>9.2899119768008846E-3</v>
      </c>
      <c r="I86" s="57">
        <f t="shared" si="28"/>
        <v>4.9318929074682952E-3</v>
      </c>
      <c r="J86" s="57">
        <f t="shared" si="28"/>
        <v>-4.4464206313917292E-3</v>
      </c>
      <c r="K86" s="57">
        <f t="shared" si="28"/>
        <v>-4.6219430109939424E-2</v>
      </c>
      <c r="L86" s="57">
        <f t="shared" si="28"/>
        <v>-2.1660649819494584E-2</v>
      </c>
      <c r="M86" s="57">
        <f t="shared" ref="M86:N86" si="32">(M26/M$68)</f>
        <v>5.9965111208024426E-2</v>
      </c>
      <c r="N86" s="57">
        <f t="shared" si="32"/>
        <v>2.4170421958213846E-2</v>
      </c>
      <c r="O86" s="57">
        <f t="shared" si="27"/>
        <v>-2.5974025974025976E-2</v>
      </c>
      <c r="P86" s="58">
        <f t="shared" si="13"/>
        <v>3.3932062110426731E-3</v>
      </c>
      <c r="Q86" s="37"/>
      <c r="R86" s="37"/>
      <c r="S86" s="37"/>
      <c r="T86" s="37"/>
      <c r="U86" s="37"/>
      <c r="V86" s="37"/>
      <c r="W86" s="37"/>
    </row>
    <row r="87" spans="1:23">
      <c r="A87" s="27" t="str">
        <f t="shared" si="24"/>
        <v xml:space="preserve">      Accounts payable and accrued liabilities</v>
      </c>
      <c r="B87" s="57"/>
      <c r="C87" s="57"/>
      <c r="D87" s="57"/>
      <c r="E87" s="57"/>
      <c r="F87" s="57"/>
      <c r="G87" s="57">
        <f t="shared" si="28"/>
        <v>2.7584623458409861E-2</v>
      </c>
      <c r="H87" s="57">
        <f t="shared" si="28"/>
        <v>-3.438807195832371E-3</v>
      </c>
      <c r="I87" s="57">
        <f t="shared" si="28"/>
        <v>0</v>
      </c>
      <c r="J87" s="57">
        <f t="shared" si="28"/>
        <v>-1.6229435304579813E-2</v>
      </c>
      <c r="K87" s="57">
        <f t="shared" si="28"/>
        <v>-5.3847879739735245E-3</v>
      </c>
      <c r="L87" s="57">
        <f t="shared" si="28"/>
        <v>-3.0460288808664259E-2</v>
      </c>
      <c r="M87" s="57">
        <f t="shared" ref="M87:N87" si="33">(M27/M$68)</f>
        <v>-7.4138682948102922E-3</v>
      </c>
      <c r="N87" s="57">
        <f t="shared" si="33"/>
        <v>7.1691929537074971E-3</v>
      </c>
      <c r="O87" s="57">
        <f t="shared" si="27"/>
        <v>1.3798701298701298E-2</v>
      </c>
      <c r="P87" s="58">
        <f t="shared" si="13"/>
        <v>-8.5198982038136688E-3</v>
      </c>
      <c r="Q87" s="37"/>
      <c r="R87" s="37"/>
      <c r="S87" s="37"/>
      <c r="T87" s="37"/>
      <c r="U87" s="37"/>
      <c r="V87" s="37"/>
      <c r="W87" s="37"/>
    </row>
    <row r="88" spans="1:23">
      <c r="A88" s="27" t="str">
        <f t="shared" si="24"/>
        <v xml:space="preserve">      Other</v>
      </c>
      <c r="B88" s="59" t="s">
        <v>78</v>
      </c>
      <c r="C88" s="57">
        <f>(C28/C$68)</f>
        <v>-6.3492691417607857E-3</v>
      </c>
      <c r="D88" s="57">
        <f>(D28/D$68)</f>
        <v>-1.2821659659480575E-2</v>
      </c>
      <c r="E88" s="57">
        <f>(E28/E$68)</f>
        <v>3.8930703348040484E-4</v>
      </c>
      <c r="F88" s="57">
        <f>(F28/F$68)</f>
        <v>8.7650649553920796E-4</v>
      </c>
      <c r="G88" s="57">
        <f t="shared" si="28"/>
        <v>-8.5607452112306474E-3</v>
      </c>
      <c r="H88" s="57">
        <f t="shared" si="28"/>
        <v>4.8759206508070934E-4</v>
      </c>
      <c r="I88" s="57">
        <f t="shared" si="28"/>
        <v>-1.6439643024894317E-3</v>
      </c>
      <c r="J88" s="57">
        <f t="shared" si="28"/>
        <v>0</v>
      </c>
      <c r="K88" s="57">
        <f t="shared" si="28"/>
        <v>0</v>
      </c>
      <c r="L88" s="57">
        <f t="shared" si="28"/>
        <v>0</v>
      </c>
      <c r="M88" s="57">
        <f t="shared" ref="M88:N88" si="34">(M28/M$68)</f>
        <v>0</v>
      </c>
      <c r="N88" s="57">
        <f t="shared" si="34"/>
        <v>0</v>
      </c>
      <c r="O88" s="57">
        <f t="shared" si="27"/>
        <v>0</v>
      </c>
      <c r="P88" s="58">
        <f t="shared" si="13"/>
        <v>-2.5817873344889908E-4</v>
      </c>
      <c r="Q88" s="37"/>
      <c r="R88" s="37"/>
      <c r="S88" s="37"/>
      <c r="T88" s="37"/>
      <c r="U88" s="37"/>
      <c r="V88" s="37"/>
      <c r="W88" s="37"/>
    </row>
    <row r="89" spans="1:23" ht="7.5" customHeight="1">
      <c r="A89" s="2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8"/>
      <c r="Q89" s="37"/>
      <c r="R89" s="37"/>
      <c r="S89" s="37"/>
      <c r="T89" s="37"/>
      <c r="U89" s="37"/>
      <c r="V89" s="37"/>
      <c r="W89" s="37"/>
    </row>
    <row r="90" spans="1:23">
      <c r="A90" s="235" t="s">
        <v>91</v>
      </c>
      <c r="B90" s="243">
        <f t="shared" ref="B90:L90" si="35">(B30/B$68)</f>
        <v>0.18947051593970249</v>
      </c>
      <c r="C90" s="243">
        <f t="shared" si="35"/>
        <v>0.12751943351069087</v>
      </c>
      <c r="D90" s="243">
        <f t="shared" si="35"/>
        <v>0.10215582789158238</v>
      </c>
      <c r="E90" s="243">
        <f t="shared" si="35"/>
        <v>0.22112639501686981</v>
      </c>
      <c r="F90" s="243">
        <f t="shared" si="35"/>
        <v>0.26041634058538105</v>
      </c>
      <c r="G90" s="243">
        <f t="shared" si="35"/>
        <v>0.2332393072684335</v>
      </c>
      <c r="H90" s="243">
        <f t="shared" si="35"/>
        <v>0.22957887443221181</v>
      </c>
      <c r="I90" s="243">
        <f t="shared" si="35"/>
        <v>0.19351808360732739</v>
      </c>
      <c r="J90" s="243">
        <f t="shared" si="35"/>
        <v>0.22054246331702979</v>
      </c>
      <c r="K90" s="243">
        <f t="shared" si="35"/>
        <v>0.33654924837334532</v>
      </c>
      <c r="L90" s="243">
        <f t="shared" si="35"/>
        <v>0.31814079422382674</v>
      </c>
      <c r="M90" s="243">
        <f t="shared" ref="M90:N90" si="36">(M30/M$68)</f>
        <v>0.35673789795028349</v>
      </c>
      <c r="N90" s="243">
        <f t="shared" si="36"/>
        <v>0.33326505530520278</v>
      </c>
      <c r="O90" s="243">
        <f>(O30/O$68)</f>
        <v>0.38068181818181818</v>
      </c>
      <c r="P90" s="284">
        <f>SUM(I30:N30)/SUM($I$68:$N$68)</f>
        <v>0.29465570021760779</v>
      </c>
      <c r="Q90" s="37"/>
      <c r="R90" s="37"/>
      <c r="S90" s="37"/>
      <c r="T90" s="37"/>
      <c r="U90" s="37"/>
      <c r="V90" s="37"/>
      <c r="W90" s="37"/>
    </row>
    <row r="91" spans="1:23">
      <c r="A91" s="27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58"/>
      <c r="Q91" s="37"/>
      <c r="R91" s="37"/>
      <c r="S91" s="37"/>
      <c r="T91" s="37"/>
      <c r="U91" s="37"/>
      <c r="V91" s="37"/>
      <c r="W91" s="37"/>
    </row>
    <row r="92" spans="1:23">
      <c r="A92" s="234" t="s">
        <v>92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8"/>
      <c r="Q92" s="37"/>
      <c r="R92" s="37"/>
      <c r="S92" s="37"/>
      <c r="T92" s="37"/>
      <c r="U92" s="37"/>
      <c r="V92" s="37"/>
      <c r="W92" s="37"/>
    </row>
    <row r="93" spans="1:23" hidden="1">
      <c r="A93" s="25" t="s">
        <v>93</v>
      </c>
      <c r="B93" s="57">
        <f t="shared" ref="B93:D99" si="37">(B33/B$68)</f>
        <v>-6.5213574456344527E-4</v>
      </c>
      <c r="C93" s="57">
        <f t="shared" si="37"/>
        <v>-7.1463892240441487E-2</v>
      </c>
      <c r="D93" s="57">
        <f t="shared" si="37"/>
        <v>-0.10680740674478933</v>
      </c>
      <c r="E93" s="59" t="s">
        <v>78</v>
      </c>
      <c r="F93" s="59" t="s">
        <v>78</v>
      </c>
      <c r="G93" s="59" t="s">
        <v>78</v>
      </c>
      <c r="H93" s="59" t="s">
        <v>78</v>
      </c>
      <c r="I93" s="59" t="s">
        <v>78</v>
      </c>
      <c r="J93" s="59"/>
      <c r="K93" s="59"/>
      <c r="L93" s="59"/>
      <c r="M93" s="59"/>
      <c r="N93" s="59"/>
      <c r="O93" s="59"/>
      <c r="P93" s="58"/>
      <c r="Q93" s="37"/>
      <c r="R93" s="37"/>
      <c r="S93" s="37"/>
      <c r="T93" s="37"/>
      <c r="U93" s="37"/>
      <c r="V93" s="37"/>
      <c r="W93" s="37"/>
    </row>
    <row r="94" spans="1:23">
      <c r="A94" s="27" t="s">
        <v>94</v>
      </c>
      <c r="B94" s="57">
        <f t="shared" si="37"/>
        <v>-0.14397150668439138</v>
      </c>
      <c r="C94" s="57">
        <f t="shared" si="37"/>
        <v>-9.6069782621595434E-2</v>
      </c>
      <c r="D94" s="57">
        <f t="shared" si="37"/>
        <v>-0.15066940990547753</v>
      </c>
      <c r="E94" s="57">
        <f t="shared" ref="E94:O94" si="38">(E34/E$68)</f>
        <v>-0.17843239034518557</v>
      </c>
      <c r="F94" s="57">
        <f t="shared" si="38"/>
        <v>-0.21612145875723901</v>
      </c>
      <c r="G94" s="57">
        <f t="shared" si="38"/>
        <v>-0.27932301233272105</v>
      </c>
      <c r="H94" s="57">
        <f t="shared" si="38"/>
        <v>-0.26920214540508636</v>
      </c>
      <c r="I94" s="57">
        <f t="shared" si="38"/>
        <v>-0.35674025364020667</v>
      </c>
      <c r="J94" s="57">
        <f t="shared" si="38"/>
        <v>-0.3977323254779902</v>
      </c>
      <c r="K94" s="57">
        <f t="shared" si="38"/>
        <v>-0.52232443347543189</v>
      </c>
      <c r="L94" s="57">
        <f t="shared" si="38"/>
        <v>-0.36259025270758122</v>
      </c>
      <c r="M94" s="57">
        <f t="shared" ref="M94:N94" si="39">(M34/M$68)</f>
        <v>-0.32839075447012644</v>
      </c>
      <c r="N94" s="57">
        <f t="shared" si="39"/>
        <v>-0.27570667759115119</v>
      </c>
      <c r="O94" s="57">
        <f t="shared" si="38"/>
        <v>-0.21022727272727273</v>
      </c>
      <c r="P94" s="58">
        <f t="shared" ref="P94:P99" si="40">SUM(I34:N34)/SUM($I$68:$N$68)</f>
        <v>-0.37233061630951941</v>
      </c>
      <c r="Q94" s="37"/>
      <c r="R94" s="37"/>
      <c r="S94" s="37"/>
      <c r="T94" s="37"/>
      <c r="U94" s="37"/>
      <c r="V94" s="37"/>
      <c r="W94" s="37"/>
    </row>
    <row r="95" spans="1:23">
      <c r="A95" s="27" t="s">
        <v>95</v>
      </c>
      <c r="B95" s="57">
        <f t="shared" si="37"/>
        <v>4.2464069828688958E-2</v>
      </c>
      <c r="C95" s="57">
        <f t="shared" si="37"/>
        <v>0.19977451193702159</v>
      </c>
      <c r="D95" s="57">
        <f t="shared" si="37"/>
        <v>2.4808420550436833E-2</v>
      </c>
      <c r="E95" s="57">
        <f t="shared" ref="E95:O95" si="41">(E35/E$68)</f>
        <v>5.2880872047754999E-3</v>
      </c>
      <c r="F95" s="57">
        <f t="shared" si="41"/>
        <v>1.0330255125997809E-3</v>
      </c>
      <c r="G95" s="57">
        <f t="shared" si="41"/>
        <v>2.3287850957753866E-3</v>
      </c>
      <c r="H95" s="57">
        <f t="shared" si="41"/>
        <v>3.3361562347627484E-4</v>
      </c>
      <c r="I95" s="57">
        <f t="shared" si="41"/>
        <v>2.1136683889149835E-3</v>
      </c>
      <c r="J95" s="57">
        <f t="shared" si="41"/>
        <v>-6.8474877723432637E-2</v>
      </c>
      <c r="K95" s="57">
        <f t="shared" si="41"/>
        <v>0</v>
      </c>
      <c r="L95" s="57">
        <f t="shared" si="41"/>
        <v>0</v>
      </c>
      <c r="M95" s="57">
        <f t="shared" ref="M95:N95" si="42">(M35/M$68)</f>
        <v>0</v>
      </c>
      <c r="N95" s="57">
        <f t="shared" si="42"/>
        <v>0</v>
      </c>
      <c r="O95" s="57">
        <f t="shared" si="41"/>
        <v>0</v>
      </c>
      <c r="P95" s="58">
        <f t="shared" si="40"/>
        <v>-1.1027920185888688E-2</v>
      </c>
      <c r="Q95" s="37"/>
      <c r="R95" s="37"/>
      <c r="S95" s="37"/>
      <c r="T95" s="37"/>
      <c r="U95" s="37"/>
      <c r="V95" s="37"/>
      <c r="W95" s="37"/>
    </row>
    <row r="96" spans="1:23">
      <c r="A96" s="29" t="s">
        <v>96</v>
      </c>
      <c r="B96" s="57">
        <f t="shared" si="37"/>
        <v>1.1989264842358724E-2</v>
      </c>
      <c r="C96" s="57">
        <f t="shared" si="37"/>
        <v>9.5931325039064815E-3</v>
      </c>
      <c r="D96" s="57">
        <f t="shared" si="37"/>
        <v>1.0734412738169783E-2</v>
      </c>
      <c r="E96" s="59" t="s">
        <v>78</v>
      </c>
      <c r="F96" s="59" t="s">
        <v>78</v>
      </c>
      <c r="G96" s="57">
        <f t="shared" ref="G96:O99" si="43">(G36/G$68)</f>
        <v>0</v>
      </c>
      <c r="H96" s="57">
        <f t="shared" si="43"/>
        <v>0</v>
      </c>
      <c r="I96" s="57">
        <f t="shared" si="43"/>
        <v>0</v>
      </c>
      <c r="J96" s="57">
        <f t="shared" si="43"/>
        <v>0</v>
      </c>
      <c r="K96" s="57">
        <f t="shared" si="43"/>
        <v>0</v>
      </c>
      <c r="L96" s="57">
        <f t="shared" si="43"/>
        <v>0</v>
      </c>
      <c r="M96" s="57">
        <f t="shared" ref="M96:N96" si="44">(M36/M$68)</f>
        <v>0</v>
      </c>
      <c r="N96" s="57">
        <f t="shared" si="44"/>
        <v>0</v>
      </c>
      <c r="O96" s="57">
        <f t="shared" si="43"/>
        <v>0</v>
      </c>
      <c r="P96" s="58">
        <f t="shared" si="40"/>
        <v>0</v>
      </c>
      <c r="Q96" s="37"/>
      <c r="R96" s="37"/>
      <c r="S96" s="37"/>
      <c r="T96" s="37"/>
      <c r="U96" s="37"/>
      <c r="V96" s="37"/>
      <c r="W96" s="37"/>
    </row>
    <row r="97" spans="1:23">
      <c r="A97" s="27" t="s">
        <v>97</v>
      </c>
      <c r="B97" s="57">
        <f t="shared" si="37"/>
        <v>3.1578419323283757E-2</v>
      </c>
      <c r="C97" s="57">
        <f t="shared" si="37"/>
        <v>2.3715805922028602E-2</v>
      </c>
      <c r="D97" s="57">
        <f t="shared" si="37"/>
        <v>3.6049736112353521E-2</v>
      </c>
      <c r="E97" s="57">
        <f t="shared" ref="E97:F99" si="45">(E37/E$68)</f>
        <v>4.311575395795484E-2</v>
      </c>
      <c r="F97" s="57">
        <f t="shared" si="45"/>
        <v>2.9989043668805761E-2</v>
      </c>
      <c r="G97" s="57">
        <f t="shared" si="43"/>
        <v>1.6104696929939648E-2</v>
      </c>
      <c r="H97" s="57">
        <f t="shared" si="43"/>
        <v>3.1667821489978702E-2</v>
      </c>
      <c r="I97" s="57">
        <f t="shared" si="43"/>
        <v>7.0455612963832787E-3</v>
      </c>
      <c r="J97" s="57">
        <f t="shared" si="43"/>
        <v>1.4895509115162294E-2</v>
      </c>
      <c r="K97" s="57">
        <f t="shared" si="43"/>
        <v>8.077181960960288E-3</v>
      </c>
      <c r="L97" s="57">
        <f t="shared" si="43"/>
        <v>0</v>
      </c>
      <c r="M97" s="57">
        <f t="shared" ref="M97:N97" si="46">(M37/M$68)</f>
        <v>0</v>
      </c>
      <c r="N97" s="57">
        <f t="shared" si="46"/>
        <v>0</v>
      </c>
      <c r="O97" s="57">
        <f t="shared" si="43"/>
        <v>0</v>
      </c>
      <c r="P97" s="58">
        <f t="shared" si="40"/>
        <v>4.905395935529082E-3</v>
      </c>
      <c r="Q97" s="37"/>
      <c r="R97" s="37"/>
      <c r="S97" s="37"/>
      <c r="T97" s="37"/>
      <c r="U97" s="37"/>
      <c r="V97" s="37"/>
      <c r="W97" s="37"/>
    </row>
    <row r="98" spans="1:23">
      <c r="A98" s="27" t="s">
        <v>98</v>
      </c>
      <c r="B98" s="57">
        <f t="shared" si="37"/>
        <v>-3.2707115804258946E-2</v>
      </c>
      <c r="C98" s="57">
        <f t="shared" si="37"/>
        <v>-2.2647704571078189E-2</v>
      </c>
      <c r="D98" s="57">
        <f t="shared" si="37"/>
        <v>-4.5323076005605749E-2</v>
      </c>
      <c r="E98" s="57">
        <f t="shared" si="45"/>
        <v>-4.3569945497015317E-2</v>
      </c>
      <c r="F98" s="57">
        <f t="shared" si="45"/>
        <v>-2.7985600250430429E-2</v>
      </c>
      <c r="G98" s="57">
        <f t="shared" si="43"/>
        <v>-1.4661506166360536E-2</v>
      </c>
      <c r="H98" s="57">
        <f t="shared" si="43"/>
        <v>-2.1787666487027488E-2</v>
      </c>
      <c r="I98" s="57">
        <f t="shared" si="43"/>
        <v>-5.8713010803193985E-3</v>
      </c>
      <c r="J98" s="57">
        <f t="shared" si="43"/>
        <v>-1.1560693641618497E-2</v>
      </c>
      <c r="K98" s="57">
        <f t="shared" si="43"/>
        <v>-4.7116894772268342E-3</v>
      </c>
      <c r="L98" s="57">
        <f t="shared" si="43"/>
        <v>0</v>
      </c>
      <c r="M98" s="57">
        <f t="shared" ref="M98:N98" si="47">(M38/M$68)</f>
        <v>0</v>
      </c>
      <c r="N98" s="57">
        <f t="shared" si="47"/>
        <v>0</v>
      </c>
      <c r="O98" s="57">
        <f t="shared" si="43"/>
        <v>0</v>
      </c>
      <c r="P98" s="58">
        <f t="shared" si="40"/>
        <v>-3.6145022682845867E-3</v>
      </c>
      <c r="Q98" s="37"/>
      <c r="R98" s="37"/>
      <c r="S98" s="37"/>
      <c r="T98" s="37"/>
      <c r="U98" s="37"/>
      <c r="V98" s="37"/>
      <c r="W98" s="37"/>
    </row>
    <row r="99" spans="1:23">
      <c r="A99" s="27" t="s">
        <v>99</v>
      </c>
      <c r="B99" s="57">
        <f t="shared" si="37"/>
        <v>2.5834608342321101E-3</v>
      </c>
      <c r="C99" s="57">
        <f t="shared" si="37"/>
        <v>2.9471685424372492E-3</v>
      </c>
      <c r="D99" s="57">
        <f t="shared" si="37"/>
        <v>6.1722873244476256E-2</v>
      </c>
      <c r="E99" s="57">
        <f t="shared" si="45"/>
        <v>3.2442252790033741E-3</v>
      </c>
      <c r="F99" s="57">
        <f t="shared" si="45"/>
        <v>-7.1372671779621226E-3</v>
      </c>
      <c r="G99" s="57">
        <f t="shared" si="43"/>
        <v>-2.1647861453686695E-3</v>
      </c>
      <c r="H99" s="57">
        <f t="shared" si="43"/>
        <v>-3.8237482998434574E-3</v>
      </c>
      <c r="I99" s="57">
        <f t="shared" si="43"/>
        <v>1.8788163457022077E-3</v>
      </c>
      <c r="J99" s="57">
        <f t="shared" si="43"/>
        <v>1.3339261894175188E-3</v>
      </c>
      <c r="K99" s="57">
        <f t="shared" si="43"/>
        <v>1.121830827911151E-3</v>
      </c>
      <c r="L99" s="57">
        <f t="shared" si="43"/>
        <v>-1.3537906137184115E-3</v>
      </c>
      <c r="M99" s="57">
        <f t="shared" ref="M99:N99" si="48">(M39/M$68)</f>
        <v>-5.0152638464893151E-3</v>
      </c>
      <c r="N99" s="57">
        <f t="shared" si="48"/>
        <v>8.1933633756657109E-4</v>
      </c>
      <c r="O99" s="57">
        <f t="shared" si="43"/>
        <v>4.87012987012987E-3</v>
      </c>
      <c r="P99" s="58">
        <f t="shared" si="40"/>
        <v>-2.2129605724191347E-4</v>
      </c>
      <c r="Q99" s="37"/>
      <c r="R99" s="37"/>
      <c r="S99" s="37"/>
      <c r="T99" s="37"/>
      <c r="U99" s="37"/>
      <c r="V99" s="37"/>
      <c r="W99" s="37"/>
    </row>
    <row r="100" spans="1:23" ht="7.5" customHeight="1">
      <c r="A100" s="2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8"/>
      <c r="Q100" s="37"/>
      <c r="R100" s="37"/>
      <c r="S100" s="37"/>
      <c r="T100" s="37"/>
      <c r="U100" s="37"/>
      <c r="V100" s="37"/>
      <c r="W100" s="37"/>
    </row>
    <row r="101" spans="1:23">
      <c r="A101" s="235" t="s">
        <v>100</v>
      </c>
      <c r="B101" s="243">
        <f t="shared" ref="B101:L101" si="49">(B41/B$68)</f>
        <v>-8.8715543404650224E-2</v>
      </c>
      <c r="C101" s="243">
        <f t="shared" si="49"/>
        <v>4.584923947227882E-2</v>
      </c>
      <c r="D101" s="243">
        <f t="shared" si="49"/>
        <v>-0.16948445001043624</v>
      </c>
      <c r="E101" s="243">
        <f t="shared" si="49"/>
        <v>-0.17035426940046716</v>
      </c>
      <c r="F101" s="243">
        <f t="shared" si="49"/>
        <v>-0.22022225700422601</v>
      </c>
      <c r="G101" s="243">
        <f t="shared" si="49"/>
        <v>-0.27771582261873523</v>
      </c>
      <c r="H101" s="243">
        <f t="shared" si="49"/>
        <v>-0.26281212307850238</v>
      </c>
      <c r="I101" s="243">
        <f t="shared" si="49"/>
        <v>-0.35157350868952558</v>
      </c>
      <c r="J101" s="243">
        <f t="shared" si="49"/>
        <v>-0.46153846153846156</v>
      </c>
      <c r="K101" s="243">
        <f t="shared" si="49"/>
        <v>-0.51783711016378731</v>
      </c>
      <c r="L101" s="243">
        <f t="shared" si="49"/>
        <v>-0.36394404332129965</v>
      </c>
      <c r="M101" s="243">
        <f t="shared" ref="M101:N101" si="50">(M41/M$68)</f>
        <v>-0.33340601831661576</v>
      </c>
      <c r="N101" s="243">
        <f t="shared" si="50"/>
        <v>-0.27488734125358461</v>
      </c>
      <c r="O101" s="243">
        <f>(O41/O$68)</f>
        <v>-0.20535714285714285</v>
      </c>
      <c r="P101" s="284">
        <f>SUM(I41:N41)/SUM($I$68:$N$68)</f>
        <v>-0.38228893888540555</v>
      </c>
      <c r="Q101" s="37"/>
      <c r="R101" s="37"/>
      <c r="S101" s="37"/>
      <c r="T101" s="37"/>
      <c r="U101" s="37"/>
      <c r="V101" s="37"/>
      <c r="W101" s="37"/>
    </row>
    <row r="102" spans="1:23">
      <c r="A102" s="27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58"/>
      <c r="Q102" s="37"/>
      <c r="R102" s="37"/>
      <c r="S102" s="37"/>
      <c r="T102" s="37"/>
      <c r="U102" s="37"/>
      <c r="V102" s="37"/>
      <c r="W102" s="37"/>
    </row>
    <row r="103" spans="1:23">
      <c r="A103" s="25" t="s">
        <v>101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8"/>
      <c r="Q103" s="37"/>
      <c r="R103" s="37"/>
      <c r="S103" s="37"/>
      <c r="T103" s="37"/>
      <c r="U103" s="37"/>
      <c r="V103" s="37"/>
      <c r="W103" s="37"/>
    </row>
    <row r="104" spans="1:23">
      <c r="A104" s="27" t="s">
        <v>102</v>
      </c>
      <c r="B104" s="57">
        <f t="shared" ref="B104:L104" si="51">(B44/B$68)</f>
        <v>-2.2097368883092126E-2</v>
      </c>
      <c r="C104" s="57">
        <f t="shared" si="51"/>
        <v>2.6010245861107267E-2</v>
      </c>
      <c r="D104" s="57">
        <f t="shared" si="51"/>
        <v>-1.9083400423412947E-2</v>
      </c>
      <c r="E104" s="57">
        <f t="shared" si="51"/>
        <v>-4.9474435504801455E-2</v>
      </c>
      <c r="F104" s="57">
        <f t="shared" si="51"/>
        <v>3.1272499608702459E-2</v>
      </c>
      <c r="G104" s="57">
        <f t="shared" si="51"/>
        <v>0.11279847808974021</v>
      </c>
      <c r="H104" s="57">
        <f t="shared" si="51"/>
        <v>-7.2984833320501957E-2</v>
      </c>
      <c r="I104" s="57">
        <f t="shared" si="51"/>
        <v>-9.3236261155472053E-2</v>
      </c>
      <c r="J104" s="57">
        <f t="shared" si="51"/>
        <v>1.8897287683414851E-2</v>
      </c>
      <c r="K104" s="57">
        <f t="shared" si="51"/>
        <v>-1.9071124074489566E-2</v>
      </c>
      <c r="L104" s="57">
        <f t="shared" si="51"/>
        <v>8.1227436823104685E-3</v>
      </c>
      <c r="M104" s="57">
        <f t="shared" ref="M104:N104" si="52">(M44/M$68)</f>
        <v>0.14217182730047973</v>
      </c>
      <c r="N104" s="57">
        <f t="shared" si="52"/>
        <v>-0.14092585006145023</v>
      </c>
      <c r="O104" s="57">
        <f>(O44/O$68)</f>
        <v>0</v>
      </c>
      <c r="P104" s="58">
        <f t="shared" ref="P104:P112" si="53">SUM(I44:N44)/SUM($I$68:$N$68)</f>
        <v>-1.4642422454173274E-2</v>
      </c>
      <c r="Q104" s="37"/>
      <c r="R104" s="37"/>
      <c r="S104" s="37"/>
      <c r="T104" s="37"/>
      <c r="U104" s="37"/>
      <c r="V104" s="37"/>
      <c r="W104" s="37"/>
    </row>
    <row r="105" spans="1:23">
      <c r="A105" s="27" t="s">
        <v>103</v>
      </c>
      <c r="B105" s="57">
        <f>(B45/B$68)</f>
        <v>0.45448844967267799</v>
      </c>
      <c r="C105" s="57">
        <f>(C45/C$68)</f>
        <v>0.22034535277014064</v>
      </c>
      <c r="D105" s="57">
        <f>(D45/D$68)</f>
        <v>0.23588871992128099</v>
      </c>
      <c r="E105" s="59" t="s">
        <v>78</v>
      </c>
      <c r="F105" s="57">
        <f t="shared" ref="F105:L105" si="54">(F45/F$68)</f>
        <v>0</v>
      </c>
      <c r="G105" s="57">
        <f t="shared" si="54"/>
        <v>0.12962477040146941</v>
      </c>
      <c r="H105" s="57">
        <f t="shared" si="54"/>
        <v>7.5961711191521036E-2</v>
      </c>
      <c r="I105" s="57">
        <f t="shared" si="54"/>
        <v>0.28017848755284169</v>
      </c>
      <c r="J105" s="57">
        <f t="shared" si="54"/>
        <v>0.22521120497999111</v>
      </c>
      <c r="K105" s="57">
        <f t="shared" si="54"/>
        <v>0.22257123625757236</v>
      </c>
      <c r="L105" s="57">
        <f t="shared" si="54"/>
        <v>0</v>
      </c>
      <c r="M105" s="57">
        <f t="shared" ref="M105:N105" si="55">(M45/M$68)</f>
        <v>8.7003924989097259E-2</v>
      </c>
      <c r="N105" s="57">
        <f t="shared" si="55"/>
        <v>0.15342072920934044</v>
      </c>
      <c r="O105" s="57">
        <f>(O45/O$68)</f>
        <v>0</v>
      </c>
      <c r="P105" s="58">
        <f t="shared" si="53"/>
        <v>0.16029211079555933</v>
      </c>
      <c r="Q105" s="37"/>
      <c r="R105" s="37"/>
      <c r="S105" s="37"/>
      <c r="T105" s="37"/>
      <c r="U105" s="37"/>
      <c r="V105" s="37"/>
      <c r="W105" s="37"/>
    </row>
    <row r="106" spans="1:23">
      <c r="A106" s="27" t="s">
        <v>104</v>
      </c>
      <c r="B106" s="59" t="s">
        <v>78</v>
      </c>
      <c r="C106" s="59" t="s">
        <v>78</v>
      </c>
      <c r="D106" s="59" t="s">
        <v>78</v>
      </c>
      <c r="E106" s="57">
        <f>(E46/E$68)</f>
        <v>4.8663379185050606E-2</v>
      </c>
      <c r="F106" s="57">
        <f t="shared" ref="F106:L106" si="56">(F46/$H$68)</f>
        <v>0</v>
      </c>
      <c r="G106" s="57">
        <f t="shared" si="56"/>
        <v>0</v>
      </c>
      <c r="H106" s="57">
        <f t="shared" si="56"/>
        <v>0.12438730207611569</v>
      </c>
      <c r="I106" s="57">
        <f t="shared" si="56"/>
        <v>5.1325480534811507E-2</v>
      </c>
      <c r="J106" s="57">
        <f t="shared" si="56"/>
        <v>0.11548233120332589</v>
      </c>
      <c r="K106" s="57">
        <f t="shared" si="56"/>
        <v>3.2078425334257192E-2</v>
      </c>
      <c r="L106" s="57">
        <f t="shared" si="56"/>
        <v>2.5662740267405754E-2</v>
      </c>
      <c r="M106" s="57">
        <f t="shared" ref="M106:N106" si="57">(M46/$H$68)</f>
        <v>0</v>
      </c>
      <c r="N106" s="57">
        <f t="shared" si="57"/>
        <v>0</v>
      </c>
      <c r="O106" s="57">
        <f>(O46/$H$68)</f>
        <v>0</v>
      </c>
      <c r="P106" s="58">
        <f t="shared" si="53"/>
        <v>3.2272341681112385E-2</v>
      </c>
      <c r="Q106" s="37"/>
      <c r="R106" s="37"/>
      <c r="S106" s="37"/>
      <c r="T106" s="37"/>
      <c r="U106" s="37"/>
      <c r="V106" s="37"/>
      <c r="W106" s="37"/>
    </row>
    <row r="107" spans="1:23">
      <c r="A107" s="27" t="s">
        <v>105</v>
      </c>
      <c r="B107" s="57">
        <f>(B47/B$68)</f>
        <v>-6.7596378138403274E-2</v>
      </c>
      <c r="C107" s="57">
        <f>(C47/C$68)</f>
        <v>-6.877385920841822E-2</v>
      </c>
      <c r="D107" s="57">
        <f>(D47/D$68)</f>
        <v>-9.2524674240391222E-2</v>
      </c>
      <c r="E107" s="57">
        <f>(E47/E$68)</f>
        <v>-2.3682844536724629E-3</v>
      </c>
      <c r="F107" s="57">
        <f t="shared" ref="F107:O108" si="58">(F47/F$68)</f>
        <v>-5.1682579433401155E-2</v>
      </c>
      <c r="G107" s="57">
        <f t="shared" si="58"/>
        <v>-6.4090789818945157E-2</v>
      </c>
      <c r="H107" s="57">
        <f t="shared" si="58"/>
        <v>-4.5448713013575587E-2</v>
      </c>
      <c r="I107" s="57">
        <f t="shared" si="58"/>
        <v>-4.6970408642555192E-4</v>
      </c>
      <c r="J107" s="57">
        <f t="shared" si="58"/>
        <v>-4.4464206313917296E-4</v>
      </c>
      <c r="K107" s="57">
        <f t="shared" si="58"/>
        <v>-4.4873233116446041E-4</v>
      </c>
      <c r="L107" s="57">
        <f t="shared" si="58"/>
        <v>-4.512635379061372E-4</v>
      </c>
      <c r="M107" s="57">
        <f t="shared" ref="M107:N108" si="59">(M47/M$68)</f>
        <v>-4.3610989969472308E-4</v>
      </c>
      <c r="N107" s="57">
        <f t="shared" si="59"/>
        <v>-4.0966816878328555E-4</v>
      </c>
      <c r="O107" s="57">
        <f t="shared" si="58"/>
        <v>-8.1168831168831174E-4</v>
      </c>
      <c r="P107" s="58">
        <f t="shared" si="53"/>
        <v>-4.4259211448382694E-4</v>
      </c>
      <c r="Q107" s="37"/>
      <c r="R107" s="37"/>
      <c r="S107" s="37"/>
      <c r="T107" s="37"/>
      <c r="U107" s="37"/>
      <c r="V107" s="37"/>
      <c r="W107" s="37"/>
    </row>
    <row r="108" spans="1:23">
      <c r="A108" s="27" t="str">
        <f>A48</f>
        <v xml:space="preserve">     Common Stock Dividends paid</v>
      </c>
      <c r="B108" s="57"/>
      <c r="C108" s="57"/>
      <c r="D108" s="57"/>
      <c r="E108" s="57"/>
      <c r="F108" s="57"/>
      <c r="G108" s="57"/>
      <c r="H108" s="57"/>
      <c r="I108" s="57">
        <f t="shared" si="58"/>
        <v>0</v>
      </c>
      <c r="J108" s="57">
        <f t="shared" si="58"/>
        <v>0</v>
      </c>
      <c r="K108" s="57">
        <f t="shared" si="58"/>
        <v>0</v>
      </c>
      <c r="L108" s="57">
        <f t="shared" si="58"/>
        <v>0</v>
      </c>
      <c r="M108" s="57">
        <f t="shared" si="59"/>
        <v>-0.11993022241604885</v>
      </c>
      <c r="N108" s="57">
        <f t="shared" si="59"/>
        <v>-4.0966816878328552E-2</v>
      </c>
      <c r="O108" s="57">
        <f t="shared" si="58"/>
        <v>-0.12175324675324675</v>
      </c>
      <c r="P108" s="58">
        <f t="shared" si="53"/>
        <v>-2.7662007155239185E-2</v>
      </c>
      <c r="Q108" s="37"/>
      <c r="R108" s="37"/>
      <c r="S108" s="37"/>
      <c r="T108" s="37"/>
      <c r="U108" s="37"/>
      <c r="V108" s="37"/>
      <c r="W108" s="37"/>
    </row>
    <row r="109" spans="1:23">
      <c r="A109" s="27" t="s">
        <v>106</v>
      </c>
      <c r="B109" s="57">
        <f t="shared" ref="B109:O109" si="60">(B49/B$68)</f>
        <v>-0.52647420301487369</v>
      </c>
      <c r="C109" s="57">
        <f t="shared" si="60"/>
        <v>-0.35346242854599758</v>
      </c>
      <c r="D109" s="57">
        <f t="shared" si="60"/>
        <v>-1.7592509765333813E-2</v>
      </c>
      <c r="E109" s="57">
        <f t="shared" si="60"/>
        <v>-4.6911497534388787E-2</v>
      </c>
      <c r="F109" s="57">
        <f t="shared" si="60"/>
        <v>-6.076068242291438E-2</v>
      </c>
      <c r="G109" s="57">
        <f t="shared" si="60"/>
        <v>-8.5213854631330355E-2</v>
      </c>
      <c r="H109" s="57">
        <f t="shared" si="60"/>
        <v>-6.9212410501193311E-2</v>
      </c>
      <c r="I109" s="57">
        <f t="shared" si="60"/>
        <v>-2.9826209488022545E-2</v>
      </c>
      <c r="J109" s="57">
        <f t="shared" si="60"/>
        <v>-9.1818586038239211E-2</v>
      </c>
      <c r="K109" s="57">
        <f t="shared" si="60"/>
        <v>-3.2308727843841152E-2</v>
      </c>
      <c r="L109" s="57">
        <f t="shared" si="60"/>
        <v>-3.6101083032490976E-3</v>
      </c>
      <c r="M109" s="57">
        <f t="shared" ref="M109:N109" si="61">(M49/M$68)</f>
        <v>-0.12821631051024859</v>
      </c>
      <c r="N109" s="57">
        <f t="shared" si="61"/>
        <v>-2.0893076607947564E-2</v>
      </c>
      <c r="O109" s="57">
        <f t="shared" si="60"/>
        <v>-8.9285714285714281E-3</v>
      </c>
      <c r="P109" s="58">
        <f t="shared" si="53"/>
        <v>-5.1266919927709952E-2</v>
      </c>
      <c r="Q109" s="37"/>
      <c r="R109" s="37"/>
      <c r="S109" s="37"/>
      <c r="T109" s="37"/>
      <c r="U109" s="37"/>
      <c r="V109" s="37"/>
      <c r="W109" s="37"/>
    </row>
    <row r="110" spans="1:23" hidden="1">
      <c r="A110" s="27" t="s">
        <v>107</v>
      </c>
      <c r="B110" s="59" t="s">
        <v>78</v>
      </c>
      <c r="C110" s="59" t="s">
        <v>78</v>
      </c>
      <c r="D110" s="59" t="s">
        <v>78</v>
      </c>
      <c r="E110" s="59" t="s">
        <v>78</v>
      </c>
      <c r="F110" s="57">
        <f t="shared" ref="F110:O112" si="62">(F50/F$68)</f>
        <v>-0.11018938801064329</v>
      </c>
      <c r="G110" s="57">
        <f t="shared" si="62"/>
        <v>0</v>
      </c>
      <c r="H110" s="57">
        <f t="shared" si="62"/>
        <v>0</v>
      </c>
      <c r="I110" s="57">
        <f t="shared" si="62"/>
        <v>0</v>
      </c>
      <c r="J110" s="57">
        <f t="shared" si="62"/>
        <v>0</v>
      </c>
      <c r="K110" s="57">
        <f t="shared" si="62"/>
        <v>0</v>
      </c>
      <c r="L110" s="57">
        <f t="shared" si="62"/>
        <v>0</v>
      </c>
      <c r="M110" s="57">
        <f t="shared" ref="M110:N110" si="63">(M50/M$68)</f>
        <v>0</v>
      </c>
      <c r="N110" s="57">
        <f t="shared" si="63"/>
        <v>0</v>
      </c>
      <c r="O110" s="57">
        <f t="shared" si="62"/>
        <v>0</v>
      </c>
      <c r="P110" s="58">
        <f t="shared" si="53"/>
        <v>0</v>
      </c>
      <c r="Q110" s="37"/>
      <c r="R110" s="37"/>
      <c r="S110" s="37"/>
      <c r="T110" s="37"/>
      <c r="U110" s="37"/>
      <c r="V110" s="37"/>
      <c r="W110" s="37"/>
    </row>
    <row r="111" spans="1:23">
      <c r="A111" s="27" t="s">
        <v>108</v>
      </c>
      <c r="B111" s="57">
        <f>(B51/B$68)</f>
        <v>-6.5464395896561237E-3</v>
      </c>
      <c r="C111" s="59" t="s">
        <v>78</v>
      </c>
      <c r="D111" s="59" t="s">
        <v>78</v>
      </c>
      <c r="E111" s="57">
        <f>(E51/E$68)</f>
        <v>-2.4331689592525306E-3</v>
      </c>
      <c r="F111" s="57">
        <f t="shared" si="62"/>
        <v>-2.3477852559085927E-3</v>
      </c>
      <c r="G111" s="57">
        <f t="shared" si="62"/>
        <v>-2.459984256100761E-3</v>
      </c>
      <c r="H111" s="57">
        <f t="shared" si="62"/>
        <v>-1.9247055200554315E-3</v>
      </c>
      <c r="I111" s="57">
        <f t="shared" si="62"/>
        <v>-8.9243776420854862E-3</v>
      </c>
      <c r="J111" s="57">
        <f t="shared" si="62"/>
        <v>0</v>
      </c>
      <c r="K111" s="57">
        <f t="shared" si="62"/>
        <v>0</v>
      </c>
      <c r="L111" s="57">
        <f t="shared" si="62"/>
        <v>0</v>
      </c>
      <c r="M111" s="57">
        <f t="shared" ref="M111:N111" si="64">(M51/M$68)</f>
        <v>0</v>
      </c>
      <c r="N111" s="57">
        <f t="shared" si="64"/>
        <v>0</v>
      </c>
      <c r="O111" s="57">
        <f t="shared" si="62"/>
        <v>0</v>
      </c>
      <c r="P111" s="58">
        <f t="shared" si="53"/>
        <v>-1.4015416958654519E-3</v>
      </c>
      <c r="Q111" s="37"/>
      <c r="R111" s="37"/>
      <c r="S111" s="37"/>
      <c r="T111" s="37"/>
      <c r="U111" s="37"/>
      <c r="V111" s="37"/>
      <c r="W111" s="37"/>
    </row>
    <row r="112" spans="1:23">
      <c r="A112" s="27" t="s">
        <v>99</v>
      </c>
      <c r="B112" s="57">
        <f>(B52/B$68)</f>
        <v>1.755750081516968E-3</v>
      </c>
      <c r="C112" s="57">
        <f>(C52/C$68)</f>
        <v>-4.153727475918271E-4</v>
      </c>
      <c r="D112" s="57">
        <f>(D52/D$68)</f>
        <v>-4.0254047768136687E-3</v>
      </c>
      <c r="E112" s="59" t="s">
        <v>78</v>
      </c>
      <c r="F112" s="57">
        <f t="shared" si="62"/>
        <v>-9.3911410236343718E-5</v>
      </c>
      <c r="G112" s="57">
        <f t="shared" si="62"/>
        <v>0</v>
      </c>
      <c r="H112" s="57">
        <f t="shared" si="62"/>
        <v>2.0016937408576488E-3</v>
      </c>
      <c r="I112" s="57">
        <f t="shared" si="62"/>
        <v>3.0530765617660873E-3</v>
      </c>
      <c r="J112" s="57">
        <f t="shared" si="62"/>
        <v>-4.8465984882169855E-2</v>
      </c>
      <c r="K112" s="57">
        <f t="shared" si="62"/>
        <v>-4.4873233116446039E-3</v>
      </c>
      <c r="L112" s="57">
        <f t="shared" si="62"/>
        <v>-2.256317689530686E-4</v>
      </c>
      <c r="M112" s="57">
        <f t="shared" ref="M112:N112" si="65">(M52/M$68)</f>
        <v>-4.3610989969472308E-4</v>
      </c>
      <c r="N112" s="57">
        <f t="shared" si="65"/>
        <v>-1.8435067595247848E-3</v>
      </c>
      <c r="O112" s="57">
        <f t="shared" si="62"/>
        <v>-8.1168831168831174E-4</v>
      </c>
      <c r="P112" s="58">
        <f t="shared" si="53"/>
        <v>-8.7411942610555824E-3</v>
      </c>
      <c r="Q112" s="37"/>
      <c r="R112" s="37"/>
      <c r="S112" s="37"/>
      <c r="T112" s="37"/>
      <c r="U112" s="37"/>
      <c r="V112" s="37"/>
      <c r="W112" s="37"/>
    </row>
    <row r="113" spans="1:23" ht="7.5" customHeight="1">
      <c r="A113" s="2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8"/>
      <c r="Q113" s="37"/>
      <c r="R113" s="37"/>
      <c r="S113" s="37"/>
      <c r="T113" s="37"/>
      <c r="U113" s="37"/>
      <c r="V113" s="37"/>
      <c r="W113" s="37"/>
    </row>
    <row r="114" spans="1:23">
      <c r="A114" s="235" t="s">
        <v>109</v>
      </c>
      <c r="B114" s="243">
        <f t="shared" ref="B114:L114" si="66">(B54/B$68)</f>
        <v>-0.16647018987183027</v>
      </c>
      <c r="C114" s="243">
        <f t="shared" si="66"/>
        <v>-0.17629606187075975</v>
      </c>
      <c r="D114" s="243">
        <f t="shared" si="66"/>
        <v>7.2844917553746613E-2</v>
      </c>
      <c r="E114" s="243">
        <f t="shared" si="66"/>
        <v>-5.2524007267064625E-2</v>
      </c>
      <c r="F114" s="243">
        <f t="shared" si="66"/>
        <v>-6.9619658788542815E-2</v>
      </c>
      <c r="G114" s="243">
        <f t="shared" si="66"/>
        <v>9.0658619784833361E-2</v>
      </c>
      <c r="H114" s="243">
        <f t="shared" si="66"/>
        <v>1.2780044653168079E-2</v>
      </c>
      <c r="I114" s="243">
        <f t="shared" si="66"/>
        <v>0.19774542038515736</v>
      </c>
      <c r="J114" s="243">
        <f t="shared" si="66"/>
        <v>0.20342374388617163</v>
      </c>
      <c r="K114" s="243">
        <f t="shared" si="66"/>
        <v>0.19430109939421136</v>
      </c>
      <c r="L114" s="243">
        <f t="shared" si="66"/>
        <v>2.6398916967509026E-2</v>
      </c>
      <c r="M114" s="243">
        <f t="shared" ref="M114:N114" si="67">(M54/M$68)</f>
        <v>-1.9843000436109901E-2</v>
      </c>
      <c r="N114" s="243">
        <f t="shared" si="67"/>
        <v>-5.1618189266693981E-2</v>
      </c>
      <c r="O114" s="243">
        <f>(O54/O$68)</f>
        <v>-0.13230519480519481</v>
      </c>
      <c r="P114" s="284">
        <f>SUM(I54:N54)/SUM($I$68:$N$68)</f>
        <v>8.8407774868144426E-2</v>
      </c>
      <c r="Q114" s="37"/>
      <c r="R114" s="37"/>
      <c r="S114" s="37"/>
      <c r="T114" s="37"/>
      <c r="U114" s="37"/>
      <c r="V114" s="37"/>
      <c r="W114" s="37"/>
    </row>
    <row r="115" spans="1:23">
      <c r="A115" s="235" t="s">
        <v>110</v>
      </c>
      <c r="B115" s="243">
        <f t="shared" ref="B115:L115" si="68">(B55/B$68)</f>
        <v>-6.5715217336777945E-2</v>
      </c>
      <c r="C115" s="243">
        <f t="shared" si="68"/>
        <v>-2.9273888877900554E-3</v>
      </c>
      <c r="D115" s="243">
        <f t="shared" si="68"/>
        <v>5.5162954348928223E-3</v>
      </c>
      <c r="E115" s="243">
        <f t="shared" si="68"/>
        <v>-1.7518816506618606E-3</v>
      </c>
      <c r="F115" s="243">
        <f t="shared" si="68"/>
        <v>-2.9425575207387786E-2</v>
      </c>
      <c r="G115" s="243">
        <f t="shared" si="68"/>
        <v>4.6182104434531621E-2</v>
      </c>
      <c r="H115" s="243">
        <f t="shared" si="68"/>
        <v>-2.0453203993122386E-2</v>
      </c>
      <c r="I115" s="243">
        <f t="shared" si="68"/>
        <v>3.9689995302959136E-2</v>
      </c>
      <c r="J115" s="243">
        <f t="shared" si="68"/>
        <v>-3.7572254335260118E-2</v>
      </c>
      <c r="K115" s="243">
        <f t="shared" si="68"/>
        <v>1.3013237603769351E-2</v>
      </c>
      <c r="L115" s="243">
        <f t="shared" si="68"/>
        <v>-1.9404332129963901E-2</v>
      </c>
      <c r="M115" s="243">
        <f t="shared" ref="M115:N115" si="69">(M55/M$68)</f>
        <v>3.4888791975577847E-3</v>
      </c>
      <c r="N115" s="243">
        <f t="shared" si="69"/>
        <v>6.759524784924211E-3</v>
      </c>
      <c r="O115" s="243">
        <f>(O55/O$68)</f>
        <v>4.301948051948052E-2</v>
      </c>
      <c r="P115" s="284">
        <f>SUM(I55:N55)/SUM($I$68:$N$68)</f>
        <v>7.7453620034669717E-4</v>
      </c>
      <c r="Q115" s="37"/>
      <c r="R115" s="37"/>
      <c r="S115" s="37"/>
      <c r="T115" s="37"/>
      <c r="U115" s="37"/>
      <c r="V115" s="37"/>
      <c r="W115" s="37"/>
    </row>
    <row r="116" spans="1:23">
      <c r="A116" s="30" t="s">
        <v>111</v>
      </c>
      <c r="B116" s="70">
        <f t="shared" ref="B116:L116" si="70">(B56/B$68)</f>
        <v>0.10439188341819458</v>
      </c>
      <c r="C116" s="70">
        <f t="shared" si="70"/>
        <v>3.0500227466028443E-2</v>
      </c>
      <c r="D116" s="70">
        <f t="shared" si="70"/>
        <v>4.1566031547246328E-2</v>
      </c>
      <c r="E116" s="70">
        <f t="shared" si="70"/>
        <v>5.1226317155463275E-2</v>
      </c>
      <c r="F116" s="70">
        <f t="shared" si="70"/>
        <v>4.7738300203474721E-2</v>
      </c>
      <c r="G116" s="70">
        <f t="shared" si="70"/>
        <v>1.9187877197585804E-2</v>
      </c>
      <c r="H116" s="70">
        <f t="shared" si="70"/>
        <v>5.1145841352939675E-2</v>
      </c>
      <c r="I116" s="70">
        <f t="shared" si="70"/>
        <v>1.3856270549553781E-2</v>
      </c>
      <c r="J116" s="70">
        <f t="shared" si="70"/>
        <v>5.0689195197865716E-2</v>
      </c>
      <c r="K116" s="70">
        <f t="shared" si="70"/>
        <v>1.3237603769351581E-2</v>
      </c>
      <c r="L116" s="70">
        <f t="shared" si="70"/>
        <v>2.6398916967509026E-2</v>
      </c>
      <c r="M116" s="70">
        <f t="shared" ref="M116:N116" si="71">(M56/M$68)</f>
        <v>6.7597034452682074E-3</v>
      </c>
      <c r="N116" s="70">
        <f t="shared" si="71"/>
        <v>9.6272019664072096E-3</v>
      </c>
      <c r="O116" s="70">
        <f>(O56/O$68)</f>
        <v>3.8149350649350648E-2</v>
      </c>
      <c r="P116" s="290">
        <f>SUM(I56:N56)/SUM($I$68:$N$68)</f>
        <v>1.9953527827979198E-2</v>
      </c>
      <c r="Q116" s="37"/>
      <c r="R116" s="37"/>
      <c r="S116" s="37"/>
      <c r="T116" s="37"/>
      <c r="U116" s="37"/>
      <c r="V116" s="37"/>
      <c r="W116" s="37"/>
    </row>
    <row r="117" spans="1:23">
      <c r="A117" s="30" t="s">
        <v>112</v>
      </c>
      <c r="B117" s="70">
        <f t="shared" ref="B117:L117" si="72">(B57/B$68)</f>
        <v>3.8676666081416636E-2</v>
      </c>
      <c r="C117" s="70">
        <f t="shared" si="72"/>
        <v>2.7572838578238425E-2</v>
      </c>
      <c r="D117" s="70">
        <f t="shared" si="72"/>
        <v>4.7082326982139135E-2</v>
      </c>
      <c r="E117" s="70">
        <f t="shared" si="72"/>
        <v>4.9474435504801455E-2</v>
      </c>
      <c r="F117" s="70">
        <f t="shared" si="72"/>
        <v>1.8312724996086899E-2</v>
      </c>
      <c r="G117" s="70">
        <f t="shared" si="72"/>
        <v>6.536998163211756E-2</v>
      </c>
      <c r="H117" s="70">
        <f t="shared" si="72"/>
        <v>3.0692637359817285E-2</v>
      </c>
      <c r="I117" s="70">
        <f t="shared" si="72"/>
        <v>5.3546265852512917E-2</v>
      </c>
      <c r="J117" s="70">
        <f t="shared" si="72"/>
        <v>1.3116940862605602E-2</v>
      </c>
      <c r="K117" s="70">
        <f t="shared" si="72"/>
        <v>2.6250841373120934E-2</v>
      </c>
      <c r="L117" s="70">
        <f t="shared" si="72"/>
        <v>6.994584837545126E-3</v>
      </c>
      <c r="M117" s="70">
        <f t="shared" ref="M117:N117" si="73">(M57/M$68)</f>
        <v>1.0248582642825993E-2</v>
      </c>
      <c r="N117" s="70">
        <f t="shared" si="73"/>
        <v>1.6386726751331421E-2</v>
      </c>
      <c r="O117" s="70">
        <f>(O57/O$68)</f>
        <v>0.10795454545454546</v>
      </c>
      <c r="P117" s="290">
        <f>SUM(I57:N57)/SUM($I$68:$N$68)</f>
        <v>2.0728064028325895E-2</v>
      </c>
      <c r="Q117" s="37"/>
      <c r="R117" s="37"/>
      <c r="S117" s="37"/>
      <c r="T117" s="37"/>
      <c r="U117" s="37"/>
      <c r="V117" s="37"/>
      <c r="W117" s="37"/>
    </row>
    <row r="118" spans="1:23"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58"/>
      <c r="Q118" s="37"/>
      <c r="R118" s="37"/>
      <c r="S118" s="37"/>
      <c r="T118" s="37"/>
      <c r="U118" s="37"/>
      <c r="V118" s="37"/>
      <c r="W118" s="37"/>
    </row>
    <row r="119" spans="1:23"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37"/>
      <c r="Q119" s="37"/>
      <c r="R119" s="37"/>
      <c r="S119" s="37"/>
      <c r="T119" s="37"/>
      <c r="U119" s="37"/>
      <c r="V119" s="37"/>
      <c r="W119" s="37"/>
    </row>
    <row r="120" spans="1:23"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37"/>
      <c r="Q120" s="37"/>
      <c r="R120" s="37"/>
      <c r="S120" s="37"/>
      <c r="T120" s="37"/>
      <c r="U120" s="37"/>
      <c r="V120" s="37"/>
      <c r="W120" s="37"/>
    </row>
    <row r="121" spans="1:23">
      <c r="B121" s="37"/>
      <c r="C121" s="37"/>
      <c r="D121" s="37"/>
      <c r="E121" s="37"/>
      <c r="F121" s="38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</row>
    <row r="122" spans="1:23">
      <c r="B122" s="37"/>
      <c r="C122" s="37"/>
      <c r="D122" s="37"/>
      <c r="E122" s="37"/>
      <c r="F122" s="38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</row>
    <row r="123" spans="1:23">
      <c r="B123" s="37"/>
      <c r="C123" s="37"/>
      <c r="D123" s="37"/>
      <c r="E123" s="37"/>
      <c r="F123" s="38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</row>
    <row r="124" spans="1:23">
      <c r="B124" s="37"/>
      <c r="C124" s="37"/>
      <c r="D124" s="37"/>
      <c r="E124" s="37"/>
      <c r="F124" s="38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</row>
    <row r="125" spans="1:23">
      <c r="B125" s="37"/>
      <c r="C125" s="37"/>
      <c r="D125" s="37"/>
      <c r="E125" s="37"/>
      <c r="F125" s="38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</row>
    <row r="126" spans="1:23">
      <c r="B126" s="37"/>
      <c r="C126" s="37"/>
      <c r="D126" s="37"/>
      <c r="E126" s="37"/>
      <c r="F126" s="38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</row>
    <row r="127" spans="1:23">
      <c r="B127" s="37"/>
      <c r="C127" s="37"/>
      <c r="D127" s="37"/>
      <c r="E127" s="37"/>
      <c r="F127" s="38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</row>
    <row r="128" spans="1:23">
      <c r="B128" s="37"/>
      <c r="C128" s="37"/>
      <c r="D128" s="37"/>
      <c r="E128" s="37"/>
      <c r="F128" s="38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</row>
    <row r="129" spans="2:23">
      <c r="B129" s="37"/>
      <c r="C129" s="37"/>
      <c r="D129" s="37"/>
      <c r="E129" s="37"/>
      <c r="F129" s="38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</row>
    <row r="130" spans="2:23">
      <c r="B130" s="37"/>
      <c r="C130" s="37"/>
      <c r="D130" s="37"/>
      <c r="E130" s="37"/>
      <c r="F130" s="38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</row>
    <row r="131" spans="2:23">
      <c r="B131" s="37"/>
      <c r="C131" s="37"/>
      <c r="D131" s="37"/>
      <c r="E131" s="37"/>
      <c r="F131" s="38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</row>
    <row r="132" spans="2:23">
      <c r="B132" s="37"/>
      <c r="C132" s="37"/>
      <c r="D132" s="37"/>
      <c r="E132" s="37"/>
      <c r="F132" s="38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</row>
    <row r="133" spans="2:23">
      <c r="B133" s="37"/>
      <c r="C133" s="37"/>
      <c r="D133" s="37"/>
      <c r="E133" s="37"/>
      <c r="F133" s="38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</row>
    <row r="134" spans="2:23">
      <c r="B134" s="37"/>
      <c r="C134" s="37"/>
      <c r="D134" s="37"/>
      <c r="E134" s="37"/>
      <c r="F134" s="38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</row>
    <row r="135" spans="2:23">
      <c r="B135" s="37"/>
      <c r="C135" s="37"/>
      <c r="D135" s="37"/>
      <c r="E135" s="37"/>
      <c r="F135" s="38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</row>
    <row r="136" spans="2:23">
      <c r="B136" s="37"/>
      <c r="C136" s="37"/>
      <c r="D136" s="37"/>
      <c r="E136" s="37"/>
      <c r="F136" s="38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</row>
    <row r="137" spans="2:23">
      <c r="B137" s="37"/>
      <c r="C137" s="37"/>
      <c r="D137" s="37"/>
      <c r="E137" s="37"/>
      <c r="F137" s="38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</row>
    <row r="138" spans="2:23">
      <c r="B138" s="37"/>
      <c r="C138" s="37"/>
      <c r="D138" s="37"/>
      <c r="E138" s="37"/>
      <c r="F138" s="38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</row>
    <row r="139" spans="2:23">
      <c r="B139" s="37"/>
      <c r="C139" s="37"/>
      <c r="D139" s="37"/>
      <c r="E139" s="37"/>
      <c r="F139" s="38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</row>
    <row r="140" spans="2:23">
      <c r="B140" s="37"/>
      <c r="C140" s="37"/>
      <c r="D140" s="37"/>
      <c r="E140" s="37"/>
      <c r="F140" s="38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</row>
    <row r="141" spans="2:23">
      <c r="B141" s="37"/>
      <c r="C141" s="37"/>
      <c r="D141" s="37"/>
      <c r="E141" s="37"/>
      <c r="F141" s="38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</row>
    <row r="142" spans="2:23">
      <c r="B142" s="37"/>
      <c r="C142" s="37"/>
      <c r="D142" s="37"/>
      <c r="E142" s="37"/>
      <c r="F142" s="38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</row>
    <row r="143" spans="2:23">
      <c r="B143" s="37"/>
      <c r="C143" s="37"/>
      <c r="D143" s="37"/>
      <c r="E143" s="37"/>
      <c r="F143" s="38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</row>
    <row r="144" spans="2:23">
      <c r="B144" s="37"/>
      <c r="C144" s="37"/>
      <c r="D144" s="37"/>
      <c r="E144" s="37"/>
      <c r="F144" s="38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</row>
    <row r="145" spans="2:23">
      <c r="B145" s="37"/>
      <c r="C145" s="37"/>
      <c r="D145" s="37"/>
      <c r="E145" s="37"/>
      <c r="F145" s="38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</row>
    <row r="146" spans="2:23">
      <c r="B146" s="37"/>
      <c r="C146" s="37"/>
      <c r="D146" s="37"/>
      <c r="E146" s="37"/>
      <c r="F146" s="38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</row>
    <row r="147" spans="2:23">
      <c r="B147" s="37"/>
      <c r="C147" s="37"/>
      <c r="D147" s="37"/>
      <c r="E147" s="37"/>
      <c r="F147" s="38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</row>
    <row r="148" spans="2:23">
      <c r="B148" s="37"/>
      <c r="C148" s="37"/>
      <c r="D148" s="37"/>
      <c r="E148" s="37"/>
      <c r="F148" s="38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</row>
    <row r="149" spans="2:23">
      <c r="B149" s="37"/>
      <c r="C149" s="37"/>
      <c r="D149" s="37"/>
      <c r="E149" s="37"/>
      <c r="F149" s="38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</row>
    <row r="150" spans="2:23">
      <c r="B150" s="37"/>
      <c r="C150" s="37"/>
      <c r="D150" s="37"/>
      <c r="E150" s="37"/>
      <c r="F150" s="38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</row>
    <row r="151" spans="2:23">
      <c r="B151" s="37"/>
      <c r="C151" s="37"/>
      <c r="D151" s="37"/>
      <c r="E151" s="37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</row>
    <row r="152" spans="2:23">
      <c r="B152" s="37"/>
      <c r="C152" s="37"/>
      <c r="D152" s="37"/>
      <c r="E152" s="37"/>
      <c r="F152" s="38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</row>
    <row r="153" spans="2:23">
      <c r="B153" s="37"/>
      <c r="C153" s="37"/>
      <c r="D153" s="37"/>
      <c r="E153" s="37"/>
      <c r="F153" s="38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</row>
    <row r="154" spans="2:23">
      <c r="B154" s="37"/>
      <c r="C154" s="37"/>
      <c r="D154" s="37"/>
      <c r="E154" s="37"/>
      <c r="F154" s="38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</row>
    <row r="155" spans="2:23">
      <c r="B155" s="37"/>
      <c r="C155" s="37"/>
      <c r="D155" s="37"/>
      <c r="E155" s="37"/>
      <c r="F155" s="38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</row>
    <row r="156" spans="2:23">
      <c r="B156" s="37"/>
      <c r="C156" s="37"/>
      <c r="D156" s="37"/>
      <c r="E156" s="37"/>
      <c r="F156" s="38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</row>
    <row r="157" spans="2:23">
      <c r="B157" s="37"/>
      <c r="C157" s="37"/>
      <c r="D157" s="37"/>
      <c r="E157" s="37"/>
      <c r="F157" s="38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</row>
    <row r="158" spans="2:23">
      <c r="B158" s="37"/>
      <c r="C158" s="37"/>
      <c r="D158" s="37"/>
      <c r="E158" s="37"/>
      <c r="F158" s="38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</row>
    <row r="159" spans="2:23">
      <c r="B159" s="37"/>
      <c r="C159" s="37"/>
      <c r="D159" s="37"/>
      <c r="E159" s="37"/>
      <c r="F159" s="38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</row>
    <row r="160" spans="2:23">
      <c r="B160" s="37"/>
      <c r="C160" s="37"/>
      <c r="D160" s="37"/>
      <c r="E160" s="37"/>
      <c r="F160" s="38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</row>
    <row r="161" spans="2:23">
      <c r="B161" s="37"/>
      <c r="C161" s="37"/>
      <c r="D161" s="37"/>
      <c r="E161" s="37"/>
      <c r="F161" s="38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</row>
    <row r="162" spans="2:23">
      <c r="B162" s="37"/>
      <c r="C162" s="37"/>
      <c r="D162" s="37"/>
      <c r="E162" s="37"/>
      <c r="F162" s="38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</row>
    <row r="163" spans="2:23">
      <c r="B163" s="37"/>
      <c r="C163" s="37"/>
      <c r="D163" s="37"/>
      <c r="E163" s="37"/>
      <c r="F163" s="38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</row>
    <row r="164" spans="2:23">
      <c r="B164" s="37"/>
      <c r="C164" s="37"/>
      <c r="D164" s="37"/>
      <c r="E164" s="37"/>
      <c r="F164" s="38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</row>
    <row r="165" spans="2:23">
      <c r="B165" s="37"/>
      <c r="C165" s="37"/>
      <c r="D165" s="37"/>
      <c r="E165" s="37"/>
      <c r="F165" s="38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</row>
    <row r="166" spans="2:23">
      <c r="B166" s="37"/>
      <c r="C166" s="37"/>
      <c r="D166" s="37"/>
      <c r="E166" s="37"/>
      <c r="F166" s="38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</row>
    <row r="167" spans="2:23">
      <c r="B167" s="37"/>
      <c r="C167" s="37"/>
      <c r="D167" s="37"/>
      <c r="E167" s="37"/>
      <c r="F167" s="38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</row>
    <row r="168" spans="2:23">
      <c r="B168" s="37"/>
      <c r="C168" s="37"/>
      <c r="D168" s="37"/>
      <c r="E168" s="37"/>
      <c r="F168" s="38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</row>
    <row r="169" spans="2:23">
      <c r="B169" s="37"/>
      <c r="C169" s="37"/>
      <c r="D169" s="37"/>
      <c r="E169" s="37"/>
      <c r="F169" s="38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</row>
    <row r="170" spans="2:23">
      <c r="B170" s="37"/>
      <c r="C170" s="37"/>
      <c r="D170" s="37"/>
      <c r="E170" s="37"/>
      <c r="F170" s="38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</row>
    <row r="171" spans="2:23">
      <c r="B171" s="37"/>
      <c r="C171" s="37"/>
      <c r="D171" s="37"/>
      <c r="E171" s="37"/>
      <c r="F171" s="38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</row>
    <row r="172" spans="2:23">
      <c r="B172" s="37"/>
      <c r="C172" s="37"/>
      <c r="D172" s="37"/>
      <c r="E172" s="37"/>
      <c r="F172" s="38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</row>
    <row r="173" spans="2:23">
      <c r="B173" s="37"/>
      <c r="C173" s="37"/>
      <c r="D173" s="37"/>
      <c r="E173" s="37"/>
      <c r="F173" s="38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</row>
    <row r="174" spans="2:23">
      <c r="B174" s="37"/>
      <c r="C174" s="37"/>
      <c r="D174" s="37"/>
      <c r="E174" s="37"/>
      <c r="F174" s="38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</row>
    <row r="175" spans="2:23">
      <c r="B175" s="37"/>
      <c r="C175" s="37"/>
      <c r="D175" s="37"/>
      <c r="E175" s="37"/>
      <c r="F175" s="38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</row>
    <row r="176" spans="2:23">
      <c r="B176" s="37"/>
      <c r="C176" s="37"/>
      <c r="D176" s="37"/>
      <c r="E176" s="37"/>
      <c r="F176" s="38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</row>
    <row r="177" spans="2:23">
      <c r="B177" s="37"/>
      <c r="C177" s="37"/>
      <c r="D177" s="37"/>
      <c r="E177" s="37"/>
      <c r="F177" s="38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</row>
    <row r="178" spans="2:23">
      <c r="B178" s="37"/>
      <c r="C178" s="37"/>
      <c r="D178" s="37"/>
      <c r="E178" s="37"/>
      <c r="F178" s="38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</row>
    <row r="179" spans="2:23">
      <c r="B179" s="37"/>
      <c r="C179" s="37"/>
      <c r="D179" s="37"/>
      <c r="E179" s="37"/>
      <c r="F179" s="38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</row>
    <row r="180" spans="2:23">
      <c r="B180" s="37"/>
      <c r="C180" s="37"/>
      <c r="D180" s="37"/>
      <c r="E180" s="37"/>
      <c r="F180" s="38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</row>
    <row r="181" spans="2:23">
      <c r="B181" s="37"/>
      <c r="C181" s="37"/>
      <c r="D181" s="37"/>
      <c r="E181" s="37"/>
      <c r="F181" s="38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</row>
    <row r="182" spans="2:23">
      <c r="B182" s="37"/>
      <c r="C182" s="37"/>
      <c r="D182" s="37"/>
      <c r="E182" s="37"/>
      <c r="F182" s="38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</row>
    <row r="183" spans="2:23">
      <c r="B183" s="37"/>
      <c r="C183" s="37"/>
      <c r="D183" s="37"/>
      <c r="E183" s="37"/>
      <c r="F183" s="38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</row>
    <row r="184" spans="2:23">
      <c r="B184" s="37"/>
      <c r="C184" s="37"/>
      <c r="D184" s="37"/>
      <c r="E184" s="37"/>
      <c r="F184" s="38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</row>
    <row r="185" spans="2:23">
      <c r="B185" s="37"/>
      <c r="C185" s="37"/>
      <c r="D185" s="37"/>
      <c r="E185" s="37"/>
      <c r="F185" s="38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</row>
    <row r="186" spans="2:23">
      <c r="B186" s="37"/>
      <c r="C186" s="37"/>
      <c r="D186" s="37"/>
      <c r="E186" s="37"/>
      <c r="F186" s="38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</row>
    <row r="187" spans="2:23">
      <c r="B187" s="37"/>
      <c r="C187" s="37"/>
      <c r="D187" s="37"/>
      <c r="E187" s="37"/>
      <c r="F187" s="38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</row>
    <row r="188" spans="2:23">
      <c r="B188" s="37"/>
      <c r="C188" s="37"/>
      <c r="D188" s="37"/>
      <c r="E188" s="37"/>
      <c r="F188" s="38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</row>
    <row r="189" spans="2:23">
      <c r="B189" s="37"/>
      <c r="C189" s="37"/>
      <c r="D189" s="37"/>
      <c r="E189" s="37"/>
      <c r="F189" s="38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</row>
    <row r="190" spans="2:23">
      <c r="B190" s="37"/>
      <c r="C190" s="37"/>
      <c r="D190" s="37"/>
      <c r="E190" s="37"/>
      <c r="F190" s="38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</row>
    <row r="191" spans="2:23">
      <c r="B191" s="37"/>
      <c r="C191" s="37"/>
      <c r="D191" s="37"/>
      <c r="E191" s="37"/>
      <c r="F191" s="38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</row>
    <row r="192" spans="2:23">
      <c r="B192" s="37"/>
      <c r="C192" s="37"/>
      <c r="D192" s="37"/>
      <c r="E192" s="37"/>
      <c r="F192" s="38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</row>
    <row r="193" spans="2:23">
      <c r="B193" s="37"/>
      <c r="C193" s="37"/>
      <c r="D193" s="37"/>
      <c r="E193" s="37"/>
      <c r="F193" s="38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</row>
    <row r="194" spans="2:23">
      <c r="B194" s="37"/>
      <c r="C194" s="37"/>
      <c r="D194" s="37"/>
      <c r="E194" s="37"/>
      <c r="F194" s="38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</row>
    <row r="195" spans="2:23">
      <c r="B195" s="37"/>
      <c r="C195" s="37"/>
      <c r="D195" s="37"/>
      <c r="E195" s="37"/>
      <c r="F195" s="38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</row>
    <row r="196" spans="2:23">
      <c r="B196" s="37"/>
      <c r="C196" s="37"/>
      <c r="D196" s="37"/>
      <c r="E196" s="37"/>
      <c r="F196" s="38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</row>
    <row r="197" spans="2:23">
      <c r="B197" s="37"/>
      <c r="C197" s="37"/>
      <c r="D197" s="37"/>
      <c r="E197" s="37"/>
      <c r="F197" s="38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</row>
    <row r="198" spans="2:23">
      <c r="B198" s="37"/>
      <c r="C198" s="37"/>
      <c r="D198" s="37"/>
      <c r="E198" s="37"/>
      <c r="F198" s="38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</row>
    <row r="199" spans="2:23">
      <c r="B199" s="37"/>
      <c r="C199" s="37"/>
      <c r="D199" s="37"/>
      <c r="E199" s="37"/>
      <c r="F199" s="38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</row>
    <row r="200" spans="2:23">
      <c r="B200" s="37"/>
      <c r="C200" s="37"/>
      <c r="D200" s="37"/>
      <c r="E200" s="37"/>
      <c r="F200" s="38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</row>
    <row r="201" spans="2:23">
      <c r="B201" s="37"/>
      <c r="C201" s="37"/>
      <c r="D201" s="37"/>
      <c r="E201" s="37"/>
      <c r="F201" s="38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</row>
    <row r="202" spans="2:23">
      <c r="B202" s="37"/>
      <c r="C202" s="37"/>
      <c r="D202" s="37"/>
      <c r="E202" s="37"/>
      <c r="F202" s="38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</row>
    <row r="203" spans="2:23">
      <c r="B203" s="37"/>
      <c r="C203" s="37"/>
      <c r="D203" s="37"/>
      <c r="E203" s="37"/>
      <c r="F203" s="38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</row>
    <row r="204" spans="2:23">
      <c r="B204" s="37"/>
      <c r="C204" s="37"/>
      <c r="D204" s="37"/>
      <c r="E204" s="37"/>
      <c r="F204" s="38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</row>
    <row r="205" spans="2:23">
      <c r="B205" s="37"/>
      <c r="C205" s="37"/>
      <c r="D205" s="37"/>
      <c r="E205" s="37"/>
      <c r="F205" s="38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</row>
    <row r="206" spans="2:23">
      <c r="B206" s="37"/>
      <c r="C206" s="37"/>
      <c r="D206" s="37"/>
      <c r="E206" s="37"/>
      <c r="F206" s="38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</row>
    <row r="207" spans="2:23">
      <c r="B207" s="37"/>
      <c r="C207" s="37"/>
      <c r="D207" s="37"/>
      <c r="E207" s="37"/>
      <c r="F207" s="38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</row>
    <row r="208" spans="2:23">
      <c r="B208" s="37"/>
      <c r="C208" s="37"/>
      <c r="D208" s="37"/>
      <c r="E208" s="37"/>
      <c r="F208" s="38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</row>
    <row r="209" spans="2:23">
      <c r="B209" s="37"/>
      <c r="C209" s="37"/>
      <c r="D209" s="37"/>
      <c r="E209" s="37"/>
      <c r="F209" s="38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</row>
    <row r="210" spans="2:23">
      <c r="B210" s="37"/>
      <c r="C210" s="37"/>
      <c r="D210" s="37"/>
      <c r="E210" s="37"/>
      <c r="F210" s="38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</row>
    <row r="211" spans="2:23">
      <c r="B211" s="37"/>
      <c r="C211" s="37"/>
      <c r="D211" s="37"/>
      <c r="E211" s="37"/>
      <c r="F211" s="38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</row>
    <row r="212" spans="2:23">
      <c r="B212" s="37"/>
      <c r="C212" s="37"/>
      <c r="D212" s="37"/>
      <c r="E212" s="37"/>
      <c r="F212" s="38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</row>
    <row r="213" spans="2:23">
      <c r="B213" s="37"/>
      <c r="C213" s="37"/>
      <c r="D213" s="37"/>
      <c r="E213" s="37"/>
      <c r="F213" s="38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</row>
    <row r="214" spans="2:23">
      <c r="B214" s="37"/>
      <c r="C214" s="37"/>
      <c r="D214" s="37"/>
      <c r="E214" s="37"/>
      <c r="F214" s="38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</row>
    <row r="215" spans="2:23">
      <c r="B215" s="37"/>
      <c r="C215" s="37"/>
      <c r="D215" s="37"/>
      <c r="E215" s="37"/>
      <c r="F215" s="38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</row>
    <row r="216" spans="2:23">
      <c r="B216" s="37"/>
      <c r="C216" s="37"/>
      <c r="D216" s="37"/>
      <c r="E216" s="37"/>
      <c r="F216" s="38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</row>
    <row r="217" spans="2:23">
      <c r="B217" s="37"/>
      <c r="C217" s="37"/>
      <c r="D217" s="37"/>
      <c r="E217" s="37"/>
      <c r="F217" s="38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</row>
    <row r="218" spans="2:23">
      <c r="B218" s="37"/>
      <c r="C218" s="37"/>
      <c r="D218" s="37"/>
      <c r="E218" s="37"/>
      <c r="F218" s="38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</row>
    <row r="219" spans="2:23">
      <c r="B219" s="37"/>
      <c r="C219" s="37"/>
      <c r="D219" s="37"/>
      <c r="E219" s="37"/>
      <c r="F219" s="38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</row>
    <row r="220" spans="2:23">
      <c r="B220" s="37"/>
      <c r="C220" s="37"/>
      <c r="D220" s="37"/>
      <c r="E220" s="37"/>
      <c r="F220" s="38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</row>
    <row r="221" spans="2:23">
      <c r="B221" s="37"/>
      <c r="C221" s="37"/>
      <c r="D221" s="37"/>
      <c r="E221" s="37"/>
      <c r="F221" s="38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</row>
    <row r="222" spans="2:23">
      <c r="B222" s="37"/>
      <c r="C222" s="37"/>
      <c r="D222" s="37"/>
      <c r="E222" s="37"/>
      <c r="F222" s="38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</row>
    <row r="223" spans="2:23">
      <c r="B223" s="37"/>
      <c r="C223" s="37"/>
      <c r="D223" s="37"/>
      <c r="E223" s="37"/>
      <c r="F223" s="38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</row>
    <row r="224" spans="2:23">
      <c r="B224" s="37"/>
      <c r="C224" s="37"/>
      <c r="D224" s="37"/>
      <c r="E224" s="37"/>
      <c r="F224" s="38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</row>
    <row r="225" spans="2:23">
      <c r="B225" s="37"/>
      <c r="C225" s="37"/>
      <c r="D225" s="37"/>
      <c r="E225" s="37"/>
      <c r="F225" s="38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</row>
    <row r="226" spans="2:23">
      <c r="B226" s="37"/>
      <c r="C226" s="37"/>
      <c r="D226" s="37"/>
      <c r="E226" s="37"/>
      <c r="F226" s="38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</row>
    <row r="227" spans="2:23">
      <c r="B227" s="37"/>
      <c r="C227" s="37"/>
      <c r="D227" s="37"/>
      <c r="E227" s="37"/>
      <c r="F227" s="38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</row>
    <row r="228" spans="2:23">
      <c r="B228" s="37"/>
      <c r="C228" s="37"/>
      <c r="D228" s="37"/>
      <c r="E228" s="37"/>
      <c r="F228" s="38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</row>
    <row r="229" spans="2:23">
      <c r="B229" s="37"/>
      <c r="C229" s="37"/>
      <c r="D229" s="37"/>
      <c r="E229" s="37"/>
      <c r="F229" s="38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</row>
    <row r="230" spans="2:23">
      <c r="B230" s="37"/>
      <c r="C230" s="37"/>
      <c r="D230" s="37"/>
      <c r="E230" s="37"/>
      <c r="F230" s="38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</row>
    <row r="231" spans="2:23">
      <c r="B231" s="37"/>
      <c r="C231" s="37"/>
      <c r="D231" s="37"/>
      <c r="E231" s="37"/>
      <c r="F231" s="38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</row>
    <row r="232" spans="2:23">
      <c r="B232" s="37"/>
      <c r="C232" s="37"/>
      <c r="D232" s="37"/>
      <c r="E232" s="37"/>
      <c r="F232" s="38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</row>
    <row r="233" spans="2:23">
      <c r="B233" s="37"/>
      <c r="C233" s="37"/>
      <c r="D233" s="37"/>
      <c r="E233" s="37"/>
      <c r="F233" s="38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</row>
    <row r="234" spans="2:23">
      <c r="B234" s="37"/>
      <c r="C234" s="37"/>
      <c r="D234" s="37"/>
      <c r="E234" s="37"/>
      <c r="F234" s="38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</row>
  </sheetData>
  <mergeCells count="1">
    <mergeCell ref="B7:G7"/>
  </mergeCells>
  <phoneticPr fontId="0" type="noConversion"/>
  <printOptions horizontalCentered="1"/>
  <pageMargins left="0.7" right="0.7" top="0.75" bottom="1" header="0.5" footer="0.5"/>
  <pageSetup scale="63" fitToHeight="2" orientation="portrait" r:id="rId1"/>
  <headerFooter alignWithMargins="0"/>
  <rowBreaks count="1" manualBreakCount="1">
    <brk id="5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Y202"/>
  <sheetViews>
    <sheetView showGridLines="0" tabSelected="1" topLeftCell="A21" zoomScaleNormal="100" workbookViewId="0">
      <selection activeCell="A6" sqref="A6"/>
    </sheetView>
  </sheetViews>
  <sheetFormatPr defaultColWidth="13.7109375" defaultRowHeight="12.75"/>
  <cols>
    <col min="1" max="1" width="30.28515625" style="52" customWidth="1"/>
    <col min="2" max="10" width="10.7109375" customWidth="1"/>
    <col min="11" max="11" width="12.5703125" style="1" customWidth="1"/>
    <col min="12" max="12" width="13.7109375" customWidth="1"/>
    <col min="13" max="13" width="29.28515625" style="52" customWidth="1"/>
    <col min="14" max="17" width="13.7109375" style="52" customWidth="1"/>
    <col min="18" max="25" width="12.7109375" style="52" customWidth="1"/>
    <col min="26" max="51" width="13.7109375" style="52" customWidth="1"/>
  </cols>
  <sheetData>
    <row r="2" spans="1:24">
      <c r="K2" s="279" t="s">
        <v>207</v>
      </c>
      <c r="W2" s="279" t="s">
        <v>207</v>
      </c>
    </row>
    <row r="3" spans="1:24">
      <c r="K3" s="280" t="s">
        <v>201</v>
      </c>
      <c r="W3" s="280" t="s">
        <v>204</v>
      </c>
    </row>
    <row r="4" spans="1:24" ht="15.75">
      <c r="A4" s="217" t="str">
        <f>Historical!A4</f>
        <v>PacifiCorp</v>
      </c>
      <c r="B4" s="10"/>
      <c r="C4" s="10"/>
      <c r="D4" s="10"/>
      <c r="E4" s="10"/>
      <c r="F4" s="10"/>
      <c r="G4" s="10"/>
      <c r="H4" s="10"/>
      <c r="I4" s="10"/>
      <c r="J4" s="10"/>
      <c r="K4" s="278"/>
      <c r="M4" s="105" t="str">
        <f>A4</f>
        <v>PacifiCorp</v>
      </c>
      <c r="N4" s="106"/>
      <c r="O4" s="10"/>
      <c r="P4" s="12"/>
      <c r="Q4" s="12"/>
      <c r="R4" s="12"/>
      <c r="S4" s="12"/>
      <c r="T4" s="12"/>
      <c r="U4" s="12"/>
      <c r="V4" s="12"/>
      <c r="W4" s="13"/>
      <c r="X4" s="2"/>
    </row>
    <row r="5" spans="1:24">
      <c r="A5" s="260" t="s">
        <v>123</v>
      </c>
      <c r="B5" s="10"/>
      <c r="C5" s="10"/>
      <c r="D5" s="10"/>
      <c r="E5" s="10"/>
      <c r="F5" s="10"/>
      <c r="G5" s="10"/>
      <c r="H5" s="10"/>
      <c r="I5" s="10"/>
      <c r="J5" s="10"/>
      <c r="K5" s="73"/>
      <c r="M5" s="107" t="s">
        <v>176</v>
      </c>
      <c r="N5" s="106"/>
      <c r="O5" s="12"/>
      <c r="P5" s="10"/>
      <c r="Q5" s="12"/>
      <c r="R5" s="12"/>
      <c r="S5" s="12"/>
      <c r="T5" s="12"/>
      <c r="U5" s="12"/>
      <c r="V5" s="12"/>
      <c r="W5" s="13"/>
      <c r="X5" s="2"/>
    </row>
    <row r="6" spans="1:24">
      <c r="A6" s="137">
        <f ca="1">NOW()</f>
        <v>41438.477707638885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2"/>
      <c r="M6" s="111"/>
      <c r="N6" s="19"/>
      <c r="O6" s="2"/>
      <c r="P6" s="2"/>
      <c r="Q6" s="2"/>
      <c r="R6" s="2"/>
      <c r="S6" s="2"/>
      <c r="T6" s="2"/>
      <c r="U6" s="2"/>
      <c r="V6" s="2"/>
      <c r="W6" s="5"/>
      <c r="X6" s="2"/>
    </row>
    <row r="7" spans="1:24">
      <c r="B7" s="2"/>
      <c r="C7" s="2"/>
      <c r="D7" s="2"/>
      <c r="E7" s="2"/>
      <c r="F7" s="2"/>
      <c r="G7" s="2"/>
      <c r="H7" s="2"/>
      <c r="I7" s="2"/>
      <c r="J7" s="2"/>
      <c r="K7" s="5"/>
      <c r="L7" s="2"/>
      <c r="M7" s="111"/>
      <c r="N7" s="19"/>
      <c r="O7" s="2"/>
      <c r="P7" s="2"/>
      <c r="Q7" s="2"/>
      <c r="R7" s="2"/>
      <c r="S7" s="2"/>
      <c r="T7" s="2"/>
      <c r="U7" s="2"/>
      <c r="V7" s="2"/>
      <c r="W7" s="5"/>
      <c r="X7" s="2"/>
    </row>
    <row r="8" spans="1:24">
      <c r="B8" s="74" t="s">
        <v>124</v>
      </c>
      <c r="C8" s="14" t="s">
        <v>125</v>
      </c>
      <c r="D8" s="14" t="s">
        <v>125</v>
      </c>
      <c r="E8" s="14" t="s">
        <v>125</v>
      </c>
      <c r="F8" s="14" t="s">
        <v>125</v>
      </c>
      <c r="G8" s="14" t="s">
        <v>125</v>
      </c>
      <c r="H8" s="14" t="s">
        <v>125</v>
      </c>
      <c r="I8" s="14" t="s">
        <v>125</v>
      </c>
      <c r="J8" s="14" t="s">
        <v>125</v>
      </c>
      <c r="K8" s="15" t="s">
        <v>4</v>
      </c>
      <c r="L8" s="2"/>
      <c r="N8" s="74" t="s">
        <v>124</v>
      </c>
      <c r="O8" s="14" t="s">
        <v>125</v>
      </c>
      <c r="P8" s="14" t="s">
        <v>125</v>
      </c>
      <c r="Q8" s="14" t="s">
        <v>125</v>
      </c>
      <c r="R8" s="14" t="s">
        <v>125</v>
      </c>
      <c r="S8" s="14" t="s">
        <v>125</v>
      </c>
      <c r="T8" s="14" t="s">
        <v>125</v>
      </c>
      <c r="U8" s="14" t="s">
        <v>125</v>
      </c>
      <c r="V8" s="14" t="s">
        <v>125</v>
      </c>
      <c r="W8" s="15" t="s">
        <v>126</v>
      </c>
      <c r="X8" s="2"/>
    </row>
    <row r="9" spans="1:24">
      <c r="A9" s="261" t="s">
        <v>0</v>
      </c>
      <c r="B9" s="75">
        <v>2012</v>
      </c>
      <c r="C9" s="4">
        <v>2013</v>
      </c>
      <c r="D9" s="4">
        <f t="shared" ref="D9:J9" si="0">C9+1</f>
        <v>2014</v>
      </c>
      <c r="E9" s="4">
        <f t="shared" si="0"/>
        <v>2015</v>
      </c>
      <c r="F9" s="4">
        <f t="shared" si="0"/>
        <v>2016</v>
      </c>
      <c r="G9" s="4">
        <f t="shared" si="0"/>
        <v>2017</v>
      </c>
      <c r="H9" s="4">
        <f t="shared" si="0"/>
        <v>2018</v>
      </c>
      <c r="I9" s="4">
        <f t="shared" si="0"/>
        <v>2019</v>
      </c>
      <c r="J9" s="4">
        <f t="shared" si="0"/>
        <v>2020</v>
      </c>
      <c r="K9" s="16" t="s">
        <v>23</v>
      </c>
      <c r="L9" s="2"/>
      <c r="N9" s="88">
        <f t="shared" ref="N9:V9" si="1">B9</f>
        <v>2012</v>
      </c>
      <c r="O9" s="4">
        <f t="shared" si="1"/>
        <v>2013</v>
      </c>
      <c r="P9" s="4">
        <f t="shared" si="1"/>
        <v>2014</v>
      </c>
      <c r="Q9" s="4">
        <f t="shared" si="1"/>
        <v>2015</v>
      </c>
      <c r="R9" s="4">
        <f t="shared" si="1"/>
        <v>2016</v>
      </c>
      <c r="S9" s="4">
        <f t="shared" si="1"/>
        <v>2017</v>
      </c>
      <c r="T9" s="4">
        <f t="shared" si="1"/>
        <v>2018</v>
      </c>
      <c r="U9" s="4">
        <f t="shared" si="1"/>
        <v>2019</v>
      </c>
      <c r="V9" s="4">
        <f t="shared" si="1"/>
        <v>2020</v>
      </c>
      <c r="W9" s="16" t="s">
        <v>127</v>
      </c>
      <c r="X9" s="2"/>
    </row>
    <row r="10" spans="1:24" ht="7.5" customHeight="1">
      <c r="A10" s="111"/>
      <c r="B10" s="76"/>
      <c r="C10" s="22"/>
      <c r="D10" s="22"/>
      <c r="E10" s="22"/>
      <c r="F10" s="22"/>
      <c r="G10" s="22"/>
      <c r="H10" s="22"/>
      <c r="I10" s="22"/>
      <c r="J10" s="22"/>
      <c r="K10" s="23"/>
      <c r="L10" s="19"/>
      <c r="N10" s="85"/>
      <c r="O10" s="2"/>
      <c r="P10" s="2"/>
      <c r="Q10" s="2"/>
      <c r="R10" s="2"/>
      <c r="S10" s="2"/>
      <c r="T10" s="2"/>
      <c r="U10" s="2"/>
      <c r="V10" s="2"/>
      <c r="W10" s="5"/>
      <c r="X10" s="2"/>
    </row>
    <row r="11" spans="1:24">
      <c r="A11" s="192" t="str">
        <f>Historical!A11</f>
        <v>Current Assets:</v>
      </c>
      <c r="B11" s="77"/>
      <c r="C11" s="2"/>
      <c r="D11" s="2"/>
      <c r="E11" s="2"/>
      <c r="F11" s="2"/>
      <c r="G11" s="2"/>
      <c r="H11" s="2"/>
      <c r="I11" s="2"/>
      <c r="J11" s="2"/>
      <c r="K11" s="5"/>
      <c r="L11" s="2"/>
      <c r="M11" s="192" t="str">
        <f t="shared" ref="M11:M17" si="2">A11</f>
        <v>Current Assets:</v>
      </c>
      <c r="N11" s="77"/>
      <c r="O11" s="5"/>
      <c r="P11" s="5"/>
      <c r="Q11" s="5"/>
      <c r="R11" s="5"/>
      <c r="S11" s="5"/>
      <c r="T11" s="2"/>
      <c r="U11" s="2"/>
      <c r="V11" s="2"/>
      <c r="W11" s="5"/>
      <c r="X11" s="2"/>
    </row>
    <row r="12" spans="1:24">
      <c r="A12" s="52" t="str">
        <f>Historical!A12</f>
        <v>Cash &amp; Equivalents</v>
      </c>
      <c r="B12" s="77">
        <f>Historical!N12</f>
        <v>80</v>
      </c>
      <c r="C12" s="2">
        <f>Assumptions!$C$10*Forecast!C80</f>
        <v>82.218284440529231</v>
      </c>
      <c r="D12" s="2">
        <f>Assumptions!$C$10*Forecast!D80</f>
        <v>84.498078704297157</v>
      </c>
      <c r="E12" s="2">
        <f>Assumptions!$C$10*Forecast!E80</f>
        <v>86.841088369851647</v>
      </c>
      <c r="F12" s="2">
        <f>Assumptions!$C$10*Forecast!F80</f>
        <v>89.249066308969986</v>
      </c>
      <c r="G12" s="2">
        <f>Assumptions!$C$10*Forecast!G80</f>
        <v>91.723813998031872</v>
      </c>
      <c r="H12" s="2">
        <f>Assumptions!$C$10*Forecast!H80</f>
        <v>94.267182865754791</v>
      </c>
      <c r="I12" s="2">
        <f>Assumptions!$C$10*Forecast!I80</f>
        <v>96.881075678300149</v>
      </c>
      <c r="J12" s="2">
        <f>Assumptions!$C$10*Forecast!J80</f>
        <v>99.567447962786531</v>
      </c>
      <c r="K12" s="5">
        <f>RATE(8,,-B12,J12)</f>
        <v>2.7728555506621424E-2</v>
      </c>
      <c r="L12" s="2"/>
      <c r="M12" s="52" t="str">
        <f t="shared" si="2"/>
        <v>Cash &amp; Equivalents</v>
      </c>
      <c r="N12" s="90">
        <f t="shared" ref="N12:V17" si="3">B12/B$38</f>
        <v>3.6818851251840942E-3</v>
      </c>
      <c r="O12" s="95">
        <f t="shared" ca="1" si="3"/>
        <v>3.6445494188159944E-3</v>
      </c>
      <c r="P12" s="18">
        <f t="shared" ca="1" si="3"/>
        <v>3.6115449775343022E-3</v>
      </c>
      <c r="Q12" s="18">
        <f t="shared" ca="1" si="3"/>
        <v>3.6488282384581077E-3</v>
      </c>
      <c r="R12" s="18">
        <f t="shared" ca="1" si="3"/>
        <v>3.6692531869511845E-3</v>
      </c>
      <c r="S12" s="18">
        <f t="shared" ca="1" si="3"/>
        <v>3.6738894551096423E-3</v>
      </c>
      <c r="T12" s="18">
        <f t="shared" ca="1" si="3"/>
        <v>3.6784204375353989E-3</v>
      </c>
      <c r="U12" s="18">
        <f t="shared" ca="1" si="3"/>
        <v>3.6828483948952839E-3</v>
      </c>
      <c r="V12" s="18">
        <f t="shared" ca="1" si="3"/>
        <v>3.6871755504874694E-3</v>
      </c>
      <c r="W12" s="18">
        <f t="shared" ref="W12:W17" ca="1" si="4">SUM(C12:J12)/SUM($C$38:$J$38)</f>
        <v>3.6631854815570705E-3</v>
      </c>
      <c r="X12" s="2"/>
    </row>
    <row r="13" spans="1:24">
      <c r="A13" s="52" t="s">
        <v>137</v>
      </c>
      <c r="B13" s="77"/>
      <c r="C13" s="2">
        <f t="shared" ref="C13:J13" ca="1" si="5">C67</f>
        <v>0</v>
      </c>
      <c r="D13" s="2">
        <f t="shared" ca="1" si="5"/>
        <v>0</v>
      </c>
      <c r="E13" s="2">
        <f t="shared" ca="1" si="5"/>
        <v>0</v>
      </c>
      <c r="F13" s="2">
        <f t="shared" ca="1" si="5"/>
        <v>0</v>
      </c>
      <c r="G13" s="2">
        <f t="shared" ca="1" si="5"/>
        <v>0</v>
      </c>
      <c r="H13" s="2">
        <f t="shared" ca="1" si="5"/>
        <v>0</v>
      </c>
      <c r="I13" s="2">
        <f t="shared" ca="1" si="5"/>
        <v>0</v>
      </c>
      <c r="J13" s="2">
        <f t="shared" ca="1" si="5"/>
        <v>0</v>
      </c>
      <c r="K13" s="5"/>
      <c r="M13" s="52" t="str">
        <f t="shared" si="2"/>
        <v>Surplus Cash</v>
      </c>
      <c r="N13" s="90">
        <f t="shared" si="3"/>
        <v>0</v>
      </c>
      <c r="O13" s="95">
        <f t="shared" ca="1" si="3"/>
        <v>0</v>
      </c>
      <c r="P13" s="18">
        <f t="shared" ca="1" si="3"/>
        <v>0</v>
      </c>
      <c r="Q13" s="18">
        <f t="shared" ca="1" si="3"/>
        <v>0</v>
      </c>
      <c r="R13" s="18">
        <f t="shared" ca="1" si="3"/>
        <v>0</v>
      </c>
      <c r="S13" s="18">
        <f t="shared" ca="1" si="3"/>
        <v>0</v>
      </c>
      <c r="T13" s="18">
        <f t="shared" ca="1" si="3"/>
        <v>0</v>
      </c>
      <c r="U13" s="18">
        <f t="shared" ca="1" si="3"/>
        <v>0</v>
      </c>
      <c r="V13" s="18">
        <f t="shared" ca="1" si="3"/>
        <v>0</v>
      </c>
      <c r="W13" s="18">
        <f t="shared" ca="1" si="4"/>
        <v>0</v>
      </c>
      <c r="X13" s="2"/>
    </row>
    <row r="14" spans="1:24">
      <c r="A14" s="52" t="str">
        <f>Historical!A13</f>
        <v>Accounts Receivable</v>
      </c>
      <c r="B14" s="77">
        <f>Historical!N13</f>
        <v>671</v>
      </c>
      <c r="C14" s="2">
        <f>Assumptions!$C$12*Forecast!C80</f>
        <v>696.34852636505207</v>
      </c>
      <c r="D14" s="2">
        <f>Assumptions!$C$12*Forecast!D80</f>
        <v>715.65726513031541</v>
      </c>
      <c r="E14" s="2">
        <f>Assumptions!$C$12*Forecast!E80</f>
        <v>735.50140733019407</v>
      </c>
      <c r="F14" s="2">
        <f>Assumptions!$C$12*Forecast!F80</f>
        <v>755.89579892854317</v>
      </c>
      <c r="G14" s="2">
        <f>Assumptions!$C$12*Forecast!G80</f>
        <v>776.85569754635094</v>
      </c>
      <c r="H14" s="2">
        <f>Assumptions!$C$12*Forecast!H80</f>
        <v>798.39678387639549</v>
      </c>
      <c r="I14" s="2">
        <f>Assumptions!$C$12*Forecast!I80</f>
        <v>820.53517341441557</v>
      </c>
      <c r="J14" s="2">
        <f>Assumptions!$C$12*Forecast!J80</f>
        <v>843.28742851556763</v>
      </c>
      <c r="K14" s="5">
        <f>RATE(8,,-B14,J14)</f>
        <v>2.8979300226131578E-2</v>
      </c>
      <c r="L14" s="2"/>
      <c r="M14" s="52" t="str">
        <f t="shared" si="2"/>
        <v>Accounts Receivable</v>
      </c>
      <c r="N14" s="90">
        <f t="shared" si="3"/>
        <v>3.0881811487481592E-2</v>
      </c>
      <c r="O14" s="95">
        <f t="shared" ca="1" si="3"/>
        <v>3.0867545270819183E-2</v>
      </c>
      <c r="P14" s="18">
        <f t="shared" ca="1" si="3"/>
        <v>3.0588013847773838E-2</v>
      </c>
      <c r="Q14" s="18">
        <f t="shared" ca="1" si="3"/>
        <v>3.090378477365778E-2</v>
      </c>
      <c r="R14" s="18">
        <f t="shared" ca="1" si="3"/>
        <v>3.1076774065285775E-2</v>
      </c>
      <c r="S14" s="18">
        <f t="shared" ca="1" si="3"/>
        <v>3.1116040981665073E-2</v>
      </c>
      <c r="T14" s="18">
        <f t="shared" ca="1" si="3"/>
        <v>3.1154416179549962E-2</v>
      </c>
      <c r="U14" s="18">
        <f t="shared" ca="1" si="3"/>
        <v>3.1191918805679238E-2</v>
      </c>
      <c r="V14" s="18">
        <f t="shared" ca="1" si="3"/>
        <v>3.1228567690297474E-2</v>
      </c>
      <c r="W14" s="18">
        <f t="shared" ca="1" si="4"/>
        <v>3.1025383577897723E-2</v>
      </c>
      <c r="X14" s="2"/>
    </row>
    <row r="15" spans="1:24">
      <c r="A15" s="52" t="str">
        <f>Historical!A14</f>
        <v>Material, Supplies, Fuel</v>
      </c>
      <c r="B15" s="77">
        <f>Historical!N14</f>
        <v>468</v>
      </c>
      <c r="C15" s="2">
        <f>(1+Assumptions!$C$13)*Forecast!B15</f>
        <v>480.97696397709609</v>
      </c>
      <c r="D15" s="2">
        <f>(1+Assumptions!$C$13)*Forecast!C15</f>
        <v>494.31376042013846</v>
      </c>
      <c r="E15" s="2">
        <f>(1+Assumptions!$C$13)*Forecast!D15</f>
        <v>508.02036696363217</v>
      </c>
      <c r="F15" s="2">
        <f>(1+Assumptions!$C$13)*Forecast!E15</f>
        <v>522.10703790747448</v>
      </c>
      <c r="G15" s="2">
        <f>(1+Assumptions!$C$13)*Forecast!F15</f>
        <v>536.58431188848647</v>
      </c>
      <c r="H15" s="2">
        <f>(1+Assumptions!$C$13)*Forecast!G15</f>
        <v>551.46301976466543</v>
      </c>
      <c r="I15" s="2">
        <f>(1+Assumptions!$C$13)*Forecast!H15</f>
        <v>566.75429271805581</v>
      </c>
      <c r="J15" s="2">
        <f>(1+Assumptions!$C$13)*Forecast!I15</f>
        <v>582.46957058230112</v>
      </c>
      <c r="K15" s="5">
        <f>RATE(8,,-B15,J15)</f>
        <v>2.7728555506621282E-2</v>
      </c>
      <c r="L15" s="2"/>
      <c r="M15" s="52" t="str">
        <f t="shared" si="2"/>
        <v>Material, Supplies, Fuel</v>
      </c>
      <c r="N15" s="90">
        <f t="shared" si="3"/>
        <v>2.1539027982326951E-2</v>
      </c>
      <c r="O15" s="95">
        <f t="shared" ca="1" si="3"/>
        <v>2.1320614100073569E-2</v>
      </c>
      <c r="P15" s="18">
        <f t="shared" ca="1" si="3"/>
        <v>2.1127538118575671E-2</v>
      </c>
      <c r="Q15" s="18">
        <f t="shared" ca="1" si="3"/>
        <v>2.1345645194979931E-2</v>
      </c>
      <c r="R15" s="18">
        <f t="shared" ca="1" si="3"/>
        <v>2.1465131143664433E-2</v>
      </c>
      <c r="S15" s="18">
        <f t="shared" ca="1" si="3"/>
        <v>2.1492253312391407E-2</v>
      </c>
      <c r="T15" s="18">
        <f t="shared" ca="1" si="3"/>
        <v>2.151875955958208E-2</v>
      </c>
      <c r="U15" s="18">
        <f t="shared" ca="1" si="3"/>
        <v>2.1544663110137408E-2</v>
      </c>
      <c r="V15" s="18">
        <f t="shared" ca="1" si="3"/>
        <v>2.1569976970351692E-2</v>
      </c>
      <c r="W15" s="18">
        <f t="shared" ca="1" si="4"/>
        <v>2.1429635067108863E-2</v>
      </c>
      <c r="X15" s="2"/>
    </row>
    <row r="16" spans="1:24">
      <c r="A16" s="52" t="str">
        <f>Historical!A15</f>
        <v>Other Current Assets</v>
      </c>
      <c r="B16" s="77">
        <f>Historical!N15</f>
        <v>249</v>
      </c>
      <c r="C16" s="3">
        <f ca="1">Assumptions!$C$14*Forecast!C38</f>
        <v>316.31253677073283</v>
      </c>
      <c r="D16" s="3">
        <f ca="1">C16*(1+Assumptions!$C$31)</f>
        <v>322.00594497882162</v>
      </c>
      <c r="E16" s="3">
        <f ca="1">D16*(1+Assumptions!$C$31)</f>
        <v>327.80183062063736</v>
      </c>
      <c r="F16" s="3">
        <f ca="1">E16*(1+Assumptions!$C$31)</f>
        <v>333.70203821953754</v>
      </c>
      <c r="G16" s="3">
        <f ca="1">F16*(1+Assumptions!$C$31)</f>
        <v>339.70844549903194</v>
      </c>
      <c r="H16" s="3">
        <f ca="1">G16*(1+Assumptions!$C$31)</f>
        <v>345.82296398036272</v>
      </c>
      <c r="I16" s="3">
        <f ca="1">H16*(1+Assumptions!$C$31)</f>
        <v>352.0475395908403</v>
      </c>
      <c r="J16" s="3">
        <f ca="1">I16*(1+Assumptions!$C$31)</f>
        <v>358.38415328312885</v>
      </c>
      <c r="K16" s="5">
        <f ca="1">RATE(8,,-B16,J16)</f>
        <v>4.6570963642409341E-2</v>
      </c>
      <c r="L16" s="2"/>
      <c r="M16" s="52" t="str">
        <f t="shared" si="2"/>
        <v>Other Current Assets</v>
      </c>
      <c r="N16" s="90">
        <f t="shared" si="3"/>
        <v>1.1459867452135493E-2</v>
      </c>
      <c r="O16" s="95">
        <f t="shared" ca="1" si="3"/>
        <v>1.402141482149085E-2</v>
      </c>
      <c r="P16" s="18">
        <f t="shared" ca="1" si="3"/>
        <v>1.3762904093880998E-2</v>
      </c>
      <c r="Q16" s="18">
        <f t="shared" ca="1" si="3"/>
        <v>1.3773348522449966E-2</v>
      </c>
      <c r="R16" s="18">
        <f t="shared" ca="1" si="3"/>
        <v>1.3719328592080542E-2</v>
      </c>
      <c r="S16" s="18">
        <f t="shared" ca="1" si="3"/>
        <v>1.3606622111869025E-2</v>
      </c>
      <c r="T16" s="18">
        <f t="shared" ca="1" si="3"/>
        <v>1.3494433797666336E-2</v>
      </c>
      <c r="U16" s="18">
        <f t="shared" ca="1" si="3"/>
        <v>1.338277581077028E-2</v>
      </c>
      <c r="V16" s="18">
        <f t="shared" ca="1" si="3"/>
        <v>1.3271659711129593E-2</v>
      </c>
      <c r="W16" s="18">
        <f t="shared" ca="1" si="4"/>
        <v>1.3616292417636958E-2</v>
      </c>
      <c r="X16" s="2"/>
    </row>
    <row r="17" spans="1:24">
      <c r="A17" s="192" t="str">
        <f>Historical!A16</f>
        <v>Total Current Assets</v>
      </c>
      <c r="B17" s="265">
        <f>SUM(B12:B16)</f>
        <v>1468</v>
      </c>
      <c r="C17" s="2">
        <f t="shared" ref="C17:J17" ca="1" si="6">SUM(C11:C16)</f>
        <v>1575.8563115534103</v>
      </c>
      <c r="D17" s="2">
        <f t="shared" ca="1" si="6"/>
        <v>1616.4750492335727</v>
      </c>
      <c r="E17" s="2">
        <f t="shared" ca="1" si="6"/>
        <v>1658.164693284315</v>
      </c>
      <c r="F17" s="2">
        <f t="shared" ca="1" si="6"/>
        <v>1700.9539413645252</v>
      </c>
      <c r="G17" s="2">
        <f t="shared" ca="1" si="6"/>
        <v>1744.8722689319013</v>
      </c>
      <c r="H17" s="2">
        <f t="shared" ca="1" si="6"/>
        <v>1789.9499504871783</v>
      </c>
      <c r="I17" s="2">
        <f t="shared" ca="1" si="6"/>
        <v>1836.2180814016119</v>
      </c>
      <c r="J17" s="2">
        <f t="shared" ca="1" si="6"/>
        <v>1883.7086003437842</v>
      </c>
      <c r="K17" s="17">
        <f ca="1">RATE(8,,-B17,J17)</f>
        <v>3.1658493773940262E-2</v>
      </c>
      <c r="L17" s="2"/>
      <c r="M17" s="52" t="str">
        <f t="shared" si="2"/>
        <v>Total Current Assets</v>
      </c>
      <c r="N17" s="91">
        <f t="shared" si="3"/>
        <v>6.7562592047128125E-2</v>
      </c>
      <c r="O17" s="93">
        <f t="shared" ca="1" si="3"/>
        <v>6.9854123611199595E-2</v>
      </c>
      <c r="P17" s="17">
        <f t="shared" ca="1" si="3"/>
        <v>6.9090001037764817E-2</v>
      </c>
      <c r="Q17" s="17">
        <f t="shared" ca="1" si="3"/>
        <v>6.9671606729545782E-2</v>
      </c>
      <c r="R17" s="17">
        <f t="shared" ca="1" si="3"/>
        <v>6.9930486987981932E-2</v>
      </c>
      <c r="S17" s="17">
        <f t="shared" ca="1" si="3"/>
        <v>6.9888805861035158E-2</v>
      </c>
      <c r="T17" s="17">
        <f t="shared" ca="1" si="3"/>
        <v>6.984602997433377E-2</v>
      </c>
      <c r="U17" s="17">
        <f t="shared" ca="1" si="3"/>
        <v>6.9802206121482219E-2</v>
      </c>
      <c r="V17" s="17">
        <f t="shared" ca="1" si="3"/>
        <v>6.975737992226623E-2</v>
      </c>
      <c r="W17" s="17">
        <f t="shared" ca="1" si="4"/>
        <v>6.9734496544200608E-2</v>
      </c>
      <c r="X17" s="2"/>
    </row>
    <row r="18" spans="1:24" ht="7.5" customHeight="1">
      <c r="B18" s="77"/>
      <c r="C18" s="2"/>
      <c r="D18" s="2"/>
      <c r="E18" s="2"/>
      <c r="F18" s="2"/>
      <c r="G18" s="2"/>
      <c r="H18" s="2"/>
      <c r="I18" s="2"/>
      <c r="J18" s="2"/>
      <c r="K18" s="5"/>
      <c r="L18" s="2"/>
      <c r="N18" s="90"/>
      <c r="O18" s="95"/>
      <c r="P18" s="18"/>
      <c r="Q18" s="18"/>
      <c r="R18" s="18"/>
      <c r="S18" s="18"/>
      <c r="T18" s="18"/>
      <c r="U18" s="18"/>
      <c r="V18" s="18"/>
      <c r="W18" s="18"/>
      <c r="X18" s="2"/>
    </row>
    <row r="19" spans="1:24">
      <c r="A19" s="192" t="str">
        <f>Historical!A18</f>
        <v>Plant &amp; Equipment:</v>
      </c>
      <c r="B19" s="77"/>
      <c r="C19" s="2"/>
      <c r="D19" s="2"/>
      <c r="E19" s="2"/>
      <c r="F19" s="2"/>
      <c r="G19" s="2"/>
      <c r="H19" s="2"/>
      <c r="I19" s="2"/>
      <c r="J19" s="2"/>
      <c r="K19" s="5"/>
      <c r="M19" s="192" t="str">
        <f t="shared" ref="M19:M24" si="7">A19</f>
        <v>Plant &amp; Equipment:</v>
      </c>
      <c r="N19" s="90"/>
      <c r="O19" s="95"/>
      <c r="P19" s="18"/>
      <c r="Q19" s="18"/>
      <c r="R19" s="18"/>
      <c r="S19" s="18"/>
      <c r="T19" s="18"/>
      <c r="U19" s="18"/>
      <c r="V19" s="18"/>
      <c r="W19" s="18"/>
      <c r="X19" s="2"/>
    </row>
    <row r="20" spans="1:24">
      <c r="A20" s="52" t="str">
        <f>Historical!A19</f>
        <v>Plant in Service</v>
      </c>
      <c r="B20" s="77">
        <f>Historical!N19</f>
        <v>24024</v>
      </c>
      <c r="C20" s="2">
        <f>B20+1150</f>
        <v>25174</v>
      </c>
      <c r="D20" s="2">
        <f>C20+1150</f>
        <v>26324</v>
      </c>
      <c r="E20" s="2">
        <f>D20+1150</f>
        <v>27474</v>
      </c>
      <c r="F20" s="2">
        <f>E20*(1+Assumptions!$C$18)</f>
        <v>28235.814333988757</v>
      </c>
      <c r="G20" s="2">
        <f>F20*(1+Assumptions!$C$18)</f>
        <v>29018.752679023255</v>
      </c>
      <c r="H20" s="2">
        <f>G20*(1+Assumptions!$C$18)</f>
        <v>29823.400773416302</v>
      </c>
      <c r="I20" s="2">
        <f>H20*(1+Assumptions!$C$18)</f>
        <v>30650.360597158018</v>
      </c>
      <c r="J20" s="2">
        <f>I20*(1+Assumptions!$C$18)</f>
        <v>31500.250822274098</v>
      </c>
      <c r="K20" s="5">
        <f>RATE(8,,-B20,J20)</f>
        <v>3.4447814942600657E-2</v>
      </c>
      <c r="L20" s="2"/>
      <c r="M20" s="52" t="str">
        <f t="shared" si="7"/>
        <v>Plant in Service</v>
      </c>
      <c r="N20" s="90">
        <f t="shared" ref="N20:V24" si="8">B20/B$38</f>
        <v>1.1056701030927836</v>
      </c>
      <c r="O20" s="95">
        <f t="shared" ca="1" si="8"/>
        <v>1.1159061234808132</v>
      </c>
      <c r="P20" s="18">
        <f t="shared" ca="1" si="8"/>
        <v>1.1251180079645782</v>
      </c>
      <c r="Q20" s="18">
        <f t="shared" ca="1" si="8"/>
        <v>1.1543833559115182</v>
      </c>
      <c r="R20" s="18">
        <f t="shared" ca="1" si="8"/>
        <v>1.1608452168281946</v>
      </c>
      <c r="S20" s="18">
        <f t="shared" ca="1" si="8"/>
        <v>1.1623119975166514</v>
      </c>
      <c r="T20" s="18">
        <f t="shared" ca="1" si="8"/>
        <v>1.1637454688549547</v>
      </c>
      <c r="U20" s="18">
        <f t="shared" ca="1" si="8"/>
        <v>1.1651463460524785</v>
      </c>
      <c r="V20" s="18">
        <f t="shared" ca="1" si="8"/>
        <v>1.1665153324962385</v>
      </c>
      <c r="W20" s="18">
        <f ca="1">SUM(C20:J20)/SUM($C$38:$J$38)</f>
        <v>1.1526309754913246</v>
      </c>
      <c r="X20" s="2"/>
    </row>
    <row r="21" spans="1:24">
      <c r="A21" s="52" t="str">
        <f>Historical!A20</f>
        <v>Construction Work in Progress</v>
      </c>
      <c r="B21" s="77">
        <f>Historical!N20</f>
        <v>1255</v>
      </c>
      <c r="C21" s="2">
        <f>Assumptions!$C$19</f>
        <v>1100</v>
      </c>
      <c r="D21" s="2">
        <f>Assumptions!$C$19</f>
        <v>1100</v>
      </c>
      <c r="E21" s="2">
        <f>Assumptions!$C$19</f>
        <v>1100</v>
      </c>
      <c r="F21" s="2">
        <v>1000</v>
      </c>
      <c r="G21" s="2">
        <v>1000</v>
      </c>
      <c r="H21" s="2">
        <v>1000</v>
      </c>
      <c r="I21" s="2">
        <v>1000</v>
      </c>
      <c r="J21" s="2">
        <v>1000</v>
      </c>
      <c r="K21" s="5">
        <f>RATE(8,,-B21,J21)</f>
        <v>-2.7992682806292166E-2</v>
      </c>
      <c r="L21" s="2"/>
      <c r="M21" s="52" t="str">
        <f t="shared" si="7"/>
        <v>Construction Work in Progress</v>
      </c>
      <c r="N21" s="90">
        <f t="shared" si="8"/>
        <v>5.7759572901325482E-2</v>
      </c>
      <c r="O21" s="95">
        <f t="shared" ca="1" si="8"/>
        <v>4.8760496378362383E-2</v>
      </c>
      <c r="P21" s="18">
        <f t="shared" ca="1" si="8"/>
        <v>4.7015263970560557E-2</v>
      </c>
      <c r="Q21" s="18">
        <f t="shared" ca="1" si="8"/>
        <v>4.6219032230569626E-2</v>
      </c>
      <c r="R21" s="18">
        <f t="shared" ca="1" si="8"/>
        <v>4.1112510625586296E-2</v>
      </c>
      <c r="S21" s="18">
        <f t="shared" ca="1" si="8"/>
        <v>4.0053823483490049E-2</v>
      </c>
      <c r="T21" s="18">
        <f t="shared" ca="1" si="8"/>
        <v>3.9021219534838662E-2</v>
      </c>
      <c r="U21" s="18">
        <f t="shared" ca="1" si="8"/>
        <v>3.8014115441125151E-2</v>
      </c>
      <c r="V21" s="18">
        <f t="shared" ca="1" si="8"/>
        <v>3.7031937906709791E-2</v>
      </c>
      <c r="W21" s="18">
        <f ca="1">SUM(C21:J21)/SUM($C$38:$J$38)</f>
        <v>4.1922930826339938E-2</v>
      </c>
      <c r="X21" s="2"/>
    </row>
    <row r="22" spans="1:24" hidden="1">
      <c r="A22" s="52" t="str">
        <f>Historical!A21</f>
        <v>Australian Electric Operations</v>
      </c>
      <c r="B22" s="77">
        <f>Historical!L21</f>
        <v>0</v>
      </c>
      <c r="C22" s="257">
        <f>B22</f>
        <v>0</v>
      </c>
      <c r="D22" s="19">
        <f t="shared" ref="D22:J22" si="9">C22</f>
        <v>0</v>
      </c>
      <c r="E22" s="19">
        <f t="shared" si="9"/>
        <v>0</v>
      </c>
      <c r="F22" s="19">
        <f t="shared" si="9"/>
        <v>0</v>
      </c>
      <c r="G22" s="19">
        <f t="shared" si="9"/>
        <v>0</v>
      </c>
      <c r="H22" s="19">
        <f t="shared" si="9"/>
        <v>0</v>
      </c>
      <c r="I22" s="19">
        <f t="shared" si="9"/>
        <v>0</v>
      </c>
      <c r="J22" s="19">
        <f t="shared" si="9"/>
        <v>0</v>
      </c>
      <c r="K22" s="5"/>
      <c r="L22" s="2"/>
      <c r="M22" s="52" t="str">
        <f t="shared" si="7"/>
        <v>Australian Electric Operations</v>
      </c>
      <c r="N22" s="90">
        <f t="shared" si="8"/>
        <v>0</v>
      </c>
      <c r="O22" s="95">
        <f t="shared" ca="1" si="8"/>
        <v>0</v>
      </c>
      <c r="P22" s="18">
        <f t="shared" ca="1" si="8"/>
        <v>0</v>
      </c>
      <c r="Q22" s="18">
        <f t="shared" ca="1" si="8"/>
        <v>0</v>
      </c>
      <c r="R22" s="18">
        <f t="shared" ca="1" si="8"/>
        <v>0</v>
      </c>
      <c r="S22" s="18">
        <f t="shared" ca="1" si="8"/>
        <v>0</v>
      </c>
      <c r="T22" s="18">
        <f t="shared" ca="1" si="8"/>
        <v>0</v>
      </c>
      <c r="U22" s="18">
        <f t="shared" ca="1" si="8"/>
        <v>0</v>
      </c>
      <c r="V22" s="18">
        <f t="shared" ca="1" si="8"/>
        <v>0</v>
      </c>
      <c r="W22" s="18">
        <f ca="1">SUM(C22:J22)/SUM($C$38:$J$38)</f>
        <v>0</v>
      </c>
      <c r="X22" s="2"/>
    </row>
    <row r="23" spans="1:24" ht="12.75" hidden="1" customHeight="1">
      <c r="A23" s="52" t="str">
        <f>Historical!A22</f>
        <v>Other PP&amp;E</v>
      </c>
      <c r="B23" s="77">
        <f>Historical!L22</f>
        <v>0</v>
      </c>
      <c r="C23" s="100">
        <f>B23</f>
        <v>0</v>
      </c>
      <c r="D23" s="100">
        <f t="shared" ref="D23:J23" si="10">C23</f>
        <v>0</v>
      </c>
      <c r="E23" s="100">
        <f t="shared" si="10"/>
        <v>0</v>
      </c>
      <c r="F23" s="100">
        <f t="shared" si="10"/>
        <v>0</v>
      </c>
      <c r="G23" s="100">
        <f t="shared" si="10"/>
        <v>0</v>
      </c>
      <c r="H23" s="100">
        <f t="shared" si="10"/>
        <v>0</v>
      </c>
      <c r="I23" s="100">
        <f t="shared" si="10"/>
        <v>0</v>
      </c>
      <c r="J23" s="100">
        <f t="shared" si="10"/>
        <v>0</v>
      </c>
      <c r="K23" s="103"/>
      <c r="L23" s="19"/>
      <c r="M23" s="52" t="str">
        <f t="shared" si="7"/>
        <v>Other PP&amp;E</v>
      </c>
      <c r="N23" s="258">
        <f t="shared" si="8"/>
        <v>0</v>
      </c>
      <c r="O23" s="259">
        <f t="shared" ca="1" si="8"/>
        <v>0</v>
      </c>
      <c r="P23" s="103">
        <f t="shared" ca="1" si="8"/>
        <v>0</v>
      </c>
      <c r="Q23" s="103">
        <f t="shared" ca="1" si="8"/>
        <v>0</v>
      </c>
      <c r="R23" s="103">
        <f t="shared" ca="1" si="8"/>
        <v>0</v>
      </c>
      <c r="S23" s="103">
        <f t="shared" ca="1" si="8"/>
        <v>0</v>
      </c>
      <c r="T23" s="103">
        <f t="shared" ca="1" si="8"/>
        <v>0</v>
      </c>
      <c r="U23" s="103">
        <f t="shared" ca="1" si="8"/>
        <v>0</v>
      </c>
      <c r="V23" s="103">
        <f t="shared" ca="1" si="8"/>
        <v>0</v>
      </c>
      <c r="W23" s="103">
        <f ca="1">SUM(C23:J23)/SUM($C$38:$J$38)</f>
        <v>0</v>
      </c>
      <c r="X23" s="2"/>
    </row>
    <row r="24" spans="1:24" ht="12.75" customHeight="1">
      <c r="A24" s="192" t="str">
        <f>Historical!A23</f>
        <v>Total Plant &amp; Equipment:</v>
      </c>
      <c r="B24" s="265">
        <f>SUM(B20:B23)</f>
        <v>25279</v>
      </c>
      <c r="C24" s="286">
        <f>SUM(C20:C23)</f>
        <v>26274</v>
      </c>
      <c r="D24" s="20">
        <f t="shared" ref="D24:J24" si="11">SUM(D20:D23)</f>
        <v>27424</v>
      </c>
      <c r="E24" s="20">
        <f t="shared" si="11"/>
        <v>28574</v>
      </c>
      <c r="F24" s="20">
        <f t="shared" si="11"/>
        <v>29235.814333988757</v>
      </c>
      <c r="G24" s="20">
        <f t="shared" si="11"/>
        <v>30018.752679023255</v>
      </c>
      <c r="H24" s="20">
        <f t="shared" si="11"/>
        <v>30823.400773416302</v>
      </c>
      <c r="I24" s="20">
        <f t="shared" si="11"/>
        <v>31650.360597158018</v>
      </c>
      <c r="J24" s="20">
        <f t="shared" si="11"/>
        <v>32500.250822274098</v>
      </c>
      <c r="K24" s="17">
        <f>RATE(8,,-B24,J24)</f>
        <v>3.1907699326634495E-2</v>
      </c>
      <c r="L24" s="2"/>
      <c r="M24" s="192" t="str">
        <f t="shared" si="7"/>
        <v>Total Plant &amp; Equipment:</v>
      </c>
      <c r="N24" s="90">
        <f t="shared" si="8"/>
        <v>1.163429675994109</v>
      </c>
      <c r="O24" s="95">
        <f t="shared" ca="1" si="8"/>
        <v>1.1646666198591757</v>
      </c>
      <c r="P24" s="18">
        <f t="shared" ca="1" si="8"/>
        <v>1.1721332719351387</v>
      </c>
      <c r="Q24" s="18">
        <f t="shared" ca="1" si="8"/>
        <v>1.2006023881420878</v>
      </c>
      <c r="R24" s="18">
        <f t="shared" ca="1" si="8"/>
        <v>1.2019577274537809</v>
      </c>
      <c r="S24" s="18">
        <f t="shared" ca="1" si="8"/>
        <v>1.2023658210001416</v>
      </c>
      <c r="T24" s="18">
        <f t="shared" ca="1" si="8"/>
        <v>1.2027666883897932</v>
      </c>
      <c r="U24" s="18">
        <f t="shared" ca="1" si="8"/>
        <v>1.2031604614936036</v>
      </c>
      <c r="V24" s="18">
        <f t="shared" ca="1" si="8"/>
        <v>1.2035472704029484</v>
      </c>
      <c r="W24" s="18">
        <f ca="1">SUM(C24:J24)/SUM($C$38:$J$38)</f>
        <v>1.1945539063176647</v>
      </c>
      <c r="X24" s="2"/>
    </row>
    <row r="25" spans="1:24" ht="7.5" customHeight="1">
      <c r="B25" s="77"/>
      <c r="C25" s="2"/>
      <c r="D25" s="2"/>
      <c r="E25" s="2"/>
      <c r="F25" s="2"/>
      <c r="G25" s="2"/>
      <c r="H25" s="2"/>
      <c r="I25" s="2"/>
      <c r="J25" s="2"/>
      <c r="K25" s="18"/>
      <c r="L25" s="2"/>
      <c r="N25" s="90"/>
      <c r="O25" s="95"/>
      <c r="P25" s="18"/>
      <c r="Q25" s="18"/>
      <c r="R25" s="18"/>
      <c r="S25" s="18"/>
      <c r="T25" s="18"/>
      <c r="U25" s="18"/>
      <c r="V25" s="18"/>
      <c r="W25" s="18"/>
      <c r="X25" s="2"/>
    </row>
    <row r="26" spans="1:24" ht="12.75" customHeight="1">
      <c r="A26" s="52" t="str">
        <f>Historical!A25</f>
        <v>Accumulated Depreciation &amp; Amort.</v>
      </c>
      <c r="B26" s="77">
        <f>Historical!N25</f>
        <v>7222</v>
      </c>
      <c r="C26" s="2">
        <f>C20*Assumptions!K23</f>
        <v>7521.0805465191925</v>
      </c>
      <c r="D26" s="2">
        <f>D20*Assumptions!J23</f>
        <v>7939.9702278297173</v>
      </c>
      <c r="E26" s="2">
        <f>E20*Assumptions!$C$23</f>
        <v>8787.8194320350758</v>
      </c>
      <c r="F26" s="2">
        <f>F20*Assumptions!$C$23</f>
        <v>9031.4929709383759</v>
      </c>
      <c r="G26" s="2">
        <f>G20*Assumptions!$C$23</f>
        <v>9281.923225090648</v>
      </c>
      <c r="H26" s="2">
        <f>H20*Assumptions!$C$23</f>
        <v>9539.2975484457202</v>
      </c>
      <c r="I26" s="2">
        <f>I20*Assumptions!$C$23</f>
        <v>9803.8084900119193</v>
      </c>
      <c r="J26" s="2">
        <f>J20*Assumptions!$C$23</f>
        <v>10075.653937903444</v>
      </c>
      <c r="K26" s="5">
        <f>RATE(8,,-B26,J26)</f>
        <v>4.2502175221847203E-2</v>
      </c>
      <c r="L26" s="2"/>
      <c r="M26" s="52" t="str">
        <f>A26</f>
        <v>Accumulated Depreciation &amp; Amort.</v>
      </c>
      <c r="N26" s="90">
        <f t="shared" ref="N26:V26" si="12">B26/B$38</f>
        <v>0.33238217967599409</v>
      </c>
      <c r="O26" s="95">
        <f t="shared" ca="1" si="12"/>
        <v>0.33339238249992803</v>
      </c>
      <c r="P26" s="18">
        <f t="shared" ca="1" si="12"/>
        <v>0.33936345107255089</v>
      </c>
      <c r="Q26" s="18">
        <f t="shared" ca="1" si="12"/>
        <v>0.36924046324150478</v>
      </c>
      <c r="R26" s="18">
        <f t="shared" ca="1" si="12"/>
        <v>0.37130735073261195</v>
      </c>
      <c r="S26" s="18">
        <f t="shared" ca="1" si="12"/>
        <v>0.37177651444508747</v>
      </c>
      <c r="T26" s="18">
        <f t="shared" ca="1" si="12"/>
        <v>0.37223502384604867</v>
      </c>
      <c r="U26" s="18">
        <f t="shared" ca="1" si="12"/>
        <v>0.37268310770199592</v>
      </c>
      <c r="V26" s="18">
        <f t="shared" ca="1" si="12"/>
        <v>0.37312099099793633</v>
      </c>
      <c r="W26" s="18">
        <f ca="1">SUM(C26:J26)/SUM($C$38:$J$38)</f>
        <v>0.36357306363191727</v>
      </c>
      <c r="X26" s="2"/>
    </row>
    <row r="27" spans="1:24" ht="7.5" customHeight="1">
      <c r="B27" s="77"/>
      <c r="C27" s="2"/>
      <c r="D27" s="2"/>
      <c r="E27" s="2"/>
      <c r="F27" s="2"/>
      <c r="G27" s="2"/>
      <c r="H27" s="2"/>
      <c r="I27" s="2"/>
      <c r="J27" s="2"/>
      <c r="K27" s="5"/>
      <c r="L27" s="2"/>
      <c r="N27" s="90"/>
      <c r="O27" s="95"/>
      <c r="P27" s="18"/>
      <c r="Q27" s="18"/>
      <c r="R27" s="18"/>
      <c r="S27" s="18"/>
      <c r="T27" s="18"/>
      <c r="U27" s="18"/>
      <c r="V27" s="18"/>
      <c r="W27" s="18"/>
      <c r="X27" s="2"/>
    </row>
    <row r="28" spans="1:24">
      <c r="A28" s="192" t="str">
        <f>Historical!A27</f>
        <v>Net Plant &amp; Equipment</v>
      </c>
      <c r="B28" s="266">
        <f>B24-B26</f>
        <v>18057</v>
      </c>
      <c r="C28" s="2">
        <f>C24-C26</f>
        <v>18752.919453480808</v>
      </c>
      <c r="D28" s="2">
        <f t="shared" ref="D28:J28" si="13">D24-D26</f>
        <v>19484.029772170281</v>
      </c>
      <c r="E28" s="2">
        <f t="shared" si="13"/>
        <v>19786.180567964926</v>
      </c>
      <c r="F28" s="2">
        <f t="shared" si="13"/>
        <v>20204.321363050381</v>
      </c>
      <c r="G28" s="2">
        <f t="shared" si="13"/>
        <v>20736.829453932609</v>
      </c>
      <c r="H28" s="2">
        <f t="shared" si="13"/>
        <v>21284.103224970582</v>
      </c>
      <c r="I28" s="2">
        <f t="shared" si="13"/>
        <v>21846.552107146097</v>
      </c>
      <c r="J28" s="2">
        <f t="shared" si="13"/>
        <v>22424.596884370654</v>
      </c>
      <c r="K28" s="5">
        <f>RATE(8,,-B28,J28)</f>
        <v>2.7448070341403022E-2</v>
      </c>
      <c r="L28" s="2"/>
      <c r="M28" s="192" t="str">
        <f>A28</f>
        <v>Net Plant &amp; Equipment</v>
      </c>
      <c r="N28" s="90">
        <f t="shared" ref="N28:V28" si="14">B28/B$38</f>
        <v>0.83104749631811492</v>
      </c>
      <c r="O28" s="95">
        <f t="shared" ca="1" si="14"/>
        <v>0.83127423735924766</v>
      </c>
      <c r="P28" s="18">
        <f t="shared" ca="1" si="14"/>
        <v>0.83276982086258788</v>
      </c>
      <c r="Q28" s="18">
        <f t="shared" ca="1" si="14"/>
        <v>0.83136192490058303</v>
      </c>
      <c r="R28" s="18">
        <f t="shared" ca="1" si="14"/>
        <v>0.83065037672116904</v>
      </c>
      <c r="S28" s="18">
        <f t="shared" ca="1" si="14"/>
        <v>0.83058930655505403</v>
      </c>
      <c r="T28" s="18">
        <f t="shared" ca="1" si="14"/>
        <v>0.83053166454374461</v>
      </c>
      <c r="U28" s="18">
        <f t="shared" ca="1" si="14"/>
        <v>0.8304773537916077</v>
      </c>
      <c r="V28" s="18">
        <f t="shared" ca="1" si="14"/>
        <v>0.8304262794050119</v>
      </c>
      <c r="W28" s="18">
        <f ca="1">SUM(C28:J28)/SUM($C$38:$J$38)</f>
        <v>0.83098084268574735</v>
      </c>
      <c r="X28" s="2"/>
    </row>
    <row r="29" spans="1:24">
      <c r="A29" s="192"/>
      <c r="B29" s="77"/>
      <c r="C29" s="2"/>
      <c r="D29" s="2"/>
      <c r="E29" s="2"/>
      <c r="F29" s="2"/>
      <c r="G29" s="2"/>
      <c r="H29" s="2"/>
      <c r="I29" s="2"/>
      <c r="J29" s="2"/>
      <c r="K29" s="5"/>
      <c r="L29" s="2"/>
      <c r="N29" s="90"/>
      <c r="O29" s="95"/>
      <c r="P29" s="18"/>
      <c r="Q29" s="18"/>
      <c r="R29" s="18"/>
      <c r="S29" s="18"/>
      <c r="T29" s="18"/>
      <c r="U29" s="18"/>
      <c r="V29" s="18"/>
      <c r="W29" s="18"/>
      <c r="X29" s="2"/>
    </row>
    <row r="30" spans="1:24">
      <c r="A30" s="192" t="str">
        <f>Historical!A29</f>
        <v>Other Assets:</v>
      </c>
      <c r="B30" s="77"/>
      <c r="C30" s="2"/>
      <c r="D30" s="2"/>
      <c r="E30" s="2"/>
      <c r="F30" s="2"/>
      <c r="G30" s="2"/>
      <c r="H30" s="2"/>
      <c r="I30" s="2"/>
      <c r="J30" s="2"/>
      <c r="K30" s="5"/>
      <c r="L30" s="2"/>
      <c r="M30" s="192" t="str">
        <f>A30</f>
        <v>Other Assets:</v>
      </c>
      <c r="N30" s="90"/>
      <c r="O30" s="95"/>
      <c r="P30" s="18"/>
      <c r="Q30" s="18"/>
      <c r="R30" s="18"/>
      <c r="S30" s="18"/>
      <c r="T30" s="18"/>
      <c r="U30" s="18"/>
      <c r="V30" s="18"/>
      <c r="W30" s="18"/>
      <c r="X30" s="2"/>
    </row>
    <row r="31" spans="1:24">
      <c r="A31" s="52" t="str">
        <f>Historical!A30</f>
        <v>Regulatory Assets</v>
      </c>
      <c r="B31" s="77">
        <f>Historical!N30</f>
        <v>1773</v>
      </c>
      <c r="C31" s="2">
        <f>(1+Assumptions!$C$27)*Forecast!B31</f>
        <v>1822.1627289132293</v>
      </c>
      <c r="D31" s="2">
        <f>(1+Assumptions!$C$27)*Forecast!C31</f>
        <v>1872.688669283986</v>
      </c>
      <c r="E31" s="2">
        <f>(1+Assumptions!$C$27)*Forecast!D31</f>
        <v>1924.6156209968369</v>
      </c>
      <c r="F31" s="2">
        <f>(1+Assumptions!$C$27)*Forecast!E31</f>
        <v>1977.9824320725472</v>
      </c>
      <c r="G31" s="2">
        <f>(1+Assumptions!$C$27)*Forecast!F31</f>
        <v>2032.8290277313813</v>
      </c>
      <c r="H31" s="2">
        <f>(1+Assumptions!$C$27)*Forecast!G31</f>
        <v>2089.1964402622903</v>
      </c>
      <c r="I31" s="2">
        <f>(1+Assumptions!$C$27)*Forecast!H31</f>
        <v>2147.1268397203266</v>
      </c>
      <c r="J31" s="2">
        <f>(1+Assumptions!$C$27)*Forecast!I31</f>
        <v>2206.6635654752558</v>
      </c>
      <c r="K31" s="5">
        <f>RATE(8,,-B31,J31)</f>
        <v>2.7728555506621341E-2</v>
      </c>
      <c r="L31" s="2"/>
      <c r="M31" s="52" t="str">
        <f t="shared" ref="M31:M38" si="15">A31</f>
        <v>Regulatory Assets</v>
      </c>
      <c r="N31" s="90">
        <f t="shared" ref="N31:V38" si="16">B31/B$38</f>
        <v>8.159977908689249E-2</v>
      </c>
      <c r="O31" s="95">
        <f t="shared" ca="1" si="16"/>
        <v>8.077232649450948E-2</v>
      </c>
      <c r="P31" s="18">
        <f t="shared" ca="1" si="16"/>
        <v>8.0040865564603977E-2</v>
      </c>
      <c r="Q31" s="18">
        <f t="shared" ca="1" si="16"/>
        <v>8.08671558348278E-2</v>
      </c>
      <c r="R31" s="18">
        <f t="shared" ca="1" si="16"/>
        <v>8.1319823755805626E-2</v>
      </c>
      <c r="S31" s="18">
        <f t="shared" ca="1" si="16"/>
        <v>8.1422575048867449E-2</v>
      </c>
      <c r="T31" s="18">
        <f t="shared" ca="1" si="16"/>
        <v>8.1522992946878273E-2</v>
      </c>
      <c r="U31" s="18">
        <f t="shared" ca="1" si="16"/>
        <v>8.1621127551866721E-2</v>
      </c>
      <c r="V31" s="18">
        <f t="shared" ca="1" si="16"/>
        <v>8.1717028137678518E-2</v>
      </c>
      <c r="W31" s="18">
        <f t="shared" ref="W31:W38" ca="1" si="17">SUM(C31:J31)/SUM($C$38:$J$38)</f>
        <v>8.1185348235008573E-2</v>
      </c>
      <c r="X31" s="2"/>
    </row>
    <row r="32" spans="1:24" hidden="1">
      <c r="A32" s="52" t="str">
        <f>Historical!A31</f>
        <v>Intangible Assets-net</v>
      </c>
      <c r="B32" s="77">
        <f>Historical!M31</f>
        <v>0</v>
      </c>
      <c r="C32" s="2">
        <f t="shared" ref="C32:D34" si="18">B32</f>
        <v>0</v>
      </c>
      <c r="D32" s="2">
        <f t="shared" si="18"/>
        <v>0</v>
      </c>
      <c r="E32" s="2">
        <f t="shared" ref="E32:J32" si="19">D32</f>
        <v>0</v>
      </c>
      <c r="F32" s="2">
        <f t="shared" si="19"/>
        <v>0</v>
      </c>
      <c r="G32" s="2">
        <f t="shared" si="19"/>
        <v>0</v>
      </c>
      <c r="H32" s="2">
        <f t="shared" si="19"/>
        <v>0</v>
      </c>
      <c r="I32" s="2">
        <f t="shared" si="19"/>
        <v>0</v>
      </c>
      <c r="J32" s="2">
        <f t="shared" si="19"/>
        <v>0</v>
      </c>
      <c r="K32" s="5"/>
      <c r="L32" s="2"/>
      <c r="M32" s="52" t="str">
        <f t="shared" si="15"/>
        <v>Intangible Assets-net</v>
      </c>
      <c r="N32" s="90">
        <f t="shared" si="16"/>
        <v>0</v>
      </c>
      <c r="O32" s="95">
        <f t="shared" ca="1" si="16"/>
        <v>0</v>
      </c>
      <c r="P32" s="18">
        <f t="shared" ca="1" si="16"/>
        <v>0</v>
      </c>
      <c r="Q32" s="18">
        <f t="shared" ca="1" si="16"/>
        <v>0</v>
      </c>
      <c r="R32" s="18">
        <f t="shared" ca="1" si="16"/>
        <v>0</v>
      </c>
      <c r="S32" s="18">
        <f t="shared" ca="1" si="16"/>
        <v>0</v>
      </c>
      <c r="T32" s="18">
        <f t="shared" ca="1" si="16"/>
        <v>0</v>
      </c>
      <c r="U32" s="18">
        <f t="shared" ca="1" si="16"/>
        <v>0</v>
      </c>
      <c r="V32" s="18">
        <f t="shared" ca="1" si="16"/>
        <v>0</v>
      </c>
      <c r="W32" s="18">
        <f t="shared" ca="1" si="17"/>
        <v>0</v>
      </c>
      <c r="X32" s="2"/>
    </row>
    <row r="33" spans="1:24">
      <c r="A33" s="52" t="str">
        <f>Historical!A32</f>
        <v>Financial Assets/Derivatives</v>
      </c>
      <c r="B33" s="77">
        <f>Historical!N32</f>
        <v>1</v>
      </c>
      <c r="C33" s="2">
        <f ca="1">Assumptions!$C$29*Forecast!C38</f>
        <v>2.2559245325651123</v>
      </c>
      <c r="D33" s="2">
        <f ca="1">Assumptions!$C$29*Forecast!D38</f>
        <v>2.3396656896126005</v>
      </c>
      <c r="E33" s="2">
        <f ca="1">Assumptions!$C$29*Forecast!E38</f>
        <v>2.3799719442685596</v>
      </c>
      <c r="F33" s="2">
        <f ca="1">Assumptions!$C$29*Forecast!F38</f>
        <v>2.4323496297928635</v>
      </c>
      <c r="G33" s="2">
        <f ca="1">Assumptions!$C$29*Forecast!G38</f>
        <v>2.4966405527107649</v>
      </c>
      <c r="H33" s="2">
        <f ca="1">Assumptions!$C$29*Forecast!H38</f>
        <v>2.5627082185557701</v>
      </c>
      <c r="I33" s="2">
        <f ca="1">Assumptions!$C$29*Forecast!I38</f>
        <v>2.6306017867198905</v>
      </c>
      <c r="J33" s="2">
        <f ca="1">Assumptions!$C$29*Forecast!J38</f>
        <v>2.7003717777859277</v>
      </c>
      <c r="K33" s="5">
        <f ca="1">RATE(8,,-B33,J33)</f>
        <v>0.13221249928010639</v>
      </c>
      <c r="L33" s="2"/>
      <c r="M33" s="52" t="str">
        <f t="shared" si="15"/>
        <v>Financial Assets/Derivatives</v>
      </c>
      <c r="N33" s="90">
        <f t="shared" si="16"/>
        <v>4.6023564064801177E-5</v>
      </c>
      <c r="O33" s="95">
        <f t="shared" ca="1" si="16"/>
        <v>1E-4</v>
      </c>
      <c r="P33" s="18">
        <f t="shared" ca="1" si="16"/>
        <v>1.0000000000000002E-4</v>
      </c>
      <c r="Q33" s="18">
        <f t="shared" ca="1" si="16"/>
        <v>1.0000000000000002E-4</v>
      </c>
      <c r="R33" s="18">
        <f t="shared" ca="1" si="16"/>
        <v>9.9999999999999991E-5</v>
      </c>
      <c r="S33" s="18">
        <f t="shared" ca="1" si="16"/>
        <v>1E-4</v>
      </c>
      <c r="T33" s="18">
        <f t="shared" ca="1" si="16"/>
        <v>1E-4</v>
      </c>
      <c r="U33" s="18">
        <f t="shared" ca="1" si="16"/>
        <v>1E-4</v>
      </c>
      <c r="V33" s="18">
        <f t="shared" ca="1" si="16"/>
        <v>1.0000000000000002E-4</v>
      </c>
      <c r="W33" s="18">
        <f t="shared" ca="1" si="17"/>
        <v>1E-4</v>
      </c>
      <c r="X33" s="2"/>
    </row>
    <row r="34" spans="1:24" hidden="1">
      <c r="A34" s="52" t="str">
        <f>Historical!A33</f>
        <v>Investments in Affiliates</v>
      </c>
      <c r="B34" s="77">
        <f>Historical!M33</f>
        <v>0</v>
      </c>
      <c r="C34" s="2">
        <f t="shared" si="18"/>
        <v>0</v>
      </c>
      <c r="D34" s="2">
        <f t="shared" si="18"/>
        <v>0</v>
      </c>
      <c r="E34" s="2">
        <f t="shared" ref="E34:J34" si="20">D34</f>
        <v>0</v>
      </c>
      <c r="F34" s="2">
        <f t="shared" si="20"/>
        <v>0</v>
      </c>
      <c r="G34" s="2">
        <f t="shared" si="20"/>
        <v>0</v>
      </c>
      <c r="H34" s="2">
        <f t="shared" si="20"/>
        <v>0</v>
      </c>
      <c r="I34" s="2">
        <f t="shared" si="20"/>
        <v>0</v>
      </c>
      <c r="J34" s="2">
        <f t="shared" si="20"/>
        <v>0</v>
      </c>
      <c r="K34" s="5"/>
      <c r="L34" s="2"/>
      <c r="M34" s="52" t="str">
        <f t="shared" si="15"/>
        <v>Investments in Affiliates</v>
      </c>
      <c r="N34" s="90">
        <f t="shared" si="16"/>
        <v>0</v>
      </c>
      <c r="O34" s="95">
        <f t="shared" ca="1" si="16"/>
        <v>0</v>
      </c>
      <c r="P34" s="18">
        <f t="shared" ca="1" si="16"/>
        <v>0</v>
      </c>
      <c r="Q34" s="18">
        <f t="shared" ca="1" si="16"/>
        <v>0</v>
      </c>
      <c r="R34" s="18">
        <f t="shared" ca="1" si="16"/>
        <v>0</v>
      </c>
      <c r="S34" s="18">
        <f t="shared" ca="1" si="16"/>
        <v>0</v>
      </c>
      <c r="T34" s="18">
        <f t="shared" ca="1" si="16"/>
        <v>0</v>
      </c>
      <c r="U34" s="18">
        <f t="shared" ca="1" si="16"/>
        <v>0</v>
      </c>
      <c r="V34" s="18">
        <f t="shared" ca="1" si="16"/>
        <v>0</v>
      </c>
      <c r="W34" s="18">
        <f t="shared" ca="1" si="17"/>
        <v>0</v>
      </c>
      <c r="X34" s="2"/>
    </row>
    <row r="35" spans="1:24">
      <c r="A35" s="52" t="str">
        <f>Historical!A34</f>
        <v>Deferred Charges and Other</v>
      </c>
      <c r="B35" s="77">
        <f>Historical!N34</f>
        <v>429</v>
      </c>
      <c r="C35" s="3">
        <f ca="1">Assumptions!$C$31*Forecast!C38</f>
        <v>406.05090717111051</v>
      </c>
      <c r="D35" s="3">
        <f ca="1">Assumptions!$C$31*Forecast!D38</f>
        <v>421.12373974854933</v>
      </c>
      <c r="E35" s="3">
        <f ca="1">Assumptions!$C$31*Forecast!E38</f>
        <v>428.37858849524588</v>
      </c>
      <c r="F35" s="3">
        <f ca="1">Assumptions!$C$31*Forecast!F38</f>
        <v>437.80621181138758</v>
      </c>
      <c r="G35" s="3">
        <f ca="1">Assumptions!$C$31*Forecast!G38</f>
        <v>449.37813595904441</v>
      </c>
      <c r="H35" s="3">
        <f ca="1">Assumptions!$C$31*Forecast!H38</f>
        <v>461.26986161909502</v>
      </c>
      <c r="I35" s="3">
        <f ca="1">Assumptions!$C$31*Forecast!I38</f>
        <v>473.49023714414778</v>
      </c>
      <c r="J35" s="3">
        <f ca="1">Assumptions!$C$31*Forecast!J38</f>
        <v>486.04835589179555</v>
      </c>
      <c r="K35" s="5">
        <f ca="1">RATE(8,,-B35,J35)</f>
        <v>1.572881556851859E-2</v>
      </c>
      <c r="L35" s="2"/>
      <c r="M35" s="52" t="str">
        <f t="shared" si="15"/>
        <v>Deferred Charges and Other</v>
      </c>
      <c r="N35" s="90">
        <f t="shared" si="16"/>
        <v>1.9744108983799705E-2</v>
      </c>
      <c r="O35" s="95">
        <f t="shared" ca="1" si="16"/>
        <v>1.7999312535043357E-2</v>
      </c>
      <c r="P35" s="18">
        <f t="shared" ca="1" si="16"/>
        <v>1.7999312535043357E-2</v>
      </c>
      <c r="Q35" s="18">
        <f t="shared" ca="1" si="16"/>
        <v>1.7999312535043357E-2</v>
      </c>
      <c r="R35" s="18">
        <f t="shared" ca="1" si="16"/>
        <v>1.7999312535043357E-2</v>
      </c>
      <c r="S35" s="18">
        <f t="shared" ca="1" si="16"/>
        <v>1.7999312535043357E-2</v>
      </c>
      <c r="T35" s="18">
        <f t="shared" ca="1" si="16"/>
        <v>1.7999312535043357E-2</v>
      </c>
      <c r="U35" s="18">
        <f t="shared" ca="1" si="16"/>
        <v>1.7999312535043357E-2</v>
      </c>
      <c r="V35" s="18">
        <f t="shared" ca="1" si="16"/>
        <v>1.7999312535043357E-2</v>
      </c>
      <c r="W35" s="18">
        <f t="shared" ca="1" si="17"/>
        <v>1.7999312535043353E-2</v>
      </c>
      <c r="X35" s="2"/>
    </row>
    <row r="36" spans="1:24">
      <c r="A36" s="192" t="str">
        <f>Historical!A35</f>
        <v>Total Other Assets</v>
      </c>
      <c r="B36" s="265">
        <f>SUM(B31:B35)</f>
        <v>2203</v>
      </c>
      <c r="C36" s="3">
        <f t="shared" ref="C36" ca="1" si="21">SUM(C31:C35)</f>
        <v>2230.4695606169048</v>
      </c>
      <c r="D36" s="3">
        <f t="shared" ref="D36:J36" ca="1" si="22">SUM(D31:D35)</f>
        <v>2296.152074722148</v>
      </c>
      <c r="E36" s="3">
        <f t="shared" ca="1" si="22"/>
        <v>2355.3741814363516</v>
      </c>
      <c r="F36" s="3">
        <f t="shared" ca="1" si="22"/>
        <v>2418.220993513728</v>
      </c>
      <c r="G36" s="3">
        <f t="shared" ca="1" si="22"/>
        <v>2484.7038042431363</v>
      </c>
      <c r="H36" s="3">
        <f t="shared" ca="1" si="22"/>
        <v>2553.0290100999409</v>
      </c>
      <c r="I36" s="3">
        <f t="shared" ca="1" si="22"/>
        <v>2623.2476786511943</v>
      </c>
      <c r="J36" s="3">
        <f t="shared" ca="1" si="22"/>
        <v>2695.4122931448373</v>
      </c>
      <c r="K36" s="17">
        <f ca="1">RATE(8,,-B36,J36)</f>
        <v>2.553701109962005E-2</v>
      </c>
      <c r="L36" s="2"/>
      <c r="M36" s="192" t="str">
        <f t="shared" si="15"/>
        <v>Total Other Assets</v>
      </c>
      <c r="N36" s="91">
        <f t="shared" si="16"/>
        <v>0.101389911634757</v>
      </c>
      <c r="O36" s="96">
        <f t="shared" ca="1" si="16"/>
        <v>9.887163902955283E-2</v>
      </c>
      <c r="P36" s="97">
        <f t="shared" ca="1" si="16"/>
        <v>9.8140178099647341E-2</v>
      </c>
      <c r="Q36" s="97">
        <f t="shared" ca="1" si="16"/>
        <v>9.8966468369871163E-2</v>
      </c>
      <c r="R36" s="97">
        <f t="shared" ca="1" si="16"/>
        <v>9.9419136290848989E-2</v>
      </c>
      <c r="S36" s="97">
        <f t="shared" ca="1" si="16"/>
        <v>9.9521887583910798E-2</v>
      </c>
      <c r="T36" s="97">
        <f t="shared" ca="1" si="16"/>
        <v>9.9622305481921622E-2</v>
      </c>
      <c r="U36" s="97">
        <f t="shared" ca="1" si="16"/>
        <v>9.972044008691007E-2</v>
      </c>
      <c r="V36" s="97">
        <f t="shared" ca="1" si="16"/>
        <v>9.9816340672721868E-2</v>
      </c>
      <c r="W36" s="97">
        <f t="shared" ca="1" si="17"/>
        <v>9.9284660770051922E-2</v>
      </c>
      <c r="X36" s="2"/>
    </row>
    <row r="37" spans="1:24">
      <c r="A37" s="52" t="str">
        <f>Historical!A36</f>
        <v>Total Non-Current Assets</v>
      </c>
      <c r="B37" s="85">
        <f>B28+B36</f>
        <v>20260</v>
      </c>
      <c r="C37" s="3">
        <f ca="1">C28+C36</f>
        <v>20983.389014097713</v>
      </c>
      <c r="D37" s="3">
        <f t="shared" ref="D37:J37" ca="1" si="23">D28+D36</f>
        <v>21780.181846892428</v>
      </c>
      <c r="E37" s="3">
        <f t="shared" ca="1" si="23"/>
        <v>22141.554749401279</v>
      </c>
      <c r="F37" s="3">
        <f t="shared" ca="1" si="23"/>
        <v>22622.54235656411</v>
      </c>
      <c r="G37" s="3">
        <f t="shared" ca="1" si="23"/>
        <v>23221.533258175747</v>
      </c>
      <c r="H37" s="3">
        <f t="shared" ca="1" si="23"/>
        <v>23837.132235070523</v>
      </c>
      <c r="I37" s="3">
        <f t="shared" ca="1" si="23"/>
        <v>24469.799785797291</v>
      </c>
      <c r="J37" s="3">
        <f t="shared" ca="1" si="23"/>
        <v>25120.009177515491</v>
      </c>
      <c r="K37" s="17">
        <f ca="1">RATE(8,,-B37,J37)</f>
        <v>2.7241471019462851E-2</v>
      </c>
      <c r="L37" s="2"/>
      <c r="M37" s="52" t="str">
        <f t="shared" si="15"/>
        <v>Total Non-Current Assets</v>
      </c>
      <c r="N37" s="91">
        <f t="shared" si="16"/>
        <v>0.93243740795287189</v>
      </c>
      <c r="O37" s="93">
        <f t="shared" ca="1" si="16"/>
        <v>0.93014587638880042</v>
      </c>
      <c r="P37" s="17">
        <f t="shared" ca="1" si="16"/>
        <v>0.93090999896223514</v>
      </c>
      <c r="Q37" s="17">
        <f t="shared" ca="1" si="16"/>
        <v>0.93032839327045425</v>
      </c>
      <c r="R37" s="17">
        <f t="shared" ca="1" si="16"/>
        <v>0.93006951301201801</v>
      </c>
      <c r="S37" s="17">
        <f t="shared" ca="1" si="16"/>
        <v>0.93011119413896493</v>
      </c>
      <c r="T37" s="17">
        <f t="shared" ca="1" si="16"/>
        <v>0.93015397002566624</v>
      </c>
      <c r="U37" s="17">
        <f t="shared" ca="1" si="16"/>
        <v>0.93019779387851775</v>
      </c>
      <c r="V37" s="17">
        <f t="shared" ca="1" si="16"/>
        <v>0.93024262007773384</v>
      </c>
      <c r="W37" s="17">
        <f t="shared" ca="1" si="17"/>
        <v>0.93026550345579917</v>
      </c>
      <c r="X37"/>
    </row>
    <row r="38" spans="1:24" ht="13.5" thickBot="1">
      <c r="A38" s="192" t="str">
        <f>Historical!A37</f>
        <v>Total Assets</v>
      </c>
      <c r="B38" s="265">
        <f t="shared" ref="B38" si="24">B37+B17</f>
        <v>21728</v>
      </c>
      <c r="C38" s="268">
        <f ca="1">C37+C17</f>
        <v>22559.245325651122</v>
      </c>
      <c r="D38" s="268">
        <f t="shared" ref="D38:J38" ca="1" si="25">D37+D17</f>
        <v>23396.656896126002</v>
      </c>
      <c r="E38" s="268">
        <f t="shared" ca="1" si="25"/>
        <v>23799.719442685593</v>
      </c>
      <c r="F38" s="268">
        <f t="shared" ca="1" si="25"/>
        <v>24323.496297928636</v>
      </c>
      <c r="G38" s="268">
        <f t="shared" ca="1" si="25"/>
        <v>24966.405527107647</v>
      </c>
      <c r="H38" s="268">
        <f t="shared" ca="1" si="25"/>
        <v>25627.082185557701</v>
      </c>
      <c r="I38" s="268">
        <f t="shared" ca="1" si="25"/>
        <v>26306.017867198905</v>
      </c>
      <c r="J38" s="268">
        <f t="shared" ca="1" si="25"/>
        <v>27003.717777859274</v>
      </c>
      <c r="K38" s="200">
        <f ca="1">RATE(8,,-B38,J38)</f>
        <v>2.754411428583619E-2</v>
      </c>
      <c r="L38" s="2"/>
      <c r="M38" s="192" t="str">
        <f t="shared" si="15"/>
        <v>Total Assets</v>
      </c>
      <c r="N38" s="91">
        <f t="shared" si="16"/>
        <v>1</v>
      </c>
      <c r="O38" s="93">
        <f t="shared" ca="1" si="16"/>
        <v>1</v>
      </c>
      <c r="P38" s="17">
        <f t="shared" ca="1" si="16"/>
        <v>1</v>
      </c>
      <c r="Q38" s="17">
        <f t="shared" ca="1" si="16"/>
        <v>1</v>
      </c>
      <c r="R38" s="17">
        <f t="shared" ca="1" si="16"/>
        <v>1</v>
      </c>
      <c r="S38" s="17">
        <f t="shared" ca="1" si="16"/>
        <v>1</v>
      </c>
      <c r="T38" s="17">
        <f t="shared" ca="1" si="16"/>
        <v>1</v>
      </c>
      <c r="U38" s="17">
        <f t="shared" ca="1" si="16"/>
        <v>1</v>
      </c>
      <c r="V38" s="17">
        <f t="shared" ca="1" si="16"/>
        <v>1</v>
      </c>
      <c r="W38" s="17">
        <f t="shared" ca="1" si="17"/>
        <v>1</v>
      </c>
      <c r="X38" s="2"/>
    </row>
    <row r="39" spans="1:24" ht="13.5" thickTop="1">
      <c r="B39" s="86"/>
      <c r="C39" s="2"/>
      <c r="D39" s="2"/>
      <c r="E39" s="2"/>
      <c r="F39" s="2"/>
      <c r="G39" s="2"/>
      <c r="H39" s="2"/>
      <c r="I39" s="2"/>
      <c r="J39" s="2"/>
      <c r="K39" s="71"/>
      <c r="L39" s="2"/>
      <c r="N39" s="92"/>
      <c r="O39" s="94"/>
      <c r="P39" s="71"/>
      <c r="Q39" s="71"/>
      <c r="R39" s="71"/>
      <c r="S39" s="71"/>
      <c r="T39" s="71"/>
      <c r="U39" s="71"/>
      <c r="V39" s="71"/>
      <c r="W39" s="71"/>
      <c r="X39" s="2"/>
    </row>
    <row r="40" spans="1:24" ht="12.75" customHeight="1">
      <c r="B40" s="77"/>
      <c r="C40" s="2"/>
      <c r="D40" s="2"/>
      <c r="E40" s="2"/>
      <c r="F40" s="2"/>
      <c r="G40" s="2"/>
      <c r="H40" s="2"/>
      <c r="I40" s="2"/>
      <c r="J40" s="2"/>
      <c r="K40" s="18"/>
      <c r="L40" s="2"/>
      <c r="N40" s="90"/>
      <c r="O40" s="18"/>
      <c r="P40" s="18"/>
      <c r="Q40" s="18"/>
      <c r="R40" s="18"/>
      <c r="S40" s="18"/>
      <c r="T40" s="18"/>
      <c r="U40" s="18"/>
      <c r="V40" s="18"/>
      <c r="W40" s="18"/>
      <c r="X40" s="2"/>
    </row>
    <row r="41" spans="1:24" ht="12.75" customHeight="1">
      <c r="A41" s="192" t="str">
        <f>Historical!A40</f>
        <v>Current Liabilities:</v>
      </c>
      <c r="B41" s="77"/>
      <c r="C41" s="2"/>
      <c r="D41" s="2"/>
      <c r="E41" s="2"/>
      <c r="F41" s="2"/>
      <c r="G41" s="2"/>
      <c r="H41" s="2"/>
      <c r="I41" s="2"/>
      <c r="J41" s="2"/>
      <c r="K41" s="5"/>
      <c r="L41" s="2"/>
      <c r="M41" s="192" t="str">
        <f t="shared" ref="M41:M48" si="26">A41</f>
        <v>Current Liabilities:</v>
      </c>
      <c r="N41" s="90"/>
      <c r="O41" s="5"/>
      <c r="P41" s="5"/>
      <c r="Q41" s="5"/>
      <c r="R41" s="5"/>
      <c r="S41" s="5"/>
      <c r="T41" s="5"/>
      <c r="U41" s="5"/>
      <c r="V41" s="5"/>
      <c r="W41" s="5"/>
      <c r="X41" s="2"/>
    </row>
    <row r="42" spans="1:24" ht="12.75" customHeight="1">
      <c r="A42" s="52" t="str">
        <f>Historical!A41</f>
        <v>Current Maturities LTD</v>
      </c>
      <c r="B42" s="77">
        <f>Historical!N41</f>
        <v>267</v>
      </c>
      <c r="C42" s="2">
        <f>Assumptions!$C$37*(Forecast!C50)</f>
        <v>275.08001707257489</v>
      </c>
      <c r="D42" s="2">
        <f>Assumptions!$C$37*(Forecast!D50)</f>
        <v>263.12031803785891</v>
      </c>
      <c r="E42" s="2">
        <f>Assumptions!$C$37*(Forecast!E50)</f>
        <v>251.68059280030627</v>
      </c>
      <c r="F42" s="2">
        <f>Assumptions!$C$37*(Forecast!F50)</f>
        <v>240.73823437382549</v>
      </c>
      <c r="G42" s="2">
        <f>Assumptions!$C$37*(Forecast!G50)</f>
        <v>230.27161865996845</v>
      </c>
      <c r="H42" s="2">
        <f>Assumptions!$C$37*(Forecast!H50)</f>
        <v>220.26006171476322</v>
      </c>
      <c r="I42" s="2">
        <f>Assumptions!$C$37*(Forecast!I50)</f>
        <v>210.68377887346347</v>
      </c>
      <c r="J42" s="2">
        <f>Assumptions!$C$37*(Forecast!J50)</f>
        <v>201.52384565243815</v>
      </c>
      <c r="K42" s="5">
        <f t="shared" ref="K42:K48" si="27">RATE(8,,-B42,J42)</f>
        <v>-3.455642294365293E-2</v>
      </c>
      <c r="L42" s="2"/>
      <c r="M42" s="52" t="str">
        <f t="shared" si="26"/>
        <v>Current Maturities LTD</v>
      </c>
      <c r="N42" s="90">
        <f t="shared" ref="N42:V48" si="28">B42/B$38</f>
        <v>1.2288291605301914E-2</v>
      </c>
      <c r="O42" s="95">
        <f t="shared" ca="1" si="28"/>
        <v>1.219367106929741E-2</v>
      </c>
      <c r="P42" s="18">
        <f t="shared" ca="1" si="28"/>
        <v>1.1246064735061621E-2</v>
      </c>
      <c r="Q42" s="18">
        <f t="shared" ca="1" si="28"/>
        <v>1.0574939482223841E-2</v>
      </c>
      <c r="R42" s="18">
        <f t="shared" ca="1" si="28"/>
        <v>9.8973532186787845E-3</v>
      </c>
      <c r="S42" s="18">
        <f t="shared" ca="1" si="28"/>
        <v>9.2232587670639105E-3</v>
      </c>
      <c r="T42" s="18">
        <f t="shared" ca="1" si="28"/>
        <v>8.5948162229288871E-3</v>
      </c>
      <c r="U42" s="18">
        <f t="shared" ca="1" si="28"/>
        <v>8.0089574916683247E-3</v>
      </c>
      <c r="V42" s="18">
        <f t="shared" ca="1" si="28"/>
        <v>7.4628185389224583E-3</v>
      </c>
      <c r="W42" s="18">
        <f t="shared" ref="W42:W48" ca="1" si="29">SUM(C42:J42)/SUM($C$38:$J$38)</f>
        <v>9.5632694035265187E-3</v>
      </c>
      <c r="X42" s="2"/>
    </row>
    <row r="43" spans="1:24" ht="12.75" customHeight="1">
      <c r="A43" s="52" t="str">
        <f>Historical!A42</f>
        <v>Short-term Debt</v>
      </c>
      <c r="B43" s="77">
        <f>Historical!N42</f>
        <v>0</v>
      </c>
      <c r="C43" s="2">
        <f>C105/2</f>
        <v>350</v>
      </c>
      <c r="D43" s="2">
        <f t="shared" ref="D43:J43" si="30">D105/2</f>
        <v>300</v>
      </c>
      <c r="E43" s="2">
        <f t="shared" si="30"/>
        <v>325</v>
      </c>
      <c r="F43" s="2">
        <f t="shared" si="30"/>
        <v>325</v>
      </c>
      <c r="G43" s="2">
        <f t="shared" si="30"/>
        <v>300</v>
      </c>
      <c r="H43" s="2">
        <f t="shared" si="30"/>
        <v>300</v>
      </c>
      <c r="I43" s="2">
        <f t="shared" si="30"/>
        <v>350</v>
      </c>
      <c r="J43" s="2">
        <f t="shared" si="30"/>
        <v>350</v>
      </c>
      <c r="K43" s="5"/>
      <c r="L43" s="2"/>
      <c r="M43" s="52" t="str">
        <f t="shared" si="26"/>
        <v>Short-term Debt</v>
      </c>
      <c r="N43" s="90">
        <f t="shared" si="28"/>
        <v>0</v>
      </c>
      <c r="O43" s="95">
        <f t="shared" ca="1" si="28"/>
        <v>1.5514703393115304E-2</v>
      </c>
      <c r="P43" s="18">
        <f t="shared" ca="1" si="28"/>
        <v>1.2822344719243789E-2</v>
      </c>
      <c r="Q43" s="18">
        <f t="shared" ca="1" si="28"/>
        <v>1.3655623159031936E-2</v>
      </c>
      <c r="R43" s="18">
        <f t="shared" ca="1" si="28"/>
        <v>1.3361565953315547E-2</v>
      </c>
      <c r="S43" s="18">
        <f t="shared" ca="1" si="28"/>
        <v>1.2016147045047014E-2</v>
      </c>
      <c r="T43" s="18">
        <f t="shared" ca="1" si="28"/>
        <v>1.1706365860451599E-2</v>
      </c>
      <c r="U43" s="18">
        <f t="shared" ca="1" si="28"/>
        <v>1.3304940404393803E-2</v>
      </c>
      <c r="V43" s="18">
        <f t="shared" ca="1" si="28"/>
        <v>1.2961178267348428E-2</v>
      </c>
      <c r="W43" s="18">
        <f t="shared" ca="1" si="29"/>
        <v>1.3132484355239015E-2</v>
      </c>
      <c r="X43" s="2"/>
    </row>
    <row r="44" spans="1:24" ht="12.75" customHeight="1">
      <c r="A44" s="52" t="str">
        <f>Historical!A43</f>
        <v>Accounts Payable</v>
      </c>
      <c r="B44" s="77">
        <f>Historical!N43</f>
        <v>467</v>
      </c>
      <c r="C44" s="2">
        <f>Assumptions!$C$39*Forecast!C80</f>
        <v>552.98637194137848</v>
      </c>
      <c r="D44" s="2">
        <f>Assumptions!$C$39*Forecast!D80</f>
        <v>568.31988525015697</v>
      </c>
      <c r="E44" s="2">
        <f>Assumptions!$C$39*Forecast!E80</f>
        <v>584.07857473382944</v>
      </c>
      <c r="F44" s="2">
        <f>Assumptions!$C$39*Forecast!F80</f>
        <v>600.27422991356127</v>
      </c>
      <c r="G44" s="2">
        <f>Assumptions!$C$39*Forecast!G80</f>
        <v>616.91896721691046</v>
      </c>
      <c r="H44" s="2">
        <f>Assumptions!$C$39*Forecast!H80</f>
        <v>634.02523904246857</v>
      </c>
      <c r="I44" s="2">
        <f>Assumptions!$C$39*Forecast!I80</f>
        <v>651.60584307585282</v>
      </c>
      <c r="J44" s="2">
        <f>Assumptions!$C$39*Forecast!J80</f>
        <v>669.67393186401671</v>
      </c>
      <c r="K44" s="5">
        <f t="shared" si="27"/>
        <v>4.608822627013405E-2</v>
      </c>
      <c r="L44" s="2"/>
      <c r="M44" s="52" t="str">
        <f t="shared" si="26"/>
        <v>Accounts Payable</v>
      </c>
      <c r="N44" s="90">
        <f t="shared" si="28"/>
        <v>2.149300441826215E-2</v>
      </c>
      <c r="O44" s="95">
        <f t="shared" ca="1" si="28"/>
        <v>2.4512627260301217E-2</v>
      </c>
      <c r="P44" s="18">
        <f t="shared" ca="1" si="28"/>
        <v>2.4290644931595287E-2</v>
      </c>
      <c r="Q44" s="18">
        <f t="shared" ca="1" si="28"/>
        <v>2.4541405882552759E-2</v>
      </c>
      <c r="R44" s="18">
        <f t="shared" ca="1" si="28"/>
        <v>2.4678780655586919E-2</v>
      </c>
      <c r="S44" s="18">
        <f t="shared" ca="1" si="28"/>
        <v>2.4709963416523116E-2</v>
      </c>
      <c r="T44" s="18">
        <f t="shared" ca="1" si="28"/>
        <v>2.4740438043304724E-2</v>
      </c>
      <c r="U44" s="18">
        <f t="shared" ca="1" si="28"/>
        <v>2.4770219740797149E-2</v>
      </c>
      <c r="V44" s="18">
        <f t="shared" ca="1" si="28"/>
        <v>2.479932346253047E-2</v>
      </c>
      <c r="W44" s="18">
        <f t="shared" ca="1" si="29"/>
        <v>2.4637970288224811E-2</v>
      </c>
      <c r="X44" s="2"/>
    </row>
    <row r="45" spans="1:24">
      <c r="A45" s="52" t="str">
        <f>Historical!A44</f>
        <v>Accrued Expenses</v>
      </c>
      <c r="B45" s="77">
        <f>Historical!N44</f>
        <v>244</v>
      </c>
      <c r="C45" s="2">
        <f ca="1">Assumptions!$C$40*Forecast!C38</f>
        <v>281.51870504903661</v>
      </c>
      <c r="D45" s="2">
        <f ca="1">Assumptions!$C$40*Forecast!D38</f>
        <v>291.96883392126051</v>
      </c>
      <c r="E45" s="2">
        <f ca="1">Assumptions!$C$40*Forecast!E38</f>
        <v>296.99868507644084</v>
      </c>
      <c r="F45" s="2">
        <f ca="1">Assumptions!$C$40*Forecast!F38</f>
        <v>303.53494016361861</v>
      </c>
      <c r="G45" s="2">
        <f ca="1">Assumptions!$C$40*Forecast!G38</f>
        <v>311.55785808706315</v>
      </c>
      <c r="H45" s="2">
        <f ca="1">Assumptions!$C$40*Forecast!H38</f>
        <v>319.80249724312131</v>
      </c>
      <c r="I45" s="2">
        <f ca="1">Assumptions!$C$40*Forecast!I38</f>
        <v>328.27499227334675</v>
      </c>
      <c r="J45" s="2">
        <f ca="1">Assumptions!$C$40*Forecast!J38</f>
        <v>336.98164768342826</v>
      </c>
      <c r="K45" s="5">
        <f t="shared" ca="1" si="27"/>
        <v>4.1182962535743321E-2</v>
      </c>
      <c r="L45" s="2"/>
      <c r="M45" s="52" t="str">
        <f t="shared" si="26"/>
        <v>Accrued Expenses</v>
      </c>
      <c r="N45" s="90">
        <f t="shared" si="28"/>
        <v>1.1229749631811487E-2</v>
      </c>
      <c r="O45" s="95">
        <f t="shared" ca="1" si="28"/>
        <v>1.2479083452713469E-2</v>
      </c>
      <c r="P45" s="18">
        <f t="shared" ca="1" si="28"/>
        <v>1.2479083452713471E-2</v>
      </c>
      <c r="Q45" s="18">
        <f t="shared" ca="1" si="28"/>
        <v>1.2479083452713469E-2</v>
      </c>
      <c r="R45" s="18">
        <f t="shared" ca="1" si="28"/>
        <v>1.2479083452713471E-2</v>
      </c>
      <c r="S45" s="18">
        <f t="shared" ca="1" si="28"/>
        <v>1.2479083452713469E-2</v>
      </c>
      <c r="T45" s="18">
        <f t="shared" ca="1" si="28"/>
        <v>1.2479083452713471E-2</v>
      </c>
      <c r="U45" s="18">
        <f t="shared" ca="1" si="28"/>
        <v>1.2479083452713471E-2</v>
      </c>
      <c r="V45" s="18">
        <f t="shared" ca="1" si="28"/>
        <v>1.2479083452713471E-2</v>
      </c>
      <c r="W45" s="18">
        <f t="shared" ca="1" si="29"/>
        <v>1.2479083452713471E-2</v>
      </c>
      <c r="X45" s="2"/>
    </row>
    <row r="46" spans="1:24">
      <c r="A46" s="52" t="str">
        <f>Historical!A45</f>
        <v>Derivative Contacts</v>
      </c>
      <c r="B46" s="77">
        <f>Historical!N45</f>
        <v>49</v>
      </c>
      <c r="C46" s="2">
        <f>Assumptions!$C$41*Forecast!C80</f>
        <v>50.35869921982416</v>
      </c>
      <c r="D46" s="2">
        <f>Assumptions!$C$41*Forecast!D80</f>
        <v>51.755073206382015</v>
      </c>
      <c r="E46" s="2">
        <f>Assumptions!$C$41*Forecast!E80</f>
        <v>53.190166626534129</v>
      </c>
      <c r="F46" s="2">
        <f>Assumptions!$C$41*Forecast!F80</f>
        <v>54.665053114244117</v>
      </c>
      <c r="G46" s="2">
        <f>Assumptions!$C$41*Forecast!G80</f>
        <v>56.180836073794524</v>
      </c>
      <c r="H46" s="2">
        <f>Assumptions!$C$41*Forecast!H80</f>
        <v>57.738649505274807</v>
      </c>
      <c r="I46" s="2">
        <f>Assumptions!$C$41*Forecast!I80</f>
        <v>59.339658852958848</v>
      </c>
      <c r="J46" s="2">
        <f>Assumptions!$C$41*Forecast!J80</f>
        <v>60.985061877206753</v>
      </c>
      <c r="K46" s="5">
        <f t="shared" si="27"/>
        <v>2.772855550662141E-2</v>
      </c>
      <c r="L46" s="2"/>
      <c r="M46" s="52" t="str">
        <f t="shared" si="26"/>
        <v>Derivative Contacts</v>
      </c>
      <c r="N46" s="90">
        <f t="shared" si="28"/>
        <v>2.2551546391752575E-3</v>
      </c>
      <c r="O46" s="95">
        <f t="shared" ca="1" si="28"/>
        <v>2.2322865190247967E-3</v>
      </c>
      <c r="P46" s="18">
        <f t="shared" ca="1" si="28"/>
        <v>2.2120712987397603E-3</v>
      </c>
      <c r="Q46" s="18">
        <f t="shared" ca="1" si="28"/>
        <v>2.2349072960555906E-3</v>
      </c>
      <c r="R46" s="18">
        <f t="shared" ca="1" si="28"/>
        <v>2.2474175770076004E-3</v>
      </c>
      <c r="S46" s="18">
        <f t="shared" ca="1" si="28"/>
        <v>2.2502572912546561E-3</v>
      </c>
      <c r="T46" s="18">
        <f t="shared" ca="1" si="28"/>
        <v>2.2530325179904317E-3</v>
      </c>
      <c r="U46" s="18">
        <f t="shared" ca="1" si="28"/>
        <v>2.2557446418733618E-3</v>
      </c>
      <c r="V46" s="18">
        <f t="shared" ca="1" si="28"/>
        <v>2.2583950246735751E-3</v>
      </c>
      <c r="W46" s="18">
        <f t="shared" ca="1" si="29"/>
        <v>2.2437011074537055E-3</v>
      </c>
      <c r="X46" s="2"/>
    </row>
    <row r="47" spans="1:24">
      <c r="A47" s="52" t="str">
        <f>Historical!A46</f>
        <v xml:space="preserve">Other </v>
      </c>
      <c r="B47" s="77">
        <f>Historical!N46</f>
        <v>257</v>
      </c>
      <c r="C47" s="3">
        <f ca="1">Assumptions!$C$42*Forecast!C38</f>
        <v>184.99293439294684</v>
      </c>
      <c r="D47" s="3">
        <f ca="1">Assumptions!$C$42*Forecast!D38</f>
        <v>191.85997367021409</v>
      </c>
      <c r="E47" s="3">
        <f ca="1">Assumptions!$C$42*Forecast!E38</f>
        <v>195.16521381258576</v>
      </c>
      <c r="F47" s="3">
        <f ca="1">Assumptions!$C$42*Forecast!F38</f>
        <v>199.46034939978313</v>
      </c>
      <c r="G47" s="3">
        <f ca="1">Assumptions!$C$42*Forecast!G38</f>
        <v>204.73240806740614</v>
      </c>
      <c r="H47" s="3">
        <f ca="1">Assumptions!$C$42*Forecast!H38</f>
        <v>210.15016526483467</v>
      </c>
      <c r="I47" s="3">
        <f ca="1">Assumptions!$C$42*Forecast!I38</f>
        <v>215.71765221742655</v>
      </c>
      <c r="J47" s="3">
        <f ca="1">Assumptions!$C$42*Forecast!J38</f>
        <v>221.43901177248219</v>
      </c>
      <c r="K47" s="5">
        <f t="shared" ca="1" si="27"/>
        <v>-1.8443899915729031E-2</v>
      </c>
      <c r="L47" s="2"/>
      <c r="M47" s="52" t="str">
        <f t="shared" si="26"/>
        <v xml:space="preserve">Other </v>
      </c>
      <c r="N47" s="90">
        <f t="shared" si="28"/>
        <v>1.1828055964653902E-2</v>
      </c>
      <c r="O47" s="95">
        <f t="shared" ca="1" si="28"/>
        <v>8.2003157340817395E-3</v>
      </c>
      <c r="P47" s="18">
        <f t="shared" ca="1" si="28"/>
        <v>8.2003157340817395E-3</v>
      </c>
      <c r="Q47" s="18">
        <f t="shared" ca="1" si="28"/>
        <v>8.2003157340817395E-3</v>
      </c>
      <c r="R47" s="18">
        <f t="shared" ca="1" si="28"/>
        <v>8.2003157340817395E-3</v>
      </c>
      <c r="S47" s="18">
        <f t="shared" ca="1" si="28"/>
        <v>8.2003157340817395E-3</v>
      </c>
      <c r="T47" s="18">
        <f t="shared" ca="1" si="28"/>
        <v>8.2003157340817395E-3</v>
      </c>
      <c r="U47" s="18">
        <f t="shared" ca="1" si="28"/>
        <v>8.2003157340817395E-3</v>
      </c>
      <c r="V47" s="18">
        <f t="shared" ca="1" si="28"/>
        <v>8.2003157340817395E-3</v>
      </c>
      <c r="W47" s="18">
        <f t="shared" ca="1" si="29"/>
        <v>8.2003157340817395E-3</v>
      </c>
      <c r="X47" s="2"/>
    </row>
    <row r="48" spans="1:24">
      <c r="A48" s="192" t="str">
        <f>Historical!A47</f>
        <v>Total Current Liabilities</v>
      </c>
      <c r="B48" s="265">
        <f>SUM(B42:B47)</f>
        <v>1284</v>
      </c>
      <c r="C48" s="192">
        <f t="shared" ref="C48:J48" ca="1" si="31">SUM(C41:C47)</f>
        <v>1694.9367276757612</v>
      </c>
      <c r="D48" s="192">
        <f t="shared" ca="1" si="31"/>
        <v>1667.0240840858723</v>
      </c>
      <c r="E48" s="192">
        <f t="shared" ca="1" si="31"/>
        <v>1706.1132330496964</v>
      </c>
      <c r="F48" s="192">
        <f t="shared" ca="1" si="31"/>
        <v>1723.6728069650324</v>
      </c>
      <c r="G48" s="192">
        <f t="shared" ca="1" si="31"/>
        <v>1719.6616881051427</v>
      </c>
      <c r="H48" s="192">
        <f t="shared" ca="1" si="31"/>
        <v>1741.9766127704625</v>
      </c>
      <c r="I48" s="192">
        <f t="shared" ca="1" si="31"/>
        <v>1815.6219252930484</v>
      </c>
      <c r="J48" s="192">
        <f t="shared" ca="1" si="31"/>
        <v>1840.6034988495721</v>
      </c>
      <c r="K48" s="200">
        <f t="shared" ca="1" si="27"/>
        <v>4.6042674524646228E-2</v>
      </c>
      <c r="L48" s="2"/>
      <c r="M48" s="192" t="str">
        <f t="shared" si="26"/>
        <v>Total Current Liabilities</v>
      </c>
      <c r="N48" s="91">
        <f t="shared" si="28"/>
        <v>5.9094256259204711E-2</v>
      </c>
      <c r="O48" s="93">
        <f t="shared" ca="1" si="28"/>
        <v>7.5132687428533948E-2</v>
      </c>
      <c r="P48" s="17">
        <f t="shared" ca="1" si="28"/>
        <v>7.1250524871435655E-2</v>
      </c>
      <c r="Q48" s="17">
        <f t="shared" ca="1" si="28"/>
        <v>7.1686275006659333E-2</v>
      </c>
      <c r="R48" s="17">
        <f t="shared" ca="1" si="28"/>
        <v>7.0864516591384055E-2</v>
      </c>
      <c r="S48" s="17">
        <f t="shared" ca="1" si="28"/>
        <v>6.8879025706683902E-2</v>
      </c>
      <c r="T48" s="17">
        <f t="shared" ca="1" si="28"/>
        <v>6.7974051831470844E-2</v>
      </c>
      <c r="U48" s="17">
        <f t="shared" ca="1" si="28"/>
        <v>6.9019261465527851E-2</v>
      </c>
      <c r="V48" s="17">
        <f t="shared" ca="1" si="28"/>
        <v>6.8161114480270152E-2</v>
      </c>
      <c r="W48" s="17">
        <f t="shared" ca="1" si="29"/>
        <v>7.0256824341239255E-2</v>
      </c>
      <c r="X48" s="2"/>
    </row>
    <row r="49" spans="1:24">
      <c r="B49" s="77"/>
      <c r="C49" s="2"/>
      <c r="D49" s="2"/>
      <c r="E49" s="2"/>
      <c r="F49" s="2"/>
      <c r="G49" s="2"/>
      <c r="H49" s="2"/>
      <c r="I49" s="2"/>
      <c r="J49" s="2"/>
      <c r="K49" s="5"/>
      <c r="L49" s="2"/>
      <c r="N49" s="90"/>
      <c r="O49" s="95"/>
      <c r="P49" s="18"/>
      <c r="Q49" s="18"/>
      <c r="R49" s="18"/>
      <c r="S49" s="18"/>
      <c r="T49" s="18"/>
      <c r="U49" s="18"/>
      <c r="V49" s="18"/>
      <c r="W49" s="18"/>
      <c r="X49" s="2"/>
    </row>
    <row r="50" spans="1:24">
      <c r="A50" s="192" t="str">
        <f>Historical!A49</f>
        <v>Long-Term Debt</v>
      </c>
      <c r="B50" s="77">
        <f>Historical!N49</f>
        <v>6594</v>
      </c>
      <c r="C50" s="2">
        <f t="shared" ref="C50:J50" si="32">B50-B42</f>
        <v>6327</v>
      </c>
      <c r="D50" s="2">
        <f t="shared" si="32"/>
        <v>6051.9199829274248</v>
      </c>
      <c r="E50" s="2">
        <f t="shared" si="32"/>
        <v>5788.799664889566</v>
      </c>
      <c r="F50" s="2">
        <f t="shared" si="32"/>
        <v>5537.11907208926</v>
      </c>
      <c r="G50" s="2">
        <f t="shared" si="32"/>
        <v>5296.3808377154346</v>
      </c>
      <c r="H50" s="2">
        <f t="shared" si="32"/>
        <v>5066.1092190554664</v>
      </c>
      <c r="I50" s="2">
        <f t="shared" si="32"/>
        <v>4845.8491573407027</v>
      </c>
      <c r="J50" s="2">
        <f t="shared" si="32"/>
        <v>4635.165378467239</v>
      </c>
      <c r="K50" s="5">
        <f>RATE(8,,-B50,J50)</f>
        <v>-4.3104446743792754E-2</v>
      </c>
      <c r="L50" s="2"/>
      <c r="M50" s="52" t="str">
        <f>A50</f>
        <v>Long-Term Debt</v>
      </c>
      <c r="N50" s="90">
        <f t="shared" ref="N50:V52" si="33">B50/B$38</f>
        <v>0.30347938144329895</v>
      </c>
      <c r="O50" s="95">
        <f t="shared" ca="1" si="33"/>
        <v>0.28046150962354433</v>
      </c>
      <c r="P50" s="18">
        <f t="shared" ca="1" si="33"/>
        <v>0.25866601411458473</v>
      </c>
      <c r="Q50" s="18">
        <f t="shared" ca="1" si="33"/>
        <v>0.24322974389803773</v>
      </c>
      <c r="R50" s="18">
        <f t="shared" ca="1" si="33"/>
        <v>0.22764486668640624</v>
      </c>
      <c r="S50" s="18">
        <f t="shared" ca="1" si="33"/>
        <v>0.21214030317519317</v>
      </c>
      <c r="T50" s="18">
        <f t="shared" ca="1" si="33"/>
        <v>0.19768576002423338</v>
      </c>
      <c r="U50" s="18">
        <f t="shared" ca="1" si="33"/>
        <v>0.18421066927742852</v>
      </c>
      <c r="V50" s="18">
        <f t="shared" ca="1" si="33"/>
        <v>0.1716491564827298</v>
      </c>
      <c r="W50" s="18">
        <f ca="1">SUM(C50:J50)/SUM($C$38:$J$38)</f>
        <v>0.21996074509530311</v>
      </c>
      <c r="X50" s="2"/>
    </row>
    <row r="51" spans="1:24">
      <c r="A51" s="52" t="str">
        <f>Historical!A50</f>
        <v>Deferred Income Taxes</v>
      </c>
      <c r="B51" s="77">
        <f>Historical!N50</f>
        <v>4168</v>
      </c>
      <c r="C51" s="2">
        <f>B51+Assumptions!$C$46</f>
        <v>4668</v>
      </c>
      <c r="D51" s="2">
        <f>C51+Assumptions!$C$46</f>
        <v>5168</v>
      </c>
      <c r="E51" s="2">
        <f>D51+Assumptions!$C$46</f>
        <v>5668</v>
      </c>
      <c r="F51" s="2">
        <f>E51+Assumptions!$C$46</f>
        <v>6168</v>
      </c>
      <c r="G51" s="2">
        <f>F51+Assumptions!$C$46/2</f>
        <v>6418</v>
      </c>
      <c r="H51" s="2">
        <f>G51+Assumptions!$C$46/2</f>
        <v>6668</v>
      </c>
      <c r="I51" s="2">
        <f>H51+Assumptions!$C$46</f>
        <v>7168</v>
      </c>
      <c r="J51" s="2">
        <f>I51+Assumptions!$C$46</f>
        <v>7668</v>
      </c>
      <c r="K51" s="5">
        <f>RATE(8,,-B51,J51)</f>
        <v>7.9181021550075448E-2</v>
      </c>
      <c r="L51" s="2"/>
      <c r="M51" s="52" t="str">
        <f>A51</f>
        <v>Deferred Income Taxes</v>
      </c>
      <c r="N51" s="90">
        <f t="shared" si="33"/>
        <v>0.19182621502209132</v>
      </c>
      <c r="O51" s="95">
        <f t="shared" ca="1" si="33"/>
        <v>0.20692181554017783</v>
      </c>
      <c r="P51" s="18">
        <f t="shared" ca="1" si="33"/>
        <v>0.22088625836350634</v>
      </c>
      <c r="Q51" s="18">
        <f t="shared" ca="1" si="33"/>
        <v>0.23815406789351695</v>
      </c>
      <c r="R51" s="18">
        <f t="shared" ca="1" si="33"/>
        <v>0.25358196553861628</v>
      </c>
      <c r="S51" s="18">
        <f t="shared" ca="1" si="33"/>
        <v>0.25706543911703911</v>
      </c>
      <c r="T51" s="18">
        <f t="shared" ca="1" si="33"/>
        <v>0.2601934918583042</v>
      </c>
      <c r="U51" s="18">
        <f t="shared" ca="1" si="33"/>
        <v>0.27248517948198508</v>
      </c>
      <c r="V51" s="18">
        <f t="shared" ca="1" si="33"/>
        <v>0.2839608998686507</v>
      </c>
      <c r="W51" s="18">
        <f ca="1">SUM(C51:J51)/SUM($C$38:$J$38)</f>
        <v>0.25049708812066296</v>
      </c>
      <c r="X51" s="2"/>
    </row>
    <row r="52" spans="1:24">
      <c r="A52" s="52" t="str">
        <f>Historical!A51</f>
        <v>Derivative Contracts</v>
      </c>
      <c r="B52" s="77">
        <f>Historical!N51</f>
        <v>26</v>
      </c>
      <c r="C52" s="2">
        <f>Assumptions!$C$47*Forecast!C83</f>
        <v>50.313149999999993</v>
      </c>
      <c r="D52" s="2">
        <f>Assumptions!$C$47*Forecast!D83</f>
        <v>51.570978749999988</v>
      </c>
      <c r="E52" s="2">
        <f>Assumptions!$C$47*Forecast!E83</f>
        <v>52.860253218749989</v>
      </c>
      <c r="F52" s="2">
        <f>Assumptions!$C$47*Forecast!F83</f>
        <v>54.181759549218732</v>
      </c>
      <c r="G52" s="2">
        <f>Assumptions!$C$47*Forecast!G83</f>
        <v>55.536303537949195</v>
      </c>
      <c r="H52" s="2">
        <f>Assumptions!$C$47*Forecast!H83</f>
        <v>56.924711126397924</v>
      </c>
      <c r="I52" s="2">
        <f>Assumptions!$C$47*Forecast!I83</f>
        <v>58.347828904557865</v>
      </c>
      <c r="J52" s="2">
        <f>Assumptions!$C$47*Forecast!J83</f>
        <v>59.806524627171797</v>
      </c>
      <c r="K52" s="5">
        <f>RATE(8,,-B52,J52)</f>
        <v>0.10974169169467822</v>
      </c>
      <c r="L52" s="2"/>
      <c r="M52" s="52" t="str">
        <f>A52</f>
        <v>Derivative Contracts</v>
      </c>
      <c r="N52" s="90">
        <f t="shared" si="33"/>
        <v>1.1966126656848307E-3</v>
      </c>
      <c r="O52" s="95">
        <f t="shared" ca="1" si="33"/>
        <v>2.2302674257809116E-3</v>
      </c>
      <c r="P52" s="18">
        <f t="shared" ca="1" si="33"/>
        <v>2.2042028901376534E-3</v>
      </c>
      <c r="Q52" s="18">
        <f t="shared" ca="1" si="33"/>
        <v>2.2210452247577069E-3</v>
      </c>
      <c r="R52" s="18">
        <f t="shared" ca="1" si="33"/>
        <v>2.2275481651802169E-3</v>
      </c>
      <c r="S52" s="18">
        <f t="shared" ca="1" si="33"/>
        <v>2.2244412988345411E-3</v>
      </c>
      <c r="T52" s="18">
        <f t="shared" ca="1" si="33"/>
        <v>2.2212716498204461E-3</v>
      </c>
      <c r="U52" s="18">
        <f t="shared" ca="1" si="33"/>
        <v>2.2180411037168815E-3</v>
      </c>
      <c r="V52" s="18">
        <f t="shared" ca="1" si="33"/>
        <v>2.2147515064095359E-3</v>
      </c>
      <c r="W52" s="18">
        <f ca="1">SUM(C52:J52)/SUM($C$38:$J$38)</f>
        <v>2.2201046153068615E-3</v>
      </c>
      <c r="X52" s="2"/>
    </row>
    <row r="53" spans="1:24" ht="12.75" customHeight="1">
      <c r="A53" s="52" t="str">
        <f>Historical!A52</f>
        <v>Other Long-term Liabilities</v>
      </c>
      <c r="B53" s="77">
        <f>Historical!N52</f>
        <v>2012</v>
      </c>
      <c r="C53" s="2">
        <f>(Assumptions!$C$48+1)*Forecast!B53</f>
        <v>2064.1123427124226</v>
      </c>
      <c r="D53" s="2">
        <f>(Assumptions!$C$48+1)*Forecast!C53</f>
        <v>2117.5744350585314</v>
      </c>
      <c r="E53" s="2">
        <f>(Assumptions!$C$48+1)*Forecast!D53</f>
        <v>2172.4212365887674</v>
      </c>
      <c r="F53" s="2">
        <f>(Assumptions!$C$48+1)*Forecast!E53</f>
        <v>2228.6886123327331</v>
      </c>
      <c r="G53" s="2">
        <f>(Assumptions!$C$48+1)*Forecast!F53</f>
        <v>2286.4133562517973</v>
      </c>
      <c r="H53" s="2">
        <f>(Assumptions!$C$48+1)*Forecast!G53</f>
        <v>2345.6332152991404</v>
      </c>
      <c r="I53" s="2">
        <f>(Assumptions!$C$48+1)*Forecast!H53</f>
        <v>2406.3869141029727</v>
      </c>
      <c r="J53" s="2">
        <f>(Assumptions!$C$48+1)*Forecast!I53</f>
        <v>2468.7141802890678</v>
      </c>
      <c r="K53" s="5">
        <f>RATE(8,,-B53,J53)</f>
        <v>2.5900766755686522E-2</v>
      </c>
      <c r="L53" s="2"/>
      <c r="N53" s="90"/>
      <c r="O53" s="95"/>
      <c r="P53" s="18"/>
      <c r="Q53" s="18"/>
      <c r="R53" s="18"/>
      <c r="S53" s="18"/>
      <c r="T53" s="18"/>
      <c r="U53" s="18"/>
      <c r="V53" s="18"/>
      <c r="W53" s="18"/>
      <c r="X53" s="2"/>
    </row>
    <row r="54" spans="1:24" ht="12.75" customHeight="1">
      <c r="A54" s="87" t="s">
        <v>138</v>
      </c>
      <c r="B54" s="77">
        <v>0</v>
      </c>
      <c r="C54" s="3">
        <f ca="1">C68</f>
        <v>250.06455646093204</v>
      </c>
      <c r="D54" s="3">
        <f t="shared" ref="D54:J54" ca="1" si="34">D68</f>
        <v>826.34259979535909</v>
      </c>
      <c r="E54" s="3">
        <f t="shared" ca="1" si="34"/>
        <v>919.32721299211767</v>
      </c>
      <c r="F54" s="3">
        <f t="shared" ca="1" si="34"/>
        <v>1108.0328056213889</v>
      </c>
      <c r="G54" s="3">
        <f t="shared" ca="1" si="34"/>
        <v>1599.3793317719385</v>
      </c>
      <c r="H54" s="3">
        <f t="shared" ca="1" si="34"/>
        <v>2049.530341852455</v>
      </c>
      <c r="I54" s="3">
        <f t="shared" ca="1" si="34"/>
        <v>2279.1300743931888</v>
      </c>
      <c r="J54" s="3">
        <f t="shared" ca="1" si="34"/>
        <v>2534.3776021567087</v>
      </c>
      <c r="K54" s="5"/>
      <c r="L54" s="2"/>
      <c r="M54" s="52" t="str">
        <f>A54</f>
        <v>Additonal Loans</v>
      </c>
      <c r="N54" s="90">
        <f t="shared" ref="N54:V55" si="35">B54/B$38</f>
        <v>0</v>
      </c>
      <c r="O54" s="95">
        <f t="shared" ca="1" si="35"/>
        <v>1.1084792636063701E-2</v>
      </c>
      <c r="P54" s="18">
        <f t="shared" ca="1" si="35"/>
        <v>3.5318832235907351E-2</v>
      </c>
      <c r="Q54" s="18">
        <f t="shared" ca="1" si="35"/>
        <v>3.862764917065676E-2</v>
      </c>
      <c r="R54" s="18">
        <f t="shared" ca="1" si="35"/>
        <v>4.5554010494607548E-2</v>
      </c>
      <c r="S54" s="18">
        <f t="shared" ca="1" si="35"/>
        <v>6.406125743793549E-2</v>
      </c>
      <c r="T54" s="18">
        <f t="shared" ca="1" si="35"/>
        <v>7.9975173412737577E-2</v>
      </c>
      <c r="U54" s="18">
        <f t="shared" ca="1" si="35"/>
        <v>8.6639113753322838E-2</v>
      </c>
      <c r="V54" s="18">
        <f t="shared" ca="1" si="35"/>
        <v>9.3852913995223289E-2</v>
      </c>
      <c r="W54" s="18">
        <f ca="1">SUM(C54:J54)/SUM($C$38:$J$38)</f>
        <v>5.8420283586518879E-2</v>
      </c>
      <c r="X54" s="2"/>
    </row>
    <row r="55" spans="1:24" ht="12.75" customHeight="1">
      <c r="A55" s="192" t="str">
        <f>Historical!A53</f>
        <v>Total LTD &amp; Deferrals</v>
      </c>
      <c r="B55" s="265">
        <f t="shared" ref="B55:J55" si="36">SUM(B50:B54)</f>
        <v>12800</v>
      </c>
      <c r="C55" s="192">
        <f t="shared" ca="1" si="36"/>
        <v>13359.490049173353</v>
      </c>
      <c r="D55" s="192">
        <f t="shared" ca="1" si="36"/>
        <v>14215.407996531318</v>
      </c>
      <c r="E55" s="192">
        <f t="shared" ca="1" si="36"/>
        <v>14601.408367689201</v>
      </c>
      <c r="F55" s="192">
        <f t="shared" ca="1" si="36"/>
        <v>15096.022249592601</v>
      </c>
      <c r="G55" s="192">
        <f t="shared" ca="1" si="36"/>
        <v>15655.709829277119</v>
      </c>
      <c r="H55" s="192">
        <f t="shared" ca="1" si="36"/>
        <v>16186.197487333458</v>
      </c>
      <c r="I55" s="192">
        <f t="shared" ca="1" si="36"/>
        <v>16757.713974741422</v>
      </c>
      <c r="J55" s="192">
        <f t="shared" ca="1" si="36"/>
        <v>17366.063685540186</v>
      </c>
      <c r="K55" s="200">
        <f ca="1">RATE(8,,-B55,J55)</f>
        <v>3.8870531916295629E-2</v>
      </c>
      <c r="L55" s="2"/>
      <c r="M55" s="52" t="str">
        <f>A55</f>
        <v>Total LTD &amp; Deferrals</v>
      </c>
      <c r="N55" s="91">
        <f t="shared" si="35"/>
        <v>0.5891016200294551</v>
      </c>
      <c r="O55" s="93">
        <f t="shared" ca="1" si="35"/>
        <v>0.59219578741771417</v>
      </c>
      <c r="P55" s="17">
        <f t="shared" ca="1" si="35"/>
        <v>0.60758287218739748</v>
      </c>
      <c r="Q55" s="17">
        <f t="shared" ca="1" si="35"/>
        <v>0.61351178541630558</v>
      </c>
      <c r="R55" s="17">
        <f t="shared" ca="1" si="35"/>
        <v>0.62063537514046296</v>
      </c>
      <c r="S55" s="17">
        <f t="shared" ca="1" si="35"/>
        <v>0.62707103801060582</v>
      </c>
      <c r="T55" s="17">
        <f t="shared" ca="1" si="35"/>
        <v>0.6316051655874928</v>
      </c>
      <c r="U55" s="17">
        <f t="shared" ca="1" si="35"/>
        <v>0.63702967356517659</v>
      </c>
      <c r="V55" s="17">
        <f t="shared" ca="1" si="35"/>
        <v>0.64309899208689203</v>
      </c>
      <c r="W55" s="17">
        <f ca="1">SUM(C55:J55)/SUM($C$38:$J$38)</f>
        <v>0.6224697254217072</v>
      </c>
      <c r="X55" s="2"/>
    </row>
    <row r="56" spans="1:24" ht="12.75" customHeight="1">
      <c r="B56" s="77"/>
      <c r="C56" s="2"/>
      <c r="D56" s="2"/>
      <c r="E56" s="2"/>
      <c r="F56" s="2"/>
      <c r="G56" s="2"/>
      <c r="H56" s="2"/>
      <c r="I56" s="2"/>
      <c r="J56" s="2"/>
      <c r="K56" s="18"/>
      <c r="L56" s="2"/>
      <c r="N56" s="90"/>
      <c r="O56" s="95"/>
      <c r="P56" s="18"/>
      <c r="Q56" s="18"/>
      <c r="R56" s="18"/>
      <c r="S56" s="18"/>
      <c r="T56" s="18"/>
      <c r="U56" s="18"/>
      <c r="V56" s="18"/>
      <c r="W56" s="18"/>
      <c r="X56" s="2"/>
    </row>
    <row r="57" spans="1:24" ht="12.75" customHeight="1">
      <c r="A57" s="52" t="str">
        <f>Historical!A55</f>
        <v>Total Liabilities</v>
      </c>
      <c r="B57" s="77">
        <f t="shared" ref="B57:J57" si="37">B48+B55</f>
        <v>14084</v>
      </c>
      <c r="C57" s="2">
        <f t="shared" ca="1" si="37"/>
        <v>15054.426776849115</v>
      </c>
      <c r="D57" s="2">
        <f t="shared" ca="1" si="37"/>
        <v>15882.432080617189</v>
      </c>
      <c r="E57" s="2">
        <f t="shared" ca="1" si="37"/>
        <v>16307.521600738897</v>
      </c>
      <c r="F57" s="2">
        <f t="shared" ca="1" si="37"/>
        <v>16819.695056557634</v>
      </c>
      <c r="G57" s="2">
        <f t="shared" ca="1" si="37"/>
        <v>17375.37151738226</v>
      </c>
      <c r="H57" s="2">
        <f t="shared" ca="1" si="37"/>
        <v>17928.174100103919</v>
      </c>
      <c r="I57" s="2">
        <f t="shared" ca="1" si="37"/>
        <v>18573.335900034472</v>
      </c>
      <c r="J57" s="2">
        <f t="shared" ca="1" si="37"/>
        <v>19206.667184389757</v>
      </c>
      <c r="K57" s="5">
        <f ca="1">RATE(8,,-B57,J57)</f>
        <v>3.9538909229217337E-2</v>
      </c>
      <c r="L57" s="2"/>
      <c r="M57" s="52" t="str">
        <f>A57</f>
        <v>Total Liabilities</v>
      </c>
      <c r="N57" s="90">
        <f t="shared" ref="N57:V57" si="38">B57/B$38</f>
        <v>0.64819587628865982</v>
      </c>
      <c r="O57" s="95">
        <f t="shared" ca="1" si="38"/>
        <v>0.66732847484624813</v>
      </c>
      <c r="P57" s="18">
        <f t="shared" ca="1" si="38"/>
        <v>0.67883339705883317</v>
      </c>
      <c r="Q57" s="18">
        <f t="shared" ca="1" si="38"/>
        <v>0.68519806042296494</v>
      </c>
      <c r="R57" s="18">
        <f t="shared" ca="1" si="38"/>
        <v>0.69149989173184701</v>
      </c>
      <c r="S57" s="18">
        <f t="shared" ca="1" si="38"/>
        <v>0.69595006371728974</v>
      </c>
      <c r="T57" s="18">
        <f t="shared" ca="1" si="38"/>
        <v>0.69957921741896356</v>
      </c>
      <c r="U57" s="18">
        <f t="shared" ca="1" si="38"/>
        <v>0.70604893503070454</v>
      </c>
      <c r="V57" s="18">
        <f t="shared" ca="1" si="38"/>
        <v>0.7112601065671621</v>
      </c>
      <c r="W57" s="18">
        <f ca="1">SUM(C57:J57)/SUM($C$38:$J$38)</f>
        <v>0.69272654976294645</v>
      </c>
      <c r="X57" s="2"/>
    </row>
    <row r="58" spans="1:24" ht="12.75" customHeight="1">
      <c r="B58" s="77"/>
      <c r="C58" s="2"/>
      <c r="D58" s="2"/>
      <c r="E58" s="2"/>
      <c r="F58" s="2"/>
      <c r="G58" s="2"/>
      <c r="H58" s="2"/>
      <c r="I58" s="2"/>
      <c r="J58" s="2"/>
      <c r="K58" s="5"/>
      <c r="L58" s="2"/>
      <c r="N58" s="90"/>
      <c r="O58" s="95"/>
      <c r="P58" s="18"/>
      <c r="Q58" s="18"/>
      <c r="R58" s="18"/>
      <c r="S58" s="18"/>
      <c r="T58" s="18"/>
      <c r="U58" s="18"/>
      <c r="V58" s="18"/>
      <c r="W58" s="18"/>
      <c r="X58" s="2"/>
    </row>
    <row r="59" spans="1:24" ht="12.75" customHeight="1">
      <c r="A59" s="52" t="str">
        <f>Historical!A57</f>
        <v>Preferred Stock</v>
      </c>
      <c r="B59" s="77">
        <f>Historical!N57</f>
        <v>41</v>
      </c>
      <c r="C59" s="2">
        <f>Assumptions!$C$52</f>
        <v>37</v>
      </c>
      <c r="D59" s="2">
        <f>Assumptions!$C$52</f>
        <v>37</v>
      </c>
      <c r="E59" s="2">
        <f>Assumptions!$C$52</f>
        <v>37</v>
      </c>
      <c r="F59" s="2">
        <f>Assumptions!$C$52</f>
        <v>37</v>
      </c>
      <c r="G59" s="2">
        <f>Assumptions!$C$52</f>
        <v>37</v>
      </c>
      <c r="H59" s="2">
        <f>Assumptions!$C$52</f>
        <v>37</v>
      </c>
      <c r="I59" s="2">
        <f>Assumptions!$C$52</f>
        <v>37</v>
      </c>
      <c r="J59" s="2">
        <f>Assumptions!$C$52</f>
        <v>37</v>
      </c>
      <c r="K59" s="5">
        <f>RATE(8,,-B59,J59)</f>
        <v>-1.274979311397325E-2</v>
      </c>
      <c r="L59" s="2"/>
      <c r="M59" s="52" t="str">
        <f>A59</f>
        <v>Preferred Stock</v>
      </c>
      <c r="N59" s="90">
        <f t="shared" ref="N59:V59" si="39">B59/B$38</f>
        <v>1.8869661266568483E-3</v>
      </c>
      <c r="O59" s="95">
        <f t="shared" ca="1" si="39"/>
        <v>1.6401257872721892E-3</v>
      </c>
      <c r="P59" s="18">
        <f t="shared" ca="1" si="39"/>
        <v>1.5814225153734005E-3</v>
      </c>
      <c r="Q59" s="18">
        <f t="shared" ca="1" si="39"/>
        <v>1.5546401750282512E-3</v>
      </c>
      <c r="R59" s="18">
        <f t="shared" ca="1" si="39"/>
        <v>1.5211628931466931E-3</v>
      </c>
      <c r="S59" s="18">
        <f t="shared" ca="1" si="39"/>
        <v>1.4819914688891317E-3</v>
      </c>
      <c r="T59" s="18">
        <f t="shared" ca="1" si="39"/>
        <v>1.4437851227890304E-3</v>
      </c>
      <c r="U59" s="18">
        <f t="shared" ca="1" si="39"/>
        <v>1.4065222713216306E-3</v>
      </c>
      <c r="V59" s="18">
        <f t="shared" ca="1" si="39"/>
        <v>1.3701817025482625E-3</v>
      </c>
      <c r="W59" s="18">
        <f ca="1">SUM(C59:J59)/SUM($C$38:$J$38)</f>
        <v>1.4950828342887494E-3</v>
      </c>
      <c r="X59" s="2"/>
    </row>
    <row r="60" spans="1:24" ht="12.75" customHeight="1">
      <c r="B60" s="77"/>
      <c r="C60" s="2"/>
      <c r="D60" s="2"/>
      <c r="E60" s="2"/>
      <c r="F60" s="2"/>
      <c r="G60" s="2"/>
      <c r="H60" s="2"/>
      <c r="I60" s="2"/>
      <c r="J60" s="2"/>
      <c r="K60" s="5"/>
      <c r="L60" s="2"/>
      <c r="N60" s="90"/>
      <c r="O60" s="95"/>
      <c r="P60" s="18"/>
      <c r="Q60" s="18"/>
      <c r="R60" s="18"/>
      <c r="S60" s="18"/>
      <c r="T60" s="18"/>
      <c r="U60" s="18"/>
      <c r="V60" s="18"/>
      <c r="W60" s="18"/>
      <c r="X60" s="2"/>
    </row>
    <row r="61" spans="1:24" ht="12.75" customHeight="1">
      <c r="A61" s="192" t="str">
        <f>Historical!A59</f>
        <v>Common Equity:</v>
      </c>
      <c r="B61" s="77"/>
      <c r="C61" s="2"/>
      <c r="D61" s="2"/>
      <c r="E61" s="2"/>
      <c r="F61" s="2"/>
      <c r="G61" s="2"/>
      <c r="H61" s="2"/>
      <c r="I61" s="2"/>
      <c r="J61" s="2"/>
      <c r="K61" s="5"/>
      <c r="L61" s="2"/>
      <c r="M61" s="192" t="str">
        <f>A61</f>
        <v>Common Equity:</v>
      </c>
      <c r="N61" s="90"/>
      <c r="O61" s="95"/>
      <c r="P61" s="18"/>
      <c r="Q61" s="18"/>
      <c r="R61" s="18"/>
      <c r="S61" s="18"/>
      <c r="T61" s="18"/>
      <c r="U61" s="18"/>
      <c r="V61" s="18"/>
      <c r="W61" s="18"/>
      <c r="X61" s="2"/>
    </row>
    <row r="62" spans="1:24" ht="12.75" customHeight="1">
      <c r="A62" s="52" t="str">
        <f>Historical!A60</f>
        <v>Common Stock</v>
      </c>
      <c r="B62" s="77">
        <f>Historical!N60</f>
        <v>4479</v>
      </c>
      <c r="C62" s="2">
        <f>B62</f>
        <v>4479</v>
      </c>
      <c r="D62" s="2">
        <f t="shared" ref="D62:J62" si="40">C62</f>
        <v>4479</v>
      </c>
      <c r="E62" s="2">
        <f t="shared" si="40"/>
        <v>4479</v>
      </c>
      <c r="F62" s="2">
        <f t="shared" si="40"/>
        <v>4479</v>
      </c>
      <c r="G62" s="2">
        <f t="shared" si="40"/>
        <v>4479</v>
      </c>
      <c r="H62" s="2">
        <f t="shared" si="40"/>
        <v>4479</v>
      </c>
      <c r="I62" s="2">
        <f t="shared" si="40"/>
        <v>4479</v>
      </c>
      <c r="J62" s="2">
        <f t="shared" si="40"/>
        <v>4479</v>
      </c>
      <c r="K62" s="5">
        <f>RATE(8,,-B62,J62)</f>
        <v>-9.5574488083283431E-17</v>
      </c>
      <c r="L62" s="2"/>
      <c r="M62" s="52" t="str">
        <f>A62</f>
        <v>Common Stock</v>
      </c>
      <c r="N62" s="90">
        <f t="shared" ref="N62:V65" si="41">B62/B$38</f>
        <v>0.20613954344624447</v>
      </c>
      <c r="O62" s="95">
        <f t="shared" ca="1" si="41"/>
        <v>0.19854387570789556</v>
      </c>
      <c r="P62" s="18">
        <f t="shared" ca="1" si="41"/>
        <v>0.19143760665830975</v>
      </c>
      <c r="Q62" s="18">
        <f t="shared" ca="1" si="41"/>
        <v>0.18819549578247396</v>
      </c>
      <c r="R62" s="18">
        <f t="shared" ca="1" si="41"/>
        <v>0.18414293509200103</v>
      </c>
      <c r="S62" s="18">
        <f t="shared" ca="1" si="41"/>
        <v>0.17940107538255193</v>
      </c>
      <c r="T62" s="18">
        <f t="shared" ca="1" si="41"/>
        <v>0.17477604229654237</v>
      </c>
      <c r="U62" s="18">
        <f t="shared" ca="1" si="41"/>
        <v>0.17026522306079955</v>
      </c>
      <c r="V62" s="18">
        <f t="shared" ca="1" si="41"/>
        <v>0.16586604988415315</v>
      </c>
      <c r="W62" s="18">
        <f ca="1">SUM(C62:J62)/SUM($C$38:$J$38)</f>
        <v>0.18098583823727862</v>
      </c>
      <c r="X62" s="2"/>
    </row>
    <row r="63" spans="1:24" ht="12.75" customHeight="1">
      <c r="A63" s="52" t="str">
        <f>Historical!A61</f>
        <v>Retained Earnings</v>
      </c>
      <c r="B63" s="77">
        <f>Historical!N61</f>
        <v>3124</v>
      </c>
      <c r="C63" s="3">
        <f t="shared" ref="C63" ca="1" si="42">B63+(IF(C102&gt;C104,(C102-C104-C105),C102))</f>
        <v>3025.8140238284918</v>
      </c>
      <c r="D63" s="3">
        <f t="shared" ref="D63" ca="1" si="43">C63+(IF(D102&gt;D104,(D102-D104-D105),D102))</f>
        <v>3035.2076371556755</v>
      </c>
      <c r="E63" s="3">
        <f t="shared" ref="E63" ca="1" si="44">D63+(IF(E102&gt;E104,(E102-E104-E105),E102))</f>
        <v>3013.1710864725164</v>
      </c>
      <c r="F63" s="3">
        <f t="shared" ref="F63" ca="1" si="45">E63+(IF(F102&gt;F104,(F102-F104-F105),F102))</f>
        <v>3024.7605289895087</v>
      </c>
      <c r="G63" s="3">
        <f t="shared" ref="G63" ca="1" si="46">F63+(IF(G102&gt;G104,(G102-G104-G105),G102))</f>
        <v>3111.9699002357693</v>
      </c>
      <c r="H63" s="3">
        <f t="shared" ref="H63" ca="1" si="47">G63+(IF(H102&gt;H104,(H102-H104-H105),H102))</f>
        <v>3219.8139340831062</v>
      </c>
      <c r="I63" s="3">
        <f t="shared" ref="I63" ca="1" si="48">H63+(IF(I102&gt;I104,(I102-I104-I105),I102))</f>
        <v>3253.5532832987797</v>
      </c>
      <c r="J63" s="3">
        <f t="shared" ref="J63" ca="1" si="49">I63+(IF(J102&gt;J104,(J102-J104-J105),J102))</f>
        <v>3317.878831842816</v>
      </c>
      <c r="K63" s="5">
        <f ca="1">RATE(8,,-B63,J63)</f>
        <v>7.5548248545077249E-3</v>
      </c>
      <c r="L63" s="2"/>
      <c r="M63" s="52" t="str">
        <f>A63</f>
        <v>Retained Earnings</v>
      </c>
      <c r="N63" s="90">
        <f t="shared" si="41"/>
        <v>0.14377761413843887</v>
      </c>
      <c r="O63" s="95">
        <f t="shared" ca="1" si="41"/>
        <v>0.13412744886407935</v>
      </c>
      <c r="P63" s="18">
        <f t="shared" ca="1" si="41"/>
        <v>0.12972826206030497</v>
      </c>
      <c r="Q63" s="18">
        <f t="shared" ca="1" si="41"/>
        <v>0.12660531960172158</v>
      </c>
      <c r="R63" s="18">
        <f t="shared" ca="1" si="41"/>
        <v>0.12435549938793521</v>
      </c>
      <c r="S63" s="18">
        <f t="shared" ca="1" si="41"/>
        <v>0.12464629306997764</v>
      </c>
      <c r="T63" s="18">
        <f t="shared" ca="1" si="41"/>
        <v>0.12564106638318942</v>
      </c>
      <c r="U63" s="18">
        <f t="shared" ca="1" si="41"/>
        <v>0.12368095010517158</v>
      </c>
      <c r="V63" s="18">
        <f t="shared" ca="1" si="41"/>
        <v>0.12286748288278998</v>
      </c>
      <c r="W63" s="103">
        <f ca="1">SUM(C63:J63)/SUM($C$38:$J$38)</f>
        <v>0.12628484469471449</v>
      </c>
      <c r="X63" s="2"/>
    </row>
    <row r="64" spans="1:24" ht="12.75" customHeight="1">
      <c r="A64" s="192" t="str">
        <f>Historical!A62</f>
        <v>Total Common Equity</v>
      </c>
      <c r="B64" s="267">
        <f>SUM(B62:B63)</f>
        <v>7603</v>
      </c>
      <c r="C64" s="195">
        <f t="shared" ref="C64" ca="1" si="50">SUM(C61:C63)</f>
        <v>7504.8140238284923</v>
      </c>
      <c r="D64" s="195">
        <f t="shared" ref="D64:J64" ca="1" si="51">SUM(D61:D63)</f>
        <v>7514.2076371556759</v>
      </c>
      <c r="E64" s="195">
        <f t="shared" ca="1" si="51"/>
        <v>7492.1710864725164</v>
      </c>
      <c r="F64" s="195">
        <f t="shared" ca="1" si="51"/>
        <v>7503.7605289895091</v>
      </c>
      <c r="G64" s="195">
        <f t="shared" ca="1" si="51"/>
        <v>7590.9699002357693</v>
      </c>
      <c r="H64" s="195">
        <f t="shared" ca="1" si="51"/>
        <v>7698.8139340831058</v>
      </c>
      <c r="I64" s="195">
        <f t="shared" ca="1" si="51"/>
        <v>7732.5532832987792</v>
      </c>
      <c r="J64" s="195">
        <f t="shared" ca="1" si="51"/>
        <v>7796.878831842816</v>
      </c>
      <c r="K64" s="200">
        <f ca="1">RATE(8,,-B64,J64)</f>
        <v>3.1525335151571651E-3</v>
      </c>
      <c r="L64" s="2"/>
      <c r="M64" s="192" t="str">
        <f>A64</f>
        <v>Total Common Equity</v>
      </c>
      <c r="N64" s="270">
        <f t="shared" si="41"/>
        <v>0.34991715758468334</v>
      </c>
      <c r="O64" s="271">
        <f t="shared" ca="1" si="41"/>
        <v>0.3326713245719749</v>
      </c>
      <c r="P64" s="200">
        <f t="shared" ca="1" si="41"/>
        <v>0.32116586871861474</v>
      </c>
      <c r="Q64" s="200">
        <f t="shared" ca="1" si="41"/>
        <v>0.31480081538419552</v>
      </c>
      <c r="R64" s="200">
        <f t="shared" ca="1" si="41"/>
        <v>0.30849843447993625</v>
      </c>
      <c r="S64" s="200">
        <f t="shared" ca="1" si="41"/>
        <v>0.30404736845252955</v>
      </c>
      <c r="T64" s="200">
        <f t="shared" ca="1" si="41"/>
        <v>0.30041710867973176</v>
      </c>
      <c r="U64" s="200">
        <f t="shared" ca="1" si="41"/>
        <v>0.2939461731659711</v>
      </c>
      <c r="V64" s="200">
        <f t="shared" ca="1" si="41"/>
        <v>0.28873353276694314</v>
      </c>
      <c r="W64" s="200">
        <f ca="1">SUM(C64:J64)/SUM($C$38:$J$38)</f>
        <v>0.30727068293199311</v>
      </c>
      <c r="X64" s="2"/>
    </row>
    <row r="65" spans="1:24" ht="12.75" customHeight="1" thickBot="1">
      <c r="A65" s="192" t="str">
        <f>Historical!A63</f>
        <v>Total Liabilities &amp; Equity</v>
      </c>
      <c r="B65" s="265">
        <f t="shared" ref="B65" si="52">B57+B59+B64</f>
        <v>21728</v>
      </c>
      <c r="C65" s="268">
        <f ca="1">C64+C57</f>
        <v>22559.24080067761</v>
      </c>
      <c r="D65" s="268">
        <f t="shared" ref="D65:J65" ca="1" si="53">D64+D57</f>
        <v>23396.639717772865</v>
      </c>
      <c r="E65" s="268">
        <f t="shared" ca="1" si="53"/>
        <v>23799.692687211413</v>
      </c>
      <c r="F65" s="268">
        <f t="shared" ca="1" si="53"/>
        <v>24323.455585547141</v>
      </c>
      <c r="G65" s="268">
        <f t="shared" ca="1" si="53"/>
        <v>24966.34141761803</v>
      </c>
      <c r="H65" s="268">
        <f t="shared" ca="1" si="53"/>
        <v>25626.988034187023</v>
      </c>
      <c r="I65" s="268">
        <f t="shared" ca="1" si="53"/>
        <v>26305.889183333253</v>
      </c>
      <c r="J65" s="268">
        <f t="shared" ca="1" si="53"/>
        <v>27003.546016232573</v>
      </c>
      <c r="K65" s="200">
        <f ca="1">RATE(8,,-B65,J65)</f>
        <v>2.7543297300462427E-2</v>
      </c>
      <c r="L65" s="2"/>
      <c r="M65" s="192" t="str">
        <f>A65</f>
        <v>Total Liabilities &amp; Equity</v>
      </c>
      <c r="N65" s="270">
        <f t="shared" si="41"/>
        <v>1</v>
      </c>
      <c r="O65" s="271">
        <f t="shared" ca="1" si="41"/>
        <v>0.99999979941822315</v>
      </c>
      <c r="P65" s="200">
        <f t="shared" ca="1" si="41"/>
        <v>0.99999926577744791</v>
      </c>
      <c r="Q65" s="200">
        <f t="shared" ca="1" si="41"/>
        <v>0.99999887580716051</v>
      </c>
      <c r="R65" s="200">
        <f t="shared" ca="1" si="41"/>
        <v>0.9999983262117832</v>
      </c>
      <c r="S65" s="200">
        <f t="shared" ca="1" si="41"/>
        <v>0.99999743216981929</v>
      </c>
      <c r="T65" s="200">
        <f t="shared" ca="1" si="41"/>
        <v>0.99999632609869527</v>
      </c>
      <c r="U65" s="200">
        <f t="shared" ca="1" si="41"/>
        <v>0.9999951081966757</v>
      </c>
      <c r="V65" s="200">
        <f t="shared" ca="1" si="41"/>
        <v>0.99999363933410523</v>
      </c>
      <c r="W65" s="200">
        <f ca="1">SUM(C65:J65)/SUM($C$38:$J$38)</f>
        <v>0.99999723269493968</v>
      </c>
      <c r="X65" s="2"/>
    </row>
    <row r="66" spans="1:24" ht="12.75" customHeight="1" thickTop="1">
      <c r="B66" s="86"/>
      <c r="C66" s="2"/>
      <c r="D66" s="2"/>
      <c r="E66" s="2"/>
      <c r="F66" s="2"/>
      <c r="G66" s="2"/>
      <c r="H66" s="2"/>
      <c r="I66" s="2"/>
      <c r="J66" s="2"/>
      <c r="K66" s="71"/>
      <c r="L66" s="2"/>
      <c r="N66" s="71"/>
      <c r="O66" s="129"/>
      <c r="P66" s="129"/>
      <c r="Q66" s="129"/>
      <c r="R66" s="129"/>
      <c r="S66" s="129"/>
      <c r="T66" s="129"/>
      <c r="U66" s="129"/>
      <c r="V66" s="129"/>
      <c r="W66" s="71"/>
      <c r="X66" s="2"/>
    </row>
    <row r="67" spans="1:24" ht="12.75" customHeight="1">
      <c r="B67" s="77"/>
      <c r="C67" s="2">
        <f t="shared" ref="C67" ca="1" si="54">IF(C38&lt;C65,(((C65-C38)*0.1)+C13),0)</f>
        <v>0</v>
      </c>
      <c r="D67" s="2">
        <f t="shared" ref="D67:J67" ca="1" si="55">IF(D38&lt;D65,(((D65-D38)*0.1)+D13),0)</f>
        <v>0</v>
      </c>
      <c r="E67" s="2">
        <f t="shared" ca="1" si="55"/>
        <v>0</v>
      </c>
      <c r="F67" s="2">
        <f t="shared" ca="1" si="55"/>
        <v>0</v>
      </c>
      <c r="G67" s="2">
        <f t="shared" ca="1" si="55"/>
        <v>0</v>
      </c>
      <c r="H67" s="2">
        <f t="shared" ca="1" si="55"/>
        <v>0</v>
      </c>
      <c r="I67" s="2">
        <f t="shared" ca="1" si="55"/>
        <v>0</v>
      </c>
      <c r="J67" s="2">
        <f t="shared" ca="1" si="55"/>
        <v>0</v>
      </c>
      <c r="K67" s="5"/>
      <c r="L67" s="2"/>
    </row>
    <row r="68" spans="1:24" ht="12.75" customHeight="1">
      <c r="A68" s="111"/>
      <c r="B68" s="77"/>
      <c r="C68" s="2">
        <f t="shared" ref="C68" ca="1" si="56">IF(C38&gt;C65,(((C38-C65)*0.1)+C54),0)</f>
        <v>250.06500895828324</v>
      </c>
      <c r="D68" s="2">
        <f t="shared" ref="D68:J68" ca="1" si="57">IF(D38&gt;D65,(((D38-D65)*0.1)+D54),0)</f>
        <v>826.34431763067278</v>
      </c>
      <c r="E68" s="2">
        <f t="shared" ca="1" si="57"/>
        <v>919.32988853953566</v>
      </c>
      <c r="F68" s="2">
        <f t="shared" ca="1" si="57"/>
        <v>1108.0368768595383</v>
      </c>
      <c r="G68" s="2">
        <f t="shared" ca="1" si="57"/>
        <v>1599.3857427209002</v>
      </c>
      <c r="H68" s="2">
        <f t="shared" ca="1" si="57"/>
        <v>2049.5397569895226</v>
      </c>
      <c r="I68" s="2">
        <f t="shared" ca="1" si="57"/>
        <v>2279.1429427797539</v>
      </c>
      <c r="J68" s="2">
        <f t="shared" ca="1" si="57"/>
        <v>2534.3947783193789</v>
      </c>
      <c r="K68" s="5"/>
      <c r="L68" s="2"/>
    </row>
    <row r="69" spans="1:24" ht="12.75" customHeight="1">
      <c r="A69" s="111"/>
      <c r="B69" s="19"/>
      <c r="C69" s="2"/>
      <c r="D69" s="2"/>
      <c r="E69" s="2"/>
      <c r="F69" s="2"/>
      <c r="G69" s="2"/>
      <c r="H69" s="2"/>
      <c r="I69" s="2"/>
      <c r="J69" s="2"/>
      <c r="K69" s="5"/>
      <c r="L69" s="2"/>
    </row>
    <row r="70" spans="1:24" ht="12.75" customHeight="1">
      <c r="A70" s="111"/>
      <c r="B70" s="19"/>
      <c r="C70" s="2"/>
      <c r="D70" s="2"/>
      <c r="E70" s="2"/>
      <c r="F70" s="2"/>
      <c r="G70" s="2"/>
      <c r="H70" s="2"/>
      <c r="I70" s="2"/>
      <c r="J70" s="2"/>
      <c r="K70" s="279" t="s">
        <v>207</v>
      </c>
      <c r="L70" s="2"/>
      <c r="W70" s="279" t="s">
        <v>207</v>
      </c>
    </row>
    <row r="71" spans="1:24" ht="12.75" customHeight="1">
      <c r="A71" s="111"/>
      <c r="B71" s="19"/>
      <c r="C71" s="2"/>
      <c r="D71" s="2"/>
      <c r="E71" s="2"/>
      <c r="F71" s="2"/>
      <c r="G71" s="2"/>
      <c r="H71" s="2"/>
      <c r="I71" s="2"/>
      <c r="J71" s="2"/>
      <c r="K71" s="280" t="s">
        <v>202</v>
      </c>
      <c r="L71" s="2"/>
      <c r="N71"/>
      <c r="O71"/>
      <c r="P71"/>
      <c r="Q71"/>
      <c r="R71"/>
      <c r="S71"/>
      <c r="T71"/>
      <c r="U71"/>
      <c r="V71"/>
      <c r="W71" s="280" t="s">
        <v>205</v>
      </c>
      <c r="X71"/>
    </row>
    <row r="72" spans="1:24" ht="12.75" customHeight="1">
      <c r="A72" s="105" t="str">
        <f>A4</f>
        <v>PacifiCorp</v>
      </c>
      <c r="B72" s="107"/>
      <c r="C72" s="10"/>
      <c r="D72" s="10"/>
      <c r="E72" s="12"/>
      <c r="F72" s="12"/>
      <c r="G72" s="12"/>
      <c r="H72" s="12"/>
      <c r="I72" s="12"/>
      <c r="J72" s="12"/>
      <c r="K72" s="13"/>
      <c r="L72" s="2"/>
      <c r="M72" s="105" t="str">
        <f>A72</f>
        <v>PacifiCorp</v>
      </c>
      <c r="N72" s="109"/>
      <c r="O72" s="12"/>
      <c r="P72" s="12"/>
      <c r="Q72" s="12"/>
      <c r="R72" s="12"/>
      <c r="S72" s="12"/>
      <c r="T72" s="12"/>
      <c r="U72" s="12"/>
      <c r="V72" s="12"/>
      <c r="W72" s="13"/>
      <c r="X72" s="2"/>
    </row>
    <row r="73" spans="1:24" ht="12.75" customHeight="1">
      <c r="A73" s="107" t="s">
        <v>147</v>
      </c>
      <c r="B73" s="107"/>
      <c r="C73" s="10"/>
      <c r="D73" s="10"/>
      <c r="E73" s="12"/>
      <c r="F73" s="12"/>
      <c r="G73" s="12"/>
      <c r="H73" s="12"/>
      <c r="I73" s="12"/>
      <c r="J73" s="12"/>
      <c r="K73" s="13"/>
      <c r="L73" s="2"/>
      <c r="M73" s="107" t="s">
        <v>186</v>
      </c>
      <c r="N73" s="109"/>
      <c r="O73" s="10"/>
      <c r="P73" s="12"/>
      <c r="Q73" s="12"/>
      <c r="R73" s="12"/>
      <c r="S73" s="12"/>
      <c r="T73" s="12"/>
      <c r="U73" s="12"/>
      <c r="V73" s="12"/>
      <c r="W73" s="13"/>
      <c r="X73" s="2"/>
    </row>
    <row r="74" spans="1:24" ht="12.75" customHeight="1">
      <c r="A74" s="136">
        <f ca="1">A6</f>
        <v>41438.477707638885</v>
      </c>
      <c r="B74" s="107"/>
      <c r="C74" s="12"/>
      <c r="D74" s="12"/>
      <c r="E74" s="12"/>
      <c r="F74" s="12"/>
      <c r="G74" s="12"/>
      <c r="H74" s="12"/>
      <c r="I74" s="12"/>
      <c r="J74" s="12"/>
      <c r="K74" s="13"/>
      <c r="L74" s="2"/>
      <c r="M74" s="107"/>
      <c r="N74" s="109"/>
      <c r="O74" s="10"/>
      <c r="P74" s="12"/>
      <c r="Q74" s="12"/>
      <c r="R74" s="12"/>
      <c r="S74" s="12"/>
      <c r="T74" s="12"/>
      <c r="U74" s="12"/>
      <c r="V74" s="12"/>
      <c r="W74" s="13"/>
      <c r="X74" s="2"/>
    </row>
    <row r="75" spans="1:24" ht="12.75" customHeight="1">
      <c r="A75" s="104"/>
      <c r="B75" s="104"/>
      <c r="C75" s="2"/>
      <c r="D75" s="2"/>
      <c r="E75" s="2"/>
      <c r="F75" s="2"/>
      <c r="G75" s="2"/>
      <c r="H75" s="2"/>
      <c r="I75" s="2"/>
      <c r="J75" s="2"/>
      <c r="K75" s="5"/>
      <c r="L75" s="2"/>
      <c r="M75" s="104"/>
      <c r="N75" s="108"/>
      <c r="O75" s="2"/>
      <c r="P75" s="2"/>
      <c r="Q75" s="2"/>
      <c r="R75" s="2"/>
      <c r="S75" s="2"/>
      <c r="T75" s="2"/>
      <c r="U75" s="2"/>
      <c r="V75" s="2"/>
      <c r="W75" s="5"/>
      <c r="X75" s="2"/>
    </row>
    <row r="76" spans="1:24" ht="12.75" customHeight="1">
      <c r="B76" s="74" t="s">
        <v>124</v>
      </c>
      <c r="C76" s="14" t="s">
        <v>125</v>
      </c>
      <c r="D76" s="14" t="s">
        <v>125</v>
      </c>
      <c r="E76" s="14" t="s">
        <v>125</v>
      </c>
      <c r="F76" s="14" t="s">
        <v>125</v>
      </c>
      <c r="G76" s="14" t="s">
        <v>125</v>
      </c>
      <c r="H76" s="14" t="s">
        <v>125</v>
      </c>
      <c r="I76" s="14" t="s">
        <v>125</v>
      </c>
      <c r="J76" s="14" t="s">
        <v>125</v>
      </c>
      <c r="K76" s="15" t="s">
        <v>4</v>
      </c>
      <c r="L76" s="2"/>
      <c r="N76" s="74" t="str">
        <f>B8</f>
        <v>Historical</v>
      </c>
      <c r="O76" s="14" t="s">
        <v>125</v>
      </c>
      <c r="P76" s="14" t="s">
        <v>125</v>
      </c>
      <c r="Q76" s="14" t="s">
        <v>125</v>
      </c>
      <c r="R76" s="14" t="s">
        <v>125</v>
      </c>
      <c r="S76" s="14" t="s">
        <v>125</v>
      </c>
      <c r="T76" s="14" t="s">
        <v>125</v>
      </c>
      <c r="U76" s="14" t="s">
        <v>125</v>
      </c>
      <c r="V76" s="14" t="s">
        <v>125</v>
      </c>
      <c r="W76" s="15"/>
      <c r="X76" s="2"/>
    </row>
    <row r="77" spans="1:24" ht="12.75" customHeight="1">
      <c r="B77" s="88">
        <f>B9</f>
        <v>2012</v>
      </c>
      <c r="C77" s="4">
        <f>C9</f>
        <v>2013</v>
      </c>
      <c r="D77" s="4">
        <f t="shared" ref="D77:J77" si="58">D9</f>
        <v>2014</v>
      </c>
      <c r="E77" s="4">
        <f t="shared" si="58"/>
        <v>2015</v>
      </c>
      <c r="F77" s="4">
        <f t="shared" si="58"/>
        <v>2016</v>
      </c>
      <c r="G77" s="4">
        <f t="shared" si="58"/>
        <v>2017</v>
      </c>
      <c r="H77" s="4">
        <f t="shared" si="58"/>
        <v>2018</v>
      </c>
      <c r="I77" s="4">
        <f t="shared" si="58"/>
        <v>2019</v>
      </c>
      <c r="J77" s="4">
        <f t="shared" si="58"/>
        <v>2020</v>
      </c>
      <c r="K77" s="16" t="s">
        <v>23</v>
      </c>
      <c r="L77" s="2"/>
      <c r="N77" s="98">
        <f>B9</f>
        <v>2012</v>
      </c>
      <c r="O77" s="4">
        <f t="shared" ref="O77:V77" si="59">C9</f>
        <v>2013</v>
      </c>
      <c r="P77" s="4">
        <f t="shared" si="59"/>
        <v>2014</v>
      </c>
      <c r="Q77" s="4">
        <f t="shared" si="59"/>
        <v>2015</v>
      </c>
      <c r="R77" s="4">
        <f t="shared" si="59"/>
        <v>2016</v>
      </c>
      <c r="S77" s="4">
        <f t="shared" si="59"/>
        <v>2017</v>
      </c>
      <c r="T77" s="4">
        <f t="shared" si="59"/>
        <v>2018</v>
      </c>
      <c r="U77" s="4">
        <f t="shared" si="59"/>
        <v>2019</v>
      </c>
      <c r="V77" s="4">
        <f t="shared" si="59"/>
        <v>2020</v>
      </c>
      <c r="W77" s="16" t="s">
        <v>3</v>
      </c>
      <c r="X77" s="2"/>
    </row>
    <row r="78" spans="1:24" ht="12.75" customHeight="1">
      <c r="A78" s="192" t="str">
        <f>Historical!A74</f>
        <v>Operating Sales and Revenues:</v>
      </c>
      <c r="B78" s="85"/>
      <c r="C78" s="2"/>
      <c r="D78" s="2"/>
      <c r="E78" s="2"/>
      <c r="F78" s="2"/>
      <c r="G78" s="2"/>
      <c r="H78" s="2"/>
      <c r="I78" s="2"/>
      <c r="J78" s="2"/>
      <c r="K78" s="5"/>
      <c r="L78" s="2"/>
      <c r="M78" s="52" t="str">
        <f>A78</f>
        <v>Operating Sales and Revenues:</v>
      </c>
      <c r="N78" s="91"/>
      <c r="O78" s="5"/>
      <c r="P78" s="5"/>
      <c r="Q78" s="5"/>
      <c r="R78" s="5"/>
      <c r="S78" s="5"/>
      <c r="T78" s="5"/>
      <c r="U78" s="5"/>
      <c r="V78" s="5"/>
      <c r="W78" s="5"/>
      <c r="X78" s="2"/>
    </row>
    <row r="79" spans="1:24" ht="12.75" customHeight="1">
      <c r="A79" s="52" t="str">
        <f>Historical!A75</f>
        <v>Revenues</v>
      </c>
      <c r="B79" s="77">
        <f>Historical!N75</f>
        <v>4882</v>
      </c>
      <c r="C79" s="2">
        <f>(1+Assumptions!$C$60)*Forecast!B79</f>
        <v>5017.3708079832968</v>
      </c>
      <c r="D79" s="2">
        <f>(1+Assumptions!$C$60)*Forecast!C79</f>
        <v>5156.4952529297343</v>
      </c>
      <c r="E79" s="2">
        <f>(1+Assumptions!$C$60)*Forecast!D79</f>
        <v>5299.4774177701966</v>
      </c>
      <c r="F79" s="2">
        <f>(1+Assumptions!$C$60)*Forecast!E79</f>
        <v>5446.4242715048931</v>
      </c>
      <c r="G79" s="2">
        <f>(1+Assumptions!$C$60)*Forecast!F79</f>
        <v>5597.4457492298952</v>
      </c>
      <c r="H79" s="2">
        <f>(1+Assumptions!$C$60)*Forecast!G79</f>
        <v>5752.6548343826862</v>
      </c>
      <c r="I79" s="2">
        <f>(1+Assumptions!$C$60)*Forecast!H79</f>
        <v>5912.1676432682671</v>
      </c>
      <c r="J79" s="2">
        <f>(1+Assumptions!$C$60)*Forecast!I79</f>
        <v>6076.1035119290482</v>
      </c>
      <c r="K79" s="5">
        <f>RATE(8,,-B79,J79)</f>
        <v>2.7728555506621289E-2</v>
      </c>
      <c r="L79" s="2"/>
      <c r="M79" s="52" t="str">
        <f t="shared" ref="M79:M105" si="60">A79</f>
        <v>Revenues</v>
      </c>
      <c r="N79" s="90">
        <f t="shared" ref="N79:V80" si="61">B79/B$80</f>
        <v>1</v>
      </c>
      <c r="O79" s="95">
        <f t="shared" si="61"/>
        <v>1</v>
      </c>
      <c r="P79" s="18">
        <f t="shared" si="61"/>
        <v>1</v>
      </c>
      <c r="Q79" s="18">
        <f t="shared" si="61"/>
        <v>1</v>
      </c>
      <c r="R79" s="18">
        <f t="shared" si="61"/>
        <v>1</v>
      </c>
      <c r="S79" s="18">
        <f t="shared" si="61"/>
        <v>1</v>
      </c>
      <c r="T79" s="18">
        <f t="shared" si="61"/>
        <v>1</v>
      </c>
      <c r="U79" s="18">
        <f t="shared" si="61"/>
        <v>1</v>
      </c>
      <c r="V79" s="18">
        <f t="shared" si="61"/>
        <v>1</v>
      </c>
      <c r="W79" s="18">
        <f>SUM(C79:J79)/SUM(C$80:J$80)</f>
        <v>1</v>
      </c>
      <c r="X79" s="2"/>
    </row>
    <row r="80" spans="1:24" ht="12.75" customHeight="1">
      <c r="A80" s="192" t="str">
        <f>Historical!A76</f>
        <v>Total Revenues</v>
      </c>
      <c r="B80" s="265">
        <f>B79</f>
        <v>4882</v>
      </c>
      <c r="C80" s="218">
        <f t="shared" ref="C80:J80" si="62">SUM(C78:C79)</f>
        <v>5017.3708079832968</v>
      </c>
      <c r="D80" s="218">
        <f t="shared" si="62"/>
        <v>5156.4952529297343</v>
      </c>
      <c r="E80" s="218">
        <f t="shared" si="62"/>
        <v>5299.4774177701966</v>
      </c>
      <c r="F80" s="218">
        <f t="shared" si="62"/>
        <v>5446.4242715048931</v>
      </c>
      <c r="G80" s="218">
        <f t="shared" si="62"/>
        <v>5597.4457492298952</v>
      </c>
      <c r="H80" s="218">
        <f t="shared" si="62"/>
        <v>5752.6548343826862</v>
      </c>
      <c r="I80" s="218">
        <f t="shared" si="62"/>
        <v>5912.1676432682671</v>
      </c>
      <c r="J80" s="218">
        <f t="shared" si="62"/>
        <v>6076.1035119290482</v>
      </c>
      <c r="K80" s="200">
        <f>RATE(8,,-B80,J80)</f>
        <v>2.7728555506621289E-2</v>
      </c>
      <c r="L80" s="192"/>
      <c r="M80" s="52" t="str">
        <f t="shared" si="60"/>
        <v>Total Revenues</v>
      </c>
      <c r="N80" s="91">
        <f t="shared" si="61"/>
        <v>1</v>
      </c>
      <c r="O80" s="93">
        <f t="shared" si="61"/>
        <v>1</v>
      </c>
      <c r="P80" s="17">
        <f t="shared" si="61"/>
        <v>1</v>
      </c>
      <c r="Q80" s="17">
        <f t="shared" si="61"/>
        <v>1</v>
      </c>
      <c r="R80" s="17">
        <f t="shared" si="61"/>
        <v>1</v>
      </c>
      <c r="S80" s="17">
        <f t="shared" si="61"/>
        <v>1</v>
      </c>
      <c r="T80" s="17">
        <f t="shared" si="61"/>
        <v>1</v>
      </c>
      <c r="U80" s="17">
        <f t="shared" si="61"/>
        <v>1</v>
      </c>
      <c r="V80" s="17">
        <f t="shared" si="61"/>
        <v>1</v>
      </c>
      <c r="W80" s="17">
        <f>SUM(C80:J80)/SUM(C$80:J$80)</f>
        <v>1</v>
      </c>
      <c r="X80" s="2"/>
    </row>
    <row r="81" spans="1:24" ht="12.75" customHeight="1">
      <c r="B81" s="77"/>
      <c r="C81" s="2"/>
      <c r="D81" s="2"/>
      <c r="E81" s="2"/>
      <c r="F81" s="2"/>
      <c r="G81" s="2"/>
      <c r="H81" s="2"/>
      <c r="I81" s="2"/>
      <c r="J81" s="2"/>
      <c r="K81" s="5"/>
      <c r="L81" s="2"/>
      <c r="N81" s="90"/>
      <c r="O81" s="5"/>
      <c r="P81" s="5"/>
      <c r="Q81" s="5"/>
      <c r="R81" s="5"/>
      <c r="S81" s="5"/>
      <c r="T81" s="5"/>
      <c r="U81" s="5"/>
      <c r="V81" s="5"/>
      <c r="W81" s="5"/>
      <c r="X81" s="2"/>
    </row>
    <row r="82" spans="1:24" ht="12.75" customHeight="1">
      <c r="A82" s="52" t="str">
        <f>Historical!A78</f>
        <v>Operating Expenses:</v>
      </c>
      <c r="B82" s="77"/>
      <c r="C82" s="2"/>
      <c r="D82" s="2"/>
      <c r="E82" s="2"/>
      <c r="F82" s="2"/>
      <c r="G82" s="2"/>
      <c r="H82" s="2"/>
      <c r="I82" s="2"/>
      <c r="J82" s="2"/>
      <c r="K82" s="5"/>
      <c r="L82" s="2"/>
      <c r="M82" s="52" t="str">
        <f t="shared" si="60"/>
        <v>Operating Expenses:</v>
      </c>
      <c r="N82" s="90"/>
      <c r="O82" s="95"/>
      <c r="P82" s="18"/>
      <c r="Q82" s="18"/>
      <c r="R82" s="18"/>
      <c r="S82" s="18"/>
      <c r="T82" s="18"/>
      <c r="U82" s="18"/>
      <c r="V82" s="18"/>
      <c r="W82" s="5"/>
      <c r="X82" s="2"/>
    </row>
    <row r="83" spans="1:24" ht="12.75" customHeight="1">
      <c r="A83" s="52" t="str">
        <f>Historical!A79</f>
        <v>Energy Costs</v>
      </c>
      <c r="B83" s="77">
        <f>Historical!N79</f>
        <v>1818</v>
      </c>
      <c r="C83" s="2">
        <f>(1+Assumptions!$C$64)*Forecast!B83</f>
        <v>1863.4499999999998</v>
      </c>
      <c r="D83" s="2">
        <f>(1+Assumptions!$C$64)*Forecast!C83</f>
        <v>1910.0362499999997</v>
      </c>
      <c r="E83" s="2">
        <f>(1+Assumptions!$C$64)*Forecast!D83</f>
        <v>1957.7871562499995</v>
      </c>
      <c r="F83" s="2">
        <f>(1+Assumptions!$C$64)*Forecast!E83</f>
        <v>2006.7318351562494</v>
      </c>
      <c r="G83" s="2">
        <f>(1+Assumptions!$C$64)*Forecast!F83</f>
        <v>2056.9001310351555</v>
      </c>
      <c r="H83" s="2">
        <f>(1+Assumptions!$C$64)*Forecast!G83</f>
        <v>2108.3226343110341</v>
      </c>
      <c r="I83" s="2">
        <f>(1+Assumptions!$C$64)*Forecast!H83</f>
        <v>2161.0307001688097</v>
      </c>
      <c r="J83" s="2">
        <f>(1+Assumptions!$C$64)*Forecast!I83</f>
        <v>2215.0564676730296</v>
      </c>
      <c r="K83" s="5">
        <f>RATE(8,,-B83,J83)</f>
        <v>2.5000000000011728E-2</v>
      </c>
      <c r="L83" s="2"/>
      <c r="M83" s="52" t="str">
        <f t="shared" si="60"/>
        <v>Energy Costs</v>
      </c>
      <c r="N83" s="90">
        <f t="shared" ref="N83:V89" si="63">B83/B$80</f>
        <v>0.37238836542400655</v>
      </c>
      <c r="O83" s="95">
        <f t="shared" si="63"/>
        <v>0.37139969743416329</v>
      </c>
      <c r="P83" s="18">
        <f t="shared" si="63"/>
        <v>0.3704136542964499</v>
      </c>
      <c r="Q83" s="18">
        <f t="shared" si="63"/>
        <v>0.36943022904204698</v>
      </c>
      <c r="R83" s="18">
        <f t="shared" si="63"/>
        <v>0.36844941472063697</v>
      </c>
      <c r="S83" s="18">
        <f t="shared" si="63"/>
        <v>0.36747120440035469</v>
      </c>
      <c r="T83" s="18">
        <f t="shared" si="63"/>
        <v>0.366495591167739</v>
      </c>
      <c r="U83" s="18">
        <f t="shared" si="63"/>
        <v>0.36552256812768325</v>
      </c>
      <c r="V83" s="18">
        <f t="shared" si="63"/>
        <v>0.36455212840338708</v>
      </c>
      <c r="W83" s="18">
        <f t="shared" ref="W83:W89" si="64">SUM(C83:J83)/SUM(C$80:J$80)</f>
        <v>0.36782646904172511</v>
      </c>
      <c r="X83" s="2"/>
    </row>
    <row r="84" spans="1:24" ht="12.75" customHeight="1">
      <c r="A84" s="52" t="str">
        <f>Historical!A80</f>
        <v>Other operations and maintenance</v>
      </c>
      <c r="B84" s="77">
        <f>Historical!N80</f>
        <v>1242</v>
      </c>
      <c r="C84" s="2">
        <f>B84*(1+Assumptions!$C$65)-139</f>
        <v>1137.4388659392166</v>
      </c>
      <c r="D84" s="2">
        <f>C84*(1+Assumptions!$C$65)</f>
        <v>1168.9784026687939</v>
      </c>
      <c r="E84" s="2">
        <f>D84*(1+Assumptions!$C$65)</f>
        <v>1201.3924851932304</v>
      </c>
      <c r="F84" s="2">
        <f>E84*(1+Assumptions!$C$65)</f>
        <v>1234.7053634041417</v>
      </c>
      <c r="G84" s="2">
        <f>F84*(1+Assumptions!$C$65)</f>
        <v>1268.9419596076095</v>
      </c>
      <c r="H84" s="2">
        <f>G84*(1+Assumptions!$C$65)</f>
        <v>1304.1278871692627</v>
      </c>
      <c r="I84" s="2">
        <f>H84*(1+Assumptions!$C$65)</f>
        <v>1340.289469676361</v>
      </c>
      <c r="J84" s="2">
        <f>I84*(1+Assumptions!$C$65)</f>
        <v>1377.4537606312144</v>
      </c>
      <c r="K84" s="5">
        <f>RATE(8,,-B84,J84)</f>
        <v>1.3023287648528814E-2</v>
      </c>
      <c r="L84" s="2"/>
      <c r="M84" s="52" t="str">
        <f t="shared" si="60"/>
        <v>Other operations and maintenance</v>
      </c>
      <c r="N84" s="90">
        <f t="shared" si="63"/>
        <v>0.25440393281442031</v>
      </c>
      <c r="O84" s="95">
        <f t="shared" si="63"/>
        <v>0.22670018012808657</v>
      </c>
      <c r="P84" s="18">
        <f t="shared" si="63"/>
        <v>0.22670018012808654</v>
      </c>
      <c r="Q84" s="18">
        <f t="shared" si="63"/>
        <v>0.22670018012808651</v>
      </c>
      <c r="R84" s="18">
        <f t="shared" si="63"/>
        <v>0.22670018012808654</v>
      </c>
      <c r="S84" s="18">
        <f t="shared" si="63"/>
        <v>0.22670018012808654</v>
      </c>
      <c r="T84" s="18">
        <f t="shared" si="63"/>
        <v>0.22670018012808654</v>
      </c>
      <c r="U84" s="18">
        <f t="shared" si="63"/>
        <v>0.22670018012808654</v>
      </c>
      <c r="V84" s="18">
        <f t="shared" si="63"/>
        <v>0.22670018012808654</v>
      </c>
      <c r="W84" s="18">
        <f t="shared" si="64"/>
        <v>0.2267001801280866</v>
      </c>
      <c r="X84" s="2"/>
    </row>
    <row r="85" spans="1:24" ht="12.75" customHeight="1">
      <c r="A85" s="52" t="str">
        <f>Historical!A81</f>
        <v>Depreciation and amortization</v>
      </c>
      <c r="B85" s="77">
        <f>Historical!N81</f>
        <v>640</v>
      </c>
      <c r="C85" s="2">
        <f>Assumptions!$C$66*Forecast!C20</f>
        <v>674.54971179252948</v>
      </c>
      <c r="D85" s="2">
        <f>Assumptions!$C$66*Forecast!D20</f>
        <v>705.36452741823098</v>
      </c>
      <c r="E85" s="2">
        <f>Assumptions!$C$66*Forecast!E20</f>
        <v>736.17934304393248</v>
      </c>
      <c r="F85" s="2">
        <f>Assumptions!$C$66*Forecast!F20</f>
        <v>756.59253282035002</v>
      </c>
      <c r="G85" s="2">
        <f>Assumptions!$C$66*Forecast!G20</f>
        <v>777.57175086254983</v>
      </c>
      <c r="H85" s="2">
        <f>Assumptions!$C$66*Forecast!H20</f>
        <v>799.13269231671836</v>
      </c>
      <c r="I85" s="2">
        <f>Assumptions!$C$66*Forecast!I20</f>
        <v>821.29148753277366</v>
      </c>
      <c r="J85" s="2">
        <f>Assumptions!$C$66*Forecast!J20</f>
        <v>844.06471413193708</v>
      </c>
      <c r="K85" s="5">
        <f>RATE(8,,-B85,J85)</f>
        <v>3.5200495951318758E-2</v>
      </c>
      <c r="L85" s="2"/>
      <c r="M85" s="52" t="str">
        <f t="shared" si="60"/>
        <v>Depreciation and amortization</v>
      </c>
      <c r="N85" s="90">
        <f t="shared" si="63"/>
        <v>0.13109381401065137</v>
      </c>
      <c r="O85" s="95">
        <f t="shared" si="63"/>
        <v>0.13444286611610051</v>
      </c>
      <c r="P85" s="18">
        <f t="shared" si="63"/>
        <v>0.13679146257673142</v>
      </c>
      <c r="Q85" s="18">
        <f t="shared" si="63"/>
        <v>0.13891545996127419</v>
      </c>
      <c r="R85" s="18">
        <f t="shared" si="63"/>
        <v>0.13891545996127422</v>
      </c>
      <c r="S85" s="18">
        <f t="shared" si="63"/>
        <v>0.13891545996127416</v>
      </c>
      <c r="T85" s="18">
        <f t="shared" si="63"/>
        <v>0.13891545996127416</v>
      </c>
      <c r="U85" s="18">
        <f t="shared" si="63"/>
        <v>0.13891545996127416</v>
      </c>
      <c r="V85" s="18">
        <f t="shared" si="63"/>
        <v>0.13891545996127416</v>
      </c>
      <c r="W85" s="18">
        <f t="shared" si="64"/>
        <v>0.13816095368037479</v>
      </c>
      <c r="X85" s="2"/>
    </row>
    <row r="86" spans="1:24" ht="12.75" customHeight="1">
      <c r="A86" s="52" t="str">
        <f>Historical!A82</f>
        <v>Taxes, other than income taxes</v>
      </c>
      <c r="B86" s="77">
        <f>Historical!N82</f>
        <v>161</v>
      </c>
      <c r="C86" s="2">
        <f>C28*Assumptions!$C$67</f>
        <v>167.20496383731572</v>
      </c>
      <c r="D86" s="2">
        <f>D28*Assumptions!$C$67</f>
        <v>173.72369681117655</v>
      </c>
      <c r="E86" s="2">
        <f>E28*Assumptions!$C$67</f>
        <v>176.41773669171806</v>
      </c>
      <c r="F86" s="2">
        <f>F28*Assumptions!$C$67</f>
        <v>180.14596773833478</v>
      </c>
      <c r="G86" s="2">
        <f>G28*Assumptions!$C$67</f>
        <v>184.89392158626293</v>
      </c>
      <c r="H86" s="2">
        <f>H28*Assumptions!$C$67</f>
        <v>189.77352933600619</v>
      </c>
      <c r="I86" s="2">
        <f>I28*Assumptions!$C$67</f>
        <v>194.7884415600887</v>
      </c>
      <c r="J86" s="2">
        <f>J28*Assumptions!$C$67</f>
        <v>199.9424100561375</v>
      </c>
      <c r="K86" s="5">
        <f>RATE(8,,-B86,J86)</f>
        <v>2.744807034140305E-2</v>
      </c>
      <c r="L86" s="2"/>
      <c r="M86" s="52" t="str">
        <f t="shared" si="60"/>
        <v>Taxes, other than income taxes</v>
      </c>
      <c r="N86" s="90">
        <f t="shared" si="63"/>
        <v>3.2978287587054483E-2</v>
      </c>
      <c r="O86" s="95">
        <f t="shared" si="63"/>
        <v>3.3325215583283309E-2</v>
      </c>
      <c r="P86" s="18">
        <f t="shared" si="63"/>
        <v>3.3690266021766051E-2</v>
      </c>
      <c r="Q86" s="18">
        <f t="shared" si="63"/>
        <v>3.3289647786809033E-2</v>
      </c>
      <c r="R86" s="18">
        <f t="shared" si="63"/>
        <v>3.3076007075107813E-2</v>
      </c>
      <c r="S86" s="18">
        <f t="shared" si="63"/>
        <v>3.3031838068587074E-2</v>
      </c>
      <c r="T86" s="18">
        <f t="shared" si="63"/>
        <v>3.2988860760732687E-2</v>
      </c>
      <c r="U86" s="18">
        <f t="shared" si="63"/>
        <v>3.2947042999005513E-2</v>
      </c>
      <c r="V86" s="18">
        <f t="shared" si="63"/>
        <v>3.2906353498355655E-2</v>
      </c>
      <c r="W86" s="18">
        <f t="shared" si="64"/>
        <v>3.3143974973952307E-2</v>
      </c>
      <c r="X86" s="2"/>
    </row>
    <row r="87" spans="1:24" ht="12.75" hidden="1" customHeight="1">
      <c r="A87" s="52" t="str">
        <f>Historical!A83</f>
        <v>Other Operating Expenses</v>
      </c>
      <c r="B87" s="77">
        <f>Historical!K83</f>
        <v>0</v>
      </c>
      <c r="C87" s="2">
        <f>B87*(1+Assumptions!$C$16)</f>
        <v>0</v>
      </c>
      <c r="D87" s="2">
        <f>C87*(1+Assumptions!$C$16)</f>
        <v>0</v>
      </c>
      <c r="E87" s="2">
        <f>D87*(1+Assumptions!$C$16)</f>
        <v>0</v>
      </c>
      <c r="F87" s="2">
        <f>E87*(1+Assumptions!$C$16)</f>
        <v>0</v>
      </c>
      <c r="G87" s="2">
        <f>F87*(1+Assumptions!$C$16)</f>
        <v>0</v>
      </c>
      <c r="H87" s="2">
        <f>G87*(1+Assumptions!$C$16)</f>
        <v>0</v>
      </c>
      <c r="I87" s="2">
        <f>H87*(1+Assumptions!$C$16)</f>
        <v>0</v>
      </c>
      <c r="J87" s="2">
        <f>I87*(1+Assumptions!$C$16)</f>
        <v>0</v>
      </c>
      <c r="K87" s="5"/>
      <c r="L87" s="2"/>
      <c r="M87" s="52" t="str">
        <f t="shared" si="60"/>
        <v>Other Operating Expenses</v>
      </c>
      <c r="N87" s="90">
        <f t="shared" si="63"/>
        <v>0</v>
      </c>
      <c r="O87" s="95">
        <f t="shared" si="63"/>
        <v>0</v>
      </c>
      <c r="P87" s="18">
        <f t="shared" si="63"/>
        <v>0</v>
      </c>
      <c r="Q87" s="18">
        <f t="shared" si="63"/>
        <v>0</v>
      </c>
      <c r="R87" s="18">
        <f t="shared" si="63"/>
        <v>0</v>
      </c>
      <c r="S87" s="18">
        <f t="shared" si="63"/>
        <v>0</v>
      </c>
      <c r="T87" s="18">
        <f t="shared" si="63"/>
        <v>0</v>
      </c>
      <c r="U87" s="18">
        <f t="shared" si="63"/>
        <v>0</v>
      </c>
      <c r="V87" s="18">
        <f t="shared" si="63"/>
        <v>0</v>
      </c>
      <c r="W87" s="18">
        <f t="shared" si="64"/>
        <v>0</v>
      </c>
      <c r="X87" s="2"/>
    </row>
    <row r="88" spans="1:24" ht="12.75" customHeight="1">
      <c r="A88" s="52" t="str">
        <f>Historical!A84</f>
        <v>Total Operating Expenses</v>
      </c>
      <c r="B88" s="85">
        <f>SUM(B83:B87)</f>
        <v>3861</v>
      </c>
      <c r="C88" s="20">
        <f t="shared" ref="C88:J88" si="65">SUM(C82:C87)</f>
        <v>3842.6435415690612</v>
      </c>
      <c r="D88" s="20">
        <f t="shared" si="65"/>
        <v>3958.102876898201</v>
      </c>
      <c r="E88" s="20">
        <f t="shared" si="65"/>
        <v>4071.7767211788805</v>
      </c>
      <c r="F88" s="20">
        <f t="shared" si="65"/>
        <v>4178.1756991190759</v>
      </c>
      <c r="G88" s="20">
        <f t="shared" si="65"/>
        <v>4288.3077630915777</v>
      </c>
      <c r="H88" s="20">
        <f t="shared" si="65"/>
        <v>4401.3567431330212</v>
      </c>
      <c r="I88" s="20">
        <f t="shared" si="65"/>
        <v>4517.4000989380329</v>
      </c>
      <c r="J88" s="20">
        <f t="shared" si="65"/>
        <v>4636.5173524923184</v>
      </c>
      <c r="K88" s="17">
        <f>RATE(8,,-B88,J88)</f>
        <v>2.3143409177958731E-2</v>
      </c>
      <c r="L88" s="2"/>
      <c r="M88" s="52" t="str">
        <f t="shared" si="60"/>
        <v>Total Operating Expenses</v>
      </c>
      <c r="N88" s="134">
        <f t="shared" si="63"/>
        <v>0.79086439983613277</v>
      </c>
      <c r="O88" s="96">
        <f t="shared" si="63"/>
        <v>0.76586795926163365</v>
      </c>
      <c r="P88" s="97">
        <f t="shared" si="63"/>
        <v>0.76759556302303389</v>
      </c>
      <c r="Q88" s="97">
        <f t="shared" si="63"/>
        <v>0.76833551691821678</v>
      </c>
      <c r="R88" s="97">
        <f t="shared" si="63"/>
        <v>0.76714106188510556</v>
      </c>
      <c r="S88" s="97">
        <f t="shared" si="63"/>
        <v>0.76611868255830251</v>
      </c>
      <c r="T88" s="97">
        <f t="shared" si="63"/>
        <v>0.76510009201783236</v>
      </c>
      <c r="U88" s="97">
        <f t="shared" si="63"/>
        <v>0.76408525121604942</v>
      </c>
      <c r="V88" s="97">
        <f t="shared" si="63"/>
        <v>0.76307412199110347</v>
      </c>
      <c r="W88" s="97">
        <f t="shared" si="64"/>
        <v>0.76583157782413869</v>
      </c>
      <c r="X88" s="2"/>
    </row>
    <row r="89" spans="1:24" ht="12.75" customHeight="1">
      <c r="A89" s="52" t="str">
        <f>Historical!A85</f>
        <v>Earnings From Operations</v>
      </c>
      <c r="B89" s="85">
        <f t="shared" ref="B89:J89" si="66">B80-B88</f>
        <v>1021</v>
      </c>
      <c r="C89" s="20">
        <f t="shared" si="66"/>
        <v>1174.7272664142356</v>
      </c>
      <c r="D89" s="20">
        <f t="shared" si="66"/>
        <v>1198.3923760315333</v>
      </c>
      <c r="E89" s="20">
        <f t="shared" si="66"/>
        <v>1227.700696591316</v>
      </c>
      <c r="F89" s="20">
        <f t="shared" si="66"/>
        <v>1268.2485723858172</v>
      </c>
      <c r="G89" s="20">
        <f t="shared" si="66"/>
        <v>1309.1379861383175</v>
      </c>
      <c r="H89" s="20">
        <f t="shared" si="66"/>
        <v>1351.298091249665</v>
      </c>
      <c r="I89" s="20">
        <f t="shared" si="66"/>
        <v>1394.7675443302342</v>
      </c>
      <c r="J89" s="20">
        <f t="shared" si="66"/>
        <v>1439.5861594367298</v>
      </c>
      <c r="K89" s="17">
        <f>RATE(8,,-B89,J89)</f>
        <v>4.3882194919019082E-2</v>
      </c>
      <c r="L89" s="2"/>
      <c r="M89" s="52" t="str">
        <f t="shared" si="60"/>
        <v>Earnings From Operations</v>
      </c>
      <c r="N89" s="91">
        <f t="shared" si="63"/>
        <v>0.20913560016386726</v>
      </c>
      <c r="O89" s="93">
        <f t="shared" si="63"/>
        <v>0.23413204073836641</v>
      </c>
      <c r="P89" s="17">
        <f t="shared" si="63"/>
        <v>0.23240443697696611</v>
      </c>
      <c r="Q89" s="17">
        <f t="shared" si="63"/>
        <v>0.23166448308178325</v>
      </c>
      <c r="R89" s="17">
        <f t="shared" si="63"/>
        <v>0.23285893811489447</v>
      </c>
      <c r="S89" s="17">
        <f t="shared" si="63"/>
        <v>0.23388131744169752</v>
      </c>
      <c r="T89" s="17">
        <f t="shared" si="63"/>
        <v>0.23489990798216767</v>
      </c>
      <c r="U89" s="17">
        <f t="shared" si="63"/>
        <v>0.23591474878395055</v>
      </c>
      <c r="V89" s="17">
        <f t="shared" si="63"/>
        <v>0.23692587800889658</v>
      </c>
      <c r="W89" s="17">
        <f t="shared" si="64"/>
        <v>0.23416842217586142</v>
      </c>
      <c r="X89" s="2"/>
    </row>
    <row r="90" spans="1:24" ht="12.75" customHeight="1">
      <c r="B90" s="77"/>
      <c r="C90" s="2"/>
      <c r="D90" s="2"/>
      <c r="E90" s="2"/>
      <c r="F90" s="2"/>
      <c r="G90" s="2"/>
      <c r="H90" s="2"/>
      <c r="I90" s="2"/>
      <c r="J90" s="2"/>
      <c r="K90" s="5"/>
      <c r="L90" s="2"/>
      <c r="N90" s="90"/>
      <c r="O90" s="95"/>
      <c r="P90" s="18"/>
      <c r="Q90" s="18"/>
      <c r="R90" s="18"/>
      <c r="S90" s="18"/>
      <c r="T90" s="18"/>
      <c r="U90" s="18"/>
      <c r="V90" s="18"/>
      <c r="W90" s="18"/>
      <c r="X90" s="2"/>
    </row>
    <row r="91" spans="1:24" ht="12.75" customHeight="1">
      <c r="A91" s="52" t="str">
        <f>Historical!A87</f>
        <v>Interest expense (net)</v>
      </c>
      <c r="B91" s="77">
        <f>Historical!N87</f>
        <v>351</v>
      </c>
      <c r="C91" s="2">
        <f>AVERAGE(B43:C43)*Assumptions!$C$6+(AVERAGE(Forecast!B42:C42)+AVERAGE(Forecast!B50:C50))*Assumptions!$C$72</f>
        <v>367.9034166277749</v>
      </c>
      <c r="D91" s="2">
        <f>AVERAGE(C43:D43)*Assumptions!$C$6+(AVERAGE(Forecast!C42:D42)+AVERAGE(Forecast!C50:D50))*Assumptions!$C$72</f>
        <v>357.69696387365519</v>
      </c>
      <c r="E91" s="2">
        <f>AVERAGE(D43:E43)*Assumptions!$C$6+(AVERAGE(Forecast!D42:E42)+AVERAGE(Forecast!D50:E50))*Assumptions!$C$72</f>
        <v>342.19421663756918</v>
      </c>
      <c r="F91" s="2">
        <f>AVERAGE(E43:F43)*Assumptions!$C$6+(AVERAGE(Forecast!E42:F42)+AVERAGE(Forecast!E50:F50))*Assumptions!$C$72</f>
        <v>328.09918095008015</v>
      </c>
      <c r="G91" s="2">
        <f>AVERAGE(F43:G43)*Assumptions!$C$6+(AVERAGE(Forecast!F42:G42)+AVERAGE(Forecast!F50:G50))*Assumptions!$C$72</f>
        <v>313.88326137827858</v>
      </c>
      <c r="H91" s="2">
        <f>AVERAGE(G43:H43)*Assumptions!$C$6+(AVERAGE(Forecast!G42:H42)+AVERAGE(Forecast!G50:H50))*Assumptions!$C$72</f>
        <v>300.26910573758369</v>
      </c>
      <c r="I91" s="2">
        <f>AVERAGE(H43:I43)*Assumptions!$C$6+(AVERAGE(Forecast!H42:I42)+AVERAGE(Forecast!H50:I50))*Assumptions!$C$72</f>
        <v>288.35555103883098</v>
      </c>
      <c r="J91" s="2">
        <f>AVERAGE(I43:J43)*Assumptions!$C$6+(AVERAGE(Forecast!I42:J42)+AVERAGE(Forecast!I50:J50))*Assumptions!$C$72</f>
        <v>276.99257178542877</v>
      </c>
      <c r="K91" s="5">
        <f>RATE(8,,-B91,J91)</f>
        <v>-2.9165668660028558E-2</v>
      </c>
      <c r="L91" s="2"/>
      <c r="M91" s="52" t="str">
        <f t="shared" si="60"/>
        <v>Interest expense (net)</v>
      </c>
      <c r="N91" s="90">
        <f t="shared" ref="N91:V94" si="67">B91/B$80</f>
        <v>7.1896763621466617E-2</v>
      </c>
      <c r="O91" s="95">
        <f t="shared" si="67"/>
        <v>7.3325937170597835E-2</v>
      </c>
      <c r="P91" s="18">
        <f t="shared" si="67"/>
        <v>6.9368232942796704E-2</v>
      </c>
      <c r="Q91" s="18">
        <f t="shared" si="67"/>
        <v>6.45713132940475E-2</v>
      </c>
      <c r="R91" s="18">
        <f t="shared" si="67"/>
        <v>6.0241208652557575E-2</v>
      </c>
      <c r="S91" s="18">
        <f t="shared" si="67"/>
        <v>5.6076159634323046E-2</v>
      </c>
      <c r="T91" s="18">
        <f t="shared" si="67"/>
        <v>5.2196614325428298E-2</v>
      </c>
      <c r="U91" s="18">
        <f t="shared" si="67"/>
        <v>4.877323655853355E-2</v>
      </c>
      <c r="V91" s="18">
        <f t="shared" si="67"/>
        <v>4.5587204240615194E-2</v>
      </c>
      <c r="W91" s="5">
        <f t="shared" ref="W91:W96" si="68">SUM(C91:J91)/SUM(C$80:J$80)</f>
        <v>5.8190296694903103E-2</v>
      </c>
      <c r="X91" s="2"/>
    </row>
    <row r="92" spans="1:24" ht="12.75" customHeight="1">
      <c r="A92" s="52" t="str">
        <f>Historical!A88</f>
        <v>Interest income</v>
      </c>
      <c r="B92" s="77">
        <f>Historical!N88</f>
        <v>-4</v>
      </c>
      <c r="C92" s="2">
        <f>-AVERAGE(B12:C12)*Assumptions!$C$7</f>
        <v>-0.81109142220264618</v>
      </c>
      <c r="D92" s="2">
        <f>-AVERAGE(C12:D12)*Assumptions!$C$7</f>
        <v>-0.83358181572413204</v>
      </c>
      <c r="E92" s="2">
        <f>-AVERAGE(D12:E12)*Assumptions!$C$7</f>
        <v>-0.85669583537074401</v>
      </c>
      <c r="F92" s="2">
        <f>-AVERAGE(E12:F12)*Assumptions!$C$7</f>
        <v>-0.88045077339410827</v>
      </c>
      <c r="G92" s="2">
        <f>-AVERAGE(F12:G12)*Assumptions!$C$7</f>
        <v>-0.90486440153500924</v>
      </c>
      <c r="H92" s="2">
        <f>-AVERAGE(G12:H12)*Assumptions!$C$7</f>
        <v>-0.92995498431893342</v>
      </c>
      <c r="I92" s="2">
        <f>-AVERAGE(H12:I12)*Assumptions!$C$7</f>
        <v>-0.95574129272027475</v>
      </c>
      <c r="J92" s="2">
        <f>-AVERAGE(I12:J12)*Assumptions!$C$7</f>
        <v>-0.98224261820543346</v>
      </c>
      <c r="K92" s="5">
        <f>RATE(8,,-B92,J92)</f>
        <v>-0.16098476328200229</v>
      </c>
      <c r="L92" s="2"/>
      <c r="M92" s="52" t="str">
        <f t="shared" si="60"/>
        <v>Interest income</v>
      </c>
      <c r="N92" s="90">
        <f t="shared" si="67"/>
        <v>-8.1933633756657109E-4</v>
      </c>
      <c r="O92" s="95">
        <f t="shared" si="67"/>
        <v>-1.6165666306984787E-4</v>
      </c>
      <c r="P92" s="18">
        <f t="shared" si="67"/>
        <v>-1.6165666306984787E-4</v>
      </c>
      <c r="Q92" s="18">
        <f t="shared" si="67"/>
        <v>-1.6165666306984785E-4</v>
      </c>
      <c r="R92" s="18">
        <f t="shared" si="67"/>
        <v>-1.616566630698479E-4</v>
      </c>
      <c r="S92" s="18">
        <f t="shared" si="67"/>
        <v>-1.6165666306984785E-4</v>
      </c>
      <c r="T92" s="18">
        <f t="shared" si="67"/>
        <v>-1.6165666306984787E-4</v>
      </c>
      <c r="U92" s="18">
        <f t="shared" si="67"/>
        <v>-1.6165666306984787E-4</v>
      </c>
      <c r="V92" s="18">
        <f t="shared" si="67"/>
        <v>-1.6165666306984787E-4</v>
      </c>
      <c r="W92" s="5">
        <f t="shared" si="68"/>
        <v>-1.616566630698479E-4</v>
      </c>
      <c r="X92" s="2"/>
    </row>
    <row r="93" spans="1:24" ht="12.75" hidden="1" customHeight="1">
      <c r="A93" s="52" t="str">
        <f>Historical!A89</f>
        <v>Loss (Gain) on Sale of Assets</v>
      </c>
      <c r="B93" s="77">
        <f>Historical!K89</f>
        <v>0</v>
      </c>
      <c r="C93" s="2">
        <f>Assumptions!$C$21</f>
        <v>0</v>
      </c>
      <c r="D93" s="2">
        <f>Assumptions!$C$21</f>
        <v>0</v>
      </c>
      <c r="E93" s="2">
        <f>Assumptions!$C$21</f>
        <v>0</v>
      </c>
      <c r="F93" s="2">
        <f>Assumptions!$C$21</f>
        <v>0</v>
      </c>
      <c r="G93" s="2">
        <f>Assumptions!$C$21</f>
        <v>0</v>
      </c>
      <c r="H93" s="2">
        <f>Assumptions!$C$21</f>
        <v>0</v>
      </c>
      <c r="I93" s="2">
        <f>Assumptions!$C$21</f>
        <v>0</v>
      </c>
      <c r="J93" s="2">
        <f>Assumptions!$C$21</f>
        <v>0</v>
      </c>
      <c r="K93" s="5" t="e">
        <f>RATE(8,,-B93,J93)</f>
        <v>#NUM!</v>
      </c>
      <c r="L93" s="2"/>
      <c r="M93" s="52" t="str">
        <f t="shared" si="60"/>
        <v>Loss (Gain) on Sale of Assets</v>
      </c>
      <c r="N93" s="90">
        <f t="shared" si="67"/>
        <v>0</v>
      </c>
      <c r="O93" s="95">
        <f t="shared" si="67"/>
        <v>0</v>
      </c>
      <c r="P93" s="18">
        <f t="shared" si="67"/>
        <v>0</v>
      </c>
      <c r="Q93" s="18">
        <f t="shared" si="67"/>
        <v>0</v>
      </c>
      <c r="R93" s="18">
        <f t="shared" si="67"/>
        <v>0</v>
      </c>
      <c r="S93" s="18">
        <f t="shared" si="67"/>
        <v>0</v>
      </c>
      <c r="T93" s="18">
        <f t="shared" si="67"/>
        <v>0</v>
      </c>
      <c r="U93" s="18">
        <f t="shared" si="67"/>
        <v>0</v>
      </c>
      <c r="V93" s="18">
        <f t="shared" si="67"/>
        <v>0</v>
      </c>
      <c r="W93" s="5">
        <f t="shared" si="68"/>
        <v>0</v>
      </c>
      <c r="X93" s="2"/>
    </row>
    <row r="94" spans="1:24" ht="23.1" customHeight="1">
      <c r="A94" s="114" t="s">
        <v>187</v>
      </c>
      <c r="B94" s="77"/>
      <c r="C94" s="2">
        <f ca="1">((B13+C13)/2)*-Assumptions!$C$6+((B54+C54)/2)*Assumptions!$C$5</f>
        <v>7.501936693827961</v>
      </c>
      <c r="D94" s="2">
        <f ca="1">((C13+D13)/2)*-Assumptions!$C$6+((C54+D54)/2)*Assumptions!$C$5</f>
        <v>32.292214687688727</v>
      </c>
      <c r="E94" s="2">
        <f ca="1">((D13+E13)/2)*-Assumptions!$C$6+((D54+E54)/2)*Assumptions!$C$5</f>
        <v>52.370094383624298</v>
      </c>
      <c r="F94" s="2">
        <f ca="1">((E13+F13)/2)*-Assumptions!$C$6+((E54+F54)/2)*Assumptions!$C$5</f>
        <v>60.820800558405196</v>
      </c>
      <c r="G94" s="2">
        <f ca="1">((F13+G13)/2)*-Assumptions!$C$6+((F54+G54)/2)*Assumptions!$C$5</f>
        <v>81.222364121799828</v>
      </c>
      <c r="H94" s="2">
        <f ca="1">((G13+H13)/2)*-Assumptions!$C$6+((G54+H54)/2)*Assumptions!$C$5</f>
        <v>109.46729020873181</v>
      </c>
      <c r="I94" s="2">
        <f ca="1">((H13+I13)/2)*-Assumptions!$C$6+((H54+I54)/2)*Assumptions!$C$5</f>
        <v>129.85981248736931</v>
      </c>
      <c r="J94" s="2">
        <f ca="1">((I13+J13)/2)*-Assumptions!$C$6+((I54+J54)/2)*Assumptions!$C$5</f>
        <v>144.40523029649694</v>
      </c>
      <c r="K94" s="5"/>
      <c r="L94" s="2"/>
      <c r="M94" s="114" t="str">
        <f t="shared" si="60"/>
        <v>Interest Expense (Income) on Additional Loans (Surplus Cash)</v>
      </c>
      <c r="N94" s="90">
        <f>B94/B$80</f>
        <v>0</v>
      </c>
      <c r="O94" s="95">
        <f ca="1">C94/C$80</f>
        <v>1.4951927973693698E-3</v>
      </c>
      <c r="P94" s="18">
        <f t="shared" ca="1" si="67"/>
        <v>6.2624346777671244E-3</v>
      </c>
      <c r="Q94" s="18">
        <f t="shared" ref="Q94:V94" ca="1" si="69">E94/E$80</f>
        <v>9.882124265312842E-3</v>
      </c>
      <c r="R94" s="18">
        <f t="shared" ca="1" si="69"/>
        <v>1.1167106623810616E-2</v>
      </c>
      <c r="S94" s="18">
        <f t="shared" ca="1" si="69"/>
        <v>1.4510612118567566E-2</v>
      </c>
      <c r="T94" s="18">
        <f t="shared" ca="1" si="69"/>
        <v>1.9029003713983247E-2</v>
      </c>
      <c r="U94" s="18">
        <f t="shared" ca="1" si="69"/>
        <v>2.1964839348767577E-2</v>
      </c>
      <c r="V94" s="18">
        <f t="shared" ca="1" si="69"/>
        <v>2.3766091215034452E-2</v>
      </c>
      <c r="W94" s="5">
        <f t="shared" ca="1" si="68"/>
        <v>1.396217171739801E-2</v>
      </c>
      <c r="X94" s="2"/>
    </row>
    <row r="95" spans="1:24" ht="12.75" customHeight="1">
      <c r="A95" s="52" t="str">
        <f>Historical!A90</f>
        <v>Other (Income) Expense</v>
      </c>
      <c r="B95" s="77">
        <f>Historical!N90</f>
        <v>-60</v>
      </c>
      <c r="C95" s="2">
        <f>Assumptions!$C$76*Forecast!C80</f>
        <v>-62.179697408354492</v>
      </c>
      <c r="D95" s="2">
        <f>Assumptions!$C$76*Forecast!D80</f>
        <v>-63.90385059932661</v>
      </c>
      <c r="E95" s="2">
        <f>Assumptions!$C$76*Forecast!E80</f>
        <v>-65.67581206775651</v>
      </c>
      <c r="F95" s="2">
        <f>Assumptions!$C$76*Forecast!F80</f>
        <v>-67.496907468119346</v>
      </c>
      <c r="G95" s="2">
        <f>Assumptions!$C$76*Forecast!G80</f>
        <v>-69.368499213373994</v>
      </c>
      <c r="H95" s="2">
        <f>Assumptions!$C$76*Forecast!H80</f>
        <v>-71.291987494222667</v>
      </c>
      <c r="I95" s="2">
        <f>Assumptions!$C$76*Forecast!I80</f>
        <v>-73.268811326633156</v>
      </c>
      <c r="J95" s="2">
        <f>Assumptions!$C$76*Forecast!J80</f>
        <v>-75.300449628407463</v>
      </c>
      <c r="K95" s="5">
        <f>RATE(8,,-B95,J95)</f>
        <v>2.8799607476479937E-2</v>
      </c>
      <c r="L95" s="2"/>
      <c r="M95" s="52" t="str">
        <f t="shared" si="60"/>
        <v>Other (Income) Expense</v>
      </c>
      <c r="N95" s="90">
        <f>B95/B$80</f>
        <v>-1.2290045063498567E-2</v>
      </c>
      <c r="O95" s="95">
        <f t="shared" ref="O95:V96" si="70">C95/C$80</f>
        <v>-1.2392884597928942E-2</v>
      </c>
      <c r="P95" s="18">
        <f t="shared" si="70"/>
        <v>-1.2392884597928942E-2</v>
      </c>
      <c r="Q95" s="18">
        <f t="shared" si="70"/>
        <v>-1.2392884597928942E-2</v>
      </c>
      <c r="R95" s="18">
        <f t="shared" si="70"/>
        <v>-1.2392884597928942E-2</v>
      </c>
      <c r="S95" s="18">
        <f t="shared" si="70"/>
        <v>-1.2392884597928942E-2</v>
      </c>
      <c r="T95" s="18">
        <f t="shared" si="70"/>
        <v>-1.2392884597928942E-2</v>
      </c>
      <c r="U95" s="18">
        <f t="shared" si="70"/>
        <v>-1.2392884597928942E-2</v>
      </c>
      <c r="V95" s="18">
        <f t="shared" si="70"/>
        <v>-1.2392884597928944E-2</v>
      </c>
      <c r="W95" s="5">
        <f t="shared" si="68"/>
        <v>-1.2392884597928942E-2</v>
      </c>
      <c r="X95" s="2"/>
    </row>
    <row r="96" spans="1:24" ht="12.75" customHeight="1">
      <c r="A96" s="52" t="str">
        <f>Historical!A91</f>
        <v>Total Other (Income)/Expense</v>
      </c>
      <c r="B96" s="85">
        <f>SUM(B91:B95)</f>
        <v>287</v>
      </c>
      <c r="C96" s="20">
        <f ca="1">SUM(C91:C95)</f>
        <v>312.41456449104572</v>
      </c>
      <c r="D96" s="20">
        <f t="shared" ref="D96:J96" ca="1" si="71">SUM(D91:D95)</f>
        <v>325.25174614629316</v>
      </c>
      <c r="E96" s="20">
        <f t="shared" ca="1" si="71"/>
        <v>328.03180311806619</v>
      </c>
      <c r="F96" s="20">
        <f t="shared" ca="1" si="71"/>
        <v>320.54262326697193</v>
      </c>
      <c r="G96" s="20">
        <f t="shared" ca="1" si="71"/>
        <v>324.83226188516943</v>
      </c>
      <c r="H96" s="20">
        <f t="shared" ca="1" si="71"/>
        <v>337.51445346777388</v>
      </c>
      <c r="I96" s="20">
        <f t="shared" ca="1" si="71"/>
        <v>343.99081090684683</v>
      </c>
      <c r="J96" s="20">
        <f t="shared" ca="1" si="71"/>
        <v>345.11510983531281</v>
      </c>
      <c r="K96" s="17">
        <f ca="1">RATE(8,,-B96,J96)</f>
        <v>2.331716656871826E-2</v>
      </c>
      <c r="L96" s="2"/>
      <c r="M96" s="52" t="str">
        <f t="shared" si="60"/>
        <v>Total Other (Income)/Expense</v>
      </c>
      <c r="N96" s="91">
        <f>B96/B$80</f>
        <v>5.8787382220401474E-2</v>
      </c>
      <c r="O96" s="93">
        <f t="shared" ca="1" si="70"/>
        <v>6.2266588706968412E-2</v>
      </c>
      <c r="P96" s="17">
        <f t="shared" ca="1" si="70"/>
        <v>6.3076126359565027E-2</v>
      </c>
      <c r="Q96" s="17">
        <f t="shared" ca="1" si="70"/>
        <v>6.1898896298361539E-2</v>
      </c>
      <c r="R96" s="17">
        <f t="shared" ca="1" si="70"/>
        <v>5.8853774015369405E-2</v>
      </c>
      <c r="S96" s="17">
        <f t="shared" ca="1" si="70"/>
        <v>5.803223049189183E-2</v>
      </c>
      <c r="T96" s="17">
        <f t="shared" ca="1" si="70"/>
        <v>5.8671076778412753E-2</v>
      </c>
      <c r="U96" s="17">
        <f t="shared" ca="1" si="70"/>
        <v>5.8183534646302333E-2</v>
      </c>
      <c r="V96" s="17">
        <f t="shared" ca="1" si="70"/>
        <v>5.6798754194650851E-2</v>
      </c>
      <c r="W96" s="17">
        <f t="shared" ca="1" si="68"/>
        <v>5.9597927151302313E-2</v>
      </c>
      <c r="X96" s="19"/>
    </row>
    <row r="97" spans="1:24" ht="12.75" customHeight="1">
      <c r="B97" s="77"/>
      <c r="C97" s="19"/>
      <c r="D97" s="19"/>
      <c r="E97" s="19"/>
      <c r="F97" s="19"/>
      <c r="G97" s="19"/>
      <c r="H97" s="19"/>
      <c r="I97" s="19"/>
      <c r="J97" s="19"/>
      <c r="K97" s="18"/>
      <c r="L97" s="19"/>
      <c r="N97" s="90"/>
      <c r="O97" s="95"/>
      <c r="P97" s="18"/>
      <c r="Q97" s="18"/>
      <c r="R97" s="18"/>
      <c r="S97" s="18"/>
      <c r="T97" s="18"/>
      <c r="U97" s="18"/>
      <c r="V97" s="18"/>
      <c r="W97" s="18"/>
      <c r="X97" s="19"/>
    </row>
    <row r="98" spans="1:24" ht="12.75" customHeight="1">
      <c r="A98" s="192" t="str">
        <f>Historical!A93</f>
        <v>Earnings Before Taxes</v>
      </c>
      <c r="B98" s="266">
        <f>B89-B96</f>
        <v>734</v>
      </c>
      <c r="C98" s="274">
        <f ca="1">C89-C96</f>
        <v>862.31270192318993</v>
      </c>
      <c r="D98" s="104">
        <f t="shared" ref="D98:J98" ca="1" si="72">D89-D96</f>
        <v>873.14062988524017</v>
      </c>
      <c r="E98" s="104">
        <f t="shared" ca="1" si="72"/>
        <v>899.66889347324991</v>
      </c>
      <c r="F98" s="104">
        <f t="shared" ca="1" si="72"/>
        <v>947.70594911884518</v>
      </c>
      <c r="G98" s="104">
        <f t="shared" ca="1" si="72"/>
        <v>984.30572425314813</v>
      </c>
      <c r="H98" s="104">
        <f t="shared" ca="1" si="72"/>
        <v>1013.7836377818912</v>
      </c>
      <c r="I98" s="104">
        <f t="shared" ca="1" si="72"/>
        <v>1050.7767334233872</v>
      </c>
      <c r="J98" s="104">
        <f t="shared" ca="1" si="72"/>
        <v>1094.471049601417</v>
      </c>
      <c r="K98" s="199">
        <f ca="1">RATE(8,,-B98,J98)</f>
        <v>5.1207685255693247E-2</v>
      </c>
      <c r="L98" s="192"/>
      <c r="M98" s="192" t="str">
        <f t="shared" si="60"/>
        <v>Earnings Before Taxes</v>
      </c>
      <c r="N98" s="272"/>
      <c r="O98" s="273"/>
      <c r="P98" s="108"/>
      <c r="Q98" s="108"/>
      <c r="R98" s="108"/>
      <c r="S98" s="108"/>
      <c r="T98" s="108"/>
      <c r="U98" s="108"/>
      <c r="V98" s="108"/>
      <c r="W98" s="108"/>
      <c r="X98" s="192"/>
    </row>
    <row r="99" spans="1:24" ht="12.75" customHeight="1">
      <c r="B99" s="77"/>
      <c r="C99" s="19"/>
      <c r="D99" s="19"/>
      <c r="E99" s="19"/>
      <c r="F99" s="19"/>
      <c r="G99" s="19"/>
      <c r="H99" s="19"/>
      <c r="I99" s="19"/>
      <c r="J99" s="19"/>
      <c r="K99" s="18"/>
      <c r="L99" s="2"/>
      <c r="N99" s="90">
        <f t="shared" ref="N99:V102" si="73">B99/B$80</f>
        <v>0</v>
      </c>
      <c r="O99" s="95">
        <f t="shared" si="73"/>
        <v>0</v>
      </c>
      <c r="P99" s="18">
        <f t="shared" si="73"/>
        <v>0</v>
      </c>
      <c r="Q99" s="18">
        <f t="shared" si="73"/>
        <v>0</v>
      </c>
      <c r="R99" s="18">
        <f t="shared" si="73"/>
        <v>0</v>
      </c>
      <c r="S99" s="18">
        <f t="shared" si="73"/>
        <v>0</v>
      </c>
      <c r="T99" s="18">
        <f t="shared" si="73"/>
        <v>0</v>
      </c>
      <c r="U99" s="18">
        <f t="shared" si="73"/>
        <v>0</v>
      </c>
      <c r="V99" s="18">
        <f t="shared" si="73"/>
        <v>0</v>
      </c>
      <c r="W99" s="5">
        <f>SUM(C99:J99)/SUM(C$80:J$80)</f>
        <v>0</v>
      </c>
      <c r="X99" s="2"/>
    </row>
    <row r="100" spans="1:24" ht="12.75" customHeight="1">
      <c r="A100" s="52" t="str">
        <f>Historical!A95</f>
        <v>Extraordinary Items</v>
      </c>
      <c r="B100" s="77">
        <f>Historical!N95</f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8"/>
      <c r="L100" s="2"/>
      <c r="M100" s="52" t="str">
        <f t="shared" si="60"/>
        <v>Extraordinary Items</v>
      </c>
      <c r="N100" s="91">
        <f t="shared" si="73"/>
        <v>0</v>
      </c>
      <c r="O100" s="93">
        <f t="shared" si="73"/>
        <v>0</v>
      </c>
      <c r="P100" s="17">
        <f t="shared" si="73"/>
        <v>0</v>
      </c>
      <c r="Q100" s="17">
        <f t="shared" si="73"/>
        <v>0</v>
      </c>
      <c r="R100" s="17">
        <f t="shared" si="73"/>
        <v>0</v>
      </c>
      <c r="S100" s="17">
        <f t="shared" si="73"/>
        <v>0</v>
      </c>
      <c r="T100" s="17">
        <f t="shared" si="73"/>
        <v>0</v>
      </c>
      <c r="U100" s="17">
        <f t="shared" si="73"/>
        <v>0</v>
      </c>
      <c r="V100" s="17">
        <f t="shared" si="73"/>
        <v>0</v>
      </c>
      <c r="W100" s="17">
        <f>SUM(C100:J100)/SUM(C$80:J$80)</f>
        <v>0</v>
      </c>
      <c r="X100" s="2"/>
    </row>
    <row r="101" spans="1:24" ht="12.75" customHeight="1">
      <c r="A101" s="52" t="str">
        <f>Historical!A96</f>
        <v>Income Taxes</v>
      </c>
      <c r="B101" s="77">
        <f>Historical!N96</f>
        <v>197</v>
      </c>
      <c r="C101" s="100">
        <f ca="1">C98*Assumptions!$C$82</f>
        <v>258.69381057695699</v>
      </c>
      <c r="D101" s="100">
        <f ca="1">D98*Assumptions!$C$82</f>
        <v>261.94218896557203</v>
      </c>
      <c r="E101" s="100">
        <f ca="1">E98*Assumptions!$C$82</f>
        <v>269.90066804197494</v>
      </c>
      <c r="F101" s="100">
        <f ca="1">F98*Assumptions!$C$82</f>
        <v>284.31178473565353</v>
      </c>
      <c r="G101" s="100">
        <f ca="1">G98*Assumptions!$C$82</f>
        <v>295.29171727594445</v>
      </c>
      <c r="H101" s="100">
        <f ca="1">H98*Assumptions!$C$82</f>
        <v>304.13509133456733</v>
      </c>
      <c r="I101" s="100">
        <f ca="1">I98*Assumptions!$C$82</f>
        <v>315.23302002701615</v>
      </c>
      <c r="J101" s="100">
        <f ca="1">J98*Assumptions!$C$82</f>
        <v>328.3413148804251</v>
      </c>
      <c r="K101" s="103">
        <f ca="1">RATE(8,,-B101,J101)</f>
        <v>6.5939150033225008E-2</v>
      </c>
      <c r="L101" s="2"/>
      <c r="M101" s="52" t="str">
        <f t="shared" si="60"/>
        <v>Income Taxes</v>
      </c>
      <c r="N101" s="90">
        <f t="shared" si="73"/>
        <v>4.0352314625153624E-2</v>
      </c>
      <c r="O101" s="95">
        <f t="shared" ca="1" si="73"/>
        <v>5.1559635609419403E-2</v>
      </c>
      <c r="P101" s="18">
        <f t="shared" ca="1" si="73"/>
        <v>5.0798493185220318E-2</v>
      </c>
      <c r="Q101" s="18">
        <f t="shared" ca="1" si="73"/>
        <v>5.092967603502651E-2</v>
      </c>
      <c r="R101" s="18">
        <f t="shared" ca="1" si="73"/>
        <v>5.2201549229857515E-2</v>
      </c>
      <c r="S101" s="18">
        <f t="shared" ca="1" si="73"/>
        <v>5.2754726084941708E-2</v>
      </c>
      <c r="T101" s="18">
        <f t="shared" ca="1" si="73"/>
        <v>5.2868649361126473E-2</v>
      </c>
      <c r="U101" s="18">
        <f t="shared" ca="1" si="73"/>
        <v>5.3319364241294458E-2</v>
      </c>
      <c r="V101" s="18">
        <f t="shared" ca="1" si="73"/>
        <v>5.4038137144273718E-2</v>
      </c>
      <c r="W101" s="103">
        <f ca="1">SUM(C101:J101)/SUM(C$80:J$80)</f>
        <v>5.237114850736771E-2</v>
      </c>
      <c r="X101" s="2"/>
    </row>
    <row r="102" spans="1:24" ht="12.75" customHeight="1" thickBot="1">
      <c r="A102" s="52" t="str">
        <f>Historical!A97</f>
        <v>Net Income</v>
      </c>
      <c r="B102" s="85">
        <f>B98-B100-B101</f>
        <v>537</v>
      </c>
      <c r="C102" s="20">
        <f ca="1">C98-C100-C101</f>
        <v>603.61889134623289</v>
      </c>
      <c r="D102" s="20">
        <f t="shared" ref="D102:J102" ca="1" si="74">D98-D100-D101</f>
        <v>611.1984409196682</v>
      </c>
      <c r="E102" s="20">
        <f t="shared" ca="1" si="74"/>
        <v>629.76822543127491</v>
      </c>
      <c r="F102" s="20">
        <f t="shared" ca="1" si="74"/>
        <v>663.39416438319165</v>
      </c>
      <c r="G102" s="20">
        <f t="shared" ca="1" si="74"/>
        <v>689.01400697720374</v>
      </c>
      <c r="H102" s="20">
        <f t="shared" ca="1" si="74"/>
        <v>709.64854644732395</v>
      </c>
      <c r="I102" s="20">
        <f t="shared" ca="1" si="74"/>
        <v>735.543713396371</v>
      </c>
      <c r="J102" s="20">
        <f t="shared" ca="1" si="74"/>
        <v>766.12973472099191</v>
      </c>
      <c r="K102" s="5">
        <f ca="1">RATE(8,,-B102,J102)</f>
        <v>4.542048076189252E-2</v>
      </c>
      <c r="L102" s="2"/>
      <c r="M102" s="52" t="str">
        <f t="shared" si="60"/>
        <v>Net Income</v>
      </c>
      <c r="N102" s="91">
        <f t="shared" si="73"/>
        <v>0.10999590331831216</v>
      </c>
      <c r="O102" s="93">
        <f t="shared" ca="1" si="73"/>
        <v>0.12030581642197859</v>
      </c>
      <c r="P102" s="17">
        <f t="shared" ca="1" si="73"/>
        <v>0.11852981743218077</v>
      </c>
      <c r="Q102" s="17">
        <f t="shared" ca="1" si="73"/>
        <v>0.1188359107483952</v>
      </c>
      <c r="R102" s="17">
        <f t="shared" ca="1" si="73"/>
        <v>0.12180361486966755</v>
      </c>
      <c r="S102" s="17">
        <f t="shared" ca="1" si="73"/>
        <v>0.123094360864864</v>
      </c>
      <c r="T102" s="17">
        <f t="shared" ca="1" si="73"/>
        <v>0.12336018184262847</v>
      </c>
      <c r="U102" s="17">
        <f t="shared" ca="1" si="73"/>
        <v>0.12441184989635373</v>
      </c>
      <c r="V102" s="17">
        <f t="shared" ca="1" si="73"/>
        <v>0.12608898666997201</v>
      </c>
      <c r="W102" s="72">
        <f ca="1">SUM(C102:J102)/SUM(C$80:J$80)</f>
        <v>0.12219934651719136</v>
      </c>
      <c r="X102" s="2"/>
    </row>
    <row r="103" spans="1:24" ht="12.75" customHeight="1" thickTop="1">
      <c r="B103" s="86"/>
      <c r="C103" s="78"/>
      <c r="D103" s="78"/>
      <c r="E103" s="78"/>
      <c r="F103" s="78"/>
      <c r="G103" s="78"/>
      <c r="H103" s="78"/>
      <c r="I103" s="78"/>
      <c r="J103" s="78"/>
      <c r="K103" s="71"/>
      <c r="L103" s="2"/>
      <c r="N103" s="92"/>
      <c r="O103" s="94"/>
      <c r="P103" s="71"/>
      <c r="Q103" s="71"/>
      <c r="R103" s="71"/>
      <c r="S103" s="71"/>
      <c r="T103" s="71"/>
      <c r="U103" s="71"/>
      <c r="V103" s="71"/>
      <c r="W103" s="71"/>
      <c r="X103" s="2"/>
    </row>
    <row r="104" spans="1:24" ht="12.75" customHeight="1">
      <c r="A104" s="52" t="str">
        <f>Historical!A99</f>
        <v>Preferred Stock Dividends</v>
      </c>
      <c r="B104" s="77">
        <f>Historical!N99</f>
        <v>2</v>
      </c>
      <c r="C104" s="2">
        <f t="shared" ref="C104:J104" si="75">C59*$B$104/$B$59</f>
        <v>1.8048780487804879</v>
      </c>
      <c r="D104" s="2">
        <f t="shared" si="75"/>
        <v>1.8048780487804879</v>
      </c>
      <c r="E104" s="2">
        <f t="shared" si="75"/>
        <v>1.8048780487804879</v>
      </c>
      <c r="F104" s="2">
        <f t="shared" si="75"/>
        <v>1.8048780487804879</v>
      </c>
      <c r="G104" s="2">
        <f t="shared" si="75"/>
        <v>1.8048780487804879</v>
      </c>
      <c r="H104" s="2">
        <f t="shared" si="75"/>
        <v>1.8048780487804879</v>
      </c>
      <c r="I104" s="2">
        <f t="shared" si="75"/>
        <v>1.8048780487804879</v>
      </c>
      <c r="J104" s="2">
        <f t="shared" si="75"/>
        <v>1.8048780487804879</v>
      </c>
      <c r="K104" s="5">
        <f>RATE(8,,-B104,J104)</f>
        <v>-1.2749793113973304E-2</v>
      </c>
      <c r="L104" s="2"/>
      <c r="M104" s="52" t="str">
        <f t="shared" si="60"/>
        <v>Preferred Stock Dividends</v>
      </c>
      <c r="N104" s="90">
        <f t="shared" ref="N104:V105" si="76">B104/B$80</f>
        <v>4.0966816878328555E-4</v>
      </c>
      <c r="O104" s="95">
        <f t="shared" si="76"/>
        <v>3.5972586397415348E-4</v>
      </c>
      <c r="P104" s="18">
        <f t="shared" si="76"/>
        <v>3.5002030647754819E-4</v>
      </c>
      <c r="Q104" s="18">
        <f t="shared" si="76"/>
        <v>3.4057660906873093E-4</v>
      </c>
      <c r="R104" s="18">
        <f t="shared" si="76"/>
        <v>3.3138770665065812E-4</v>
      </c>
      <c r="S104" s="18">
        <f t="shared" si="76"/>
        <v>3.2244672474562272E-4</v>
      </c>
      <c r="T104" s="18">
        <f t="shared" si="76"/>
        <v>3.1374697435226326E-4</v>
      </c>
      <c r="U104" s="18">
        <f t="shared" si="76"/>
        <v>3.0528194694133282E-4</v>
      </c>
      <c r="V104" s="18">
        <f t="shared" si="76"/>
        <v>2.9704530958648417E-4</v>
      </c>
      <c r="W104" s="5"/>
      <c r="X104" s="2"/>
    </row>
    <row r="105" spans="1:24" ht="12.75" customHeight="1">
      <c r="A105" s="52" t="str">
        <f>Historical!A100</f>
        <v>Common Stock Dividends</v>
      </c>
      <c r="B105" s="77">
        <f>Historical!N100</f>
        <v>200</v>
      </c>
      <c r="C105" s="2">
        <v>700</v>
      </c>
      <c r="D105" s="2">
        <v>600</v>
      </c>
      <c r="E105" s="2">
        <v>650</v>
      </c>
      <c r="F105" s="2">
        <v>650</v>
      </c>
      <c r="G105" s="2">
        <v>600</v>
      </c>
      <c r="H105" s="2">
        <v>600</v>
      </c>
      <c r="I105" s="2">
        <v>700</v>
      </c>
      <c r="J105" s="2">
        <v>700</v>
      </c>
      <c r="K105" s="5"/>
      <c r="L105" s="2"/>
      <c r="M105" s="52" t="str">
        <f t="shared" si="60"/>
        <v>Common Stock Dividends</v>
      </c>
      <c r="N105" s="90">
        <f t="shared" si="76"/>
        <v>4.0966816878328552E-2</v>
      </c>
      <c r="O105" s="95">
        <f t="shared" si="76"/>
        <v>0.13951530129808384</v>
      </c>
      <c r="P105" s="18">
        <f t="shared" si="76"/>
        <v>0.11635810188307683</v>
      </c>
      <c r="Q105" s="18">
        <f t="shared" si="76"/>
        <v>0.1226536031308335</v>
      </c>
      <c r="R105" s="18">
        <f t="shared" si="76"/>
        <v>0.11934435651675727</v>
      </c>
      <c r="S105" s="18">
        <f t="shared" si="76"/>
        <v>0.10719174903705836</v>
      </c>
      <c r="T105" s="18">
        <f t="shared" si="76"/>
        <v>0.10429966985223886</v>
      </c>
      <c r="U105" s="18">
        <f t="shared" si="76"/>
        <v>0.11839989023265206</v>
      </c>
      <c r="V105" s="18">
        <f t="shared" si="76"/>
        <v>0.11520541060989319</v>
      </c>
      <c r="W105" s="5"/>
      <c r="X105" s="2"/>
    </row>
    <row r="106" spans="1:24" ht="12.75" customHeight="1">
      <c r="B106" s="19"/>
      <c r="C106" s="2"/>
      <c r="D106" s="2"/>
      <c r="E106" s="2"/>
      <c r="F106" s="2"/>
      <c r="G106" s="2"/>
      <c r="H106" s="2"/>
      <c r="I106" s="2"/>
      <c r="J106" s="2"/>
      <c r="K106" s="2"/>
      <c r="L106" s="2"/>
      <c r="N106" s="18"/>
      <c r="O106" s="18"/>
      <c r="P106" s="18"/>
      <c r="Q106" s="18"/>
      <c r="R106" s="18"/>
      <c r="S106" s="18"/>
      <c r="T106" s="18"/>
      <c r="U106" s="18"/>
      <c r="V106" s="18"/>
      <c r="W106" s="5"/>
      <c r="X106" s="2"/>
    </row>
    <row r="107" spans="1:24" ht="12.75" customHeight="1">
      <c r="B107" s="19"/>
      <c r="C107" s="2"/>
      <c r="D107" s="2"/>
      <c r="E107" s="2"/>
      <c r="F107" s="2"/>
      <c r="G107" s="2"/>
      <c r="H107" s="2"/>
      <c r="I107" s="2"/>
      <c r="J107" s="2"/>
      <c r="K107" s="2"/>
      <c r="L107" s="2"/>
      <c r="N107" s="18"/>
      <c r="O107" s="18"/>
      <c r="P107" s="18"/>
      <c r="Q107" s="18"/>
      <c r="R107" s="18"/>
      <c r="S107" s="18"/>
      <c r="T107" s="18"/>
      <c r="U107" s="18"/>
      <c r="V107" s="18"/>
      <c r="W107" s="5"/>
      <c r="X107" s="2"/>
    </row>
    <row r="108" spans="1:24" ht="12.75" customHeight="1">
      <c r="B108" s="19"/>
      <c r="C108" s="2"/>
      <c r="D108" s="2"/>
      <c r="E108" s="2"/>
      <c r="F108" s="2"/>
      <c r="G108" s="2"/>
      <c r="H108" s="2"/>
      <c r="I108" s="2"/>
      <c r="J108" s="2"/>
      <c r="K108" s="279" t="s">
        <v>207</v>
      </c>
      <c r="L108" s="2"/>
      <c r="N108" s="18"/>
      <c r="O108" s="18"/>
      <c r="P108" s="18"/>
      <c r="Q108" s="18"/>
      <c r="R108" s="18"/>
      <c r="S108" s="18"/>
      <c r="T108" s="18"/>
      <c r="U108" s="18"/>
      <c r="V108" s="18"/>
      <c r="W108" s="5"/>
      <c r="X108" s="2"/>
    </row>
    <row r="109" spans="1:24" ht="12.75" customHeight="1">
      <c r="A109" s="111"/>
      <c r="B109" s="19"/>
      <c r="C109" s="2"/>
      <c r="D109" s="2"/>
      <c r="E109" s="2"/>
      <c r="F109" s="2"/>
      <c r="G109" s="2"/>
      <c r="H109" s="2"/>
      <c r="I109" s="2"/>
      <c r="J109" s="2"/>
      <c r="K109" s="280" t="s">
        <v>203</v>
      </c>
      <c r="L109" s="2"/>
      <c r="M109" s="111"/>
      <c r="N109" s="19"/>
      <c r="O109" s="2"/>
      <c r="P109" s="2"/>
      <c r="Q109" s="2"/>
      <c r="R109" s="2"/>
      <c r="S109" s="2"/>
      <c r="T109" s="2"/>
      <c r="U109" s="2"/>
      <c r="V109" s="2"/>
      <c r="W109" s="5"/>
      <c r="X109" s="2"/>
    </row>
    <row r="110" spans="1:24" ht="15.95" customHeight="1">
      <c r="A110" s="11" t="str">
        <f>A4</f>
        <v>PacifiCorp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73"/>
      <c r="X110" s="2"/>
    </row>
    <row r="111" spans="1:24" ht="12.75" customHeight="1">
      <c r="A111" s="217" t="s">
        <v>148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73"/>
      <c r="X111" s="2"/>
    </row>
    <row r="112" spans="1:24" ht="12.75" customHeight="1">
      <c r="A112" s="136">
        <f ca="1">A6</f>
        <v>41438.477707638885</v>
      </c>
      <c r="B112" s="106"/>
      <c r="C112" s="12"/>
      <c r="D112" s="12"/>
      <c r="E112" s="12"/>
      <c r="F112" s="12"/>
      <c r="G112" s="12"/>
      <c r="H112" s="12"/>
      <c r="I112" s="12"/>
      <c r="J112" s="12"/>
      <c r="K112" s="13"/>
      <c r="L112" s="2"/>
    </row>
    <row r="113" spans="1:12" ht="12.75" customHeight="1">
      <c r="B113" s="106"/>
      <c r="C113" s="10"/>
      <c r="D113" s="12"/>
      <c r="E113" s="12"/>
      <c r="F113" s="12"/>
      <c r="G113" s="12"/>
      <c r="H113" s="12"/>
      <c r="I113" s="12"/>
      <c r="J113" s="12"/>
      <c r="K113" s="13"/>
      <c r="L113" s="2"/>
    </row>
    <row r="114" spans="1:12" ht="12.75" customHeight="1">
      <c r="A114" s="107"/>
      <c r="B114" s="106"/>
      <c r="C114" s="10"/>
      <c r="D114" s="10"/>
      <c r="E114" s="12"/>
      <c r="F114" s="12"/>
      <c r="G114" s="12"/>
      <c r="H114" s="12"/>
      <c r="I114" s="12"/>
      <c r="J114" s="12"/>
      <c r="K114" s="13"/>
      <c r="L114" s="2"/>
    </row>
    <row r="115" spans="1:12" ht="12.75" customHeight="1">
      <c r="A115" s="111"/>
      <c r="B115" s="19"/>
      <c r="C115" s="10"/>
      <c r="D115" s="10"/>
      <c r="E115" s="12"/>
      <c r="F115" s="12"/>
      <c r="G115" s="12"/>
      <c r="H115" s="12"/>
      <c r="I115" s="12"/>
      <c r="J115" s="12"/>
      <c r="K115" s="13"/>
      <c r="L115" s="2"/>
    </row>
    <row r="116" spans="1:12" ht="12.75" customHeight="1">
      <c r="A116" s="111"/>
      <c r="B116" s="19"/>
      <c r="C116" s="10"/>
      <c r="D116" s="10"/>
      <c r="E116" s="12"/>
      <c r="F116" s="12"/>
      <c r="G116" s="12"/>
      <c r="H116" s="12"/>
      <c r="I116" s="12"/>
      <c r="J116" s="12"/>
      <c r="K116" s="13"/>
      <c r="L116" s="2"/>
    </row>
    <row r="117" spans="1:12" ht="12.75" customHeight="1">
      <c r="A117" s="111"/>
      <c r="B117" s="19"/>
      <c r="C117" s="2"/>
      <c r="D117" s="2"/>
      <c r="E117" s="2"/>
      <c r="F117" s="2"/>
      <c r="G117" s="2"/>
      <c r="H117" s="2"/>
      <c r="I117" s="2"/>
      <c r="J117" s="2"/>
      <c r="K117" s="99" t="s">
        <v>125</v>
      </c>
      <c r="L117" s="2"/>
    </row>
    <row r="118" spans="1:12" ht="12.75" customHeight="1">
      <c r="B118" s="74" t="s">
        <v>124</v>
      </c>
      <c r="C118" s="14" t="s">
        <v>125</v>
      </c>
      <c r="D118" s="14" t="s">
        <v>125</v>
      </c>
      <c r="E118" s="14" t="s">
        <v>125</v>
      </c>
      <c r="F118" s="14" t="s">
        <v>125</v>
      </c>
      <c r="G118" s="14" t="s">
        <v>125</v>
      </c>
      <c r="H118" s="14" t="s">
        <v>125</v>
      </c>
      <c r="I118" s="14" t="s">
        <v>125</v>
      </c>
      <c r="J118" s="14" t="s">
        <v>125</v>
      </c>
      <c r="K118" s="99" t="s">
        <v>139</v>
      </c>
      <c r="L118" s="2"/>
    </row>
    <row r="119" spans="1:12" ht="12.75" customHeight="1">
      <c r="A119" s="192" t="str">
        <f>Historical!A111</f>
        <v>Ratio Group And Name</v>
      </c>
      <c r="B119" s="98" t="s">
        <v>3</v>
      </c>
      <c r="C119" s="4">
        <f t="shared" ref="C119:J119" si="77">O77</f>
        <v>2013</v>
      </c>
      <c r="D119" s="4">
        <f t="shared" si="77"/>
        <v>2014</v>
      </c>
      <c r="E119" s="4">
        <f t="shared" si="77"/>
        <v>2015</v>
      </c>
      <c r="F119" s="4">
        <f t="shared" si="77"/>
        <v>2016</v>
      </c>
      <c r="G119" s="4">
        <f t="shared" si="77"/>
        <v>2017</v>
      </c>
      <c r="H119" s="4">
        <f t="shared" si="77"/>
        <v>2018</v>
      </c>
      <c r="I119" s="4">
        <f t="shared" si="77"/>
        <v>2019</v>
      </c>
      <c r="J119" s="4">
        <f t="shared" si="77"/>
        <v>2020</v>
      </c>
      <c r="K119" s="79" t="s">
        <v>3</v>
      </c>
      <c r="L119" s="2"/>
    </row>
    <row r="120" spans="1:12" ht="6.95" customHeight="1">
      <c r="A120" s="262"/>
      <c r="B120" s="85"/>
      <c r="C120" s="22"/>
      <c r="D120" s="22"/>
      <c r="E120" s="22"/>
      <c r="F120" s="22"/>
      <c r="G120" s="22"/>
      <c r="H120" s="22"/>
      <c r="I120" s="22"/>
      <c r="J120" s="22"/>
      <c r="K120" s="80"/>
      <c r="L120" s="2"/>
    </row>
    <row r="121" spans="1:12" ht="12.75" customHeight="1">
      <c r="A121" s="192" t="str">
        <f>Historical!A113</f>
        <v>Short-term Liquidity Ratios:</v>
      </c>
      <c r="B121" s="89"/>
      <c r="C121" s="8"/>
      <c r="D121" s="8"/>
      <c r="E121" s="8"/>
      <c r="F121" s="8"/>
      <c r="H121" s="2"/>
      <c r="I121" s="2"/>
      <c r="K121" s="8"/>
      <c r="L121" s="2"/>
    </row>
    <row r="122" spans="1:12" ht="12.75" customHeight="1">
      <c r="A122" s="52" t="str">
        <f>Historical!A114</f>
        <v>Current</v>
      </c>
      <c r="B122" s="89">
        <f>Historical!P114</f>
        <v>1.1100929413528067</v>
      </c>
      <c r="C122" s="8">
        <f t="shared" ref="C122:J122" ca="1" si="78">C17/C48</f>
        <v>0.92974344459120672</v>
      </c>
      <c r="D122" s="8">
        <f t="shared" ca="1" si="78"/>
        <v>0.96967708185210855</v>
      </c>
      <c r="E122" s="8">
        <f t="shared" ca="1" si="78"/>
        <v>0.97189603899872878</v>
      </c>
      <c r="F122" s="8">
        <f t="shared" ca="1" si="78"/>
        <v>0.98681950222298309</v>
      </c>
      <c r="G122" s="8">
        <f t="shared" ca="1" si="78"/>
        <v>1.0146601979919303</v>
      </c>
      <c r="H122" s="8">
        <f t="shared" ca="1" si="78"/>
        <v>1.027539599191529</v>
      </c>
      <c r="I122" s="8">
        <f t="shared" ca="1" si="78"/>
        <v>1.0113438573425684</v>
      </c>
      <c r="J122" s="8">
        <f t="shared" ca="1" si="78"/>
        <v>1.0234190044304239</v>
      </c>
      <c r="K122" s="8">
        <f ca="1">AVERAGE(C122:J122)</f>
        <v>0.99188734082768493</v>
      </c>
      <c r="L122" s="2"/>
    </row>
    <row r="123" spans="1:12" ht="12.75" customHeight="1">
      <c r="A123" s="52" t="str">
        <f>Historical!A115</f>
        <v>Quick</v>
      </c>
      <c r="B123" s="89">
        <f>Historical!P115</f>
        <v>0.53209323748081405</v>
      </c>
      <c r="C123" s="8">
        <f t="shared" ref="C123:J123" ca="1" si="79">SUM(C12:C14)/C48</f>
        <v>0.45934859873690814</v>
      </c>
      <c r="D123" s="8">
        <f t="shared" ca="1" si="79"/>
        <v>0.47999027217017382</v>
      </c>
      <c r="E123" s="8">
        <f t="shared" ca="1" si="79"/>
        <v>0.48199760705806105</v>
      </c>
      <c r="F123" s="8">
        <f t="shared" ca="1" si="79"/>
        <v>0.49031629542593252</v>
      </c>
      <c r="G123" s="8">
        <f t="shared" ca="1" si="79"/>
        <v>0.50508743525097166</v>
      </c>
      <c r="H123" s="8">
        <f t="shared" ca="1" si="79"/>
        <v>0.51244314085390952</v>
      </c>
      <c r="I123" s="8">
        <f t="shared" ca="1" si="79"/>
        <v>0.50529035605506978</v>
      </c>
      <c r="J123" s="8">
        <f t="shared" ca="1" si="79"/>
        <v>0.51225311538724361</v>
      </c>
      <c r="K123" s="8">
        <f ca="1">AVERAGE(C123:J123)</f>
        <v>0.49334085261728383</v>
      </c>
      <c r="L123" s="2"/>
    </row>
    <row r="124" spans="1:12" ht="12.75" customHeight="1">
      <c r="A124" s="52" t="str">
        <f>Historical!A116</f>
        <v>Days Revenues Cash</v>
      </c>
      <c r="B124" s="89">
        <f>Historical!P116</f>
        <v>7.9492397360521645</v>
      </c>
      <c r="C124" s="177">
        <f ca="1">((C80/365)/((B12+B13+C12+C13)/2))^-1</f>
        <v>5.9004682020494474</v>
      </c>
      <c r="D124" s="177">
        <f t="shared" ref="D124:J124" ca="1" si="80">((D80/365)/((C12+C13+D12+D13)/2))^-1</f>
        <v>5.9004682020494474</v>
      </c>
      <c r="E124" s="177">
        <f t="shared" ca="1" si="80"/>
        <v>5.9004682020494474</v>
      </c>
      <c r="F124" s="177">
        <f t="shared" ca="1" si="80"/>
        <v>5.9004682020494483</v>
      </c>
      <c r="G124" s="177">
        <f t="shared" ca="1" si="80"/>
        <v>5.9004682020494474</v>
      </c>
      <c r="H124" s="177">
        <f t="shared" ca="1" si="80"/>
        <v>5.9004682020494474</v>
      </c>
      <c r="I124" s="177">
        <f t="shared" ca="1" si="80"/>
        <v>5.9004682020494474</v>
      </c>
      <c r="J124" s="177">
        <f t="shared" ca="1" si="80"/>
        <v>5.9004682020494474</v>
      </c>
      <c r="K124" s="8">
        <f ca="1">AVERAGE(C124:J124)</f>
        <v>5.9004682020494474</v>
      </c>
      <c r="L124" s="2"/>
    </row>
    <row r="125" spans="1:12" ht="12.75" customHeight="1">
      <c r="A125" s="52" t="str">
        <f>Historical!A117</f>
        <v>Days Revenues Receivable</v>
      </c>
      <c r="B125" s="89">
        <f>Historical!P117</f>
        <v>48.645350616854564</v>
      </c>
      <c r="C125" s="8">
        <f t="shared" ref="C125:J125" si="81">365*(((B14+C14)/2)/((B80+C80)/2))</f>
        <v>50.41554880647179</v>
      </c>
      <c r="D125" s="8">
        <f t="shared" si="81"/>
        <v>50.657450256383392</v>
      </c>
      <c r="E125" s="8">
        <f t="shared" si="81"/>
        <v>50.657450256383392</v>
      </c>
      <c r="F125" s="8">
        <f t="shared" si="81"/>
        <v>50.657450256383392</v>
      </c>
      <c r="G125" s="8">
        <f t="shared" si="81"/>
        <v>50.657450256383392</v>
      </c>
      <c r="H125" s="8">
        <f t="shared" si="81"/>
        <v>50.657450256383392</v>
      </c>
      <c r="I125" s="8">
        <f t="shared" si="81"/>
        <v>50.657450256383399</v>
      </c>
      <c r="J125" s="8">
        <f t="shared" si="81"/>
        <v>50.657450256383392</v>
      </c>
      <c r="K125" s="8">
        <f>AVERAGE(C125:J125)</f>
        <v>50.627212575144448</v>
      </c>
      <c r="L125" s="2"/>
    </row>
    <row r="126" spans="1:12" ht="6.95" customHeight="1">
      <c r="B126" s="89"/>
      <c r="C126" s="8"/>
      <c r="D126" s="8"/>
      <c r="E126" s="8"/>
      <c r="F126" s="8"/>
      <c r="G126" s="8"/>
      <c r="H126" s="8"/>
      <c r="I126" s="81"/>
      <c r="J126" s="81"/>
      <c r="K126" s="8"/>
      <c r="L126" s="2"/>
    </row>
    <row r="127" spans="1:12" ht="12.75" customHeight="1">
      <c r="A127" s="192" t="str">
        <f>Historical!A119</f>
        <v>Long-term Solvency Ratios:</v>
      </c>
      <c r="B127" s="89"/>
      <c r="C127" s="8"/>
      <c r="D127" s="8"/>
      <c r="E127" s="8"/>
      <c r="F127" s="8"/>
      <c r="G127" s="8"/>
      <c r="H127" s="8"/>
      <c r="I127" s="81"/>
      <c r="J127" s="81"/>
      <c r="K127" s="8"/>
      <c r="L127" s="2"/>
    </row>
    <row r="128" spans="1:12" ht="12.75" customHeight="1">
      <c r="A128" s="52" t="str">
        <f>Historical!A120</f>
        <v>Net Worth/Total Debt</v>
      </c>
      <c r="B128" s="89">
        <f>Historical!P120</f>
        <v>0.53932297687159492</v>
      </c>
      <c r="C128" s="8">
        <f t="shared" ref="C128:J128" ca="1" si="82">C64/(C57+C59)</f>
        <v>0.497289894110025</v>
      </c>
      <c r="D128" s="8">
        <f t="shared" ca="1" si="82"/>
        <v>0.47201480549702834</v>
      </c>
      <c r="E128" s="8">
        <f t="shared" ca="1" si="82"/>
        <v>0.45839035668892342</v>
      </c>
      <c r="F128" s="8">
        <f t="shared" ca="1" si="82"/>
        <v>0.44515016163090509</v>
      </c>
      <c r="G128" s="8">
        <f t="shared" ca="1" si="82"/>
        <v>0.43595267265334459</v>
      </c>
      <c r="H128" s="8">
        <f t="shared" ca="1" si="82"/>
        <v>0.42854101447525478</v>
      </c>
      <c r="I128" s="8">
        <f t="shared" ca="1" si="82"/>
        <v>0.4154977817076615</v>
      </c>
      <c r="J128" s="8">
        <f t="shared" ca="1" si="82"/>
        <v>0.4051659570462513</v>
      </c>
      <c r="K128" s="8">
        <f ca="1">AVERAGE(C128:J128)</f>
        <v>0.44475033047617424</v>
      </c>
      <c r="L128" s="2"/>
    </row>
    <row r="129" spans="1:12" ht="12.75" customHeight="1">
      <c r="A129" s="52" t="str">
        <f>Historical!A121</f>
        <v>Net Worth/Non Current Debt</v>
      </c>
      <c r="B129" s="89">
        <f>Historical!P121</f>
        <v>0.60990846196259396</v>
      </c>
      <c r="C129" s="8">
        <f t="shared" ref="C129:J129" ca="1" si="83">C64/(C55+C59)</f>
        <v>0.5602074869074819</v>
      </c>
      <c r="D129" s="8">
        <f t="shared" ca="1" si="83"/>
        <v>0.52722372521081684</v>
      </c>
      <c r="E129" s="8">
        <f t="shared" ca="1" si="83"/>
        <v>0.51181596374983629</v>
      </c>
      <c r="F129" s="8">
        <f t="shared" ca="1" si="83"/>
        <v>0.49585339962025887</v>
      </c>
      <c r="G129" s="8">
        <f t="shared" ca="1" si="83"/>
        <v>0.48372588181511322</v>
      </c>
      <c r="H129" s="8">
        <f t="shared" ca="1" si="83"/>
        <v>0.47455589072956106</v>
      </c>
      <c r="I129" s="8">
        <f t="shared" ca="1" si="83"/>
        <v>0.46041589603301553</v>
      </c>
      <c r="J129" s="8">
        <f t="shared" ca="1" si="83"/>
        <v>0.44801760039073274</v>
      </c>
      <c r="K129" s="8">
        <f ca="1">AVERAGE(C129:J129)</f>
        <v>0.49522698055710207</v>
      </c>
      <c r="L129" s="2"/>
    </row>
    <row r="130" spans="1:12" ht="12.75" customHeight="1">
      <c r="A130" s="52" t="str">
        <f>Historical!A122</f>
        <v>Net Worth/Fixed Assets</v>
      </c>
      <c r="B130" s="89">
        <f>Historical!P122</f>
        <v>0.42914823649465322</v>
      </c>
      <c r="C130" s="8">
        <f t="shared" ref="C130:J130" ca="1" si="84">C64/C28</f>
        <v>0.40019443598876503</v>
      </c>
      <c r="D130" s="8">
        <f t="shared" ca="1" si="84"/>
        <v>0.38565983141169702</v>
      </c>
      <c r="E130" s="8">
        <f t="shared" ca="1" si="84"/>
        <v>0.37865676302392659</v>
      </c>
      <c r="F130" s="8">
        <f t="shared" ca="1" si="84"/>
        <v>0.37139384165173545</v>
      </c>
      <c r="G130" s="8">
        <f t="shared" ca="1" si="84"/>
        <v>0.36606222359591184</v>
      </c>
      <c r="H130" s="8">
        <f t="shared" ca="1" si="84"/>
        <v>0.36171662262241011</v>
      </c>
      <c r="I130" s="8">
        <f t="shared" ca="1" si="84"/>
        <v>0.35394845124185198</v>
      </c>
      <c r="J130" s="8">
        <f t="shared" ca="1" si="84"/>
        <v>0.34769315462152334</v>
      </c>
      <c r="K130" s="8">
        <f ca="1">AVERAGE(C130:J130)</f>
        <v>0.37066566551972763</v>
      </c>
      <c r="L130" s="2"/>
    </row>
    <row r="131" spans="1:12" ht="12.75" customHeight="1">
      <c r="A131" s="52" t="str">
        <f>Historical!A123</f>
        <v>Times Interest Earned</v>
      </c>
      <c r="B131" s="89">
        <f>Historical!P123</f>
        <v>3.2079998696874785</v>
      </c>
      <c r="C131" s="8">
        <f ca="1">(C98+C91+C93)/(C91+C93)</f>
        <v>3.3438561941805287</v>
      </c>
      <c r="D131" s="8">
        <f t="shared" ref="D131:I131" ca="1" si="85">(D98+D91+D94)/(D91+D94)</f>
        <v>3.2388842508559459</v>
      </c>
      <c r="E131" s="8">
        <f t="shared" ca="1" si="85"/>
        <v>3.2801578053138347</v>
      </c>
      <c r="F131" s="8">
        <f t="shared" ca="1" si="85"/>
        <v>3.4367633296777997</v>
      </c>
      <c r="G131" s="8">
        <f t="shared" ca="1" si="85"/>
        <v>3.4912470507280911</v>
      </c>
      <c r="H131" s="8">
        <f t="shared" ca="1" si="85"/>
        <v>3.4742337947315747</v>
      </c>
      <c r="I131" s="8">
        <f t="shared" ca="1" si="85"/>
        <v>3.5125254236566521</v>
      </c>
      <c r="J131" s="8">
        <f ca="1">(J98+J91+J94)/(J91+J94)</f>
        <v>3.5972395778861617</v>
      </c>
      <c r="K131" s="8">
        <f ca="1">AVERAGE(C131:J131)</f>
        <v>3.4218634283788232</v>
      </c>
      <c r="L131" s="2"/>
    </row>
    <row r="132" spans="1:12" ht="6.95" customHeight="1">
      <c r="B132" s="89"/>
      <c r="C132" s="8"/>
      <c r="D132" s="8"/>
      <c r="E132" s="8"/>
      <c r="F132" s="8"/>
      <c r="G132" s="8"/>
      <c r="H132" s="8"/>
      <c r="I132" s="81"/>
      <c r="J132" s="81"/>
      <c r="K132" s="8"/>
      <c r="L132" s="2"/>
    </row>
    <row r="133" spans="1:12" ht="12.75" customHeight="1">
      <c r="A133" s="192" t="str">
        <f>Historical!A126</f>
        <v>Profitability Ratios:</v>
      </c>
      <c r="B133" s="89"/>
      <c r="C133" s="8"/>
      <c r="D133" s="8"/>
      <c r="E133" s="8"/>
      <c r="F133" s="8"/>
      <c r="G133" s="8"/>
      <c r="H133" s="8"/>
      <c r="I133" s="81"/>
      <c r="J133" s="81"/>
      <c r="K133" s="8"/>
      <c r="L133" s="2"/>
    </row>
    <row r="134" spans="1:12" ht="12.75" customHeight="1">
      <c r="A134" s="52" t="str">
        <f>Historical!A127</f>
        <v>Return On Total Assets</v>
      </c>
      <c r="B134" s="90">
        <f>Historical!P127</f>
        <v>4.1772900225559989E-2</v>
      </c>
      <c r="C134" s="5">
        <f t="shared" ref="C134" ca="1" si="86">(C102+((C91+C92)*(1-(C101/C98))))/((B38+C38)/2)</f>
        <v>3.8863718556533672E-2</v>
      </c>
      <c r="D134" s="5">
        <f t="shared" ref="D134" ca="1" si="87">(D102+((D91+D92)*(1-(D101/D98))))/((C38+D38)/2)</f>
        <v>3.7470826019479882E-2</v>
      </c>
      <c r="E134" s="5">
        <f t="shared" ref="E134" ca="1" si="88">(E102+((E91+E92)*(1-(E101/E98))))/((D38+E38)/2)</f>
        <v>3.6812338462452722E-2</v>
      </c>
      <c r="F134" s="5">
        <f t="shared" ref="F134" ca="1" si="89">(F102+((F91+F92)*(1-(F101/F98))))/((E38+F38)/2)</f>
        <v>3.7090093077619464E-2</v>
      </c>
      <c r="G134" s="5">
        <f t="shared" ref="G134" ca="1" si="90">(G102+((G91+G92)*(1-(G101/G98))))/((F38+G38)/2)</f>
        <v>3.6847258819236076E-2</v>
      </c>
      <c r="H134" s="5">
        <f t="shared" ref="H134" ca="1" si="91">(H102+((H91+H92)*(1-(H101/H98))))/((G38+H38)/2)</f>
        <v>3.6336137061549305E-2</v>
      </c>
      <c r="I134" s="5">
        <f t="shared" ref="I134" ca="1" si="92">(I102+((I91+I92)*(1-(I101/I98))))/((H38+I38)/2)</f>
        <v>3.6074240870160694E-2</v>
      </c>
      <c r="J134" s="5">
        <f t="shared" ref="J134" ca="1" si="93">(J102+((J91+J92)*(1-(J101/J98))))/((I38+J38)/2)</f>
        <v>3.5991060676999587E-2</v>
      </c>
      <c r="K134" s="5">
        <f ca="1">AVERAGE(C134:J134)</f>
        <v>3.6935709193003922E-2</v>
      </c>
      <c r="L134" s="2"/>
    </row>
    <row r="135" spans="1:12" ht="12.75" customHeight="1">
      <c r="A135" s="52" t="str">
        <f>Historical!A128</f>
        <v>Return On Total Capital</v>
      </c>
      <c r="B135" s="90">
        <f>Historical!P128</f>
        <v>6.3479089185485976E-2</v>
      </c>
      <c r="C135" s="5">
        <f t="shared" ref="C135" ca="1" si="94">(C102+((C91+C92+C93)*(1-(C101/C98))))/((B42+B43+B50+B59+B64+C42+C43+C50+C59+C64)/2)</f>
        <v>5.9352851027789949E-2</v>
      </c>
      <c r="D135" s="5">
        <f t="shared" ref="D135" ca="1" si="95">(D102+((D91+D92+D93)*(1-(D101/D98))))/((C42+C43+C50+C59+C64+D42+D43+D50+D59+D64)/2)</f>
        <v>6.0083638733571962E-2</v>
      </c>
      <c r="E135" s="5">
        <f t="shared" ref="E135" ca="1" si="96">(E102+((E91+E92+E93)*(1-(E101/E98))))/((D42+D43+D50+D59+D64+E42+E43+E50+E59+E64)/2)</f>
        <v>6.1915655749584818E-2</v>
      </c>
      <c r="F135" s="5">
        <f t="shared" ref="F135" ca="1" si="97">(F102+((F91+F92+F93)*(1-(F101/F98))))/((E42+E43+E50+E59+E64+F42+F43+F50+F59+F64)/2)</f>
        <v>6.4815059340584846E-2</v>
      </c>
      <c r="G135" s="5">
        <f t="shared" ref="G135" ca="1" si="98">(G102+((G91+G92+G93)*(1-(G101/G98))))/((F42+F43+F50+F59+F64+G42+G43+G50+G59+G64)/2)</f>
        <v>6.7022720178476991E-2</v>
      </c>
      <c r="H135" s="5">
        <f t="shared" ref="H135" ca="1" si="99">(H102+((H91+H92+H93)*(1-(H101/H98))))/((G42+G43+G50+G59+G64+H42+H43+H50+H59+H64)/2)</f>
        <v>6.8655385312590592E-2</v>
      </c>
      <c r="I135" s="5">
        <f t="shared" ref="I135" ca="1" si="100">(I102+((I91+I92+I93)*(1-(I101/I98))))/((H42+H43+H50+H59+H64+I42+I43+I50+I59+I64)/2)</f>
        <v>7.0700736328372288E-2</v>
      </c>
      <c r="J135" s="5">
        <f t="shared" ref="J135" ca="1" si="101">(J102+((J91+J92+J93)*(1-(J101/J98))))/((I42+I43+I50+I59+I64+J42+J43+J50+J59+J64)/2)</f>
        <v>7.3241182255564002E-2</v>
      </c>
      <c r="K135" s="5">
        <f ca="1">AVERAGE(C135:J135)</f>
        <v>6.5723403615816925E-2</v>
      </c>
      <c r="L135" s="2"/>
    </row>
    <row r="136" spans="1:12" ht="12.75" customHeight="1">
      <c r="A136" s="52" t="str">
        <f>Historical!A129</f>
        <v>Return On Common Equity</v>
      </c>
      <c r="B136" s="90">
        <f>Historical!P129</f>
        <v>8.2762003294882119E-2</v>
      </c>
      <c r="C136" s="5">
        <f t="shared" ref="C136" ca="1" si="102">(C102-C104)/((C64+B64)/2)</f>
        <v>7.9669237700206466E-2</v>
      </c>
      <c r="D136" s="5">
        <f t="shared" ref="D136" ca="1" si="103">(D102-D104)/((D64+C64)/2)</f>
        <v>8.1149568410830208E-2</v>
      </c>
      <c r="E136" s="5">
        <f t="shared" ref="E136" ca="1" si="104">(E102-E104)/((E64+D64)/2)</f>
        <v>8.3692856077760988E-2</v>
      </c>
      <c r="F136" s="5">
        <f t="shared" ref="F136" ca="1" si="105">(F102-F104)/((F64+E64)/2)</f>
        <v>8.8235836665493839E-2</v>
      </c>
      <c r="G136" s="5">
        <f t="shared" ref="G136" ca="1" si="106">(G102-G104)/((G64+F64)/2)</f>
        <v>9.105285213943283E-2</v>
      </c>
      <c r="H136" s="5">
        <f t="shared" ref="H136" ca="1" si="107">(H102-H104)/((H64+G64)/2)</f>
        <v>9.2590408872850666E-2</v>
      </c>
      <c r="I136" s="5">
        <f t="shared" ref="I136" ca="1" si="108">(I102-I104)/((I64+H64)/2)</f>
        <v>9.5097061071958353E-2</v>
      </c>
      <c r="J136" s="5">
        <f t="shared" ref="J136" ca="1" si="109">(J102-J104)/((J64+I64)/2)</f>
        <v>9.8435648001188022E-2</v>
      </c>
      <c r="K136" s="5">
        <f ca="1">AVERAGE(C136:J136)</f>
        <v>8.874043361746517E-2</v>
      </c>
      <c r="L136" s="2"/>
    </row>
    <row r="137" spans="1:12" ht="6.95" customHeight="1">
      <c r="B137" s="89"/>
      <c r="C137" s="8"/>
      <c r="D137" s="8"/>
      <c r="E137" s="8"/>
      <c r="F137" s="8"/>
      <c r="G137" s="8"/>
      <c r="H137" s="8"/>
      <c r="I137" s="81"/>
      <c r="J137" s="81"/>
      <c r="K137" s="8"/>
      <c r="L137" s="2"/>
    </row>
    <row r="138" spans="1:12" ht="12.75" customHeight="1">
      <c r="A138" s="192" t="str">
        <f>Historical!A131</f>
        <v>Asset-Utilization Ratios:</v>
      </c>
      <c r="B138" s="89"/>
      <c r="C138" s="8"/>
      <c r="D138" s="8"/>
      <c r="E138" s="8"/>
      <c r="F138" s="8"/>
      <c r="G138" s="8"/>
      <c r="H138" s="8"/>
      <c r="I138" s="81"/>
      <c r="J138" s="81"/>
      <c r="K138" s="8"/>
      <c r="L138" s="2"/>
    </row>
    <row r="139" spans="1:12" ht="12.75" customHeight="1">
      <c r="A139" s="52" t="str">
        <f>Historical!A132</f>
        <v>Revenues/Fixed Assets</v>
      </c>
      <c r="B139" s="89">
        <f>Historical!P132</f>
        <v>0.31111047839017358</v>
      </c>
      <c r="C139" s="8">
        <f t="shared" ref="C139:J139" si="110">C80/((B28+C28)/2)</f>
        <v>0.27260971403776579</v>
      </c>
      <c r="D139" s="8">
        <f t="shared" si="110"/>
        <v>0.26971269190432812</v>
      </c>
      <c r="E139" s="8">
        <f t="shared" si="110"/>
        <v>0.26989809180390301</v>
      </c>
      <c r="F139" s="8">
        <f t="shared" si="110"/>
        <v>0.27238589207507929</v>
      </c>
      <c r="G139" s="8">
        <f t="shared" si="110"/>
        <v>0.27343861310845186</v>
      </c>
      <c r="H139" s="8">
        <f t="shared" si="110"/>
        <v>0.2737994836212112</v>
      </c>
      <c r="I139" s="8">
        <f t="shared" si="110"/>
        <v>0.27415153318414098</v>
      </c>
      <c r="J139" s="8">
        <f t="shared" si="110"/>
        <v>0.27449495440442956</v>
      </c>
      <c r="K139" s="102">
        <f>AVERAGE(C139:J139)</f>
        <v>0.27256137176741374</v>
      </c>
      <c r="L139" s="2"/>
    </row>
    <row r="140" spans="1:12" ht="12.75" customHeight="1">
      <c r="A140" s="52" t="str">
        <f>Historical!A133</f>
        <v>Revenues/Total Assets</v>
      </c>
      <c r="B140" s="89">
        <f>Historical!P133</f>
        <v>0.252036824423235</v>
      </c>
      <c r="C140" s="8">
        <f t="shared" ref="C140:J140" ca="1" si="111">C80/C38</f>
        <v>0.22240862828324606</v>
      </c>
      <c r="D140" s="8">
        <f t="shared" ca="1" si="111"/>
        <v>0.2203945322540308</v>
      </c>
      <c r="E140" s="8">
        <f t="shared" ca="1" si="111"/>
        <v>0.222669743251906</v>
      </c>
      <c r="F140" s="8">
        <f t="shared" ca="1" si="111"/>
        <v>0.22391617573369602</v>
      </c>
      <c r="G140" s="8">
        <f t="shared" ca="1" si="111"/>
        <v>0.22419910399806592</v>
      </c>
      <c r="H140" s="8">
        <f t="shared" ca="1" si="111"/>
        <v>0.22447560720059773</v>
      </c>
      <c r="I140" s="8">
        <f t="shared" ca="1" si="111"/>
        <v>0.22474582329848472</v>
      </c>
      <c r="J140" s="8">
        <f t="shared" ca="1" si="111"/>
        <v>0.22500988796849783</v>
      </c>
      <c r="K140" s="102">
        <f ca="1">AVERAGE(C140:J140)</f>
        <v>0.22347743774856565</v>
      </c>
      <c r="L140" s="2"/>
    </row>
    <row r="141" spans="1:12" ht="6.95" customHeight="1">
      <c r="B141" s="89"/>
      <c r="C141" s="2"/>
      <c r="D141" s="2"/>
      <c r="E141" s="2"/>
      <c r="F141" s="2"/>
      <c r="G141" s="2"/>
      <c r="H141" s="2"/>
      <c r="I141" s="2"/>
      <c r="J141" s="2"/>
      <c r="K141" s="5"/>
      <c r="L141" s="2"/>
    </row>
    <row r="142" spans="1:12" ht="12.75" customHeight="1">
      <c r="A142" s="192" t="str">
        <f>Historical!A135</f>
        <v>Regulatory Capital Structure</v>
      </c>
      <c r="B142" s="89"/>
      <c r="C142" s="2"/>
      <c r="D142" s="2"/>
      <c r="E142" s="2"/>
      <c r="F142" s="2"/>
      <c r="G142" s="2"/>
      <c r="H142" s="2"/>
      <c r="I142" s="2"/>
      <c r="J142" s="2"/>
      <c r="K142" s="5"/>
      <c r="L142" s="2"/>
    </row>
    <row r="143" spans="1:12" ht="12.75" customHeight="1">
      <c r="A143" s="52" t="str">
        <f>Historical!A136</f>
        <v>Common Equity</v>
      </c>
      <c r="B143" s="90">
        <f>Historical!P136</f>
        <v>0.51842101675553021</v>
      </c>
      <c r="C143" s="141">
        <f t="shared" ref="C143:J143" ca="1" si="112">C64/C$146</f>
        <v>0.52138640169374006</v>
      </c>
      <c r="D143" s="141">
        <f t="shared" ca="1" si="112"/>
        <v>0.51142843432253304</v>
      </c>
      <c r="E143" s="141">
        <f t="shared" ca="1" si="112"/>
        <v>0.51709459646500966</v>
      </c>
      <c r="F143" s="141">
        <f t="shared" ca="1" si="112"/>
        <v>0.52013200187179409</v>
      </c>
      <c r="G143" s="141">
        <f t="shared" ca="1" si="112"/>
        <v>0.5145026665723027</v>
      </c>
      <c r="H143" s="141">
        <f t="shared" ca="1" si="112"/>
        <v>0.51081243479268323</v>
      </c>
      <c r="I143" s="141">
        <f t="shared" ca="1" si="112"/>
        <v>0.51191320605119228</v>
      </c>
      <c r="J143" s="141">
        <f t="shared" ca="1" si="112"/>
        <v>0.5127862642893336</v>
      </c>
      <c r="K143" s="5">
        <f ca="1">AVERAGE(C143:J143)</f>
        <v>0.51500700075732353</v>
      </c>
      <c r="L143" s="2"/>
    </row>
    <row r="144" spans="1:12" ht="12.75" customHeight="1">
      <c r="A144" s="52" t="str">
        <f>Historical!A137</f>
        <v>Preferred Stock</v>
      </c>
      <c r="B144" s="90">
        <f>Historical!P137</f>
        <v>3.2485805008128001E-3</v>
      </c>
      <c r="C144" s="141">
        <f t="shared" ref="C144:J144" ca="1" si="113">C59/C$146</f>
        <v>2.5705229738427486E-3</v>
      </c>
      <c r="D144" s="141">
        <f t="shared" ca="1" si="113"/>
        <v>2.5182764415991724E-3</v>
      </c>
      <c r="E144" s="141">
        <f t="shared" ca="1" si="113"/>
        <v>2.5536656662512721E-3</v>
      </c>
      <c r="F144" s="141">
        <f t="shared" ca="1" si="113"/>
        <v>2.5646985927798506E-3</v>
      </c>
      <c r="G144" s="141">
        <f t="shared" ca="1" si="113"/>
        <v>2.507795303283173E-3</v>
      </c>
      <c r="H144" s="141">
        <f t="shared" ca="1" si="113"/>
        <v>2.454931402310893E-3</v>
      </c>
      <c r="I144" s="141">
        <f t="shared" ca="1" si="113"/>
        <v>2.4494869844354696E-3</v>
      </c>
      <c r="J144" s="141">
        <f t="shared" ca="1" si="113"/>
        <v>2.4334213969336494E-3</v>
      </c>
      <c r="K144" s="5">
        <f ca="1">AVERAGE(C144:J144)</f>
        <v>2.5065998451795288E-3</v>
      </c>
      <c r="L144" s="2"/>
    </row>
    <row r="145" spans="1:12" ht="12.75" customHeight="1">
      <c r="A145" s="52" t="str">
        <f>Historical!A138</f>
        <v>Long Term Debt (incl. current portion)</v>
      </c>
      <c r="B145" s="90">
        <f>Historical!P138</f>
        <v>0.47833040274365707</v>
      </c>
      <c r="C145" s="179">
        <f t="shared" ref="C145:J145" ca="1" si="114">(C42+C50+C54)/C$146</f>
        <v>0.4760431093610758</v>
      </c>
      <c r="D145" s="179">
        <f t="shared" ca="1" si="114"/>
        <v>0.4860534140385051</v>
      </c>
      <c r="E145" s="179">
        <f t="shared" ca="1" si="114"/>
        <v>0.48035192923242442</v>
      </c>
      <c r="F145" s="179">
        <f t="shared" ca="1" si="114"/>
        <v>0.47730358595945249</v>
      </c>
      <c r="G145" s="179">
        <f t="shared" ca="1" si="114"/>
        <v>0.48298997430709439</v>
      </c>
      <c r="H145" s="179">
        <f t="shared" ca="1" si="114"/>
        <v>0.48673325264262313</v>
      </c>
      <c r="I145" s="179">
        <f t="shared" ca="1" si="114"/>
        <v>0.48563813693749808</v>
      </c>
      <c r="J145" s="179">
        <f t="shared" ca="1" si="114"/>
        <v>0.48478139819699367</v>
      </c>
      <c r="K145" s="5">
        <f ca="1">AVERAGE(C145:J145)</f>
        <v>0.48248685008445841</v>
      </c>
      <c r="L145" s="2"/>
    </row>
    <row r="146" spans="1:12" ht="12.75" customHeight="1">
      <c r="B146" s="110"/>
      <c r="C146" s="140">
        <f t="shared" ref="C146:J146" ca="1" si="115">C42+C50+C54+C59+C64</f>
        <v>14393.958597362</v>
      </c>
      <c r="D146" s="140">
        <f t="shared" ca="1" si="115"/>
        <v>14692.59053791632</v>
      </c>
      <c r="E146" s="140">
        <f t="shared" ca="1" si="115"/>
        <v>14488.978557154507</v>
      </c>
      <c r="F146" s="140">
        <f t="shared" ca="1" si="115"/>
        <v>14426.650641073984</v>
      </c>
      <c r="G146" s="140">
        <f t="shared" ca="1" si="115"/>
        <v>14754.00168838311</v>
      </c>
      <c r="H146" s="140">
        <f t="shared" ca="1" si="115"/>
        <v>15071.71355670579</v>
      </c>
      <c r="I146" s="140">
        <f t="shared" ca="1" si="115"/>
        <v>15105.216293906135</v>
      </c>
      <c r="J146" s="140">
        <f t="shared" ca="1" si="115"/>
        <v>15204.945658119203</v>
      </c>
      <c r="K146" s="17"/>
      <c r="L146" s="2"/>
    </row>
    <row r="147" spans="1:12">
      <c r="E147" s="2"/>
      <c r="F147" s="2"/>
      <c r="G147" s="2"/>
      <c r="H147" s="2"/>
      <c r="I147" s="2"/>
      <c r="J147" s="2"/>
      <c r="K147" s="5"/>
      <c r="L147" s="2"/>
    </row>
    <row r="148" spans="1:12">
      <c r="C148" s="55">
        <f ca="1">SUM(C143:C145)</f>
        <v>1.0000000340286586</v>
      </c>
      <c r="D148" s="55">
        <f t="shared" ref="D148:J148" ca="1" si="116">SUM(D143:D145)</f>
        <v>1.0000001248026373</v>
      </c>
      <c r="E148" s="55">
        <f t="shared" ca="1" si="116"/>
        <v>1.0000001913636853</v>
      </c>
      <c r="F148" s="55">
        <f t="shared" ca="1" si="116"/>
        <v>1.0000002864240265</v>
      </c>
      <c r="G148" s="55">
        <f t="shared" ca="1" si="116"/>
        <v>1.0000004361826802</v>
      </c>
      <c r="H148" s="55">
        <f t="shared" ca="1" si="116"/>
        <v>1.0000006188376172</v>
      </c>
      <c r="I148" s="55">
        <f t="shared" ca="1" si="116"/>
        <v>1.0000008299731258</v>
      </c>
      <c r="J148" s="55">
        <f t="shared" ca="1" si="116"/>
        <v>1.0000010838832609</v>
      </c>
      <c r="K148" s="55">
        <f ca="1">SUM(K143:K145)</f>
        <v>1.0000004506869615</v>
      </c>
      <c r="L148" s="2"/>
    </row>
    <row r="149" spans="1:12">
      <c r="E149" s="2"/>
      <c r="F149" s="2"/>
      <c r="G149" s="2"/>
      <c r="H149" s="2"/>
      <c r="I149" s="2"/>
      <c r="J149" s="2"/>
      <c r="K149" s="5"/>
      <c r="L149" s="2"/>
    </row>
    <row r="150" spans="1:12">
      <c r="B150" s="19"/>
      <c r="E150" s="2"/>
      <c r="F150" s="2"/>
      <c r="G150" s="2"/>
      <c r="H150" s="2"/>
      <c r="I150" s="2"/>
      <c r="J150" s="2"/>
      <c r="K150" s="5"/>
      <c r="L150" s="2"/>
    </row>
    <row r="151" spans="1:12">
      <c r="A151" s="52" t="s">
        <v>149</v>
      </c>
      <c r="B151" s="19"/>
      <c r="E151" s="2"/>
      <c r="F151" s="2"/>
      <c r="G151" s="2"/>
      <c r="H151" s="2"/>
      <c r="I151" s="2"/>
      <c r="J151" s="2"/>
      <c r="K151" s="5"/>
      <c r="L151" s="2"/>
    </row>
    <row r="152" spans="1:12">
      <c r="A152" s="262"/>
      <c r="B152" s="20" t="s">
        <v>128</v>
      </c>
      <c r="C152" s="20" t="s">
        <v>129</v>
      </c>
      <c r="D152" s="20"/>
      <c r="E152" s="20"/>
      <c r="F152" s="2"/>
      <c r="G152" s="2"/>
      <c r="H152" s="2"/>
      <c r="I152" s="2"/>
      <c r="J152" s="2"/>
      <c r="K152" s="5"/>
      <c r="L152" s="2"/>
    </row>
    <row r="153" spans="1:12">
      <c r="B153" s="8"/>
      <c r="C153" s="83"/>
      <c r="D153" s="82"/>
      <c r="E153" s="2"/>
      <c r="F153" s="2"/>
      <c r="G153" s="2"/>
      <c r="H153" s="2"/>
      <c r="I153" s="2"/>
      <c r="J153" s="2"/>
      <c r="K153" s="5"/>
      <c r="L153" s="2"/>
    </row>
    <row r="154" spans="1:12">
      <c r="A154" s="263">
        <f>B9</f>
        <v>2012</v>
      </c>
      <c r="B154" s="8">
        <f>B102-C154</f>
        <v>0</v>
      </c>
      <c r="C154" s="2">
        <f>B$102</f>
        <v>537</v>
      </c>
      <c r="D154" s="82"/>
      <c r="E154" s="2"/>
      <c r="F154" s="2"/>
      <c r="G154" s="2"/>
      <c r="H154" s="2"/>
      <c r="I154" s="2"/>
      <c r="J154" s="2"/>
      <c r="K154" s="5"/>
      <c r="L154" s="2"/>
    </row>
    <row r="155" spans="1:12">
      <c r="A155" s="263">
        <f t="shared" ref="A155:A162" si="117">A154+1</f>
        <v>2013</v>
      </c>
      <c r="B155" s="8">
        <f ca="1">C102-C155</f>
        <v>-1.0531039379202412E-5</v>
      </c>
      <c r="C155" s="2">
        <f ca="1">C$102</f>
        <v>603.61889134623289</v>
      </c>
      <c r="D155" s="82"/>
      <c r="E155" s="2"/>
      <c r="F155" s="2"/>
      <c r="G155" s="2"/>
      <c r="H155" s="2"/>
      <c r="I155" s="2"/>
      <c r="J155" s="2"/>
      <c r="K155" s="5"/>
      <c r="L155" s="2"/>
    </row>
    <row r="156" spans="1:12">
      <c r="A156" s="263">
        <f t="shared" si="117"/>
        <v>2014</v>
      </c>
      <c r="B156" s="8">
        <f ca="1">D102-C156</f>
        <v>-5.0456295866752043E-5</v>
      </c>
      <c r="C156" s="2">
        <f ca="1">D$102</f>
        <v>611.1984409196682</v>
      </c>
      <c r="D156" s="82"/>
      <c r="E156" s="2"/>
      <c r="F156" s="2"/>
      <c r="G156" s="2"/>
      <c r="H156" s="2"/>
      <c r="I156" s="2"/>
      <c r="J156" s="2"/>
      <c r="K156" s="5"/>
      <c r="L156" s="2"/>
    </row>
    <row r="157" spans="1:12">
      <c r="A157" s="263">
        <f t="shared" si="117"/>
        <v>2015</v>
      </c>
      <c r="B157" s="8">
        <f ca="1">E102-C157</f>
        <v>-1.0193434638949839E-4</v>
      </c>
      <c r="C157" s="2">
        <f ca="1">E$102</f>
        <v>629.76822543127491</v>
      </c>
      <c r="D157" s="2"/>
      <c r="E157" s="2"/>
      <c r="F157" s="2"/>
      <c r="G157" s="2"/>
      <c r="H157" s="2"/>
      <c r="I157" s="2"/>
      <c r="J157" s="2"/>
      <c r="K157" s="5"/>
      <c r="L157" s="2"/>
    </row>
    <row r="158" spans="1:12">
      <c r="A158" s="263">
        <f t="shared" si="117"/>
        <v>2016</v>
      </c>
      <c r="B158" s="8">
        <f ca="1">F102-C158</f>
        <v>-1.5618258112226613E-4</v>
      </c>
      <c r="C158" s="2">
        <f ca="1">F$102</f>
        <v>663.39416438319165</v>
      </c>
      <c r="D158" s="2"/>
      <c r="E158" s="2"/>
      <c r="F158" s="2"/>
      <c r="G158" s="2"/>
      <c r="H158" s="2"/>
      <c r="I158" s="2"/>
      <c r="J158" s="2"/>
      <c r="K158" s="5"/>
      <c r="L158" s="2"/>
    </row>
    <row r="159" spans="1:12">
      <c r="A159" s="263">
        <f t="shared" si="117"/>
        <v>2017</v>
      </c>
      <c r="B159" s="8">
        <f ca="1">G102-C159</f>
        <v>-2.4231783754657954E-4</v>
      </c>
      <c r="C159" s="2">
        <f ca="1">G$102</f>
        <v>689.01400697720374</v>
      </c>
      <c r="D159" s="2"/>
      <c r="E159" s="2"/>
      <c r="F159" s="2"/>
      <c r="G159" s="2"/>
      <c r="H159" s="2"/>
      <c r="I159" s="2"/>
      <c r="J159" s="2"/>
      <c r="K159" s="5"/>
      <c r="L159" s="2"/>
    </row>
    <row r="160" spans="1:12">
      <c r="A160" s="263">
        <f t="shared" si="117"/>
        <v>2018</v>
      </c>
      <c r="B160" s="8">
        <f ca="1">H102-C160</f>
        <v>-3.6544879344546644E-4</v>
      </c>
      <c r="C160" s="2">
        <f ca="1">H$102</f>
        <v>709.64854644732395</v>
      </c>
      <c r="D160" s="2"/>
      <c r="E160" s="2"/>
      <c r="F160" s="2"/>
      <c r="G160" s="2"/>
      <c r="H160" s="2"/>
      <c r="I160" s="2"/>
      <c r="J160" s="2"/>
      <c r="K160" s="5"/>
      <c r="L160" s="2"/>
    </row>
    <row r="161" spans="1:12">
      <c r="A161" s="263">
        <f t="shared" si="117"/>
        <v>2019</v>
      </c>
      <c r="B161" s="8">
        <f ca="1">I102-C161</f>
        <v>-5.1386808297593234E-4</v>
      </c>
      <c r="C161" s="2">
        <f ca="1">I$102</f>
        <v>735.543713396371</v>
      </c>
      <c r="D161" s="2"/>
      <c r="E161" s="2"/>
      <c r="F161" s="2"/>
      <c r="G161" s="2"/>
      <c r="H161" s="2"/>
      <c r="I161" s="2"/>
      <c r="J161" s="2"/>
      <c r="K161" s="5"/>
      <c r="L161" s="2"/>
    </row>
    <row r="162" spans="1:12">
      <c r="A162" s="263">
        <f t="shared" si="117"/>
        <v>2020</v>
      </c>
      <c r="B162" s="8">
        <f ca="1">J102-C162</f>
        <v>-6.9187182486984966E-4</v>
      </c>
      <c r="C162" s="2">
        <f ca="1">J$102</f>
        <v>766.12973472099191</v>
      </c>
      <c r="D162" s="2"/>
      <c r="E162" s="2"/>
      <c r="F162" s="2"/>
      <c r="G162" s="2"/>
      <c r="H162" s="2"/>
      <c r="I162" s="2"/>
      <c r="J162" s="2"/>
      <c r="K162" s="5"/>
      <c r="L162" s="2"/>
    </row>
    <row r="163" spans="1:12">
      <c r="A163" s="263"/>
      <c r="B163" s="8"/>
      <c r="C163" s="2"/>
      <c r="D163" s="2"/>
      <c r="E163" s="2"/>
      <c r="F163" s="2"/>
      <c r="G163" s="2"/>
      <c r="H163" s="2"/>
      <c r="I163" s="2"/>
      <c r="J163" s="2"/>
      <c r="K163" s="5"/>
      <c r="L163" s="2"/>
    </row>
    <row r="164" spans="1:12">
      <c r="A164" s="264" t="s">
        <v>130</v>
      </c>
      <c r="B164" s="3"/>
      <c r="C164" s="2"/>
      <c r="D164" s="2"/>
      <c r="E164" s="2"/>
      <c r="F164" s="2"/>
      <c r="G164" s="2"/>
      <c r="H164" s="2"/>
      <c r="I164" s="2"/>
      <c r="J164" s="2"/>
      <c r="K164" s="5"/>
      <c r="L164" s="2"/>
    </row>
    <row r="165" spans="1:12">
      <c r="A165" s="52" t="s">
        <v>131</v>
      </c>
      <c r="B165" s="2" t="s">
        <v>128</v>
      </c>
      <c r="C165" s="82" t="s">
        <v>132</v>
      </c>
      <c r="D165" s="2"/>
      <c r="E165" s="2"/>
      <c r="F165" s="2"/>
      <c r="G165" s="2"/>
      <c r="H165" s="2"/>
      <c r="I165" s="2"/>
      <c r="J165" s="2"/>
      <c r="K165" s="5"/>
      <c r="L165" s="2"/>
    </row>
    <row r="166" spans="1:12">
      <c r="A166" s="263">
        <f t="shared" ref="A166:A174" si="118">A154</f>
        <v>2012</v>
      </c>
      <c r="B166" s="8">
        <f>$C166-B$65</f>
        <v>0</v>
      </c>
      <c r="C166" s="2">
        <f>B$38</f>
        <v>21728</v>
      </c>
      <c r="D166" s="2"/>
      <c r="E166" s="2"/>
      <c r="F166" s="2"/>
      <c r="G166" s="2"/>
      <c r="H166" s="2"/>
      <c r="I166" s="2"/>
      <c r="J166" s="2"/>
      <c r="K166" s="5"/>
      <c r="L166" s="2"/>
    </row>
    <row r="167" spans="1:12">
      <c r="A167" s="263">
        <f t="shared" si="118"/>
        <v>2013</v>
      </c>
      <c r="B167" s="8">
        <f ca="1">$C167-C$65</f>
        <v>4.5249735121615231E-3</v>
      </c>
      <c r="C167" s="2">
        <f ca="1">C$38</f>
        <v>22559.245325651122</v>
      </c>
      <c r="D167" s="2"/>
      <c r="E167" s="2"/>
      <c r="F167" s="2"/>
      <c r="G167" s="2"/>
      <c r="H167" s="2"/>
      <c r="I167" s="2"/>
      <c r="J167" s="2"/>
      <c r="K167" s="5"/>
      <c r="L167" s="2"/>
    </row>
    <row r="168" spans="1:12">
      <c r="A168" s="263">
        <f t="shared" si="118"/>
        <v>2014</v>
      </c>
      <c r="B168" s="8">
        <f ca="1">$C168-D$65</f>
        <v>1.7178353136841906E-2</v>
      </c>
      <c r="C168" s="2">
        <f ca="1">D$38</f>
        <v>23396.656896126002</v>
      </c>
      <c r="D168" s="2"/>
      <c r="E168" s="2"/>
      <c r="F168" s="2"/>
      <c r="G168" s="2"/>
      <c r="H168" s="2"/>
      <c r="I168" s="2"/>
      <c r="J168" s="2"/>
      <c r="K168" s="5"/>
      <c r="L168" s="2"/>
    </row>
    <row r="169" spans="1:12">
      <c r="A169" s="263">
        <f t="shared" si="118"/>
        <v>2015</v>
      </c>
      <c r="B169" s="8">
        <f ca="1">$C169-E$65</f>
        <v>2.6755474180390593E-2</v>
      </c>
      <c r="C169" s="2">
        <f ca="1">E$38</f>
        <v>23799.719442685593</v>
      </c>
      <c r="D169" s="2"/>
      <c r="E169" s="2"/>
      <c r="F169" s="2"/>
      <c r="G169" s="2"/>
      <c r="H169" s="2"/>
      <c r="I169" s="2"/>
      <c r="J169" s="2"/>
      <c r="K169" s="5"/>
      <c r="L169" s="2"/>
    </row>
    <row r="170" spans="1:12">
      <c r="A170" s="263">
        <f t="shared" si="118"/>
        <v>2016</v>
      </c>
      <c r="B170" s="8">
        <f ca="1">$C170-F$65</f>
        <v>4.0712381494813599E-2</v>
      </c>
      <c r="C170" s="2">
        <f ca="1">F$38</f>
        <v>24323.496297928636</v>
      </c>
      <c r="D170" s="2"/>
      <c r="E170" s="2"/>
      <c r="F170" s="2"/>
      <c r="G170" s="2"/>
      <c r="H170" s="2"/>
      <c r="I170" s="2"/>
      <c r="J170" s="2"/>
      <c r="K170" s="5"/>
      <c r="L170" s="2"/>
    </row>
    <row r="171" spans="1:12">
      <c r="A171" s="263">
        <f t="shared" si="118"/>
        <v>2017</v>
      </c>
      <c r="B171" s="8">
        <f ca="1">$C171-G$65</f>
        <v>6.4109489616384963E-2</v>
      </c>
      <c r="C171" s="2">
        <f ca="1">G$38</f>
        <v>24966.405527107647</v>
      </c>
      <c r="D171" s="2"/>
      <c r="E171" s="2"/>
      <c r="F171" s="2"/>
      <c r="G171" s="2"/>
      <c r="H171" s="2"/>
      <c r="I171" s="2"/>
      <c r="J171" s="2"/>
      <c r="K171" s="5"/>
      <c r="L171" s="2"/>
    </row>
    <row r="172" spans="1:12">
      <c r="A172" s="263">
        <f t="shared" si="118"/>
        <v>2018</v>
      </c>
      <c r="B172" s="8">
        <f ca="1">$C172-H$65</f>
        <v>9.4151370678446256E-2</v>
      </c>
      <c r="C172" s="2">
        <f ca="1">H$38</f>
        <v>25627.082185557701</v>
      </c>
      <c r="D172" s="2"/>
      <c r="E172" s="2"/>
      <c r="F172" s="2"/>
      <c r="G172" s="2"/>
      <c r="H172" s="2"/>
      <c r="I172" s="2"/>
      <c r="J172" s="2"/>
      <c r="K172" s="5"/>
      <c r="L172" s="2"/>
    </row>
    <row r="173" spans="1:12">
      <c r="A173" s="263">
        <f t="shared" si="118"/>
        <v>2019</v>
      </c>
      <c r="B173" s="8">
        <f ca="1">$C173-I$65</f>
        <v>0.12868386565241963</v>
      </c>
      <c r="C173" s="2">
        <f ca="1">I$38</f>
        <v>26306.017867198905</v>
      </c>
      <c r="D173" s="2"/>
      <c r="E173" s="2"/>
      <c r="F173" s="2"/>
      <c r="G173" s="2"/>
      <c r="H173" s="2"/>
      <c r="I173" s="2"/>
      <c r="J173" s="2"/>
      <c r="K173" s="5"/>
      <c r="L173" s="2"/>
    </row>
    <row r="174" spans="1:12">
      <c r="A174" s="263">
        <f t="shared" si="118"/>
        <v>2020</v>
      </c>
      <c r="B174" s="8">
        <f ca="1">$C174-J$65</f>
        <v>0.17176162670148187</v>
      </c>
      <c r="C174" s="2">
        <f ca="1">J$38</f>
        <v>27003.717777859274</v>
      </c>
      <c r="D174" s="2"/>
      <c r="E174" s="2"/>
      <c r="F174" s="2"/>
      <c r="G174" s="2"/>
      <c r="H174" s="2"/>
      <c r="I174" s="2"/>
      <c r="J174" s="2"/>
      <c r="K174" s="5"/>
      <c r="L174" s="2"/>
    </row>
    <row r="175" spans="1:12">
      <c r="B175" s="2"/>
      <c r="C175" s="2"/>
      <c r="D175" s="2"/>
      <c r="E175" s="2"/>
      <c r="F175" s="2"/>
      <c r="G175" s="2"/>
      <c r="H175" s="2"/>
      <c r="I175" s="2"/>
      <c r="J175" s="2"/>
      <c r="K175" s="5"/>
      <c r="L175" s="2"/>
    </row>
    <row r="176" spans="1:12">
      <c r="B176" s="2"/>
      <c r="C176" s="2"/>
      <c r="D176" s="2"/>
      <c r="E176" s="2"/>
      <c r="F176" s="2"/>
      <c r="G176" s="2"/>
      <c r="H176" s="2"/>
      <c r="I176" s="2"/>
      <c r="J176" s="2"/>
      <c r="K176" s="5"/>
      <c r="L176" s="2"/>
    </row>
    <row r="177" spans="2:12">
      <c r="B177" s="2"/>
      <c r="C177" s="2"/>
      <c r="D177" s="2"/>
      <c r="E177" s="2"/>
      <c r="F177" s="2"/>
      <c r="G177" s="2"/>
      <c r="H177" s="2"/>
      <c r="I177" s="2"/>
      <c r="J177" s="2"/>
      <c r="K177" s="5"/>
      <c r="L177" s="2"/>
    </row>
    <row r="178" spans="2:12">
      <c r="B178" s="2"/>
      <c r="C178" s="2"/>
      <c r="D178" s="2"/>
      <c r="E178" s="2"/>
      <c r="F178" s="2"/>
      <c r="G178" s="2"/>
      <c r="H178" s="2"/>
      <c r="I178" s="2"/>
      <c r="J178" s="2"/>
      <c r="K178" s="5"/>
      <c r="L178" s="2"/>
    </row>
    <row r="179" spans="2:12">
      <c r="B179" s="2"/>
      <c r="C179" s="2"/>
      <c r="D179" s="2"/>
      <c r="E179" s="2"/>
      <c r="F179" s="2"/>
      <c r="G179" s="2"/>
      <c r="H179" s="2"/>
      <c r="I179" s="2"/>
      <c r="J179" s="2"/>
      <c r="K179" s="5"/>
      <c r="L179" s="2"/>
    </row>
    <row r="180" spans="2:12">
      <c r="B180" s="2"/>
      <c r="C180" s="2"/>
      <c r="D180" s="2"/>
      <c r="E180" s="2"/>
      <c r="F180" s="2"/>
      <c r="G180" s="2"/>
      <c r="H180" s="2"/>
      <c r="I180" s="2"/>
      <c r="J180" s="2"/>
      <c r="K180" s="5"/>
      <c r="L180" s="2"/>
    </row>
    <row r="181" spans="2:12">
      <c r="B181" s="2"/>
      <c r="C181" s="2"/>
      <c r="D181" s="2"/>
      <c r="E181" s="2"/>
      <c r="F181" s="2"/>
      <c r="G181" s="2"/>
      <c r="H181" s="2"/>
      <c r="I181" s="2"/>
      <c r="J181" s="2"/>
      <c r="K181" s="5"/>
    </row>
    <row r="182" spans="2:12">
      <c r="B182" s="2"/>
      <c r="C182" s="2"/>
      <c r="D182" s="2"/>
      <c r="E182" s="2"/>
      <c r="F182" s="2"/>
      <c r="G182" s="2"/>
      <c r="H182" s="2"/>
      <c r="I182" s="2"/>
      <c r="J182" s="2"/>
      <c r="K182" s="5"/>
    </row>
    <row r="183" spans="2:12">
      <c r="B183" s="2"/>
      <c r="C183" s="2"/>
      <c r="D183" s="2"/>
      <c r="E183" s="2"/>
      <c r="F183" s="2"/>
      <c r="G183" s="2"/>
      <c r="H183" s="2"/>
      <c r="I183" s="2"/>
      <c r="J183" s="2"/>
      <c r="K183" s="5"/>
    </row>
    <row r="184" spans="2:12">
      <c r="B184" s="2"/>
      <c r="C184" s="2"/>
      <c r="D184" s="2"/>
      <c r="E184" s="2"/>
      <c r="F184" s="2"/>
      <c r="G184" s="2"/>
      <c r="H184" s="2"/>
      <c r="I184" s="2"/>
      <c r="J184" s="2"/>
      <c r="K184" s="5"/>
    </row>
    <row r="185" spans="2:12">
      <c r="B185" s="2"/>
      <c r="C185" s="2"/>
      <c r="D185" s="2"/>
      <c r="E185" s="2"/>
      <c r="F185" s="2"/>
      <c r="G185" s="2"/>
      <c r="H185" s="2"/>
      <c r="I185" s="2"/>
      <c r="J185" s="2"/>
      <c r="K185" s="5"/>
    </row>
    <row r="186" spans="2:12">
      <c r="B186" s="2"/>
      <c r="C186" s="2"/>
      <c r="D186" s="2"/>
      <c r="E186" s="2"/>
      <c r="F186" s="2"/>
      <c r="G186" s="2"/>
      <c r="H186" s="2"/>
      <c r="I186" s="2"/>
      <c r="J186" s="2"/>
      <c r="K186" s="5"/>
    </row>
    <row r="187" spans="2:12">
      <c r="B187" s="2"/>
      <c r="C187" s="2"/>
      <c r="D187" s="2"/>
      <c r="E187" s="2"/>
      <c r="F187" s="2"/>
      <c r="G187" s="2"/>
      <c r="H187" s="2"/>
      <c r="I187" s="2"/>
      <c r="J187" s="2"/>
      <c r="K187" s="5"/>
    </row>
    <row r="188" spans="2:12">
      <c r="B188" s="2"/>
      <c r="C188" s="2"/>
      <c r="D188" s="2"/>
      <c r="E188" s="2"/>
      <c r="F188" s="2"/>
      <c r="G188" s="2"/>
      <c r="H188" s="2"/>
      <c r="I188" s="2"/>
      <c r="J188" s="2"/>
      <c r="K188" s="5"/>
    </row>
    <row r="189" spans="2:12">
      <c r="B189" s="2"/>
      <c r="C189" s="2"/>
      <c r="D189" s="2"/>
      <c r="E189" s="2"/>
      <c r="F189" s="2"/>
      <c r="G189" s="2"/>
      <c r="H189" s="2"/>
      <c r="I189" s="2"/>
      <c r="J189" s="2"/>
      <c r="K189" s="5"/>
    </row>
    <row r="190" spans="2:12">
      <c r="B190" s="2"/>
      <c r="C190" s="2"/>
      <c r="D190" s="2"/>
      <c r="E190" s="2"/>
      <c r="F190" s="2"/>
      <c r="G190" s="2"/>
      <c r="H190" s="2"/>
      <c r="I190" s="2"/>
      <c r="J190" s="2"/>
      <c r="K190" s="5"/>
    </row>
    <row r="191" spans="2:12">
      <c r="B191" s="2"/>
      <c r="C191" s="2"/>
      <c r="D191" s="2"/>
      <c r="E191" s="2"/>
      <c r="F191" s="2"/>
      <c r="G191" s="2"/>
      <c r="H191" s="2"/>
      <c r="I191" s="2"/>
      <c r="J191" s="2"/>
      <c r="K191" s="5"/>
    </row>
    <row r="192" spans="2:12">
      <c r="B192" s="2"/>
      <c r="C192" s="2"/>
      <c r="D192" s="2"/>
      <c r="E192" s="2"/>
      <c r="F192" s="2"/>
      <c r="G192" s="2"/>
      <c r="H192" s="2"/>
      <c r="I192" s="2"/>
      <c r="J192" s="2"/>
      <c r="K192" s="5"/>
    </row>
    <row r="193" spans="2:11">
      <c r="B193" s="2"/>
      <c r="C193" s="2"/>
      <c r="D193" s="2"/>
      <c r="E193" s="2"/>
      <c r="F193" s="2"/>
      <c r="G193" s="2"/>
      <c r="H193" s="2"/>
      <c r="I193" s="2"/>
      <c r="J193" s="2"/>
      <c r="K193" s="5"/>
    </row>
    <row r="194" spans="2:11">
      <c r="B194" s="2"/>
      <c r="C194" s="2"/>
      <c r="D194" s="2"/>
      <c r="E194" s="2"/>
      <c r="F194" s="2"/>
      <c r="G194" s="2"/>
      <c r="H194" s="2"/>
      <c r="I194" s="2"/>
      <c r="J194" s="2"/>
      <c r="K194" s="5"/>
    </row>
    <row r="195" spans="2:11">
      <c r="B195" s="2"/>
      <c r="C195" s="2"/>
      <c r="D195" s="2"/>
      <c r="E195" s="2"/>
      <c r="F195" s="2"/>
      <c r="G195" s="2"/>
      <c r="H195" s="2"/>
      <c r="I195" s="2"/>
      <c r="J195" s="2"/>
      <c r="K195" s="5"/>
    </row>
    <row r="196" spans="2:11">
      <c r="B196" s="2"/>
      <c r="C196" s="2"/>
      <c r="D196" s="2"/>
      <c r="E196" s="2"/>
      <c r="F196" s="2"/>
      <c r="G196" s="2"/>
      <c r="H196" s="2"/>
      <c r="I196" s="2"/>
      <c r="J196" s="2"/>
      <c r="K196" s="5"/>
    </row>
    <row r="197" spans="2:11">
      <c r="B197" s="2"/>
      <c r="C197" s="2"/>
      <c r="D197" s="2"/>
      <c r="E197" s="2"/>
      <c r="F197" s="2"/>
      <c r="G197" s="2"/>
      <c r="H197" s="2"/>
      <c r="I197" s="2"/>
      <c r="J197" s="2"/>
      <c r="K197" s="5"/>
    </row>
    <row r="198" spans="2:11">
      <c r="B198" s="2"/>
      <c r="C198" s="2"/>
      <c r="D198" s="2"/>
      <c r="E198" s="2"/>
      <c r="F198" s="2"/>
      <c r="G198" s="2"/>
      <c r="H198" s="2"/>
      <c r="I198" s="2"/>
      <c r="J198" s="2"/>
      <c r="K198" s="5"/>
    </row>
    <row r="199" spans="2:11">
      <c r="B199" s="2"/>
      <c r="C199" s="2"/>
      <c r="D199" s="2"/>
      <c r="E199" s="2"/>
      <c r="F199" s="2"/>
      <c r="G199" s="2"/>
      <c r="H199" s="2"/>
      <c r="I199" s="2"/>
      <c r="J199" s="2"/>
      <c r="K199" s="5"/>
    </row>
    <row r="200" spans="2:11">
      <c r="B200" s="2"/>
      <c r="C200" s="2"/>
      <c r="D200" s="2"/>
      <c r="E200" s="2"/>
      <c r="F200" s="2"/>
      <c r="G200" s="2"/>
      <c r="H200" s="2"/>
      <c r="I200" s="2"/>
      <c r="J200" s="2"/>
      <c r="K200" s="5"/>
    </row>
    <row r="201" spans="2:11">
      <c r="B201" s="2"/>
      <c r="C201" s="2"/>
      <c r="D201" s="2"/>
      <c r="E201" s="2"/>
      <c r="F201" s="2"/>
      <c r="G201" s="2"/>
      <c r="H201" s="2"/>
      <c r="I201" s="2"/>
      <c r="J201" s="2"/>
      <c r="K201" s="5"/>
    </row>
    <row r="202" spans="2:11">
      <c r="C202" s="2"/>
      <c r="D202" s="2"/>
      <c r="E202" s="2"/>
      <c r="F202" s="2"/>
      <c r="G202" s="2"/>
      <c r="H202" s="2"/>
      <c r="I202" s="2"/>
      <c r="J202" s="2"/>
      <c r="K202" s="5"/>
    </row>
  </sheetData>
  <phoneticPr fontId="6" type="noConversion"/>
  <printOptions horizontalCentered="1"/>
  <pageMargins left="0.5" right="0.5" top="0.59" bottom="1" header="0.5" footer="0.5"/>
  <pageSetup scale="56" fitToHeight="2" orientation="portrait" r:id="rId1"/>
  <headerFooter alignWithMargins="0"/>
  <rowBreaks count="2" manualBreakCount="2">
    <brk id="68" max="23" man="1"/>
    <brk id="10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A137"/>
  <sheetViews>
    <sheetView topLeftCell="A10" zoomScaleNormal="100" workbookViewId="0">
      <selection activeCell="C53" sqref="C53"/>
    </sheetView>
  </sheetViews>
  <sheetFormatPr defaultRowHeight="12.75"/>
  <cols>
    <col min="1" max="1" width="25.140625" style="52" customWidth="1"/>
    <col min="2" max="3" width="12.7109375" style="52" customWidth="1"/>
    <col min="4" max="4" width="26.42578125" style="125" customWidth="1"/>
    <col min="5" max="5" width="50.140625" style="114" customWidth="1"/>
    <col min="6" max="6" width="6.5703125" style="52" customWidth="1"/>
    <col min="7" max="15" width="10.7109375" style="52" customWidth="1"/>
    <col min="16" max="25" width="9.140625" style="52"/>
    <col min="27" max="53" width="9.140625" style="52"/>
  </cols>
  <sheetData>
    <row r="1" spans="1:14">
      <c r="A1" s="52" t="s">
        <v>133</v>
      </c>
    </row>
    <row r="2" spans="1:14">
      <c r="A2" s="52" t="s">
        <v>134</v>
      </c>
      <c r="D2" s="125" t="s">
        <v>177</v>
      </c>
      <c r="E2" s="114" t="s">
        <v>178</v>
      </c>
    </row>
    <row r="4" spans="1:14" ht="25.5">
      <c r="A4" s="119" t="s">
        <v>135</v>
      </c>
      <c r="B4" s="119"/>
      <c r="C4" s="120">
        <v>2.5000000000000001E-2</v>
      </c>
      <c r="E4" s="115" t="s">
        <v>140</v>
      </c>
      <c r="F4" s="84"/>
      <c r="G4" s="84">
        <f>Historical!I9</f>
        <v>2007</v>
      </c>
      <c r="H4" s="84">
        <f>Historical!J9</f>
        <v>2008</v>
      </c>
      <c r="I4" s="84">
        <f>Historical!K9</f>
        <v>2009</v>
      </c>
      <c r="J4" s="84">
        <f>Historical!L9</f>
        <v>2010</v>
      </c>
      <c r="K4" s="84">
        <f>Historical!M9</f>
        <v>2011</v>
      </c>
      <c r="L4" s="84">
        <v>2012</v>
      </c>
      <c r="M4" s="135" t="s">
        <v>184</v>
      </c>
    </row>
    <row r="5" spans="1:14">
      <c r="A5" s="119" t="s">
        <v>196</v>
      </c>
      <c r="B5" s="119"/>
      <c r="C5" s="120">
        <v>0.06</v>
      </c>
      <c r="E5" s="115"/>
    </row>
    <row r="6" spans="1:14">
      <c r="A6" s="121" t="s">
        <v>141</v>
      </c>
      <c r="B6" s="119"/>
      <c r="C6" s="120">
        <v>0.03</v>
      </c>
      <c r="E6" s="115"/>
    </row>
    <row r="7" spans="1:14">
      <c r="A7" s="119" t="s">
        <v>142</v>
      </c>
      <c r="B7" s="119"/>
      <c r="C7" s="120">
        <v>0.01</v>
      </c>
      <c r="E7" s="115"/>
    </row>
    <row r="8" spans="1:14">
      <c r="A8" s="119"/>
      <c r="B8" s="119"/>
      <c r="C8" s="119"/>
    </row>
    <row r="9" spans="1:14">
      <c r="A9" s="192" t="str">
        <f>Historical!A11</f>
        <v>Current Assets:</v>
      </c>
      <c r="B9" s="119"/>
      <c r="C9" s="120"/>
      <c r="D9" s="126"/>
      <c r="E9" s="133"/>
      <c r="M9" s="130"/>
    </row>
    <row r="10" spans="1:14">
      <c r="A10" s="52" t="str">
        <f>Historical!A12</f>
        <v>Cash &amp; Equivalents</v>
      </c>
      <c r="B10" s="119"/>
      <c r="C10" s="120">
        <f>L10</f>
        <v>1.6386726751331421E-2</v>
      </c>
      <c r="D10" s="125" t="s">
        <v>182</v>
      </c>
      <c r="E10" s="295" t="s">
        <v>230</v>
      </c>
      <c r="F10" s="55"/>
      <c r="G10" s="55">
        <f>Historical!I12/Historical!I76</f>
        <v>5.3546265852512917E-2</v>
      </c>
      <c r="H10" s="55">
        <f>Historical!J12/Historical!J76</f>
        <v>1.3116940862605602E-2</v>
      </c>
      <c r="I10" s="55">
        <f>Historical!K12/Historical!K76</f>
        <v>2.6250841373120934E-2</v>
      </c>
      <c r="J10" s="55">
        <f>Historical!L12/Historical!L76</f>
        <v>6.994584837545126E-3</v>
      </c>
      <c r="K10" s="55">
        <f>Historical!M12/Historical!M76</f>
        <v>1.0248582642825993E-2</v>
      </c>
      <c r="L10" s="55">
        <f>Historical!N12/Historical!N76</f>
        <v>1.6386726751331421E-2</v>
      </c>
      <c r="M10" s="55">
        <f>AVERAGE(H10:L10)</f>
        <v>1.4599535293485816E-2</v>
      </c>
      <c r="N10" s="55"/>
    </row>
    <row r="11" spans="1:14">
      <c r="A11" s="52" t="s">
        <v>137</v>
      </c>
      <c r="B11" s="119"/>
      <c r="C11" s="120"/>
      <c r="D11" s="269" t="s">
        <v>180</v>
      </c>
      <c r="E11" s="126"/>
    </row>
    <row r="12" spans="1:14">
      <c r="A12" s="52" t="str">
        <f>Historical!A13</f>
        <v>Accounts Receivable</v>
      </c>
      <c r="B12" s="119"/>
      <c r="C12" s="120">
        <f>M12</f>
        <v>0.13878753494899559</v>
      </c>
      <c r="D12" s="293" t="s">
        <v>219</v>
      </c>
      <c r="E12" s="116" t="s">
        <v>215</v>
      </c>
      <c r="F12" s="120"/>
      <c r="G12" s="120">
        <f>Historical!I13/Historical!I76</f>
        <v>0.13691874119304839</v>
      </c>
      <c r="H12" s="120">
        <f>Historical!J13/Historical!J76</f>
        <v>0.13539350822587817</v>
      </c>
      <c r="I12" s="120">
        <f>Historical!K13/Historical!K76</f>
        <v>0.13888265649540049</v>
      </c>
      <c r="J12" s="120">
        <f>Historical!L13/Historical!L76</f>
        <v>0.14169675090252706</v>
      </c>
      <c r="K12" s="120">
        <f>Historical!M13/Historical!M76</f>
        <v>0.14238988225032709</v>
      </c>
      <c r="L12" s="120">
        <f>Historical!N13/Historical!N76</f>
        <v>0.1374436706267923</v>
      </c>
      <c r="M12" s="55">
        <f>AVERAGE(G12:L12)</f>
        <v>0.13878753494899559</v>
      </c>
      <c r="N12" s="55"/>
    </row>
    <row r="13" spans="1:14">
      <c r="A13" s="52" t="str">
        <f>Historical!A14</f>
        <v>Material, Supplies, Fuel</v>
      </c>
      <c r="B13" s="119"/>
      <c r="C13" s="120">
        <f>C60</f>
        <v>2.7728555506615498E-2</v>
      </c>
      <c r="D13" s="125" t="s">
        <v>195</v>
      </c>
      <c r="E13" s="117"/>
      <c r="F13" s="84"/>
      <c r="G13" s="84"/>
      <c r="H13" s="84"/>
      <c r="I13" s="84"/>
      <c r="J13" s="84"/>
      <c r="K13" s="113"/>
      <c r="L13" s="113"/>
      <c r="M13" s="112"/>
    </row>
    <row r="14" spans="1:14">
      <c r="A14" s="52" t="str">
        <f>Historical!A15</f>
        <v>Other Current Assets</v>
      </c>
      <c r="B14" s="119"/>
      <c r="C14" s="120">
        <f>AVERAGE(K14:L14)</f>
        <v>1.402141482149085E-2</v>
      </c>
      <c r="D14" s="291" t="s">
        <v>224</v>
      </c>
      <c r="E14" s="294" t="s">
        <v>223</v>
      </c>
      <c r="F14" s="55"/>
      <c r="G14" s="55">
        <f>Historical!Z15</f>
        <v>2.5021801838062654E-2</v>
      </c>
      <c r="H14" s="55">
        <f>Historical!AA15</f>
        <v>2.1494728257703734E-2</v>
      </c>
      <c r="I14" s="55">
        <f>Historical!AB15</f>
        <v>2.4095750289992619E-2</v>
      </c>
      <c r="J14" s="55">
        <f>Historical!AC15</f>
        <v>3.2860121115854263E-2</v>
      </c>
      <c r="K14" s="55">
        <f>Historical!AD15</f>
        <v>1.6582962190846207E-2</v>
      </c>
      <c r="L14" s="55">
        <f>Historical!AE15</f>
        <v>1.1459867452135493E-2</v>
      </c>
      <c r="M14" s="55">
        <f>AVERAGE(G14:L14)</f>
        <v>2.1919205190765827E-2</v>
      </c>
      <c r="N14" s="101"/>
    </row>
    <row r="15" spans="1:14">
      <c r="A15" s="52" t="str">
        <f>Historical!A16</f>
        <v>Total Current Assets</v>
      </c>
      <c r="B15" s="119"/>
      <c r="C15" s="120"/>
      <c r="D15" s="269" t="s">
        <v>180</v>
      </c>
      <c r="E15" s="116"/>
      <c r="F15" s="55"/>
      <c r="G15" s="55"/>
      <c r="H15" s="55"/>
      <c r="I15" s="55"/>
      <c r="J15" s="55"/>
      <c r="K15" s="55"/>
      <c r="L15" s="55"/>
      <c r="M15" s="55"/>
    </row>
    <row r="16" spans="1:14">
      <c r="B16" s="119"/>
      <c r="C16" s="120"/>
    </row>
    <row r="17" spans="1:53">
      <c r="A17" s="192" t="str">
        <f>Historical!A18</f>
        <v>Plant &amp; Equipment:</v>
      </c>
      <c r="B17" s="119"/>
      <c r="C17" s="119"/>
    </row>
    <row r="18" spans="1:53" ht="25.5">
      <c r="A18" s="52" t="str">
        <f>Historical!A19</f>
        <v>Plant in Service</v>
      </c>
      <c r="B18" s="119"/>
      <c r="C18" s="120">
        <f>C60</f>
        <v>2.7728555506615498E-2</v>
      </c>
      <c r="D18" s="293" t="s">
        <v>238</v>
      </c>
    </row>
    <row r="19" spans="1:53" s="307" customFormat="1" ht="12.75" customHeight="1">
      <c r="A19" s="114" t="str">
        <f>Historical!A20</f>
        <v>Construction Work in Progress</v>
      </c>
      <c r="B19" s="125"/>
      <c r="C19" s="304">
        <v>1100</v>
      </c>
      <c r="D19" s="293" t="s">
        <v>241</v>
      </c>
      <c r="E19" s="295" t="s">
        <v>235</v>
      </c>
      <c r="F19" s="305"/>
      <c r="G19" s="305"/>
      <c r="H19" s="305"/>
      <c r="I19" s="305"/>
      <c r="J19" s="305"/>
      <c r="K19" s="306"/>
      <c r="L19" s="306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</row>
    <row r="20" spans="1:53" ht="24" hidden="1" customHeight="1">
      <c r="A20" s="52" t="str">
        <f>Historical!A21</f>
        <v>Australian Electric Operations</v>
      </c>
      <c r="B20" s="119"/>
      <c r="C20" s="122">
        <v>0</v>
      </c>
      <c r="D20" s="126"/>
      <c r="F20" s="55"/>
      <c r="G20" s="55"/>
      <c r="H20" s="55"/>
      <c r="I20" s="55"/>
      <c r="J20" s="55"/>
      <c r="K20" s="55"/>
      <c r="L20" s="55"/>
      <c r="M20" s="55"/>
      <c r="N20" s="55"/>
    </row>
    <row r="21" spans="1:53" hidden="1">
      <c r="A21" s="52" t="str">
        <f>Historical!A22</f>
        <v>Other PP&amp;E</v>
      </c>
      <c r="B21" s="119"/>
      <c r="C21" s="122">
        <v>0</v>
      </c>
    </row>
    <row r="22" spans="1:53">
      <c r="A22" s="52" t="str">
        <f>Historical!A23</f>
        <v>Total Plant &amp; Equipment:</v>
      </c>
      <c r="B22" s="119"/>
      <c r="C22" s="119"/>
      <c r="D22" s="269" t="s">
        <v>180</v>
      </c>
    </row>
    <row r="23" spans="1:53">
      <c r="A23" s="119" t="str">
        <f>Historical!A25</f>
        <v>Accumulated Depreciation &amp; Amort.</v>
      </c>
      <c r="B23" s="119"/>
      <c r="C23" s="120">
        <f>M23</f>
        <v>0.31985948285779559</v>
      </c>
      <c r="D23" s="293" t="s">
        <v>240</v>
      </c>
      <c r="E23" s="293" t="s">
        <v>239</v>
      </c>
      <c r="F23" s="55"/>
      <c r="G23" s="55">
        <f>Historical!I25/Historical!I19</f>
        <v>0.35999764899494535</v>
      </c>
      <c r="H23" s="55">
        <f>Historical!J25/Historical!J19</f>
        <v>0.33237989300280735</v>
      </c>
      <c r="I23" s="55">
        <f>Historical!K25/Historical!K19</f>
        <v>0.32577471716674866</v>
      </c>
      <c r="J23" s="55">
        <f>Historical!L25/Historical!L19</f>
        <v>0.30162476173186892</v>
      </c>
      <c r="K23" s="55">
        <f>Historical!M25/Historical!M19</f>
        <v>0.29876382563435261</v>
      </c>
      <c r="L23" s="55">
        <f>Historical!N25/Historical!N19</f>
        <v>0.30061605061605062</v>
      </c>
      <c r="M23" s="55">
        <f>AVERAGE(G23:L23)</f>
        <v>0.31985948285779559</v>
      </c>
    </row>
    <row r="24" spans="1:53">
      <c r="A24" s="52" t="str">
        <f>Historical!A27</f>
        <v>Net Plant &amp; Equipment</v>
      </c>
      <c r="B24" s="119"/>
      <c r="C24" s="120"/>
      <c r="D24" s="269" t="s">
        <v>180</v>
      </c>
      <c r="E24" s="116"/>
    </row>
    <row r="25" spans="1:53">
      <c r="B25" s="119"/>
      <c r="C25" s="120"/>
      <c r="D25" s="269"/>
      <c r="E25" s="116"/>
    </row>
    <row r="26" spans="1:53">
      <c r="A26" s="192" t="str">
        <f>Historical!A29</f>
        <v>Other Assets:</v>
      </c>
      <c r="B26" s="119"/>
      <c r="C26" s="119"/>
    </row>
    <row r="27" spans="1:53">
      <c r="A27" s="52" t="str">
        <f>Historical!A30</f>
        <v>Regulatory Assets</v>
      </c>
      <c r="B27" s="119"/>
      <c r="C27" s="57">
        <f>C60</f>
        <v>2.7728555506615498E-2</v>
      </c>
      <c r="D27" s="293" t="s">
        <v>216</v>
      </c>
      <c r="F27" s="55"/>
    </row>
    <row r="28" spans="1:53" hidden="1">
      <c r="A28" s="52" t="str">
        <f>Historical!A31</f>
        <v>Intangible Assets-net</v>
      </c>
      <c r="B28" s="119"/>
      <c r="C28" s="119"/>
      <c r="F28" s="84"/>
      <c r="G28" s="84"/>
      <c r="H28" s="84"/>
      <c r="I28" s="84"/>
      <c r="J28" s="84"/>
      <c r="K28" s="84"/>
      <c r="L28" s="84"/>
    </row>
    <row r="29" spans="1:53" ht="12" customHeight="1">
      <c r="A29" s="52" t="str">
        <f>Historical!A32</f>
        <v>Financial Assets/Derivatives</v>
      </c>
      <c r="B29" s="119"/>
      <c r="C29" s="120">
        <v>1E-4</v>
      </c>
      <c r="D29" s="125" t="s">
        <v>179</v>
      </c>
      <c r="E29" s="294"/>
      <c r="F29" s="55"/>
      <c r="G29" s="55">
        <f>Historical!Z32</f>
        <v>1.4422754410679547E-2</v>
      </c>
      <c r="H29" s="55">
        <f>Historical!AA32</f>
        <v>5.0096114638550704E-3</v>
      </c>
      <c r="I29" s="55">
        <f>Historical!AB32</f>
        <v>2.2672150163450385E-3</v>
      </c>
      <c r="J29" s="55">
        <f>Historical!AC32</f>
        <v>4.4673880671100964E-4</v>
      </c>
      <c r="K29" s="55">
        <f>Historical!AD32</f>
        <v>1.895195678953852E-4</v>
      </c>
      <c r="L29" s="55">
        <f>Historical!AE32</f>
        <v>4.6023564064801177E-5</v>
      </c>
      <c r="M29" s="55">
        <f>AVERAGE(G29:L29)</f>
        <v>3.7303104715918091E-3</v>
      </c>
    </row>
    <row r="30" spans="1:53" hidden="1">
      <c r="A30" s="52" t="str">
        <f>Historical!A33</f>
        <v>Investments in Affiliates</v>
      </c>
      <c r="B30" s="119"/>
      <c r="C30" s="120"/>
      <c r="D30" s="125" t="s">
        <v>179</v>
      </c>
      <c r="E30" s="116"/>
      <c r="F30" s="55"/>
      <c r="G30" s="55"/>
      <c r="H30" s="55"/>
      <c r="I30" s="55"/>
      <c r="J30" s="55"/>
      <c r="K30" s="55"/>
      <c r="L30" s="55"/>
      <c r="M30" s="55" t="e">
        <f t="shared" ref="M30:M31" si="0">AVERAGE(G30:L30)</f>
        <v>#DIV/0!</v>
      </c>
    </row>
    <row r="31" spans="1:53">
      <c r="A31" s="52" t="str">
        <f>Historical!A34</f>
        <v>Deferred Charges and Other</v>
      </c>
      <c r="B31" s="119"/>
      <c r="C31" s="120">
        <f>M31</f>
        <v>1.7999312535043357E-2</v>
      </c>
      <c r="D31" s="125" t="s">
        <v>179</v>
      </c>
      <c r="E31" s="295" t="s">
        <v>217</v>
      </c>
      <c r="G31" s="55">
        <f>Historical!Z34</f>
        <v>1.8514791708593277E-2</v>
      </c>
      <c r="H31" s="55">
        <f>Historical!AA34</f>
        <v>1.4970583095473874E-2</v>
      </c>
      <c r="I31" s="55">
        <f>Historical!AB34</f>
        <v>1.4499630918485711E-2</v>
      </c>
      <c r="J31" s="55">
        <f>Historical!AC34</f>
        <v>1.9656507495284425E-2</v>
      </c>
      <c r="K31" s="55">
        <f>Historical!AD34</f>
        <v>2.0610253008623139E-2</v>
      </c>
      <c r="L31" s="55">
        <f>Historical!AE34</f>
        <v>1.9744108983799705E-2</v>
      </c>
      <c r="M31" s="55">
        <f t="shared" si="0"/>
        <v>1.7999312535043357E-2</v>
      </c>
      <c r="O31"/>
    </row>
    <row r="32" spans="1:53">
      <c r="A32" s="52" t="str">
        <f>Historical!A35</f>
        <v>Total Other Assets</v>
      </c>
      <c r="B32" s="119"/>
      <c r="C32" s="120"/>
      <c r="D32" s="269" t="s">
        <v>180</v>
      </c>
      <c r="E32" s="116"/>
      <c r="K32"/>
      <c r="L32"/>
    </row>
    <row r="33" spans="1:14">
      <c r="A33" s="52" t="str">
        <f>Historical!A36</f>
        <v>Total Non-Current Assets</v>
      </c>
      <c r="B33" s="119"/>
      <c r="C33" s="119"/>
      <c r="D33" s="269" t="s">
        <v>180</v>
      </c>
      <c r="F33" s="84"/>
      <c r="G33" s="84"/>
      <c r="H33" s="84"/>
      <c r="I33" s="84"/>
      <c r="J33" s="84"/>
      <c r="K33" s="84"/>
      <c r="L33" s="84"/>
      <c r="M33" s="132"/>
    </row>
    <row r="34" spans="1:14">
      <c r="A34" s="192" t="str">
        <f>Historical!A37</f>
        <v>Total Assets</v>
      </c>
      <c r="B34" s="119"/>
      <c r="C34" s="119"/>
      <c r="D34" s="269" t="s">
        <v>180</v>
      </c>
      <c r="E34" s="116"/>
      <c r="F34" s="119"/>
      <c r="G34" s="119"/>
      <c r="H34" s="119"/>
      <c r="I34" s="119"/>
      <c r="J34" s="119"/>
      <c r="K34" s="119"/>
      <c r="L34" s="119"/>
      <c r="M34" s="119"/>
      <c r="N34" s="120"/>
    </row>
    <row r="35" spans="1:14">
      <c r="B35" s="119"/>
      <c r="C35" s="119"/>
      <c r="D35" s="126"/>
      <c r="E35" s="116"/>
      <c r="F35" s="119"/>
      <c r="G35" s="119"/>
      <c r="H35" s="119"/>
      <c r="I35" s="119"/>
      <c r="J35" s="119"/>
      <c r="K35" s="119"/>
      <c r="L35" s="119"/>
      <c r="M35" s="119"/>
      <c r="N35" s="120"/>
    </row>
    <row r="36" spans="1:14">
      <c r="A36" s="52" t="str">
        <f>Historical!A40</f>
        <v>Current Liabilities:</v>
      </c>
      <c r="B36" s="119"/>
      <c r="C36" s="120"/>
      <c r="E36" s="116"/>
      <c r="F36" s="84"/>
      <c r="G36" s="84">
        <f t="shared" ref="G36:M36" si="1">G4</f>
        <v>2007</v>
      </c>
      <c r="H36" s="84">
        <f t="shared" si="1"/>
        <v>2008</v>
      </c>
      <c r="I36" s="84">
        <f t="shared" si="1"/>
        <v>2009</v>
      </c>
      <c r="J36" s="84">
        <f t="shared" si="1"/>
        <v>2010</v>
      </c>
      <c r="K36" s="84">
        <f t="shared" si="1"/>
        <v>2011</v>
      </c>
      <c r="L36" s="84">
        <f t="shared" ref="L36" si="2">L4</f>
        <v>2012</v>
      </c>
      <c r="M36" s="113" t="str">
        <f t="shared" si="1"/>
        <v xml:space="preserve">average </v>
      </c>
    </row>
    <row r="37" spans="1:14">
      <c r="A37" s="52" t="str">
        <f>Historical!A41</f>
        <v>Current Maturities LTD</v>
      </c>
      <c r="B37" s="119"/>
      <c r="C37" s="120">
        <f>M37</f>
        <v>4.3477164070266305E-2</v>
      </c>
      <c r="D37" s="125" t="s">
        <v>183</v>
      </c>
      <c r="F37" s="55"/>
      <c r="G37" s="55">
        <f>Historical!I41/(Historical!I49)</f>
        <v>8.7102882390069428E-2</v>
      </c>
      <c r="H37" s="55">
        <f>Historical!J41/(Historical!J49)</f>
        <v>2.6548672566371681E-2</v>
      </c>
      <c r="I37" s="55">
        <f>Historical!K41/(Historical!K49)</f>
        <v>2.5000000000000001E-3</v>
      </c>
      <c r="J37" s="55">
        <f>Historical!L41/(Historical!L49)</f>
        <v>0.10115258902460003</v>
      </c>
      <c r="K37" s="55">
        <f>Historical!M41/(Historical!M49)</f>
        <v>3.0674846625766872E-3</v>
      </c>
      <c r="L37" s="55">
        <f>Historical!N41/(Historical!N49)</f>
        <v>4.0491355777979979E-2</v>
      </c>
      <c r="M37" s="55">
        <f>AVERAGE(G37:L37)</f>
        <v>4.3477164070266305E-2</v>
      </c>
    </row>
    <row r="38" spans="1:14">
      <c r="A38" s="52" t="str">
        <f>Historical!A42</f>
        <v>Short-term Debt</v>
      </c>
      <c r="B38" s="119"/>
      <c r="C38" s="120"/>
      <c r="D38" s="293" t="s">
        <v>220</v>
      </c>
      <c r="E38" s="295" t="s">
        <v>221</v>
      </c>
      <c r="M38" s="55"/>
    </row>
    <row r="39" spans="1:14">
      <c r="A39" s="52" t="str">
        <f>Historical!A43</f>
        <v>Accounts Payable</v>
      </c>
      <c r="B39" s="123"/>
      <c r="C39" s="120">
        <f>AVERAGE(J39:L39)</f>
        <v>0.11021437185019382</v>
      </c>
      <c r="D39" s="293" t="s">
        <v>219</v>
      </c>
      <c r="E39" s="292" t="s">
        <v>218</v>
      </c>
      <c r="F39" s="55"/>
      <c r="G39" s="55">
        <f>Historical!I43/Historical!I76</f>
        <v>0.10591827148896195</v>
      </c>
      <c r="H39" s="55">
        <f>Historical!J43/Historical!J76</f>
        <v>0.16829702089817697</v>
      </c>
      <c r="I39" s="55">
        <f>Historical!K43/Historical!K76</f>
        <v>0.1240744895669733</v>
      </c>
      <c r="J39" s="55">
        <f>Historical!L43/Historical!L76</f>
        <v>0.10807761732851985</v>
      </c>
      <c r="K39" s="55">
        <f>Historical!M43/Historical!M76</f>
        <v>0.12690798081116442</v>
      </c>
      <c r="L39" s="55">
        <f>Historical!N43/Historical!N76</f>
        <v>9.5657517410897175E-2</v>
      </c>
      <c r="M39" s="55">
        <f>AVERAGE(G39:L39)</f>
        <v>0.12148881625078227</v>
      </c>
    </row>
    <row r="40" spans="1:14">
      <c r="A40" s="52" t="str">
        <f>Historical!A44</f>
        <v>Accrued Expenses</v>
      </c>
      <c r="B40" s="123"/>
      <c r="C40" s="120">
        <f>M40</f>
        <v>1.2479083452713471E-2</v>
      </c>
      <c r="D40" s="293" t="s">
        <v>226</v>
      </c>
      <c r="E40" s="292" t="s">
        <v>215</v>
      </c>
      <c r="F40" s="55"/>
      <c r="G40" s="55">
        <f>Historical!I44/Historical!I$37</f>
        <v>1.2209029315086871E-2</v>
      </c>
      <c r="H40" s="55">
        <f>Historical!J44/Historical!J$37</f>
        <v>1.3922059765829789E-2</v>
      </c>
      <c r="I40" s="55">
        <f>Historical!K44/Historical!K$37</f>
        <v>1.3392386375619529E-2</v>
      </c>
      <c r="J40" s="55">
        <f>Historical!L44/Historical!L$37</f>
        <v>1.2607961878288493E-2</v>
      </c>
      <c r="K40" s="55">
        <f>Historical!M44/Historical!M$37</f>
        <v>1.1513313749644651E-2</v>
      </c>
      <c r="L40" s="55">
        <f>Historical!N44/Historical!N$37</f>
        <v>1.1229749631811487E-2</v>
      </c>
      <c r="M40" s="55">
        <f>AVERAGE(G40:L40)</f>
        <v>1.2479083452713471E-2</v>
      </c>
    </row>
    <row r="41" spans="1:14">
      <c r="A41" s="52" t="str">
        <f>Historical!A45</f>
        <v>Derivative Contacts</v>
      </c>
      <c r="B41" s="123"/>
      <c r="C41" s="120">
        <f>L41</f>
        <v>1.0036870135190496E-2</v>
      </c>
      <c r="D41" s="293" t="s">
        <v>219</v>
      </c>
      <c r="E41" s="115" t="s">
        <v>222</v>
      </c>
      <c r="F41" s="55"/>
      <c r="G41" s="55">
        <f>Historical!I45/Historical!I76</f>
        <v>2.7477689055894785E-2</v>
      </c>
      <c r="H41" s="55">
        <f>Historical!J45/Historical!J76</f>
        <v>2.8901734104046242E-2</v>
      </c>
      <c r="I41" s="55">
        <f>Historical!K45/Historical!K76</f>
        <v>1.9071124074489566E-2</v>
      </c>
      <c r="J41" s="55">
        <f>Historical!L45/Historical!L76</f>
        <v>1.895306859205776E-2</v>
      </c>
      <c r="K41" s="55">
        <f>Historical!M45/Historical!M76</f>
        <v>1.9624945486262538E-2</v>
      </c>
      <c r="L41" s="55">
        <f>Historical!N45/Historical!N76</f>
        <v>1.0036870135190496E-2</v>
      </c>
      <c r="M41" s="55">
        <f>AVERAGE(G41:L41)</f>
        <v>2.067757190799023E-2</v>
      </c>
    </row>
    <row r="42" spans="1:14">
      <c r="A42" s="52" t="str">
        <f>Historical!A46</f>
        <v xml:space="preserve">Other </v>
      </c>
      <c r="B42" s="123"/>
      <c r="C42" s="120">
        <f>Historical!AG46</f>
        <v>8.2003157340817395E-3</v>
      </c>
      <c r="D42" s="125" t="s">
        <v>136</v>
      </c>
      <c r="E42" s="292" t="s">
        <v>215</v>
      </c>
      <c r="G42" s="55">
        <f>Historical!Z46</f>
        <v>9.9953042194941971E-3</v>
      </c>
      <c r="H42" s="55">
        <f>Historical!AA46</f>
        <v>6.4658938661385215E-3</v>
      </c>
      <c r="I42" s="55">
        <f>Historical!AB46</f>
        <v>5.5362227143309082E-3</v>
      </c>
      <c r="J42" s="55">
        <f>Historical!AC46</f>
        <v>6.0061550680035741E-3</v>
      </c>
      <c r="K42" s="55">
        <f>Historical!AD46</f>
        <v>9.0969392589784898E-3</v>
      </c>
      <c r="L42" s="55">
        <f>Historical!AE46</f>
        <v>1.1828055964653902E-2</v>
      </c>
      <c r="M42" s="55">
        <f>AVERAGE(G42:L42)</f>
        <v>8.1547618485999316E-3</v>
      </c>
    </row>
    <row r="43" spans="1:14">
      <c r="A43" s="192" t="str">
        <f>Historical!A47</f>
        <v>Total Current Liabilities</v>
      </c>
      <c r="B43" s="123"/>
      <c r="C43" s="120"/>
      <c r="D43" s="269" t="s">
        <v>180</v>
      </c>
      <c r="E43" s="115"/>
      <c r="F43" s="84"/>
      <c r="G43" s="84"/>
      <c r="H43" s="84"/>
      <c r="I43" s="84"/>
      <c r="J43" s="84"/>
    </row>
    <row r="44" spans="1:14">
      <c r="B44" s="123"/>
      <c r="C44" s="120"/>
      <c r="F44" s="84"/>
      <c r="G44" s="84">
        <f t="shared" ref="G44:L44" si="3">G36</f>
        <v>2007</v>
      </c>
      <c r="H44" s="84">
        <f t="shared" si="3"/>
        <v>2008</v>
      </c>
      <c r="I44" s="84">
        <f t="shared" si="3"/>
        <v>2009</v>
      </c>
      <c r="J44" s="84">
        <f t="shared" si="3"/>
        <v>2010</v>
      </c>
      <c r="K44" s="84">
        <f t="shared" si="3"/>
        <v>2011</v>
      </c>
      <c r="L44" s="84">
        <f t="shared" si="3"/>
        <v>2012</v>
      </c>
    </row>
    <row r="45" spans="1:14" ht="25.5">
      <c r="A45" s="192" t="str">
        <f>Historical!A49</f>
        <v>Long-Term Debt</v>
      </c>
      <c r="B45" s="123"/>
      <c r="C45" s="120"/>
      <c r="D45" s="125" t="s">
        <v>194</v>
      </c>
      <c r="F45" s="55"/>
      <c r="G45" s="55">
        <f>Historical!I49/Historical!I27</f>
        <v>0.40113089712212002</v>
      </c>
      <c r="H45" s="55">
        <f>Historical!J49/Historical!J27</f>
        <v>0.3923611111111111</v>
      </c>
      <c r="I45" s="55">
        <f>Historical!K49/Historical!K27</f>
        <v>0.41191993306301089</v>
      </c>
      <c r="J45" s="55">
        <f>Historical!L49/Historical!L27</f>
        <v>0.35462420693020985</v>
      </c>
      <c r="K45" s="55">
        <f>Historical!M49/Historical!M27</f>
        <v>0.35650972717854262</v>
      </c>
      <c r="L45" s="55">
        <f>Historical!N49/Historical!N27</f>
        <v>0.36517693969097859</v>
      </c>
      <c r="M45" s="55">
        <f>AVERAGE(F45:L45)</f>
        <v>0.38028713584932888</v>
      </c>
    </row>
    <row r="46" spans="1:14">
      <c r="A46" s="52" t="str">
        <f>Historical!A50</f>
        <v>Deferred Income Taxes</v>
      </c>
      <c r="B46" s="123"/>
      <c r="C46" s="287">
        <v>500</v>
      </c>
      <c r="D46" s="296" t="s">
        <v>225</v>
      </c>
      <c r="E46" s="295" t="s">
        <v>215</v>
      </c>
      <c r="F46" s="84"/>
      <c r="G46" s="84"/>
      <c r="H46" s="52">
        <f>Historical!J50-Historical!I50</f>
        <v>324</v>
      </c>
      <c r="I46" s="52">
        <f>Historical!K50-Historical!J50</f>
        <v>600</v>
      </c>
      <c r="J46" s="52">
        <f>Historical!L50-Historical!K50</f>
        <v>823</v>
      </c>
      <c r="K46" s="52">
        <f>Historical!M50-Historical!L50</f>
        <v>415</v>
      </c>
      <c r="L46" s="52">
        <f>Historical!N50-Historical!M50</f>
        <v>305</v>
      </c>
      <c r="M46" s="52">
        <f>AVERAGE(H46:L46)</f>
        <v>493.4</v>
      </c>
    </row>
    <row r="47" spans="1:14">
      <c r="A47" s="52" t="str">
        <f>Historical!A51</f>
        <v>Derivative Contracts</v>
      </c>
      <c r="B47" s="123"/>
      <c r="C47" s="120">
        <v>2.7E-2</v>
      </c>
      <c r="D47" s="293" t="s">
        <v>227</v>
      </c>
      <c r="E47" s="115" t="s">
        <v>222</v>
      </c>
      <c r="F47" s="55"/>
      <c r="G47" s="55">
        <f>Historical!I45/Historical!I79</f>
        <v>6.6176470588235295E-2</v>
      </c>
      <c r="H47" s="55">
        <f>Historical!J45/Historical!J79</f>
        <v>6.642820643842616E-2</v>
      </c>
      <c r="I47" s="55">
        <f>Historical!K45/Historical!K79</f>
        <v>5.0685748360166961E-2</v>
      </c>
      <c r="J47" s="55">
        <f>Historical!L45/Historical!L79</f>
        <v>5.19159456118665E-2</v>
      </c>
      <c r="K47" s="55">
        <f>Historical!M45/Historical!M79</f>
        <v>5.5012224938875302E-2</v>
      </c>
      <c r="L47" s="55">
        <f>Historical!N45/Historical!N79</f>
        <v>2.6952695269526952E-2</v>
      </c>
      <c r="M47" s="55">
        <f>AVERAGE(K47:L47)</f>
        <v>4.0982460104201125E-2</v>
      </c>
    </row>
    <row r="48" spans="1:14">
      <c r="A48" s="52" t="str">
        <f>Historical!A52</f>
        <v>Other Long-term Liabilities</v>
      </c>
      <c r="B48" s="123"/>
      <c r="C48" s="120">
        <f>Historical!P52/2</f>
        <v>2.5900766755677242E-2</v>
      </c>
      <c r="D48" s="296" t="s">
        <v>228</v>
      </c>
      <c r="E48" s="116"/>
    </row>
    <row r="49" spans="1:16">
      <c r="A49" s="52" t="str">
        <f>Historical!A53</f>
        <v>Total LTD &amp; Deferrals</v>
      </c>
      <c r="B49" s="123"/>
      <c r="C49" s="119"/>
      <c r="D49" s="269" t="s">
        <v>180</v>
      </c>
    </row>
    <row r="50" spans="1:16">
      <c r="A50" s="52" t="str">
        <f>Historical!A55</f>
        <v>Total Liabilities</v>
      </c>
      <c r="B50" s="119"/>
      <c r="C50" s="120"/>
      <c r="D50" s="269" t="s">
        <v>180</v>
      </c>
    </row>
    <row r="51" spans="1:16">
      <c r="B51" s="123"/>
      <c r="C51" s="119"/>
      <c r="D51" s="127"/>
    </row>
    <row r="52" spans="1:16" ht="25.5">
      <c r="A52" s="52" t="str">
        <f>Historical!A57</f>
        <v>Preferred Stock</v>
      </c>
      <c r="B52" s="119"/>
      <c r="C52" s="119">
        <v>37</v>
      </c>
      <c r="D52" s="291" t="s">
        <v>242</v>
      </c>
      <c r="E52" s="126"/>
    </row>
    <row r="53" spans="1:16">
      <c r="B53" s="119"/>
      <c r="C53" s="120"/>
      <c r="D53" s="269"/>
    </row>
    <row r="54" spans="1:16">
      <c r="A54" s="192" t="str">
        <f>Historical!A59</f>
        <v>Common Equity:</v>
      </c>
      <c r="B54" s="119"/>
      <c r="C54" s="119"/>
      <c r="D54" s="269"/>
    </row>
    <row r="55" spans="1:16">
      <c r="A55" s="52" t="str">
        <f>Historical!A60</f>
        <v>Common Stock</v>
      </c>
      <c r="B55" s="119"/>
      <c r="C55" s="120"/>
      <c r="D55" s="269" t="s">
        <v>185</v>
      </c>
      <c r="E55" s="118"/>
    </row>
    <row r="56" spans="1:16">
      <c r="A56" s="52" t="str">
        <f>Historical!A61</f>
        <v>Retained Earnings</v>
      </c>
      <c r="B56" s="119"/>
      <c r="C56" s="120"/>
      <c r="D56" s="269" t="s">
        <v>180</v>
      </c>
    </row>
    <row r="57" spans="1:16">
      <c r="A57" s="192" t="str">
        <f>Historical!A62</f>
        <v>Total Common Equity</v>
      </c>
      <c r="B57" s="119"/>
      <c r="C57" s="124"/>
      <c r="D57" s="269" t="s">
        <v>180</v>
      </c>
      <c r="E57" s="116"/>
    </row>
    <row r="58" spans="1:16">
      <c r="A58" s="192" t="str">
        <f>Historical!A63</f>
        <v>Total Liabilities &amp; Equity</v>
      </c>
      <c r="B58" s="119"/>
      <c r="C58" s="120"/>
      <c r="D58" s="269" t="s">
        <v>180</v>
      </c>
    </row>
    <row r="59" spans="1:16">
      <c r="B59" s="119"/>
      <c r="C59" s="120"/>
      <c r="D59" s="128"/>
    </row>
    <row r="60" spans="1:16">
      <c r="A60" s="52" t="str">
        <f>Historical!A75</f>
        <v>Revenues</v>
      </c>
      <c r="B60" s="55"/>
      <c r="C60" s="55">
        <f>Historical!P75</f>
        <v>2.7728555506615498E-2</v>
      </c>
      <c r="D60" s="293" t="s">
        <v>229</v>
      </c>
      <c r="E60" s="295"/>
    </row>
    <row r="61" spans="1:16">
      <c r="A61" s="192" t="str">
        <f>Historical!A76</f>
        <v>Total Revenues</v>
      </c>
      <c r="B61" s="55"/>
      <c r="C61" s="55"/>
      <c r="D61" s="269" t="s">
        <v>180</v>
      </c>
    </row>
    <row r="62" spans="1:16">
      <c r="B62" s="55"/>
      <c r="C62" s="55"/>
    </row>
    <row r="63" spans="1:16">
      <c r="A63" s="192" t="str">
        <f>Historical!A78</f>
        <v>Operating Expenses:</v>
      </c>
      <c r="B63" s="55"/>
      <c r="C63" s="55"/>
    </row>
    <row r="64" spans="1:16">
      <c r="A64" s="52" t="str">
        <f>Historical!A79</f>
        <v>Energy Costs</v>
      </c>
      <c r="B64" s="55"/>
      <c r="C64" s="55">
        <f>+C4</f>
        <v>2.5000000000000001E-2</v>
      </c>
      <c r="D64" s="293" t="s">
        <v>212</v>
      </c>
      <c r="F64" s="84"/>
      <c r="G64" s="84">
        <f t="shared" ref="G64:L64" si="4">G44</f>
        <v>2007</v>
      </c>
      <c r="H64" s="84">
        <f t="shared" si="4"/>
        <v>2008</v>
      </c>
      <c r="I64" s="84">
        <f t="shared" si="4"/>
        <v>2009</v>
      </c>
      <c r="J64" s="84">
        <f t="shared" si="4"/>
        <v>2010</v>
      </c>
      <c r="K64" s="84">
        <f t="shared" si="4"/>
        <v>2011</v>
      </c>
      <c r="L64" s="84">
        <f t="shared" si="4"/>
        <v>2012</v>
      </c>
      <c r="M64" s="302" t="s">
        <v>3</v>
      </c>
      <c r="N64" s="84"/>
      <c r="O64" s="84"/>
      <c r="P64" s="84"/>
    </row>
    <row r="65" spans="1:13">
      <c r="A65" s="52" t="str">
        <f>Historical!A80</f>
        <v>Other operations and maintenance</v>
      </c>
      <c r="B65" s="55"/>
      <c r="C65" s="55">
        <f>C60</f>
        <v>2.7728555506615498E-2</v>
      </c>
      <c r="D65" s="125" t="s">
        <v>211</v>
      </c>
    </row>
    <row r="66" spans="1:13">
      <c r="A66" s="52" t="str">
        <f>Historical!A81</f>
        <v>Depreciation and amortization</v>
      </c>
      <c r="B66" s="55"/>
      <c r="C66" s="55">
        <f>M66</f>
        <v>2.6795491848436066E-2</v>
      </c>
      <c r="D66" s="125" t="s">
        <v>188</v>
      </c>
      <c r="E66" s="295" t="s">
        <v>215</v>
      </c>
      <c r="F66" s="55"/>
      <c r="G66" s="55">
        <f>Historical!I81/Historical!I19</f>
        <v>2.921123780416128E-2</v>
      </c>
      <c r="H66" s="55">
        <f>Historical!J81/Historical!J19</f>
        <v>2.5954764553207266E-2</v>
      </c>
      <c r="I66" s="55">
        <f>Historical!K81/Historical!K19</f>
        <v>2.7004426955238563E-2</v>
      </c>
      <c r="J66" s="55">
        <f>Historical!L81/Historical!L19</f>
        <v>2.5460651720068984E-2</v>
      </c>
      <c r="K66" s="55">
        <f>Historical!M81/Historical!M19</f>
        <v>2.6501843417913683E-2</v>
      </c>
      <c r="L66" s="55">
        <f>Historical!N81/Historical!N19</f>
        <v>2.664002664002664E-2</v>
      </c>
      <c r="M66" s="55">
        <f>AVERAGE(G66:L66)</f>
        <v>2.6795491848436066E-2</v>
      </c>
    </row>
    <row r="67" spans="1:13">
      <c r="A67" s="52" t="str">
        <f>Historical!A82</f>
        <v>Taxes, other than income taxes</v>
      </c>
      <c r="B67" s="55"/>
      <c r="C67" s="55">
        <f>L67</f>
        <v>8.9162097801406652E-3</v>
      </c>
      <c r="D67" s="293" t="s">
        <v>232</v>
      </c>
      <c r="E67" s="295" t="s">
        <v>230</v>
      </c>
      <c r="G67" s="55">
        <f>Historical!I82/Historical!I27</f>
        <v>8.5239260697105249E-3</v>
      </c>
      <c r="H67" s="55">
        <f>Historical!J82/Historical!J27</f>
        <v>8.1018518518518514E-3</v>
      </c>
      <c r="I67" s="55">
        <f>Historical!K82/Historical!K27</f>
        <v>8.7532985775889815E-3</v>
      </c>
      <c r="J67" s="55">
        <f>Historical!L82/Historical!L27</f>
        <v>8.2967301122498782E-3</v>
      </c>
      <c r="K67" s="55">
        <f>Historical!M82/Historical!M27</f>
        <v>8.7487049614366295E-3</v>
      </c>
      <c r="L67" s="55">
        <f>Historical!N82/Historical!N27</f>
        <v>8.9162097801406652E-3</v>
      </c>
      <c r="M67" s="55">
        <f>AVERAGE(G67:L67)</f>
        <v>8.5567868921630885E-3</v>
      </c>
    </row>
    <row r="68" spans="1:13" ht="12.75" hidden="1" customHeight="1">
      <c r="A68" s="52" t="str">
        <f>Historical!A83</f>
        <v>Other Operating Expenses</v>
      </c>
      <c r="B68" s="55"/>
      <c r="C68" s="55"/>
    </row>
    <row r="69" spans="1:13">
      <c r="A69" s="52" t="str">
        <f>Historical!A84</f>
        <v>Total Operating Expenses</v>
      </c>
      <c r="B69" s="55"/>
      <c r="C69" s="55"/>
      <c r="D69" s="269" t="s">
        <v>180</v>
      </c>
    </row>
    <row r="70" spans="1:13">
      <c r="A70" s="52" t="str">
        <f>Historical!A85</f>
        <v>Earnings From Operations</v>
      </c>
      <c r="B70" s="55"/>
      <c r="C70" s="55"/>
      <c r="D70" s="269" t="s">
        <v>180</v>
      </c>
    </row>
    <row r="71" spans="1:13">
      <c r="B71" s="55"/>
      <c r="C71" s="55"/>
    </row>
    <row r="72" spans="1:13">
      <c r="A72" s="52" t="str">
        <f>Forecast!A91</f>
        <v>Interest expense (net)</v>
      </c>
      <c r="B72" s="55"/>
      <c r="C72" s="55">
        <f>M72</f>
        <v>5.3873766800448773E-2</v>
      </c>
      <c r="D72" s="125" t="s">
        <v>189</v>
      </c>
      <c r="E72" s="295" t="s">
        <v>215</v>
      </c>
      <c r="G72" s="55">
        <f>Historical!I87/(Historical!I41+Historical!I42+Historical!I49)</f>
        <v>5.5157731759241338E-2</v>
      </c>
      <c r="H72" s="55">
        <f>Historical!J87/(Historical!J41+Historical!J42+Historical!J49)</f>
        <v>5.4661241818503452E-2</v>
      </c>
      <c r="I72" s="55">
        <f>Historical!K87/(Historical!K41+Historical!K42+Historical!K49)</f>
        <v>5.5953865336658352E-2</v>
      </c>
      <c r="J72" s="55">
        <f>Historical!L87/(Historical!L41+Historical!L42+Historical!L49)</f>
        <v>5.3130340220599662E-2</v>
      </c>
      <c r="K72" s="55">
        <f>Historical!M87/(Historical!M41+Historical!M42+Historical!M49)</f>
        <v>5.3180698449500075E-2</v>
      </c>
      <c r="L72" s="55">
        <f>Historical!N87/(Historical!N41+Historical!N42+Historical!N49)</f>
        <v>5.1158723218189768E-2</v>
      </c>
      <c r="M72" s="55">
        <f>AVERAGE(G72:L72)</f>
        <v>5.3873766800448773E-2</v>
      </c>
    </row>
    <row r="73" spans="1:13">
      <c r="A73" s="52" t="str">
        <f>Forecast!A92</f>
        <v>Interest income</v>
      </c>
      <c r="C73" s="55">
        <f>C7</f>
        <v>0.01</v>
      </c>
      <c r="D73" s="125" t="s">
        <v>190</v>
      </c>
    </row>
    <row r="74" spans="1:13" hidden="1">
      <c r="A74" s="52" t="str">
        <f>Forecast!A93</f>
        <v>Loss (Gain) on Sale of Assets</v>
      </c>
    </row>
    <row r="75" spans="1:13" ht="51">
      <c r="A75" s="114" t="str">
        <f>Forecast!A94</f>
        <v>Interest Expense (Income) on Additional Loans (Surplus Cash)</v>
      </c>
      <c r="D75" s="125" t="s">
        <v>191</v>
      </c>
    </row>
    <row r="76" spans="1:13">
      <c r="A76" s="52" t="str">
        <f>Forecast!A95</f>
        <v>Other (Income) Expense</v>
      </c>
      <c r="C76" s="55">
        <f>M76</f>
        <v>-1.2392884597928942E-2</v>
      </c>
      <c r="D76" s="293" t="s">
        <v>219</v>
      </c>
      <c r="E76" s="295" t="s">
        <v>215</v>
      </c>
      <c r="G76" s="55">
        <f>Historical!Z90</f>
        <v>-9.6289337717238143E-3</v>
      </c>
      <c r="H76" s="55">
        <f>Historical!AA90</f>
        <v>-1.0449088483770564E-2</v>
      </c>
      <c r="I76" s="55">
        <f>Historical!AB90</f>
        <v>-1.4359434597262733E-2</v>
      </c>
      <c r="J76" s="55">
        <f>Historical!AC90</f>
        <v>-1.759927797833935E-2</v>
      </c>
      <c r="K76" s="55">
        <f>Historical!AD90</f>
        <v>-1.003052769297863E-2</v>
      </c>
      <c r="L76" s="55">
        <f>Historical!AE90</f>
        <v>-1.2290045063498567E-2</v>
      </c>
      <c r="M76" s="55">
        <f>AVERAGE(G76:L76)</f>
        <v>-1.2392884597928942E-2</v>
      </c>
    </row>
    <row r="77" spans="1:13">
      <c r="A77" s="52" t="str">
        <f>Forecast!A96</f>
        <v>Total Other (Income)/Expense</v>
      </c>
      <c r="D77" s="269" t="s">
        <v>180</v>
      </c>
    </row>
    <row r="79" spans="1:13">
      <c r="A79" s="52" t="str">
        <f>Forecast!A98</f>
        <v>Earnings Before Taxes</v>
      </c>
      <c r="D79" s="269" t="s">
        <v>180</v>
      </c>
    </row>
    <row r="80" spans="1:13">
      <c r="F80" s="84"/>
      <c r="G80" s="84"/>
      <c r="H80" s="84"/>
      <c r="I80" s="84"/>
      <c r="J80" s="84"/>
      <c r="K80" s="84"/>
      <c r="L80" s="84"/>
      <c r="M80" s="84"/>
    </row>
    <row r="81" spans="1:13">
      <c r="A81" s="52" t="str">
        <f>Forecast!A100</f>
        <v>Extraordinary Items</v>
      </c>
      <c r="C81" s="52">
        <v>0</v>
      </c>
      <c r="D81" s="125" t="s">
        <v>192</v>
      </c>
      <c r="F81" s="84"/>
      <c r="G81" s="84">
        <v>2007</v>
      </c>
      <c r="H81" s="84">
        <v>2008</v>
      </c>
      <c r="I81" s="84">
        <v>2009</v>
      </c>
      <c r="J81" s="84">
        <v>2010</v>
      </c>
      <c r="K81" s="84">
        <v>2011</v>
      </c>
      <c r="L81" s="84">
        <v>2012</v>
      </c>
      <c r="M81" s="52" t="s">
        <v>3</v>
      </c>
    </row>
    <row r="82" spans="1:13">
      <c r="A82" s="52" t="str">
        <f>Forecast!A101</f>
        <v>Income Taxes</v>
      </c>
      <c r="C82" s="55">
        <v>0.3</v>
      </c>
      <c r="D82" s="125" t="s">
        <v>193</v>
      </c>
      <c r="E82" s="295" t="s">
        <v>231</v>
      </c>
      <c r="F82" s="55"/>
      <c r="G82" s="55">
        <f>+Historical!I96/Historical!I93</f>
        <v>0.33082706766917291</v>
      </c>
      <c r="H82" s="55">
        <f>+Historical!J96/Historical!J93</f>
        <v>0.33854907539118068</v>
      </c>
      <c r="I82" s="55">
        <f>+Historical!K96/Historical!K93</f>
        <v>0.29846938775510207</v>
      </c>
      <c r="J82" s="55">
        <f>+Historical!L96/Historical!L93</f>
        <v>0.27155727155727155</v>
      </c>
      <c r="K82" s="55">
        <f>+Historical!M96/Historical!M93</f>
        <v>0.27734375</v>
      </c>
      <c r="L82" s="55">
        <f>+Historical!N96/Historical!N93</f>
        <v>0.26839237057220711</v>
      </c>
      <c r="M82" s="55">
        <f>AVERAGE(G82:L82)</f>
        <v>0.29752315382415573</v>
      </c>
    </row>
    <row r="83" spans="1:13">
      <c r="A83" s="52" t="str">
        <f>Forecast!A102</f>
        <v>Net Income</v>
      </c>
      <c r="D83" s="269" t="s">
        <v>180</v>
      </c>
    </row>
    <row r="85" spans="1:13">
      <c r="A85" s="52" t="str">
        <f>Forecast!A104</f>
        <v>Preferred Stock Dividends</v>
      </c>
      <c r="C85" s="52">
        <v>0</v>
      </c>
      <c r="D85" s="125" t="s">
        <v>181</v>
      </c>
    </row>
    <row r="86" spans="1:13" ht="38.25">
      <c r="A86" s="52" t="str">
        <f>Forecast!A105</f>
        <v>Common Stock Dividends</v>
      </c>
      <c r="D86" s="125" t="s">
        <v>206</v>
      </c>
    </row>
    <row r="91" spans="1:13">
      <c r="E91" s="115"/>
    </row>
    <row r="92" spans="1:13">
      <c r="E92" s="115"/>
    </row>
    <row r="93" spans="1:13">
      <c r="E93" s="115"/>
    </row>
    <row r="94" spans="1:13">
      <c r="E94" s="115"/>
    </row>
    <row r="134" spans="5:5">
      <c r="E134" s="115"/>
    </row>
    <row r="135" spans="5:5">
      <c r="E135" s="115"/>
    </row>
    <row r="136" spans="5:5">
      <c r="E136" s="115"/>
    </row>
    <row r="137" spans="5:5">
      <c r="E137" s="115"/>
    </row>
  </sheetData>
  <phoneticPr fontId="6" type="noConversion"/>
  <pageMargins left="0.22" right="0.19" top="0.61" bottom="1" header="0.5" footer="0.5"/>
  <pageSetup scale="63" fitToHeight="2" orientation="landscape" r:id="rId1"/>
  <headerFooter alignWithMargins="0"/>
  <rowBreaks count="1" manualBreakCount="1">
    <brk id="2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Historical</vt:lpstr>
      <vt:lpstr>Historical CF</vt:lpstr>
      <vt:lpstr>Forecast</vt:lpstr>
      <vt:lpstr>Assumptions</vt:lpstr>
      <vt:lpstr>Assumptions!Print_Area</vt:lpstr>
      <vt:lpstr>Forecast!Print_Area</vt:lpstr>
      <vt:lpstr>Historical!Print_Area</vt:lpstr>
      <vt:lpstr>'Historical CF'!Print_Area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2013-05-29T14:58:08Z</cp:lastPrinted>
  <dcterms:created xsi:type="dcterms:W3CDTF">2005-09-19T14:11:29Z</dcterms:created>
  <dcterms:modified xsi:type="dcterms:W3CDTF">2013-06-13T17:27:54Z</dcterms:modified>
</cp:coreProperties>
</file>