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4docs\1499902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1'!$A$1:$AJ$163</definedName>
    <definedName name="_xlnm.Print_Area" localSheetId="1">'Historical CF - Exhibit 1B'!$A$1:$R$53</definedName>
  </definedNames>
  <calcPr calcId="152511"/>
</workbook>
</file>

<file path=xl/calcChain.xml><?xml version="1.0" encoding="utf-8"?>
<calcChain xmlns="http://schemas.openxmlformats.org/spreadsheetml/2006/main">
  <c r="AK174" i="5" l="1"/>
  <c r="O166" i="5"/>
  <c r="AJ188" i="5"/>
  <c r="AK185" i="5"/>
  <c r="AK183" i="5"/>
  <c r="AK181" i="5"/>
  <c r="AK180" i="5"/>
  <c r="AK179" i="5"/>
  <c r="AK178" i="5"/>
  <c r="AK177" i="5"/>
  <c r="AK176" i="5"/>
  <c r="AK175" i="5"/>
  <c r="AL188" i="5"/>
  <c r="AL185" i="5"/>
  <c r="AL183" i="5"/>
  <c r="AL181" i="5"/>
  <c r="AL179" i="5"/>
  <c r="AL178" i="5"/>
  <c r="AL177" i="5"/>
  <c r="AL176" i="5"/>
  <c r="AL175" i="5"/>
  <c r="AL174" i="5"/>
  <c r="AE190" i="5"/>
  <c r="AL190" i="5" s="1"/>
  <c r="AH190" i="5"/>
  <c r="AH139" i="5"/>
  <c r="P31" i="6"/>
  <c r="P25" i="6"/>
  <c r="P24" i="6"/>
  <c r="P60" i="5"/>
  <c r="P52" i="5"/>
  <c r="O52" i="5"/>
  <c r="P46" i="5"/>
  <c r="P23" i="5"/>
  <c r="P19" i="5"/>
  <c r="P13" i="5"/>
  <c r="P83" i="5"/>
  <c r="P90" i="5" s="1"/>
  <c r="P78" i="5"/>
  <c r="AJ185" i="5"/>
  <c r="AJ183" i="5"/>
  <c r="AJ181" i="5"/>
  <c r="AJ180" i="5"/>
  <c r="AJ179" i="5"/>
  <c r="AJ178" i="5"/>
  <c r="AJ177" i="5"/>
  <c r="AJ176" i="5"/>
  <c r="AJ175" i="5"/>
  <c r="AJ174" i="5"/>
  <c r="AG190" i="5"/>
  <c r="AF190" i="5"/>
  <c r="AJ118" i="5"/>
  <c r="R12" i="5"/>
  <c r="AJ190" i="5" l="1"/>
  <c r="R41" i="6"/>
  <c r="R39" i="6"/>
  <c r="R30" i="6"/>
  <c r="R21" i="6"/>
  <c r="R19" i="6"/>
  <c r="R17" i="6"/>
  <c r="R15" i="6"/>
  <c r="R14" i="6"/>
  <c r="Q44" i="6"/>
  <c r="Q34" i="6"/>
  <c r="Q8" i="6"/>
  <c r="AJ162" i="5"/>
  <c r="AJ155" i="5"/>
  <c r="AJ156" i="5"/>
  <c r="AJ153" i="5"/>
  <c r="AJ151" i="5"/>
  <c r="AJ150" i="5"/>
  <c r="AJ149" i="5"/>
  <c r="AJ138" i="5"/>
  <c r="AJ137" i="5"/>
  <c r="AJ136" i="5"/>
  <c r="AJ122" i="5"/>
  <c r="AJ121" i="5"/>
  <c r="AJ120" i="5"/>
  <c r="AJ119" i="5"/>
  <c r="AJ115" i="5"/>
  <c r="AJ74" i="5"/>
  <c r="P171" i="5"/>
  <c r="P152" i="5"/>
  <c r="P170" i="5"/>
  <c r="R135" i="5"/>
  <c r="R105" i="5"/>
  <c r="R101" i="5"/>
  <c r="R94" i="5"/>
  <c r="R93" i="5"/>
  <c r="R89" i="5"/>
  <c r="R87" i="5"/>
  <c r="R86" i="5"/>
  <c r="R84" i="5"/>
  <c r="R83" i="5"/>
  <c r="R79" i="5"/>
  <c r="R78" i="5"/>
  <c r="R61" i="5"/>
  <c r="R50" i="5"/>
  <c r="R49" i="5"/>
  <c r="R45" i="5"/>
  <c r="R44" i="5"/>
  <c r="R43" i="5"/>
  <c r="R41" i="5"/>
  <c r="R35" i="5"/>
  <c r="R33" i="5"/>
  <c r="R28" i="5"/>
  <c r="R24" i="5"/>
  <c r="R19" i="5"/>
  <c r="R18" i="5"/>
  <c r="R16" i="5"/>
  <c r="AI188" i="5"/>
  <c r="AI168" i="5"/>
  <c r="AI165" i="5"/>
  <c r="AI164" i="5"/>
  <c r="AI163" i="5"/>
  <c r="AI182" i="5"/>
  <c r="AI184" i="5" s="1"/>
  <c r="AI186" i="5" s="1"/>
  <c r="AH168" i="5"/>
  <c r="AH165" i="5"/>
  <c r="AH164" i="5"/>
  <c r="AH166" i="5" s="1"/>
  <c r="AH163" i="5"/>
  <c r="AI159" i="5"/>
  <c r="AI139" i="5"/>
  <c r="AI146" i="5" s="1"/>
  <c r="AI123" i="5"/>
  <c r="AI132" i="5" s="1"/>
  <c r="AI97" i="5"/>
  <c r="AI94" i="5"/>
  <c r="AI85" i="5"/>
  <c r="AI84" i="5"/>
  <c r="AI80" i="5"/>
  <c r="AI9" i="5"/>
  <c r="AI75" i="5" s="1"/>
  <c r="AI8" i="5"/>
  <c r="Q166" i="5"/>
  <c r="Q165" i="5"/>
  <c r="Q161" i="5"/>
  <c r="Q152" i="5"/>
  <c r="Q139" i="5"/>
  <c r="Q120" i="5"/>
  <c r="Q116" i="5"/>
  <c r="AI116" i="5" s="1"/>
  <c r="AI173" i="5" s="1"/>
  <c r="Q97" i="5"/>
  <c r="Q90" i="5"/>
  <c r="AI90" i="5" s="1"/>
  <c r="Q80" i="5"/>
  <c r="AI93" i="5" s="1"/>
  <c r="Q62" i="5"/>
  <c r="Q160" i="5" s="1"/>
  <c r="Q163" i="5" s="1"/>
  <c r="Q53" i="5"/>
  <c r="Q47" i="5"/>
  <c r="Q119" i="5" s="1"/>
  <c r="Q36" i="5"/>
  <c r="Q26" i="5"/>
  <c r="Q30" i="5" s="1"/>
  <c r="Q20" i="5"/>
  <c r="Q75" i="5"/>
  <c r="Q74" i="5"/>
  <c r="Q115" i="5" s="1"/>
  <c r="AA182" i="5"/>
  <c r="AA184" i="5" s="1"/>
  <c r="AA186" i="5" s="1"/>
  <c r="Z182" i="5"/>
  <c r="Z184" i="5" s="1"/>
  <c r="Z186" i="5" s="1"/>
  <c r="Y182" i="5"/>
  <c r="Y184" i="5" s="1"/>
  <c r="Y186" i="5" s="1"/>
  <c r="X182" i="5"/>
  <c r="X184" i="5" s="1"/>
  <c r="X186" i="5" s="1"/>
  <c r="W182" i="5"/>
  <c r="W184" i="5" s="1"/>
  <c r="W186" i="5" s="1"/>
  <c r="V182" i="5"/>
  <c r="V184" i="5" s="1"/>
  <c r="V186" i="5" s="1"/>
  <c r="U182" i="5"/>
  <c r="U184" i="5" s="1"/>
  <c r="U186" i="5" s="1"/>
  <c r="T182" i="5"/>
  <c r="T184" i="5" s="1"/>
  <c r="T186" i="5" s="1"/>
  <c r="AJ182" i="5"/>
  <c r="AJ184" i="5" s="1"/>
  <c r="AJ186" i="5" s="1"/>
  <c r="AH182" i="5"/>
  <c r="AF182" i="5"/>
  <c r="AF184" i="5" s="1"/>
  <c r="AF186" i="5" s="1"/>
  <c r="AE182" i="5"/>
  <c r="AD182" i="5"/>
  <c r="AD184" i="5" s="1"/>
  <c r="AD186" i="5" s="1"/>
  <c r="AC182" i="5"/>
  <c r="AC184" i="5" s="1"/>
  <c r="AC186" i="5" s="1"/>
  <c r="AB182" i="5"/>
  <c r="AB184" i="5" s="1"/>
  <c r="AB186" i="5" s="1"/>
  <c r="AG184" i="5"/>
  <c r="AG186" i="5" s="1"/>
  <c r="AG182" i="5"/>
  <c r="Q7" i="6" l="1"/>
  <c r="AI115" i="5"/>
  <c r="AI172" i="5" s="1"/>
  <c r="Q125" i="5"/>
  <c r="Q149" i="5"/>
  <c r="Q126" i="5"/>
  <c r="Q176" i="5"/>
  <c r="AI78" i="5"/>
  <c r="AI89" i="5"/>
  <c r="AI74" i="5"/>
  <c r="AI86" i="5"/>
  <c r="AI131" i="5"/>
  <c r="AI87" i="5"/>
  <c r="AI101" i="5"/>
  <c r="AE184" i="5"/>
  <c r="AL182" i="5"/>
  <c r="Q37" i="5"/>
  <c r="Q130" i="5"/>
  <c r="Q167" i="5" s="1"/>
  <c r="Q155" i="5"/>
  <c r="Q157" i="5" s="1"/>
  <c r="AI79" i="5"/>
  <c r="AI166" i="5"/>
  <c r="AH184" i="5"/>
  <c r="AK182" i="5"/>
  <c r="Q162" i="5"/>
  <c r="AI127" i="5"/>
  <c r="Q156" i="5"/>
  <c r="Q138" i="5"/>
  <c r="AI83" i="5"/>
  <c r="AI129" i="5"/>
  <c r="AI143" i="5"/>
  <c r="AI145" i="5"/>
  <c r="AI144" i="5"/>
  <c r="AI128" i="5"/>
  <c r="AI130" i="5"/>
  <c r="Q91" i="5"/>
  <c r="Q55" i="5"/>
  <c r="Q38" i="5"/>
  <c r="AG164" i="5"/>
  <c r="AI61" i="5" l="1"/>
  <c r="AI46" i="5"/>
  <c r="AI23" i="5"/>
  <c r="AI60" i="5"/>
  <c r="AI45" i="5"/>
  <c r="AI35" i="5"/>
  <c r="AI20" i="5"/>
  <c r="AI49" i="5"/>
  <c r="AI26" i="5"/>
  <c r="AI47" i="5"/>
  <c r="AI24" i="5"/>
  <c r="AI44" i="5"/>
  <c r="AI34" i="5"/>
  <c r="AI19" i="5"/>
  <c r="AI42" i="5"/>
  <c r="AI30" i="5"/>
  <c r="AI41" i="5"/>
  <c r="AI28" i="5"/>
  <c r="AI12" i="5"/>
  <c r="AI43" i="5"/>
  <c r="AI33" i="5"/>
  <c r="AI18" i="5"/>
  <c r="AI52" i="5"/>
  <c r="AI15" i="5"/>
  <c r="AI50" i="5"/>
  <c r="AI13" i="5"/>
  <c r="AI38" i="5"/>
  <c r="AI62" i="5"/>
  <c r="Q63" i="5"/>
  <c r="AI63" i="5" s="1"/>
  <c r="AI55" i="5"/>
  <c r="AI37" i="5"/>
  <c r="Q124" i="5"/>
  <c r="AI53" i="5"/>
  <c r="AI36" i="5"/>
  <c r="AH186" i="5"/>
  <c r="AK186" i="5" s="1"/>
  <c r="AK184" i="5"/>
  <c r="Q99" i="5"/>
  <c r="AI91" i="5"/>
  <c r="Q178" i="5"/>
  <c r="Q177" i="5"/>
  <c r="AE186" i="5"/>
  <c r="AL184" i="5"/>
  <c r="Q102" i="5" l="1"/>
  <c r="AI99" i="5"/>
  <c r="Q127" i="5"/>
  <c r="Q148" i="5"/>
  <c r="AL186" i="5"/>
  <c r="AK140" i="5"/>
  <c r="AM140" i="5"/>
  <c r="AM141" i="5" s="1"/>
  <c r="AL140" i="5"/>
  <c r="AL141" i="5" s="1"/>
  <c r="AK141" i="5"/>
  <c r="AN141" i="5"/>
  <c r="AN140" i="5"/>
  <c r="Q131" i="5" l="1"/>
  <c r="AI105" i="5"/>
  <c r="AI102" i="5"/>
  <c r="Q151" i="5"/>
  <c r="Q12" i="6"/>
  <c r="Q27" i="6" s="1"/>
  <c r="Q46" i="6" s="1"/>
  <c r="Z188" i="5"/>
  <c r="AB188" i="5"/>
  <c r="AA188" i="5"/>
  <c r="P44" i="6" l="1"/>
  <c r="P34" i="6"/>
  <c r="AH159" i="5"/>
  <c r="AH146" i="5"/>
  <c r="AH123" i="5"/>
  <c r="P166" i="5"/>
  <c r="P165" i="5"/>
  <c r="P97" i="5"/>
  <c r="P80" i="5"/>
  <c r="P62" i="5"/>
  <c r="P53" i="5"/>
  <c r="P47" i="5"/>
  <c r="P36" i="5"/>
  <c r="P26" i="5"/>
  <c r="AB163" i="5"/>
  <c r="AC163" i="5"/>
  <c r="AD163" i="5"/>
  <c r="AF163" i="5"/>
  <c r="AE163" i="5"/>
  <c r="AG163" i="5"/>
  <c r="AJ163" i="5" l="1"/>
  <c r="AH131" i="5"/>
  <c r="P176" i="5"/>
  <c r="Q133" i="5"/>
  <c r="Q134" i="5"/>
  <c r="P120" i="5"/>
  <c r="P30" i="5"/>
  <c r="Q164" i="5"/>
  <c r="Q121" i="5"/>
  <c r="P138" i="5"/>
  <c r="P149" i="5"/>
  <c r="P37" i="5"/>
  <c r="AH101" i="5"/>
  <c r="AH143" i="5"/>
  <c r="AH145" i="5"/>
  <c r="P55" i="5"/>
  <c r="AH80" i="5"/>
  <c r="AH86" i="5"/>
  <c r="AH94" i="5"/>
  <c r="AH78" i="5"/>
  <c r="AH84" i="5"/>
  <c r="AH89" i="5"/>
  <c r="AH79" i="5"/>
  <c r="AH83" i="5"/>
  <c r="AH85" i="5"/>
  <c r="AH87" i="5"/>
  <c r="AH90" i="5"/>
  <c r="AH93" i="5"/>
  <c r="AH97" i="5"/>
  <c r="AH144" i="5"/>
  <c r="AH128" i="5"/>
  <c r="AH130" i="5"/>
  <c r="AH132" i="5"/>
  <c r="AH127" i="5"/>
  <c r="AH129" i="5"/>
  <c r="P130" i="5"/>
  <c r="P91" i="5"/>
  <c r="P161" i="5"/>
  <c r="P155" i="5"/>
  <c r="P125" i="5"/>
  <c r="P162" i="5"/>
  <c r="P160" i="5"/>
  <c r="P156" i="5"/>
  <c r="P126" i="5"/>
  <c r="P20" i="5"/>
  <c r="AK155" i="5"/>
  <c r="AK156" i="5" s="1"/>
  <c r="AG168" i="5"/>
  <c r="AK82" i="5"/>
  <c r="AK81" i="5"/>
  <c r="AK84" i="5"/>
  <c r="AK83" i="5"/>
  <c r="AG139" i="5"/>
  <c r="O31" i="6"/>
  <c r="O25" i="6"/>
  <c r="O24" i="6"/>
  <c r="O60" i="5"/>
  <c r="O46" i="5"/>
  <c r="O23" i="5"/>
  <c r="O19" i="5"/>
  <c r="O13" i="5"/>
  <c r="P139" i="5" s="1"/>
  <c r="O78" i="5"/>
  <c r="AF165" i="5"/>
  <c r="AF164" i="5"/>
  <c r="AL82" i="5" l="1"/>
  <c r="AL84" i="5" s="1"/>
  <c r="AH140" i="5"/>
  <c r="AK139" i="5"/>
  <c r="P63" i="5"/>
  <c r="Q141" i="5"/>
  <c r="P119" i="5"/>
  <c r="Q140" i="5"/>
  <c r="P167" i="5"/>
  <c r="P178" i="5"/>
  <c r="Q175" i="5"/>
  <c r="P177" i="5"/>
  <c r="P175" i="5"/>
  <c r="P124" i="5"/>
  <c r="P99" i="5"/>
  <c r="AH91" i="5"/>
  <c r="P38" i="5"/>
  <c r="P157" i="5"/>
  <c r="P163" i="5"/>
  <c r="O170" i="5"/>
  <c r="O165" i="5"/>
  <c r="K23" i="5"/>
  <c r="R23" i="5" s="1"/>
  <c r="K60" i="5"/>
  <c r="R60" i="5" s="1"/>
  <c r="N49" i="5"/>
  <c r="N60" i="5"/>
  <c r="N152" i="5"/>
  <c r="M152" i="5"/>
  <c r="L152" i="5"/>
  <c r="AG159" i="5"/>
  <c r="S168" i="5"/>
  <c r="AE168" i="5"/>
  <c r="AD168" i="5"/>
  <c r="AC168" i="5"/>
  <c r="AB168" i="5"/>
  <c r="AF168" i="5"/>
  <c r="N78" i="5"/>
  <c r="N79" i="5"/>
  <c r="N52" i="5"/>
  <c r="N46" i="5"/>
  <c r="N23" i="5"/>
  <c r="P64" i="5" l="1"/>
  <c r="Q132" i="5"/>
  <c r="Q142" i="5"/>
  <c r="AH24" i="5"/>
  <c r="AH42" i="5"/>
  <c r="AH99" i="5"/>
  <c r="P127" i="5"/>
  <c r="P148" i="5"/>
  <c r="O152" i="5"/>
  <c r="R152" i="5" s="1"/>
  <c r="O171" i="5"/>
  <c r="AH62" i="5"/>
  <c r="AH60" i="5"/>
  <c r="AH53" i="5"/>
  <c r="AH50" i="5"/>
  <c r="AH47" i="5"/>
  <c r="AH45" i="5"/>
  <c r="AH43" i="5"/>
  <c r="AH38" i="5"/>
  <c r="AH36" i="5"/>
  <c r="AH30" i="5"/>
  <c r="AH13" i="5"/>
  <c r="AH63" i="5"/>
  <c r="AH61" i="5"/>
  <c r="AH55" i="5"/>
  <c r="AH52" i="5"/>
  <c r="AH49" i="5"/>
  <c r="AH46" i="5"/>
  <c r="AH44" i="5"/>
  <c r="AH41" i="5"/>
  <c r="AH37" i="5"/>
  <c r="AH35" i="5"/>
  <c r="AH33" i="5"/>
  <c r="AH28" i="5"/>
  <c r="AH23" i="5"/>
  <c r="AH19" i="5"/>
  <c r="AH15" i="5"/>
  <c r="AH12" i="5"/>
  <c r="AH34" i="5"/>
  <c r="AH26" i="5"/>
  <c r="AH18" i="5"/>
  <c r="AH20" i="5"/>
  <c r="P102" i="5"/>
  <c r="P172" i="5" s="1"/>
  <c r="N19" i="5"/>
  <c r="N13" i="5"/>
  <c r="N44" i="6"/>
  <c r="N34" i="6"/>
  <c r="AF159" i="5"/>
  <c r="AF139" i="5"/>
  <c r="AF123" i="5"/>
  <c r="N170" i="5"/>
  <c r="N171" i="5" s="1"/>
  <c r="N166" i="5"/>
  <c r="N165" i="5"/>
  <c r="N97" i="5"/>
  <c r="N90" i="5"/>
  <c r="N80" i="5"/>
  <c r="N62" i="5"/>
  <c r="N176" i="5" s="1"/>
  <c r="N53" i="5"/>
  <c r="N47" i="5"/>
  <c r="N36" i="5"/>
  <c r="N26" i="5"/>
  <c r="N30" i="5" s="1"/>
  <c r="M170" i="5"/>
  <c r="M171" i="5" s="1"/>
  <c r="L170" i="5"/>
  <c r="K170" i="5"/>
  <c r="K171" i="5" s="1"/>
  <c r="J170" i="5"/>
  <c r="J171" i="5" s="1"/>
  <c r="O26" i="5"/>
  <c r="O62" i="5"/>
  <c r="O80" i="5"/>
  <c r="O44" i="6"/>
  <c r="O34" i="6"/>
  <c r="AG146" i="5"/>
  <c r="AG123" i="5"/>
  <c r="O97" i="5"/>
  <c r="O90" i="5"/>
  <c r="O53" i="5"/>
  <c r="O47" i="5"/>
  <c r="O36" i="5"/>
  <c r="AF146" i="5" l="1"/>
  <c r="AG140" i="5"/>
  <c r="AG124" i="5"/>
  <c r="AH124" i="5"/>
  <c r="L171" i="5"/>
  <c r="R171" i="5" s="1"/>
  <c r="R170" i="5"/>
  <c r="AF131" i="5"/>
  <c r="P151" i="5"/>
  <c r="P133" i="5"/>
  <c r="Q168" i="5"/>
  <c r="P134" i="5"/>
  <c r="O176" i="5"/>
  <c r="O155" i="5"/>
  <c r="O138" i="5"/>
  <c r="O130" i="5"/>
  <c r="P164" i="5"/>
  <c r="O139" i="5"/>
  <c r="AK80" i="5"/>
  <c r="P121" i="5"/>
  <c r="N138" i="5"/>
  <c r="N130" i="5"/>
  <c r="AF10" i="6"/>
  <c r="N120" i="5"/>
  <c r="AH105" i="5"/>
  <c r="P12" i="6"/>
  <c r="P27" i="6" s="1"/>
  <c r="P150" i="5" s="1"/>
  <c r="AH102" i="5"/>
  <c r="P131" i="5"/>
  <c r="O125" i="5"/>
  <c r="O120" i="5"/>
  <c r="O30" i="5"/>
  <c r="O164" i="5"/>
  <c r="AG131" i="5"/>
  <c r="O162" i="5"/>
  <c r="O160" i="5"/>
  <c r="O149" i="5"/>
  <c r="O161" i="5"/>
  <c r="O156" i="5"/>
  <c r="N162" i="5"/>
  <c r="N161" i="5"/>
  <c r="N160" i="5"/>
  <c r="N156" i="5"/>
  <c r="N155" i="5"/>
  <c r="N149" i="5"/>
  <c r="N126" i="5"/>
  <c r="N125" i="5"/>
  <c r="AG10" i="6"/>
  <c r="O121" i="5"/>
  <c r="AF166" i="5"/>
  <c r="AF143" i="5"/>
  <c r="AF145" i="5"/>
  <c r="AF79" i="5"/>
  <c r="AF83" i="5"/>
  <c r="AF85" i="5"/>
  <c r="AF87" i="5"/>
  <c r="AF90" i="5"/>
  <c r="AF93" i="5"/>
  <c r="AF97" i="5"/>
  <c r="AF101" i="5"/>
  <c r="AF78" i="5"/>
  <c r="AF80" i="5"/>
  <c r="AF84" i="5"/>
  <c r="AF86" i="5"/>
  <c r="AF89" i="5"/>
  <c r="AF94" i="5"/>
  <c r="N55" i="5"/>
  <c r="N37" i="5"/>
  <c r="AF144" i="5"/>
  <c r="AF128" i="5"/>
  <c r="AF130" i="5"/>
  <c r="AF132" i="5"/>
  <c r="AF127" i="5"/>
  <c r="AF129" i="5"/>
  <c r="N20" i="5"/>
  <c r="N119" i="5" s="1"/>
  <c r="N91" i="5"/>
  <c r="N167" i="5"/>
  <c r="AG143" i="5"/>
  <c r="O91" i="5"/>
  <c r="AG145" i="5"/>
  <c r="O55" i="5"/>
  <c r="O20" i="5"/>
  <c r="P140" i="5" s="1"/>
  <c r="AG79" i="5"/>
  <c r="AG83" i="5"/>
  <c r="AG85" i="5"/>
  <c r="AG87" i="5"/>
  <c r="AG90" i="5"/>
  <c r="AG93" i="5"/>
  <c r="AG97" i="5"/>
  <c r="AG101" i="5"/>
  <c r="AG78" i="5"/>
  <c r="AG80" i="5"/>
  <c r="AG84" i="5"/>
  <c r="AG86" i="5"/>
  <c r="AG89" i="5"/>
  <c r="AG94" i="5"/>
  <c r="AG144" i="5"/>
  <c r="AG128" i="5"/>
  <c r="AG130" i="5"/>
  <c r="AG132" i="5"/>
  <c r="AG127" i="5"/>
  <c r="AG129" i="5"/>
  <c r="M24" i="6"/>
  <c r="S25" i="6"/>
  <c r="M60" i="5"/>
  <c r="M52" i="5"/>
  <c r="L46" i="5"/>
  <c r="M46" i="5"/>
  <c r="M23" i="5"/>
  <c r="M19" i="5"/>
  <c r="M13" i="5"/>
  <c r="P141" i="5" l="1"/>
  <c r="O37" i="5"/>
  <c r="N175" i="5"/>
  <c r="N177" i="5"/>
  <c r="O141" i="5"/>
  <c r="O140" i="5"/>
  <c r="O175" i="5"/>
  <c r="O177" i="5"/>
  <c r="O178" i="5"/>
  <c r="R178" i="5" s="1"/>
  <c r="AK91" i="5"/>
  <c r="AL91" i="5" s="1"/>
  <c r="AF39" i="6"/>
  <c r="AF14" i="6"/>
  <c r="AF31" i="6"/>
  <c r="AF41" i="6"/>
  <c r="AF19" i="6"/>
  <c r="AF37" i="6"/>
  <c r="AF24" i="6"/>
  <c r="AF32" i="6"/>
  <c r="AF20" i="6"/>
  <c r="AF17" i="6"/>
  <c r="AF34" i="6"/>
  <c r="AF44" i="6"/>
  <c r="AF21" i="6"/>
  <c r="AF15" i="6"/>
  <c r="AF30" i="6"/>
  <c r="AF40" i="6"/>
  <c r="N139" i="5"/>
  <c r="P46" i="6"/>
  <c r="O124" i="5"/>
  <c r="O163" i="5"/>
  <c r="O126" i="5"/>
  <c r="O119" i="5"/>
  <c r="O99" i="5"/>
  <c r="O148" i="5" s="1"/>
  <c r="O167" i="5"/>
  <c r="O157" i="5"/>
  <c r="N157" i="5"/>
  <c r="N163" i="5"/>
  <c r="N63" i="5"/>
  <c r="N124" i="5"/>
  <c r="AG41" i="6"/>
  <c r="AG34" i="6"/>
  <c r="AG15" i="6"/>
  <c r="AG19" i="6"/>
  <c r="AG44" i="6"/>
  <c r="AG39" i="6"/>
  <c r="AG31" i="6"/>
  <c r="AG21" i="6"/>
  <c r="AG14" i="6"/>
  <c r="AG20" i="6"/>
  <c r="AG30" i="6"/>
  <c r="AG37" i="6"/>
  <c r="AG42" i="6"/>
  <c r="AG17" i="6"/>
  <c r="AG24" i="6"/>
  <c r="AG32" i="6"/>
  <c r="AG40" i="6"/>
  <c r="AG91" i="5"/>
  <c r="N99" i="5"/>
  <c r="N102" i="5" s="1"/>
  <c r="N172" i="5" s="1"/>
  <c r="AF91" i="5"/>
  <c r="N38" i="5"/>
  <c r="AG165" i="5"/>
  <c r="O38" i="5"/>
  <c r="O63" i="5"/>
  <c r="M165" i="5"/>
  <c r="AE164" i="5"/>
  <c r="M166" i="5"/>
  <c r="AE165" i="5"/>
  <c r="AF24" i="5" l="1"/>
  <c r="AF42" i="5"/>
  <c r="O127" i="5"/>
  <c r="AG99" i="5"/>
  <c r="AG42" i="5"/>
  <c r="AG24" i="5"/>
  <c r="P142" i="5"/>
  <c r="P132" i="5"/>
  <c r="O64" i="5"/>
  <c r="N12" i="6"/>
  <c r="AF12" i="6" s="1"/>
  <c r="N131" i="5"/>
  <c r="N151" i="5"/>
  <c r="AF99" i="5"/>
  <c r="N148" i="5"/>
  <c r="N127" i="5"/>
  <c r="O142" i="5"/>
  <c r="AG166" i="5"/>
  <c r="AG13" i="5"/>
  <c r="O102" i="5"/>
  <c r="AG43" i="5"/>
  <c r="AG45" i="5"/>
  <c r="AG37" i="5"/>
  <c r="AG20" i="5"/>
  <c r="AG18" i="5"/>
  <c r="AG19" i="5"/>
  <c r="AG52" i="5"/>
  <c r="AG23" i="5"/>
  <c r="AG49" i="5"/>
  <c r="AG34" i="5"/>
  <c r="AG60" i="5"/>
  <c r="AG46" i="5"/>
  <c r="AG47" i="5"/>
  <c r="AG53" i="5"/>
  <c r="AG15" i="5"/>
  <c r="AG33" i="5"/>
  <c r="AG44" i="5"/>
  <c r="AG55" i="5"/>
  <c r="AG26" i="5"/>
  <c r="AG38" i="5"/>
  <c r="AG50" i="5"/>
  <c r="AG35" i="5"/>
  <c r="AG61" i="5"/>
  <c r="AG36" i="5"/>
  <c r="AG28" i="5"/>
  <c r="AG30" i="5"/>
  <c r="AG41" i="5"/>
  <c r="AG63" i="5"/>
  <c r="AF102" i="5"/>
  <c r="AF105" i="5"/>
  <c r="AF62" i="5"/>
  <c r="AF60" i="5"/>
  <c r="AF53" i="5"/>
  <c r="AF50" i="5"/>
  <c r="AF47" i="5"/>
  <c r="AF45" i="5"/>
  <c r="AF43" i="5"/>
  <c r="AF38" i="5"/>
  <c r="AF36" i="5"/>
  <c r="AF34" i="5"/>
  <c r="AF30" i="5"/>
  <c r="AF26" i="5"/>
  <c r="AF18" i="5"/>
  <c r="AF13" i="5"/>
  <c r="AF63" i="5"/>
  <c r="AF61" i="5"/>
  <c r="AF55" i="5"/>
  <c r="AF52" i="5"/>
  <c r="AF49" i="5"/>
  <c r="AF46" i="5"/>
  <c r="AF44" i="5"/>
  <c r="AF41" i="5"/>
  <c r="AF37" i="5"/>
  <c r="AF35" i="5"/>
  <c r="AF33" i="5"/>
  <c r="AF28" i="5"/>
  <c r="AF23" i="5"/>
  <c r="AF19" i="5"/>
  <c r="AF15" i="5"/>
  <c r="AF12" i="5"/>
  <c r="AF20" i="5"/>
  <c r="AG62" i="5"/>
  <c r="AG12" i="5"/>
  <c r="O12" i="6"/>
  <c r="O172" i="5" l="1"/>
  <c r="N27" i="6"/>
  <c r="N46" i="6" s="1"/>
  <c r="AF46" i="6" s="1"/>
  <c r="O151" i="5"/>
  <c r="AK102" i="5"/>
  <c r="AL102" i="5" s="1"/>
  <c r="O132" i="5"/>
  <c r="O133" i="5"/>
  <c r="O134" i="5"/>
  <c r="O131" i="5"/>
  <c r="P168" i="5"/>
  <c r="AG102" i="5"/>
  <c r="O168" i="5"/>
  <c r="AG105" i="5"/>
  <c r="O27" i="6"/>
  <c r="AG12" i="6"/>
  <c r="L166" i="5"/>
  <c r="R166" i="5" s="1"/>
  <c r="K166" i="5"/>
  <c r="J166" i="5"/>
  <c r="I166" i="5"/>
  <c r="L165" i="5"/>
  <c r="R165" i="5" s="1"/>
  <c r="K165" i="5"/>
  <c r="J165" i="5"/>
  <c r="I165" i="5"/>
  <c r="G166" i="5"/>
  <c r="G165" i="5"/>
  <c r="H166" i="5"/>
  <c r="H165" i="5"/>
  <c r="AE166" i="5"/>
  <c r="AJ116" i="5"/>
  <c r="AJ173" i="5" s="1"/>
  <c r="H85" i="5"/>
  <c r="I85" i="5"/>
  <c r="K85" i="5"/>
  <c r="R85" i="5" s="1"/>
  <c r="L85" i="5"/>
  <c r="S17" i="5"/>
  <c r="S14" i="5"/>
  <c r="S86" i="5"/>
  <c r="AD165" i="5"/>
  <c r="AJ165" i="5" s="1"/>
  <c r="AC165" i="5"/>
  <c r="AB165" i="5"/>
  <c r="AA165" i="5"/>
  <c r="Z165" i="5"/>
  <c r="AD164" i="5"/>
  <c r="AJ164" i="5" s="1"/>
  <c r="AC164" i="5"/>
  <c r="AB164" i="5"/>
  <c r="AA164" i="5"/>
  <c r="Z164" i="5"/>
  <c r="Y165" i="5"/>
  <c r="Y164" i="5"/>
  <c r="A10" i="6"/>
  <c r="AJ108" i="5"/>
  <c r="AA159" i="5"/>
  <c r="Z159" i="5"/>
  <c r="AB159" i="5"/>
  <c r="AE159" i="5"/>
  <c r="AD159" i="5"/>
  <c r="AC159" i="5"/>
  <c r="S146" i="5"/>
  <c r="AD139" i="5"/>
  <c r="AC139" i="5"/>
  <c r="AB139" i="5"/>
  <c r="AB146" i="5" s="1"/>
  <c r="AA139" i="5"/>
  <c r="AA146" i="5" s="1"/>
  <c r="Z139" i="5"/>
  <c r="Z146" i="5" s="1"/>
  <c r="Y139" i="5"/>
  <c r="Y146" i="5" s="1"/>
  <c r="AE139" i="5"/>
  <c r="S132" i="5"/>
  <c r="S131" i="5"/>
  <c r="S130" i="5"/>
  <c r="S129" i="5"/>
  <c r="S138" i="5" s="1"/>
  <c r="S145" i="5" s="1"/>
  <c r="S151" i="5" s="1"/>
  <c r="S128" i="5"/>
  <c r="S137" i="5" s="1"/>
  <c r="S144" i="5" s="1"/>
  <c r="S150" i="5" s="1"/>
  <c r="S127" i="5"/>
  <c r="S136" i="5" s="1"/>
  <c r="S143" i="5" s="1"/>
  <c r="S149" i="5" s="1"/>
  <c r="AD123" i="5"/>
  <c r="AC123" i="5"/>
  <c r="AB123" i="5"/>
  <c r="AB132" i="5" s="1"/>
  <c r="AA123" i="5"/>
  <c r="AA132" i="5" s="1"/>
  <c r="Z123" i="5"/>
  <c r="Y123" i="5"/>
  <c r="Y132" i="5" s="1"/>
  <c r="AE123" i="5"/>
  <c r="AF124" i="5" s="1"/>
  <c r="AD132" i="5" l="1"/>
  <c r="AD124" i="5"/>
  <c r="AJ123" i="5"/>
  <c r="AJ159" i="5"/>
  <c r="AC140" i="5"/>
  <c r="AD140" i="5"/>
  <c r="AJ140" i="5" s="1"/>
  <c r="AE146" i="5"/>
  <c r="AE140" i="5"/>
  <c r="AF140" i="5"/>
  <c r="AD146" i="5"/>
  <c r="AJ146" i="5" s="1"/>
  <c r="AJ139" i="5"/>
  <c r="N150" i="5"/>
  <c r="AF27" i="6"/>
  <c r="AC132" i="5"/>
  <c r="AE124" i="5"/>
  <c r="Z132" i="5"/>
  <c r="Z124" i="5"/>
  <c r="AA124" i="5"/>
  <c r="AC124" i="5"/>
  <c r="AB124" i="5"/>
  <c r="AC146" i="5"/>
  <c r="Y166" i="5"/>
  <c r="Z166" i="5"/>
  <c r="AB166" i="5"/>
  <c r="AD166" i="5"/>
  <c r="AJ166" i="5" s="1"/>
  <c r="AC166" i="5"/>
  <c r="AA166" i="5"/>
  <c r="O46" i="6"/>
  <c r="O150" i="5"/>
  <c r="AG27" i="6"/>
  <c r="AE132" i="5"/>
  <c r="AE129" i="5"/>
  <c r="AE127" i="5"/>
  <c r="AE131" i="5"/>
  <c r="AE128" i="5"/>
  <c r="AE130" i="5"/>
  <c r="Z127" i="5"/>
  <c r="AB127" i="5"/>
  <c r="AD127" i="5"/>
  <c r="Z128" i="5"/>
  <c r="AB128" i="5"/>
  <c r="AD128" i="5"/>
  <c r="Z129" i="5"/>
  <c r="AB129" i="5"/>
  <c r="AD129" i="5"/>
  <c r="AJ129" i="5" s="1"/>
  <c r="Z130" i="5"/>
  <c r="AB130" i="5"/>
  <c r="AD130" i="5"/>
  <c r="Z131" i="5"/>
  <c r="AB131" i="5"/>
  <c r="AD131" i="5"/>
  <c r="AJ131" i="5" s="1"/>
  <c r="AE143" i="5"/>
  <c r="AE145" i="5"/>
  <c r="Y143" i="5"/>
  <c r="AA143" i="5"/>
  <c r="AC143" i="5"/>
  <c r="Y144" i="5"/>
  <c r="AA144" i="5"/>
  <c r="AC144" i="5"/>
  <c r="Y145" i="5"/>
  <c r="AA145" i="5"/>
  <c r="AC145" i="5"/>
  <c r="Y127" i="5"/>
  <c r="AA127" i="5"/>
  <c r="AC127" i="5"/>
  <c r="Y128" i="5"/>
  <c r="AA128" i="5"/>
  <c r="AC128" i="5"/>
  <c r="Y129" i="5"/>
  <c r="AA129" i="5"/>
  <c r="AC129" i="5"/>
  <c r="Y130" i="5"/>
  <c r="AA130" i="5"/>
  <c r="AC130" i="5"/>
  <c r="Y131" i="5"/>
  <c r="AA131" i="5"/>
  <c r="AC131" i="5"/>
  <c r="AE144" i="5"/>
  <c r="Z143" i="5"/>
  <c r="AB143" i="5"/>
  <c r="AD143" i="5"/>
  <c r="Z144" i="5"/>
  <c r="AB144" i="5"/>
  <c r="AD144" i="5"/>
  <c r="AJ144" i="5" s="1"/>
  <c r="Z145" i="5"/>
  <c r="AB145" i="5"/>
  <c r="AD145" i="5"/>
  <c r="AJ128" i="5" l="1"/>
  <c r="AJ130" i="5"/>
  <c r="AJ145" i="5"/>
  <c r="AJ127" i="5"/>
  <c r="AJ124" i="5"/>
  <c r="AJ132" i="5"/>
  <c r="AJ143" i="5"/>
  <c r="AG46" i="6"/>
  <c r="A3" i="6"/>
  <c r="L30" i="6"/>
  <c r="L21" i="6"/>
  <c r="L78" i="5"/>
  <c r="L79" i="5"/>
  <c r="L60" i="5"/>
  <c r="L52" i="5"/>
  <c r="L23" i="5"/>
  <c r="L19" i="5"/>
  <c r="L13" i="5"/>
  <c r="S18" i="5"/>
  <c r="S16" i="5"/>
  <c r="F152" i="5" l="1"/>
  <c r="E152" i="5"/>
  <c r="D152" i="5"/>
  <c r="C152" i="5"/>
  <c r="G152" i="5"/>
  <c r="H152" i="5"/>
  <c r="I152" i="5"/>
  <c r="L44" i="6" l="1"/>
  <c r="L34" i="6"/>
  <c r="L97" i="5"/>
  <c r="L90" i="5"/>
  <c r="L80" i="5"/>
  <c r="L62" i="5"/>
  <c r="L53" i="5"/>
  <c r="L47" i="5"/>
  <c r="L36" i="5"/>
  <c r="L26" i="5"/>
  <c r="L20" i="5"/>
  <c r="K31" i="6"/>
  <c r="R31" i="6" s="1"/>
  <c r="K24" i="6"/>
  <c r="K52" i="5"/>
  <c r="R52" i="5" s="1"/>
  <c r="K46" i="5"/>
  <c r="R46" i="5" s="1"/>
  <c r="K15" i="5"/>
  <c r="R15" i="5" s="1"/>
  <c r="K13" i="5"/>
  <c r="R13" i="5" s="1"/>
  <c r="M44" i="6"/>
  <c r="K44" i="6"/>
  <c r="R44" i="6" s="1"/>
  <c r="M34" i="6"/>
  <c r="M97" i="5"/>
  <c r="M90" i="5"/>
  <c r="M80" i="5"/>
  <c r="M62" i="5"/>
  <c r="M53" i="5"/>
  <c r="M47" i="5"/>
  <c r="M120" i="5" s="1"/>
  <c r="M36" i="5"/>
  <c r="M26" i="5"/>
  <c r="M30" i="5" s="1"/>
  <c r="N141" i="5" s="1"/>
  <c r="M20" i="5"/>
  <c r="J80" i="5"/>
  <c r="AB78" i="5" s="1"/>
  <c r="I80" i="5"/>
  <c r="AA94" i="5" s="1"/>
  <c r="H80" i="5"/>
  <c r="G80" i="5"/>
  <c r="F80" i="5"/>
  <c r="F130" i="5" s="1"/>
  <c r="E79" i="5"/>
  <c r="E78" i="5" s="1"/>
  <c r="E80" i="5" s="1"/>
  <c r="W101" i="5" s="1"/>
  <c r="D79" i="5"/>
  <c r="D78" i="5" s="1"/>
  <c r="D80" i="5" s="1"/>
  <c r="D138" i="5" s="1"/>
  <c r="C79" i="5"/>
  <c r="C78" i="5" s="1"/>
  <c r="C80" i="5" s="1"/>
  <c r="U95" i="5" s="1"/>
  <c r="B79" i="5"/>
  <c r="B78" i="5" s="1"/>
  <c r="D90" i="5"/>
  <c r="V90" i="5" s="1"/>
  <c r="D97" i="5"/>
  <c r="V97" i="5" s="1"/>
  <c r="E90" i="5"/>
  <c r="E97" i="5"/>
  <c r="W97" i="5" s="1"/>
  <c r="F90" i="5"/>
  <c r="X90" i="5" s="1"/>
  <c r="F97" i="5"/>
  <c r="G85" i="5"/>
  <c r="Y85" i="5" s="1"/>
  <c r="G97" i="5"/>
  <c r="H90" i="5"/>
  <c r="H97" i="5"/>
  <c r="I90" i="5"/>
  <c r="I97" i="5"/>
  <c r="C90" i="5"/>
  <c r="U90" i="5" s="1"/>
  <c r="C97" i="5"/>
  <c r="D24" i="6"/>
  <c r="E24" i="6"/>
  <c r="F24" i="6"/>
  <c r="G24" i="6"/>
  <c r="H24" i="6"/>
  <c r="I24" i="6"/>
  <c r="J14" i="6"/>
  <c r="J15" i="6"/>
  <c r="J20" i="6"/>
  <c r="J21" i="6"/>
  <c r="J23" i="6"/>
  <c r="J24" i="6"/>
  <c r="C24" i="6"/>
  <c r="R6" i="6"/>
  <c r="AH7" i="6" s="1"/>
  <c r="I34" i="6"/>
  <c r="I44" i="6"/>
  <c r="H34" i="6"/>
  <c r="H44" i="6"/>
  <c r="H48" i="6"/>
  <c r="J30" i="6"/>
  <c r="J31" i="6"/>
  <c r="J34" i="6"/>
  <c r="J44" i="6"/>
  <c r="C9" i="5"/>
  <c r="D9" i="5" s="1"/>
  <c r="B90" i="5"/>
  <c r="B97" i="5"/>
  <c r="B24" i="6"/>
  <c r="B34" i="6"/>
  <c r="B44" i="6"/>
  <c r="D48" i="6"/>
  <c r="E48" i="6"/>
  <c r="F48" i="6"/>
  <c r="G48" i="6"/>
  <c r="C34" i="6"/>
  <c r="C44" i="6"/>
  <c r="D34" i="6"/>
  <c r="D44" i="6"/>
  <c r="E34" i="6"/>
  <c r="E44" i="6"/>
  <c r="F34" i="6"/>
  <c r="F44" i="6"/>
  <c r="G34" i="6"/>
  <c r="G44" i="6"/>
  <c r="B8" i="6"/>
  <c r="T8" i="6" s="1"/>
  <c r="A5" i="6"/>
  <c r="S3" i="6"/>
  <c r="J23" i="5"/>
  <c r="C23" i="5"/>
  <c r="C26" i="5" s="1"/>
  <c r="C30" i="5" s="1"/>
  <c r="H23" i="5"/>
  <c r="H26" i="5" s="1"/>
  <c r="H30" i="5" s="1"/>
  <c r="I23" i="5"/>
  <c r="D23" i="5"/>
  <c r="E23" i="5"/>
  <c r="E26" i="5" s="1"/>
  <c r="E30" i="5" s="1"/>
  <c r="F23" i="5"/>
  <c r="G23" i="5"/>
  <c r="G26" i="5" s="1"/>
  <c r="G30" i="5" s="1"/>
  <c r="J50" i="5"/>
  <c r="J53" i="5" s="1"/>
  <c r="F13" i="5"/>
  <c r="F15" i="5"/>
  <c r="F19" i="5"/>
  <c r="F26" i="5"/>
  <c r="F36" i="5"/>
  <c r="G13" i="5"/>
  <c r="G15" i="5"/>
  <c r="G19" i="5"/>
  <c r="G36" i="5"/>
  <c r="H13" i="5"/>
  <c r="H121" i="5" s="1"/>
  <c r="H15" i="5"/>
  <c r="H19" i="5"/>
  <c r="H36" i="5"/>
  <c r="I13" i="5"/>
  <c r="I120" i="5" s="1"/>
  <c r="I15" i="5"/>
  <c r="I19" i="5"/>
  <c r="I26" i="5"/>
  <c r="I30" i="5" s="1"/>
  <c r="I36" i="5"/>
  <c r="J45" i="5"/>
  <c r="J13" i="5"/>
  <c r="J15" i="5"/>
  <c r="J19" i="5"/>
  <c r="J24" i="5"/>
  <c r="J28" i="5"/>
  <c r="J33" i="5"/>
  <c r="J34" i="5"/>
  <c r="J35" i="5"/>
  <c r="J43" i="5"/>
  <c r="K26" i="5"/>
  <c r="R26" i="5" s="1"/>
  <c r="K34" i="5"/>
  <c r="R34" i="5" s="1"/>
  <c r="C13" i="5"/>
  <c r="C60" i="5"/>
  <c r="C62" i="5" s="1"/>
  <c r="C149" i="5" s="1"/>
  <c r="B60" i="5"/>
  <c r="B62" i="5" s="1"/>
  <c r="D60" i="5"/>
  <c r="D62" i="5" s="1"/>
  <c r="D149" i="5" s="1"/>
  <c r="E60" i="5"/>
  <c r="E62" i="5" s="1"/>
  <c r="F60" i="5"/>
  <c r="F62" i="5" s="1"/>
  <c r="F149" i="5" s="1"/>
  <c r="G60" i="5"/>
  <c r="H60" i="5"/>
  <c r="H62" i="5" s="1"/>
  <c r="I60" i="5"/>
  <c r="I62" i="5" s="1"/>
  <c r="J90" i="5"/>
  <c r="J97" i="5"/>
  <c r="J60" i="5"/>
  <c r="J61" i="5"/>
  <c r="J62" i="5"/>
  <c r="J41" i="5"/>
  <c r="J49" i="5"/>
  <c r="K62" i="5"/>
  <c r="R62" i="5" s="1"/>
  <c r="K80" i="5"/>
  <c r="AC94" i="5" s="1"/>
  <c r="J52" i="5"/>
  <c r="J46" i="5"/>
  <c r="J44" i="5"/>
  <c r="K90" i="5"/>
  <c r="R90" i="5" s="1"/>
  <c r="K97" i="5"/>
  <c r="R97" i="5" s="1"/>
  <c r="C105" i="5"/>
  <c r="D105" i="5"/>
  <c r="E105" i="5"/>
  <c r="F105" i="5"/>
  <c r="G105" i="5"/>
  <c r="H105" i="5"/>
  <c r="C52" i="5"/>
  <c r="C53" i="5" s="1"/>
  <c r="C46" i="5"/>
  <c r="C47" i="5" s="1"/>
  <c r="D52" i="5"/>
  <c r="D53" i="5" s="1"/>
  <c r="D46" i="5"/>
  <c r="D47" i="5" s="1"/>
  <c r="E52" i="5"/>
  <c r="E53" i="5" s="1"/>
  <c r="E46" i="5"/>
  <c r="E47" i="5" s="1"/>
  <c r="F52" i="5"/>
  <c r="F53" i="5" s="1"/>
  <c r="F46" i="5"/>
  <c r="F47" i="5" s="1"/>
  <c r="G52" i="5"/>
  <c r="G46" i="5"/>
  <c r="H52" i="5"/>
  <c r="H53" i="5" s="1"/>
  <c r="H46" i="5"/>
  <c r="H47" i="5" s="1"/>
  <c r="I52" i="5"/>
  <c r="I53" i="5" s="1"/>
  <c r="I125" i="5" s="1"/>
  <c r="I46" i="5"/>
  <c r="I47" i="5" s="1"/>
  <c r="C15" i="5"/>
  <c r="C19" i="5"/>
  <c r="C36" i="5"/>
  <c r="D13" i="5"/>
  <c r="D15" i="5"/>
  <c r="D19" i="5"/>
  <c r="D26" i="5"/>
  <c r="D30" i="5" s="1"/>
  <c r="D36" i="5"/>
  <c r="E13" i="5"/>
  <c r="E15" i="5"/>
  <c r="E19" i="5"/>
  <c r="E36" i="5"/>
  <c r="K53" i="5"/>
  <c r="R53" i="5" s="1"/>
  <c r="K47" i="5"/>
  <c r="R47" i="5" s="1"/>
  <c r="S32" i="5"/>
  <c r="T9" i="5"/>
  <c r="U9" i="5" s="1"/>
  <c r="B75" i="5"/>
  <c r="C75" i="5" s="1"/>
  <c r="AB87" i="5"/>
  <c r="C120" i="5"/>
  <c r="B13" i="5"/>
  <c r="G121" i="5"/>
  <c r="B15" i="5"/>
  <c r="B19" i="5"/>
  <c r="B20" i="5" s="1"/>
  <c r="B23" i="5"/>
  <c r="B26" i="5" s="1"/>
  <c r="B30" i="5" s="1"/>
  <c r="B37" i="5" s="1"/>
  <c r="B36" i="5"/>
  <c r="B46" i="5"/>
  <c r="B47" i="5" s="1"/>
  <c r="U89" i="5"/>
  <c r="V89" i="5"/>
  <c r="X89" i="5"/>
  <c r="Y89" i="5"/>
  <c r="Y78" i="5"/>
  <c r="S42" i="5"/>
  <c r="AB101" i="5"/>
  <c r="S79" i="5"/>
  <c r="S80" i="5"/>
  <c r="S78" i="5"/>
  <c r="AA95" i="5"/>
  <c r="AA80" i="5"/>
  <c r="Z84" i="5"/>
  <c r="B52" i="5"/>
  <c r="B53" i="5" s="1"/>
  <c r="B105" i="5"/>
  <c r="S30" i="5"/>
  <c r="S5" i="6"/>
  <c r="S94" i="5"/>
  <c r="S95" i="5"/>
  <c r="S96" i="5"/>
  <c r="S97" i="5"/>
  <c r="S99" i="5"/>
  <c r="S100" i="5"/>
  <c r="S101" i="5"/>
  <c r="S102" i="5"/>
  <c r="S104" i="5"/>
  <c r="S105" i="5"/>
  <c r="S93" i="5"/>
  <c r="S84" i="5"/>
  <c r="S85" i="5"/>
  <c r="S87" i="5"/>
  <c r="S88" i="5"/>
  <c r="S89" i="5"/>
  <c r="S83" i="5"/>
  <c r="Z97" i="5"/>
  <c r="Z93" i="5"/>
  <c r="Z87" i="5"/>
  <c r="Z79" i="5"/>
  <c r="A112" i="5"/>
  <c r="S112" i="5" s="1"/>
  <c r="A71" i="5"/>
  <c r="R73" i="5"/>
  <c r="R115" i="5"/>
  <c r="AJ172" i="5" s="1"/>
  <c r="S37" i="6"/>
  <c r="S63" i="5"/>
  <c r="S62" i="5"/>
  <c r="S61" i="5"/>
  <c r="S60" i="5"/>
  <c r="S59" i="5"/>
  <c r="S57" i="5"/>
  <c r="S55" i="5"/>
  <c r="S50" i="5"/>
  <c r="S52" i="5"/>
  <c r="S53" i="5"/>
  <c r="S49" i="5"/>
  <c r="S34" i="5"/>
  <c r="S35" i="5"/>
  <c r="S33" i="5"/>
  <c r="S28" i="5"/>
  <c r="S24" i="5"/>
  <c r="S25" i="5"/>
  <c r="S26" i="5"/>
  <c r="S23" i="5"/>
  <c r="S42" i="6"/>
  <c r="S41" i="6"/>
  <c r="S40" i="6"/>
  <c r="S39" i="6"/>
  <c r="S38" i="6"/>
  <c r="S32" i="6"/>
  <c r="S31" i="6"/>
  <c r="S30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Y101" i="5"/>
  <c r="U101" i="5"/>
  <c r="X100" i="5"/>
  <c r="V100" i="5"/>
  <c r="U100" i="5"/>
  <c r="Y97" i="5"/>
  <c r="U96" i="5"/>
  <c r="Y95" i="5"/>
  <c r="X95" i="5"/>
  <c r="W95" i="5"/>
  <c r="V95" i="5"/>
  <c r="Y94" i="5"/>
  <c r="U94" i="5"/>
  <c r="Y93" i="5"/>
  <c r="X93" i="5"/>
  <c r="W93" i="5"/>
  <c r="V93" i="5"/>
  <c r="X88" i="5"/>
  <c r="W88" i="5"/>
  <c r="V88" i="5"/>
  <c r="Y87" i="5"/>
  <c r="U87" i="5"/>
  <c r="X85" i="5"/>
  <c r="W85" i="5"/>
  <c r="V85" i="5"/>
  <c r="Y84" i="5"/>
  <c r="U84" i="5"/>
  <c r="Y83" i="5"/>
  <c r="X83" i="5"/>
  <c r="W83" i="5"/>
  <c r="V83" i="5"/>
  <c r="Y80" i="5"/>
  <c r="U80" i="5"/>
  <c r="Y79" i="5"/>
  <c r="X79" i="5"/>
  <c r="W79" i="5"/>
  <c r="V79" i="5"/>
  <c r="S43" i="5"/>
  <c r="S44" i="5"/>
  <c r="S45" i="5"/>
  <c r="S46" i="5"/>
  <c r="S41" i="5"/>
  <c r="S13" i="5"/>
  <c r="S15" i="5"/>
  <c r="S19" i="5"/>
  <c r="S20" i="5"/>
  <c r="S12" i="5"/>
  <c r="A110" i="5"/>
  <c r="S110" i="5" s="1"/>
  <c r="L120" i="5" l="1"/>
  <c r="R120" i="5" s="1"/>
  <c r="AA83" i="5"/>
  <c r="AA84" i="5"/>
  <c r="AA85" i="5"/>
  <c r="W89" i="5"/>
  <c r="AB84" i="5"/>
  <c r="W100" i="5"/>
  <c r="AA87" i="5"/>
  <c r="U78" i="5"/>
  <c r="I121" i="5"/>
  <c r="H55" i="5"/>
  <c r="H63" i="5" s="1"/>
  <c r="X97" i="5"/>
  <c r="K34" i="6"/>
  <c r="R34" i="6" s="1"/>
  <c r="AJ84" i="5"/>
  <c r="AJ87" i="5"/>
  <c r="AJ80" i="5"/>
  <c r="AJ101" i="5"/>
  <c r="AJ89" i="5"/>
  <c r="AJ93" i="5"/>
  <c r="AJ83" i="5"/>
  <c r="AJ94" i="5"/>
  <c r="AJ86" i="5"/>
  <c r="AJ85" i="5"/>
  <c r="AJ79" i="5"/>
  <c r="AJ78" i="5"/>
  <c r="AA101" i="5"/>
  <c r="AA78" i="5"/>
  <c r="AC80" i="5"/>
  <c r="AJ90" i="5"/>
  <c r="W80" i="5"/>
  <c r="W90" i="5"/>
  <c r="AA90" i="5"/>
  <c r="AB79" i="5"/>
  <c r="AC87" i="5"/>
  <c r="AA97" i="5"/>
  <c r="L119" i="5"/>
  <c r="R119" i="5" s="1"/>
  <c r="AJ97" i="5"/>
  <c r="U97" i="5"/>
  <c r="AA93" i="5"/>
  <c r="AB83" i="5"/>
  <c r="W78" i="5"/>
  <c r="F138" i="5"/>
  <c r="J121" i="5"/>
  <c r="F121" i="5"/>
  <c r="R80" i="5"/>
  <c r="K130" i="5"/>
  <c r="AA89" i="5"/>
  <c r="W84" i="5"/>
  <c r="W87" i="5"/>
  <c r="W94" i="5"/>
  <c r="W96" i="5"/>
  <c r="K20" i="5"/>
  <c r="R20" i="5" s="1"/>
  <c r="U79" i="5"/>
  <c r="U83" i="5"/>
  <c r="U85" i="5"/>
  <c r="U88" i="5"/>
  <c r="U93" i="5"/>
  <c r="AA79" i="5"/>
  <c r="AB94" i="5"/>
  <c r="J125" i="5"/>
  <c r="K138" i="5"/>
  <c r="K139" i="5"/>
  <c r="K164" i="5"/>
  <c r="AC86" i="5"/>
  <c r="J160" i="5"/>
  <c r="J91" i="5"/>
  <c r="J99" i="5" s="1"/>
  <c r="K36" i="5"/>
  <c r="R36" i="5" s="1"/>
  <c r="H130" i="5"/>
  <c r="H167" i="5" s="1"/>
  <c r="H139" i="5"/>
  <c r="H141" i="5"/>
  <c r="H138" i="5"/>
  <c r="Z86" i="5"/>
  <c r="H164" i="5"/>
  <c r="Z85" i="5"/>
  <c r="J130" i="5"/>
  <c r="J167" i="5" s="1"/>
  <c r="J139" i="5"/>
  <c r="J138" i="5"/>
  <c r="AB86" i="5"/>
  <c r="J164" i="5"/>
  <c r="M176" i="5"/>
  <c r="M162" i="5"/>
  <c r="M161" i="5"/>
  <c r="M160" i="5"/>
  <c r="M156" i="5"/>
  <c r="M155" i="5"/>
  <c r="M149" i="5"/>
  <c r="M126" i="5"/>
  <c r="M125" i="5"/>
  <c r="N133" i="5"/>
  <c r="N134" i="5"/>
  <c r="L121" i="5"/>
  <c r="L139" i="5"/>
  <c r="L138" i="5"/>
  <c r="R138" i="5" s="1"/>
  <c r="L130" i="5"/>
  <c r="AD86" i="5"/>
  <c r="L164" i="5"/>
  <c r="M121" i="5"/>
  <c r="K176" i="5"/>
  <c r="G130" i="5"/>
  <c r="G167" i="5" s="1"/>
  <c r="G138" i="5"/>
  <c r="G139" i="5"/>
  <c r="G141" i="5"/>
  <c r="Y88" i="5"/>
  <c r="I130" i="5"/>
  <c r="I167" i="5" s="1"/>
  <c r="I138" i="5"/>
  <c r="I139" i="5"/>
  <c r="I141" i="5"/>
  <c r="I164" i="5"/>
  <c r="AA86" i="5"/>
  <c r="M119" i="5"/>
  <c r="N140" i="5"/>
  <c r="M164" i="5"/>
  <c r="M141" i="5"/>
  <c r="M140" i="5"/>
  <c r="M138" i="5"/>
  <c r="M130" i="5"/>
  <c r="M139" i="5"/>
  <c r="N164" i="5"/>
  <c r="N121" i="5"/>
  <c r="L176" i="5"/>
  <c r="R176" i="5" s="1"/>
  <c r="L126" i="5"/>
  <c r="R126" i="5" s="1"/>
  <c r="L125" i="5"/>
  <c r="L162" i="5"/>
  <c r="L161" i="5"/>
  <c r="L160" i="5"/>
  <c r="R160" i="5" s="1"/>
  <c r="L156" i="5"/>
  <c r="R156" i="5" s="1"/>
  <c r="L155" i="5"/>
  <c r="R155" i="5" s="1"/>
  <c r="L149" i="5"/>
  <c r="R149" i="5" s="1"/>
  <c r="V80" i="5"/>
  <c r="X80" i="5"/>
  <c r="V84" i="5"/>
  <c r="X84" i="5"/>
  <c r="V87" i="5"/>
  <c r="X87" i="5"/>
  <c r="V94" i="5"/>
  <c r="X94" i="5"/>
  <c r="V96" i="5"/>
  <c r="X96" i="5"/>
  <c r="X101" i="5"/>
  <c r="V101" i="5"/>
  <c r="Z80" i="5"/>
  <c r="Z89" i="5"/>
  <c r="Z94" i="5"/>
  <c r="Z101" i="5"/>
  <c r="T75" i="5"/>
  <c r="B116" i="5"/>
  <c r="Z83" i="5"/>
  <c r="AB80" i="5"/>
  <c r="AB93" i="5"/>
  <c r="AB97" i="5"/>
  <c r="Z78" i="5"/>
  <c r="X78" i="5"/>
  <c r="V78" i="5"/>
  <c r="F139" i="5"/>
  <c r="AB89" i="5"/>
  <c r="AB85" i="5"/>
  <c r="AB90" i="5"/>
  <c r="AC78" i="5"/>
  <c r="AC84" i="5"/>
  <c r="AC89" i="5"/>
  <c r="AC101" i="5"/>
  <c r="H120" i="5"/>
  <c r="F120" i="5"/>
  <c r="K149" i="5"/>
  <c r="K30" i="5"/>
  <c r="R30" i="5" s="1"/>
  <c r="M167" i="5"/>
  <c r="AE86" i="5"/>
  <c r="E160" i="5"/>
  <c r="E149" i="5"/>
  <c r="E125" i="5"/>
  <c r="H91" i="5"/>
  <c r="Z91" i="5" s="1"/>
  <c r="Z90" i="5"/>
  <c r="D20" i="5"/>
  <c r="D119" i="5" s="1"/>
  <c r="K156" i="5"/>
  <c r="J20" i="5"/>
  <c r="I91" i="5"/>
  <c r="AA91" i="5" s="1"/>
  <c r="B162" i="5"/>
  <c r="B160" i="5"/>
  <c r="B161" i="5"/>
  <c r="B156" i="5"/>
  <c r="B155" i="5"/>
  <c r="B157" i="5" s="1"/>
  <c r="B149" i="5"/>
  <c r="E20" i="5"/>
  <c r="E38" i="5" s="1"/>
  <c r="J156" i="5"/>
  <c r="J36" i="5"/>
  <c r="U75" i="5"/>
  <c r="B125" i="5"/>
  <c r="B55" i="5"/>
  <c r="B124" i="5" s="1"/>
  <c r="V9" i="5"/>
  <c r="C116" i="5"/>
  <c r="E37" i="5"/>
  <c r="E126" i="5"/>
  <c r="C37" i="5"/>
  <c r="C141" i="5"/>
  <c r="C161" i="5"/>
  <c r="C160" i="5"/>
  <c r="C156" i="5"/>
  <c r="C125" i="5"/>
  <c r="C162" i="5"/>
  <c r="C126" i="5"/>
  <c r="B120" i="5"/>
  <c r="B119" i="5"/>
  <c r="E141" i="5"/>
  <c r="D37" i="5"/>
  <c r="B126" i="5"/>
  <c r="B63" i="5"/>
  <c r="I20" i="5"/>
  <c r="I119" i="5" s="1"/>
  <c r="D139" i="5"/>
  <c r="D121" i="5"/>
  <c r="E120" i="5"/>
  <c r="C20" i="5"/>
  <c r="C119" i="5" s="1"/>
  <c r="G47" i="5"/>
  <c r="G53" i="5"/>
  <c r="D120" i="5"/>
  <c r="J155" i="5"/>
  <c r="J157" i="5" s="1"/>
  <c r="E156" i="5"/>
  <c r="J162" i="5"/>
  <c r="E161" i="5"/>
  <c r="G62" i="5"/>
  <c r="G126" i="5" s="1"/>
  <c r="J26" i="5"/>
  <c r="H20" i="5"/>
  <c r="H119" i="5" s="1"/>
  <c r="F20" i="5"/>
  <c r="F119" i="5" s="1"/>
  <c r="AE10" i="6"/>
  <c r="H149" i="5"/>
  <c r="H161" i="5"/>
  <c r="H155" i="5"/>
  <c r="H125" i="5"/>
  <c r="H160" i="5"/>
  <c r="H162" i="5"/>
  <c r="H156" i="5"/>
  <c r="D160" i="5"/>
  <c r="D162" i="5"/>
  <c r="D156" i="5"/>
  <c r="D125" i="5"/>
  <c r="D126" i="5"/>
  <c r="D161" i="5"/>
  <c r="D155" i="5"/>
  <c r="D157" i="5" s="1"/>
  <c r="B80" i="5"/>
  <c r="T78" i="5" s="1"/>
  <c r="D130" i="5"/>
  <c r="V10" i="6"/>
  <c r="D91" i="5"/>
  <c r="E121" i="5"/>
  <c r="D141" i="5"/>
  <c r="B38" i="5"/>
  <c r="T53" i="5" s="1"/>
  <c r="I55" i="5"/>
  <c r="I124" i="5" s="1"/>
  <c r="F55" i="5"/>
  <c r="E55" i="5"/>
  <c r="D55" i="5"/>
  <c r="C55" i="5"/>
  <c r="C63" i="5" s="1"/>
  <c r="I149" i="5"/>
  <c r="I161" i="5"/>
  <c r="I155" i="5"/>
  <c r="I160" i="5"/>
  <c r="I162" i="5"/>
  <c r="I156" i="5"/>
  <c r="F160" i="5"/>
  <c r="F162" i="5"/>
  <c r="F156" i="5"/>
  <c r="F125" i="5"/>
  <c r="F161" i="5"/>
  <c r="F155" i="5"/>
  <c r="C130" i="5"/>
  <c r="U10" i="6"/>
  <c r="C138" i="5"/>
  <c r="C139" i="5"/>
  <c r="C140" i="5"/>
  <c r="C91" i="5"/>
  <c r="E130" i="5"/>
  <c r="W10" i="6"/>
  <c r="E91" i="5"/>
  <c r="E138" i="5"/>
  <c r="E139" i="5"/>
  <c r="J149" i="5"/>
  <c r="K152" i="5"/>
  <c r="J152" i="5"/>
  <c r="AD10" i="6"/>
  <c r="AD40" i="6" s="1"/>
  <c r="D75" i="5"/>
  <c r="AC79" i="5"/>
  <c r="AC83" i="5"/>
  <c r="AC85" i="5"/>
  <c r="AC93" i="5"/>
  <c r="K121" i="5"/>
  <c r="J47" i="5"/>
  <c r="E63" i="5"/>
  <c r="AC97" i="5"/>
  <c r="C155" i="5"/>
  <c r="K155" i="5"/>
  <c r="E155" i="5"/>
  <c r="E157" i="5" s="1"/>
  <c r="K161" i="5"/>
  <c r="J161" i="5"/>
  <c r="G161" i="5"/>
  <c r="E162" i="5"/>
  <c r="E163" i="5" s="1"/>
  <c r="G20" i="5"/>
  <c r="G90" i="5"/>
  <c r="F91" i="5"/>
  <c r="X10" i="6"/>
  <c r="Y10" i="6"/>
  <c r="Z10" i="6"/>
  <c r="AA10" i="6"/>
  <c r="AB10" i="6"/>
  <c r="L30" i="5"/>
  <c r="AD79" i="5"/>
  <c r="AD83" i="5"/>
  <c r="AD85" i="5"/>
  <c r="AD90" i="5"/>
  <c r="AD93" i="5"/>
  <c r="AD97" i="5"/>
  <c r="L91" i="5"/>
  <c r="AD78" i="5"/>
  <c r="AD80" i="5"/>
  <c r="AD84" i="5"/>
  <c r="AD87" i="5"/>
  <c r="AD89" i="5"/>
  <c r="AD94" i="5"/>
  <c r="AD101" i="5"/>
  <c r="L55" i="5"/>
  <c r="L37" i="5"/>
  <c r="D8" i="6"/>
  <c r="V8" i="6" s="1"/>
  <c r="E9" i="5"/>
  <c r="C8" i="6"/>
  <c r="U8" i="6" s="1"/>
  <c r="K162" i="5"/>
  <c r="K160" i="5"/>
  <c r="K125" i="5"/>
  <c r="K120" i="5"/>
  <c r="K119" i="5"/>
  <c r="AC90" i="5"/>
  <c r="K91" i="5"/>
  <c r="R91" i="5" s="1"/>
  <c r="AC10" i="6"/>
  <c r="M55" i="5"/>
  <c r="M124" i="5" s="1"/>
  <c r="K55" i="5"/>
  <c r="R55" i="5" s="1"/>
  <c r="K126" i="5"/>
  <c r="K38" i="5"/>
  <c r="I37" i="5"/>
  <c r="I126" i="5"/>
  <c r="H37" i="5"/>
  <c r="H126" i="5"/>
  <c r="G38" i="5"/>
  <c r="Y30" i="5"/>
  <c r="G37" i="5"/>
  <c r="Y37" i="5" s="1"/>
  <c r="F30" i="5"/>
  <c r="H99" i="5"/>
  <c r="H148" i="5" s="1"/>
  <c r="M91" i="5"/>
  <c r="AE78" i="5"/>
  <c r="AE80" i="5"/>
  <c r="AE84" i="5"/>
  <c r="AE87" i="5"/>
  <c r="AE89" i="5"/>
  <c r="AE94" i="5"/>
  <c r="AE101" i="5"/>
  <c r="AE79" i="5"/>
  <c r="AE83" i="5"/>
  <c r="AE85" i="5"/>
  <c r="AE90" i="5"/>
  <c r="AE93" i="5"/>
  <c r="AE97" i="5"/>
  <c r="S3" i="5"/>
  <c r="S69" i="5"/>
  <c r="A69" i="5"/>
  <c r="M37" i="5"/>
  <c r="M38" i="5"/>
  <c r="AC42" i="5" l="1"/>
  <c r="R38" i="5"/>
  <c r="AB91" i="5"/>
  <c r="J163" i="5"/>
  <c r="I99" i="5"/>
  <c r="I148" i="5" s="1"/>
  <c r="H38" i="5"/>
  <c r="Z30" i="5" s="1"/>
  <c r="G155" i="5"/>
  <c r="I140" i="5"/>
  <c r="B163" i="5"/>
  <c r="R162" i="5"/>
  <c r="L140" i="5"/>
  <c r="R140" i="5" s="1"/>
  <c r="L63" i="5"/>
  <c r="AJ63" i="5" s="1"/>
  <c r="AJ55" i="5"/>
  <c r="R164" i="5"/>
  <c r="L167" i="5"/>
  <c r="R167" i="5" s="1"/>
  <c r="R130" i="5"/>
  <c r="H124" i="5"/>
  <c r="R161" i="5"/>
  <c r="AE24" i="5"/>
  <c r="AE42" i="5"/>
  <c r="L124" i="5"/>
  <c r="R124" i="5" s="1"/>
  <c r="R139" i="5"/>
  <c r="AJ91" i="5"/>
  <c r="AJ37" i="5"/>
  <c r="D38" i="5"/>
  <c r="V30" i="5" s="1"/>
  <c r="R125" i="5"/>
  <c r="R121" i="5"/>
  <c r="AD34" i="6"/>
  <c r="N142" i="5"/>
  <c r="N132" i="5"/>
  <c r="M177" i="5"/>
  <c r="M175" i="5"/>
  <c r="J148" i="5"/>
  <c r="K167" i="5"/>
  <c r="K177" i="5"/>
  <c r="K175" i="5"/>
  <c r="L177" i="5"/>
  <c r="L175" i="5"/>
  <c r="AA37" i="5"/>
  <c r="I38" i="5"/>
  <c r="K37" i="5"/>
  <c r="R37" i="5" s="1"/>
  <c r="K157" i="5"/>
  <c r="K140" i="5"/>
  <c r="C157" i="5"/>
  <c r="E140" i="5"/>
  <c r="E119" i="5"/>
  <c r="L157" i="5"/>
  <c r="L163" i="5"/>
  <c r="R163" i="5" s="1"/>
  <c r="I142" i="5"/>
  <c r="M157" i="5"/>
  <c r="M163" i="5"/>
  <c r="AD31" i="6"/>
  <c r="AD15" i="6"/>
  <c r="AD19" i="6"/>
  <c r="AD20" i="6"/>
  <c r="AD44" i="6"/>
  <c r="AD23" i="6"/>
  <c r="AC31" i="6"/>
  <c r="AH10" i="6"/>
  <c r="AD17" i="6"/>
  <c r="AD24" i="6"/>
  <c r="AD41" i="6"/>
  <c r="AD14" i="6"/>
  <c r="AD21" i="6"/>
  <c r="AD32" i="6"/>
  <c r="L142" i="5"/>
  <c r="L141" i="5"/>
  <c r="R141" i="5" s="1"/>
  <c r="AE21" i="6"/>
  <c r="AE19" i="6"/>
  <c r="AE20" i="6"/>
  <c r="M99" i="5"/>
  <c r="AD30" i="6"/>
  <c r="AE46" i="5"/>
  <c r="W20" i="5"/>
  <c r="AC30" i="5"/>
  <c r="AC16" i="5"/>
  <c r="AC18" i="5"/>
  <c r="F157" i="5"/>
  <c r="F163" i="5"/>
  <c r="I163" i="5"/>
  <c r="C121" i="5"/>
  <c r="W63" i="5"/>
  <c r="T63" i="5"/>
  <c r="M63" i="5"/>
  <c r="AE18" i="5"/>
  <c r="AE41" i="6"/>
  <c r="AE24" i="6"/>
  <c r="AE15" i="6"/>
  <c r="AE31" i="6"/>
  <c r="AE17" i="6"/>
  <c r="AE44" i="6"/>
  <c r="AE40" i="6"/>
  <c r="AE32" i="6"/>
  <c r="AE30" i="6"/>
  <c r="AE14" i="6"/>
  <c r="AE34" i="6"/>
  <c r="G55" i="5"/>
  <c r="G120" i="5"/>
  <c r="W42" i="5"/>
  <c r="W36" i="5"/>
  <c r="W23" i="5"/>
  <c r="W62" i="5"/>
  <c r="W60" i="5"/>
  <c r="W53" i="5"/>
  <c r="W50" i="5"/>
  <c r="W47" i="5"/>
  <c r="W45" i="5"/>
  <c r="W43" i="5"/>
  <c r="W38" i="5"/>
  <c r="W33" i="5"/>
  <c r="W26" i="5"/>
  <c r="W24" i="5"/>
  <c r="W19" i="5"/>
  <c r="W13" i="5"/>
  <c r="W57" i="5"/>
  <c r="W49" i="5"/>
  <c r="W46" i="5"/>
  <c r="W44" i="5"/>
  <c r="W41" i="5"/>
  <c r="W34" i="5"/>
  <c r="W25" i="5"/>
  <c r="W15" i="5"/>
  <c r="W12" i="5"/>
  <c r="W28" i="5"/>
  <c r="W35" i="5"/>
  <c r="W61" i="5"/>
  <c r="W52" i="5"/>
  <c r="W9" i="5"/>
  <c r="D116" i="5"/>
  <c r="K163" i="5"/>
  <c r="I63" i="5"/>
  <c r="AA63" i="5" s="1"/>
  <c r="H157" i="5"/>
  <c r="H163" i="5"/>
  <c r="C163" i="5"/>
  <c r="W30" i="5"/>
  <c r="W37" i="5"/>
  <c r="J30" i="5"/>
  <c r="K141" i="5" s="1"/>
  <c r="G149" i="5"/>
  <c r="G162" i="5"/>
  <c r="G125" i="5"/>
  <c r="G160" i="5"/>
  <c r="G163" i="5" s="1"/>
  <c r="G156" i="5"/>
  <c r="C38" i="5"/>
  <c r="U63" i="5" s="1"/>
  <c r="D140" i="5"/>
  <c r="V61" i="5"/>
  <c r="V52" i="5"/>
  <c r="V49" i="5"/>
  <c r="V46" i="5"/>
  <c r="V44" i="5"/>
  <c r="V25" i="5"/>
  <c r="V12" i="5"/>
  <c r="V53" i="5"/>
  <c r="V43" i="5"/>
  <c r="V33" i="5"/>
  <c r="V36" i="5"/>
  <c r="V62" i="5"/>
  <c r="V60" i="5"/>
  <c r="V50" i="5"/>
  <c r="V47" i="5"/>
  <c r="V26" i="5"/>
  <c r="V13" i="5"/>
  <c r="F140" i="5"/>
  <c r="AA14" i="6"/>
  <c r="AA15" i="6"/>
  <c r="AA16" i="6"/>
  <c r="AA17" i="6"/>
  <c r="AA19" i="6"/>
  <c r="AA20" i="6"/>
  <c r="AA21" i="6"/>
  <c r="AA23" i="6"/>
  <c r="AA24" i="6"/>
  <c r="AA30" i="6"/>
  <c r="AA31" i="6"/>
  <c r="AA34" i="6"/>
  <c r="AA40" i="6"/>
  <c r="AA41" i="6"/>
  <c r="AA44" i="6"/>
  <c r="Y48" i="6"/>
  <c r="Y50" i="6"/>
  <c r="Y14" i="6"/>
  <c r="Y15" i="6"/>
  <c r="Y16" i="6"/>
  <c r="Y19" i="6"/>
  <c r="Y20" i="6"/>
  <c r="Y21" i="6"/>
  <c r="Y22" i="6"/>
  <c r="Y23" i="6"/>
  <c r="Y24" i="6"/>
  <c r="Y30" i="6"/>
  <c r="Y31" i="6"/>
  <c r="Y34" i="6"/>
  <c r="Y39" i="6"/>
  <c r="Y40" i="6"/>
  <c r="Y41" i="6"/>
  <c r="Y44" i="6"/>
  <c r="F99" i="5"/>
  <c r="F148" i="5" s="1"/>
  <c r="X91" i="5"/>
  <c r="G119" i="5"/>
  <c r="H140" i="5"/>
  <c r="J120" i="5"/>
  <c r="J55" i="5"/>
  <c r="J119" i="5"/>
  <c r="J140" i="5"/>
  <c r="E75" i="5"/>
  <c r="V75" i="5"/>
  <c r="W48" i="6"/>
  <c r="W50" i="6"/>
  <c r="W14" i="6"/>
  <c r="W15" i="6"/>
  <c r="W16" i="6"/>
  <c r="W17" i="6"/>
  <c r="W19" i="6"/>
  <c r="W20" i="6"/>
  <c r="W21" i="6"/>
  <c r="W22" i="6"/>
  <c r="W23" i="6"/>
  <c r="W24" i="6"/>
  <c r="W30" i="6"/>
  <c r="W31" i="6"/>
  <c r="W32" i="6"/>
  <c r="W34" i="6"/>
  <c r="W37" i="6"/>
  <c r="W38" i="6"/>
  <c r="W39" i="6"/>
  <c r="W40" i="6"/>
  <c r="W41" i="6"/>
  <c r="W42" i="6"/>
  <c r="W44" i="6"/>
  <c r="C99" i="5"/>
  <c r="C148" i="5" s="1"/>
  <c r="U91" i="5"/>
  <c r="C124" i="5"/>
  <c r="E124" i="5"/>
  <c r="W55" i="5"/>
  <c r="T62" i="5"/>
  <c r="T60" i="5"/>
  <c r="T55" i="5"/>
  <c r="T52" i="5"/>
  <c r="T49" i="5"/>
  <c r="T46" i="5"/>
  <c r="T44" i="5"/>
  <c r="T41" i="5"/>
  <c r="T36" i="5"/>
  <c r="T34" i="5"/>
  <c r="T30" i="5"/>
  <c r="T23" i="5"/>
  <c r="T25" i="5"/>
  <c r="T20" i="5"/>
  <c r="T15" i="5"/>
  <c r="T12" i="5"/>
  <c r="T61" i="5"/>
  <c r="T57" i="5"/>
  <c r="T50" i="5"/>
  <c r="T47" i="5"/>
  <c r="T45" i="5"/>
  <c r="T43" i="5"/>
  <c r="T38" i="5"/>
  <c r="T35" i="5"/>
  <c r="T33" i="5"/>
  <c r="T28" i="5"/>
  <c r="T26" i="5"/>
  <c r="T24" i="5"/>
  <c r="T19" i="5"/>
  <c r="T13" i="5"/>
  <c r="D99" i="5"/>
  <c r="D148" i="5" s="1"/>
  <c r="V91" i="5"/>
  <c r="Z37" i="5"/>
  <c r="G140" i="5"/>
  <c r="D163" i="5"/>
  <c r="T37" i="5"/>
  <c r="AB14" i="6"/>
  <c r="AB15" i="6"/>
  <c r="AB17" i="6"/>
  <c r="AB20" i="6"/>
  <c r="AB21" i="6"/>
  <c r="AB23" i="6"/>
  <c r="AB24" i="6"/>
  <c r="AB30" i="6"/>
  <c r="AB31" i="6"/>
  <c r="AB32" i="6"/>
  <c r="AB34" i="6"/>
  <c r="AB39" i="6"/>
  <c r="AB40" i="6"/>
  <c r="AB41" i="6"/>
  <c r="AB44" i="6"/>
  <c r="Z14" i="6"/>
  <c r="Z15" i="6"/>
  <c r="Z19" i="6"/>
  <c r="Z20" i="6"/>
  <c r="Z21" i="6"/>
  <c r="Z22" i="6"/>
  <c r="Z23" i="6"/>
  <c r="Z24" i="6"/>
  <c r="Z30" i="6"/>
  <c r="Z31" i="6"/>
  <c r="Z34" i="6"/>
  <c r="Z38" i="6"/>
  <c r="Z40" i="6"/>
  <c r="Z41" i="6"/>
  <c r="Z44" i="6"/>
  <c r="Z48" i="6"/>
  <c r="X14" i="6"/>
  <c r="X15" i="6"/>
  <c r="X16" i="6"/>
  <c r="X17" i="6"/>
  <c r="X19" i="6"/>
  <c r="X20" i="6"/>
  <c r="X21" i="6"/>
  <c r="X22" i="6"/>
  <c r="X23" i="6"/>
  <c r="X24" i="6"/>
  <c r="X30" i="6"/>
  <c r="X31" i="6"/>
  <c r="X32" i="6"/>
  <c r="X34" i="6"/>
  <c r="X37" i="6"/>
  <c r="X38" i="6"/>
  <c r="X39" i="6"/>
  <c r="X40" i="6"/>
  <c r="X41" i="6"/>
  <c r="X42" i="6"/>
  <c r="X44" i="6"/>
  <c r="X48" i="6"/>
  <c r="X50" i="6"/>
  <c r="G91" i="5"/>
  <c r="Y90" i="5"/>
  <c r="E99" i="5"/>
  <c r="E148" i="5" s="1"/>
  <c r="W91" i="5"/>
  <c r="U48" i="6"/>
  <c r="U50" i="6"/>
  <c r="U14" i="6"/>
  <c r="U15" i="6"/>
  <c r="U16" i="6"/>
  <c r="U17" i="6"/>
  <c r="U19" i="6"/>
  <c r="U20" i="6"/>
  <c r="U21" i="6"/>
  <c r="U22" i="6"/>
  <c r="U23" i="6"/>
  <c r="U24" i="6"/>
  <c r="U30" i="6"/>
  <c r="U31" i="6"/>
  <c r="U32" i="6"/>
  <c r="U34" i="6"/>
  <c r="U37" i="6"/>
  <c r="U38" i="6"/>
  <c r="U39" i="6"/>
  <c r="U40" i="6"/>
  <c r="U41" i="6"/>
  <c r="U42" i="6"/>
  <c r="U44" i="6"/>
  <c r="D124" i="5"/>
  <c r="V55" i="5"/>
  <c r="F63" i="5"/>
  <c r="F124" i="5"/>
  <c r="V14" i="6"/>
  <c r="V15" i="6"/>
  <c r="V16" i="6"/>
  <c r="V17" i="6"/>
  <c r="V19" i="6"/>
  <c r="V20" i="6"/>
  <c r="V21" i="6"/>
  <c r="V22" i="6"/>
  <c r="V23" i="6"/>
  <c r="V24" i="6"/>
  <c r="V30" i="6"/>
  <c r="V31" i="6"/>
  <c r="V32" i="6"/>
  <c r="V34" i="6"/>
  <c r="V37" i="6"/>
  <c r="V38" i="6"/>
  <c r="V39" i="6"/>
  <c r="V40" i="6"/>
  <c r="V41" i="6"/>
  <c r="V42" i="6"/>
  <c r="V44" i="6"/>
  <c r="V50" i="6"/>
  <c r="V48" i="6"/>
  <c r="B130" i="5"/>
  <c r="T10" i="6"/>
  <c r="B91" i="5"/>
  <c r="B141" i="5"/>
  <c r="B139" i="5"/>
  <c r="B121" i="5"/>
  <c r="T101" i="5"/>
  <c r="T97" i="5"/>
  <c r="T95" i="5"/>
  <c r="T93" i="5"/>
  <c r="T90" i="5"/>
  <c r="T88" i="5"/>
  <c r="T85" i="5"/>
  <c r="T83" i="5"/>
  <c r="T79" i="5"/>
  <c r="B142" i="5"/>
  <c r="B140" i="5"/>
  <c r="B138" i="5"/>
  <c r="T100" i="5"/>
  <c r="T96" i="5"/>
  <c r="T94" i="5"/>
  <c r="T89" i="5"/>
  <c r="T87" i="5"/>
  <c r="T84" i="5"/>
  <c r="T80" i="5"/>
  <c r="I157" i="5"/>
  <c r="D63" i="5"/>
  <c r="L38" i="5"/>
  <c r="AJ30" i="5" s="1"/>
  <c r="AD91" i="5"/>
  <c r="L99" i="5"/>
  <c r="F9" i="5"/>
  <c r="E8" i="6"/>
  <c r="W8" i="6" s="1"/>
  <c r="AE91" i="5"/>
  <c r="AC41" i="6"/>
  <c r="AC40" i="6"/>
  <c r="AC39" i="6"/>
  <c r="AH39" i="6" s="1"/>
  <c r="AC38" i="6"/>
  <c r="AH38" i="6" s="1"/>
  <c r="AC37" i="6"/>
  <c r="AH37" i="6" s="1"/>
  <c r="AC32" i="6"/>
  <c r="AC30" i="6"/>
  <c r="AC23" i="6"/>
  <c r="AH23" i="6" s="1"/>
  <c r="AC21" i="6"/>
  <c r="AC20" i="6"/>
  <c r="AC19" i="6"/>
  <c r="AC17" i="6"/>
  <c r="AC15" i="6"/>
  <c r="AC14" i="6"/>
  <c r="AC34" i="6"/>
  <c r="AC44" i="6"/>
  <c r="AC24" i="6"/>
  <c r="AC91" i="5"/>
  <c r="K99" i="5"/>
  <c r="K124" i="5"/>
  <c r="K63" i="5"/>
  <c r="R63" i="5" s="1"/>
  <c r="AC44" i="5"/>
  <c r="AC62" i="5"/>
  <c r="AC60" i="5"/>
  <c r="AC55" i="5"/>
  <c r="AC52" i="5"/>
  <c r="AC49" i="5"/>
  <c r="AC46" i="5"/>
  <c r="AC43" i="5"/>
  <c r="AC41" i="5"/>
  <c r="AC36" i="5"/>
  <c r="AC34" i="5"/>
  <c r="AC26" i="5"/>
  <c r="AC24" i="5"/>
  <c r="AC20" i="5"/>
  <c r="AC15" i="5"/>
  <c r="AC12" i="5"/>
  <c r="AC61" i="5"/>
  <c r="AC53" i="5"/>
  <c r="AC50" i="5"/>
  <c r="AC47" i="5"/>
  <c r="AC45" i="5"/>
  <c r="AC38" i="5"/>
  <c r="AC35" i="5"/>
  <c r="AC33" i="5"/>
  <c r="AC28" i="5"/>
  <c r="AC23" i="5"/>
  <c r="AC19" i="5"/>
  <c r="AC13" i="5"/>
  <c r="AA24" i="5"/>
  <c r="AA34" i="5"/>
  <c r="AA61" i="5"/>
  <c r="AA53" i="5"/>
  <c r="AA50" i="5"/>
  <c r="AA47" i="5"/>
  <c r="AA44" i="5"/>
  <c r="AA41" i="5"/>
  <c r="AA35" i="5"/>
  <c r="AA26" i="5"/>
  <c r="AA20" i="5"/>
  <c r="AA15" i="5"/>
  <c r="AA12" i="5"/>
  <c r="AA45" i="5"/>
  <c r="AA42" i="5"/>
  <c r="AA62" i="5"/>
  <c r="AA60" i="5"/>
  <c r="AA55" i="5"/>
  <c r="AA52" i="5"/>
  <c r="AA49" i="5"/>
  <c r="AA46" i="5"/>
  <c r="AA43" i="5"/>
  <c r="AA38" i="5"/>
  <c r="AA36" i="5"/>
  <c r="AA33" i="5"/>
  <c r="AA28" i="5"/>
  <c r="AA23" i="5"/>
  <c r="AA19" i="5"/>
  <c r="AA13" i="5"/>
  <c r="Z24" i="5"/>
  <c r="Z47" i="5"/>
  <c r="Z44" i="5"/>
  <c r="Z62" i="5"/>
  <c r="Z60" i="5"/>
  <c r="Z36" i="5"/>
  <c r="Z33" i="5"/>
  <c r="Y28" i="5"/>
  <c r="Y44" i="5"/>
  <c r="Y43" i="5"/>
  <c r="Y41" i="5"/>
  <c r="Y38" i="5"/>
  <c r="Y34" i="5"/>
  <c r="Y33" i="5"/>
  <c r="Y26" i="5"/>
  <c r="Y24" i="5"/>
  <c r="Y20" i="5"/>
  <c r="Y19" i="5"/>
  <c r="Y15" i="5"/>
  <c r="Y13" i="5"/>
  <c r="Y12" i="5"/>
  <c r="Y45" i="5"/>
  <c r="Y35" i="5"/>
  <c r="Y36" i="5"/>
  <c r="Y23" i="5"/>
  <c r="Y62" i="5"/>
  <c r="Y61" i="5"/>
  <c r="Y60" i="5"/>
  <c r="Y55" i="5"/>
  <c r="Y53" i="5"/>
  <c r="Y52" i="5"/>
  <c r="Y50" i="5"/>
  <c r="Y49" i="5"/>
  <c r="Y47" i="5"/>
  <c r="Y46" i="5"/>
  <c r="F37" i="5"/>
  <c r="F141" i="5"/>
  <c r="F38" i="5"/>
  <c r="G142" i="5" s="1"/>
  <c r="F126" i="5"/>
  <c r="X30" i="5"/>
  <c r="AE62" i="5"/>
  <c r="AE60" i="5"/>
  <c r="AE55" i="5"/>
  <c r="AE52" i="5"/>
  <c r="AE49" i="5"/>
  <c r="AE44" i="5"/>
  <c r="AE38" i="5"/>
  <c r="AE36" i="5"/>
  <c r="AE34" i="5"/>
  <c r="AE30" i="5"/>
  <c r="AE26" i="5"/>
  <c r="AE15" i="5"/>
  <c r="AE12" i="5"/>
  <c r="AE63" i="5"/>
  <c r="AE61" i="5"/>
  <c r="AE53" i="5"/>
  <c r="AE50" i="5"/>
  <c r="AE47" i="5"/>
  <c r="AE45" i="5"/>
  <c r="AE43" i="5"/>
  <c r="AE41" i="5"/>
  <c r="AE37" i="5"/>
  <c r="AE35" i="5"/>
  <c r="AE33" i="5"/>
  <c r="AE28" i="5"/>
  <c r="AE23" i="5"/>
  <c r="AE19" i="5"/>
  <c r="AE13" i="5"/>
  <c r="AE20" i="5"/>
  <c r="H127" i="5"/>
  <c r="H102" i="5"/>
  <c r="Z99" i="5"/>
  <c r="I102" i="5"/>
  <c r="I127" i="5"/>
  <c r="AA99" i="5"/>
  <c r="J102" i="5"/>
  <c r="AB105" i="5" s="1"/>
  <c r="J127" i="5"/>
  <c r="AB99" i="5"/>
  <c r="Z38" i="5" l="1"/>
  <c r="R157" i="5"/>
  <c r="Z12" i="5"/>
  <c r="Z46" i="5"/>
  <c r="Z19" i="5"/>
  <c r="Z61" i="5"/>
  <c r="AJ99" i="5"/>
  <c r="U55" i="5"/>
  <c r="V19" i="5"/>
  <c r="V23" i="5"/>
  <c r="V15" i="5"/>
  <c r="V57" i="5"/>
  <c r="V20" i="5"/>
  <c r="Z45" i="5"/>
  <c r="G157" i="5"/>
  <c r="Z43" i="5"/>
  <c r="Z53" i="5"/>
  <c r="AH32" i="6"/>
  <c r="Z15" i="5"/>
  <c r="Z63" i="5"/>
  <c r="Z20" i="5"/>
  <c r="Z52" i="5"/>
  <c r="Z35" i="5"/>
  <c r="Z28" i="5"/>
  <c r="K148" i="5"/>
  <c r="R99" i="5"/>
  <c r="M142" i="5"/>
  <c r="AD42" i="5"/>
  <c r="AJ46" i="5"/>
  <c r="AJ28" i="5"/>
  <c r="AJ35" i="5"/>
  <c r="AJ12" i="5"/>
  <c r="AJ34" i="5"/>
  <c r="AJ42" i="5"/>
  <c r="AJ15" i="5"/>
  <c r="AJ61" i="5"/>
  <c r="AJ18" i="5"/>
  <c r="AJ24" i="5"/>
  <c r="AJ44" i="5"/>
  <c r="AJ50" i="5"/>
  <c r="AJ45" i="5"/>
  <c r="AJ41" i="5"/>
  <c r="AJ49" i="5"/>
  <c r="AJ38" i="5"/>
  <c r="AJ33" i="5"/>
  <c r="AJ43" i="5"/>
  <c r="AJ23" i="5"/>
  <c r="AJ52" i="5"/>
  <c r="AJ60" i="5"/>
  <c r="AJ13" i="5"/>
  <c r="AJ19" i="5"/>
  <c r="AJ62" i="5"/>
  <c r="AJ26" i="5"/>
  <c r="AJ36" i="5"/>
  <c r="AJ53" i="5"/>
  <c r="AJ47" i="5"/>
  <c r="AJ20" i="5"/>
  <c r="V38" i="5"/>
  <c r="V42" i="5"/>
  <c r="V34" i="5"/>
  <c r="V35" i="5"/>
  <c r="E142" i="5"/>
  <c r="R175" i="5"/>
  <c r="H142" i="5"/>
  <c r="R142" i="5"/>
  <c r="Z50" i="5"/>
  <c r="Z13" i="5"/>
  <c r="AH14" i="6"/>
  <c r="Z49" i="5"/>
  <c r="Z23" i="5"/>
  <c r="V37" i="5"/>
  <c r="Z26" i="5"/>
  <c r="Z55" i="5"/>
  <c r="Z41" i="5"/>
  <c r="Z34" i="5"/>
  <c r="AC37" i="5"/>
  <c r="AH20" i="6"/>
  <c r="V63" i="5"/>
  <c r="V45" i="5"/>
  <c r="V24" i="5"/>
  <c r="V41" i="5"/>
  <c r="V28" i="5"/>
  <c r="R177" i="5"/>
  <c r="AH40" i="6"/>
  <c r="AH44" i="6"/>
  <c r="AH24" i="6"/>
  <c r="AH17" i="6"/>
  <c r="M148" i="5"/>
  <c r="M127" i="5"/>
  <c r="L148" i="5"/>
  <c r="R148" i="5" s="1"/>
  <c r="L127" i="5"/>
  <c r="R127" i="5" s="1"/>
  <c r="J141" i="5"/>
  <c r="AA30" i="5"/>
  <c r="AE99" i="5"/>
  <c r="AH34" i="6"/>
  <c r="AH15" i="6"/>
  <c r="AH19" i="6"/>
  <c r="AH21" i="6"/>
  <c r="AH30" i="6"/>
  <c r="AH41" i="6"/>
  <c r="M102" i="5"/>
  <c r="M172" i="5" s="1"/>
  <c r="AH31" i="6"/>
  <c r="N168" i="5"/>
  <c r="AD18" i="5"/>
  <c r="J168" i="5"/>
  <c r="I168" i="5"/>
  <c r="G124" i="5"/>
  <c r="G63" i="5"/>
  <c r="U20" i="5"/>
  <c r="U42" i="5"/>
  <c r="U36" i="5"/>
  <c r="U23" i="5"/>
  <c r="U60" i="5"/>
  <c r="U53" i="5"/>
  <c r="U50" i="5"/>
  <c r="U47" i="5"/>
  <c r="U45" i="5"/>
  <c r="U43" i="5"/>
  <c r="U38" i="5"/>
  <c r="U33" i="5"/>
  <c r="U26" i="5"/>
  <c r="U24" i="5"/>
  <c r="U19" i="5"/>
  <c r="U13" i="5"/>
  <c r="U61" i="5"/>
  <c r="U52" i="5"/>
  <c r="U46" i="5"/>
  <c r="U15" i="5"/>
  <c r="D142" i="5"/>
  <c r="U35" i="5"/>
  <c r="U28" i="5"/>
  <c r="U57" i="5"/>
  <c r="U49" i="5"/>
  <c r="U44" i="5"/>
  <c r="U41" i="5"/>
  <c r="U34" i="5"/>
  <c r="U25" i="5"/>
  <c r="U12" i="5"/>
  <c r="U30" i="5"/>
  <c r="U62" i="5"/>
  <c r="C142" i="5"/>
  <c r="J37" i="5"/>
  <c r="J126" i="5"/>
  <c r="J38" i="5"/>
  <c r="J142" i="5" s="1"/>
  <c r="X9" i="5"/>
  <c r="E116" i="5"/>
  <c r="U37" i="5"/>
  <c r="I131" i="5"/>
  <c r="I151" i="5"/>
  <c r="H131" i="5"/>
  <c r="H151" i="5"/>
  <c r="T17" i="6"/>
  <c r="T48" i="6"/>
  <c r="T42" i="6"/>
  <c r="T40" i="6"/>
  <c r="T38" i="6"/>
  <c r="T32" i="6"/>
  <c r="T30" i="6"/>
  <c r="T24" i="6"/>
  <c r="T22" i="6"/>
  <c r="T20" i="6"/>
  <c r="T16" i="6"/>
  <c r="T14" i="6"/>
  <c r="T37" i="6"/>
  <c r="T44" i="6"/>
  <c r="T41" i="6"/>
  <c r="T39" i="6"/>
  <c r="T34" i="6"/>
  <c r="T31" i="6"/>
  <c r="T23" i="6"/>
  <c r="T21" i="6"/>
  <c r="T19" i="6"/>
  <c r="T15" i="6"/>
  <c r="D102" i="5"/>
  <c r="D151" i="5" s="1"/>
  <c r="V99" i="5"/>
  <c r="D127" i="5"/>
  <c r="C102" i="5"/>
  <c r="C151" i="5" s="1"/>
  <c r="C127" i="5"/>
  <c r="U99" i="5"/>
  <c r="F102" i="5"/>
  <c r="F151" i="5" s="1"/>
  <c r="F127" i="5"/>
  <c r="X99" i="5"/>
  <c r="M12" i="6"/>
  <c r="J131" i="5"/>
  <c r="J151" i="5"/>
  <c r="B99" i="5"/>
  <c r="B148" i="5" s="1"/>
  <c r="T91" i="5"/>
  <c r="E127" i="5"/>
  <c r="E102" i="5"/>
  <c r="E151" i="5" s="1"/>
  <c r="W99" i="5"/>
  <c r="G99" i="5"/>
  <c r="Y91" i="5"/>
  <c r="F75" i="5"/>
  <c r="W75" i="5"/>
  <c r="J124" i="5"/>
  <c r="J63" i="5"/>
  <c r="AD15" i="5"/>
  <c r="AD62" i="5"/>
  <c r="AD44" i="5"/>
  <c r="AD37" i="5"/>
  <c r="AD34" i="5"/>
  <c r="AD55" i="5"/>
  <c r="AD47" i="5"/>
  <c r="AD26" i="5"/>
  <c r="AD38" i="5"/>
  <c r="AD49" i="5"/>
  <c r="AD63" i="5"/>
  <c r="AD19" i="5"/>
  <c r="AD33" i="5"/>
  <c r="AD43" i="5"/>
  <c r="AD53" i="5"/>
  <c r="AD20" i="5"/>
  <c r="AD12" i="5"/>
  <c r="AD24" i="5"/>
  <c r="AD30" i="5"/>
  <c r="AD36" i="5"/>
  <c r="AD46" i="5"/>
  <c r="AD52" i="5"/>
  <c r="AD61" i="5"/>
  <c r="AD13" i="5"/>
  <c r="AD23" i="5"/>
  <c r="AD28" i="5"/>
  <c r="AD35" i="5"/>
  <c r="AD41" i="5"/>
  <c r="AD45" i="5"/>
  <c r="AD50" i="5"/>
  <c r="AD60" i="5"/>
  <c r="L102" i="5"/>
  <c r="AD99" i="5"/>
  <c r="F8" i="6"/>
  <c r="X8" i="6" s="1"/>
  <c r="G9" i="5"/>
  <c r="AC63" i="5"/>
  <c r="AC99" i="5"/>
  <c r="K127" i="5"/>
  <c r="K102" i="5"/>
  <c r="X45" i="5"/>
  <c r="F142" i="5"/>
  <c r="X42" i="5"/>
  <c r="X35" i="5"/>
  <c r="X63" i="5"/>
  <c r="X61" i="5"/>
  <c r="X53" i="5"/>
  <c r="X50" i="5"/>
  <c r="X47" i="5"/>
  <c r="X43" i="5"/>
  <c r="X38" i="5"/>
  <c r="X33" i="5"/>
  <c r="X26" i="5"/>
  <c r="X24" i="5"/>
  <c r="X19" i="5"/>
  <c r="X13" i="5"/>
  <c r="X28" i="5"/>
  <c r="X36" i="5"/>
  <c r="X23" i="5"/>
  <c r="X62" i="5"/>
  <c r="X60" i="5"/>
  <c r="X55" i="5"/>
  <c r="X52" i="5"/>
  <c r="X49" i="5"/>
  <c r="X46" i="5"/>
  <c r="X44" i="5"/>
  <c r="X41" i="5"/>
  <c r="X34" i="5"/>
  <c r="X25" i="5"/>
  <c r="X20" i="5"/>
  <c r="X15" i="5"/>
  <c r="X12" i="5"/>
  <c r="X37" i="5"/>
  <c r="H12" i="6"/>
  <c r="H132" i="5"/>
  <c r="H133" i="5"/>
  <c r="Z102" i="5"/>
  <c r="Z105" i="5"/>
  <c r="H134" i="5"/>
  <c r="I132" i="5"/>
  <c r="AA102" i="5"/>
  <c r="I12" i="6"/>
  <c r="I134" i="5"/>
  <c r="I133" i="5"/>
  <c r="AA105" i="5"/>
  <c r="AB102" i="5"/>
  <c r="J12" i="6"/>
  <c r="J134" i="5"/>
  <c r="J133" i="5"/>
  <c r="L172" i="5" l="1"/>
  <c r="R172" i="5" s="1"/>
  <c r="L134" i="5"/>
  <c r="AJ105" i="5"/>
  <c r="AJ102" i="5"/>
  <c r="K168" i="5"/>
  <c r="K172" i="5"/>
  <c r="R102" i="5"/>
  <c r="M134" i="5"/>
  <c r="M151" i="5"/>
  <c r="M133" i="5"/>
  <c r="M132" i="5"/>
  <c r="M131" i="5"/>
  <c r="AE105" i="5"/>
  <c r="AE102" i="5"/>
  <c r="AB63" i="5"/>
  <c r="K142" i="5"/>
  <c r="M168" i="5"/>
  <c r="L151" i="5"/>
  <c r="R151" i="5" s="1"/>
  <c r="L131" i="5"/>
  <c r="L133" i="5"/>
  <c r="R133" i="5" s="1"/>
  <c r="L132" i="5"/>
  <c r="R132" i="5" s="1"/>
  <c r="J132" i="5"/>
  <c r="F132" i="5"/>
  <c r="AB55" i="5"/>
  <c r="L168" i="5"/>
  <c r="R168" i="5" s="1"/>
  <c r="Y9" i="5"/>
  <c r="F116" i="5"/>
  <c r="AB30" i="5"/>
  <c r="AB61" i="5"/>
  <c r="AB44" i="5"/>
  <c r="AB33" i="5"/>
  <c r="AB19" i="5"/>
  <c r="AB60" i="5"/>
  <c r="AB43" i="5"/>
  <c r="AB15" i="5"/>
  <c r="AB42" i="5"/>
  <c r="AB53" i="5"/>
  <c r="AB47" i="5"/>
  <c r="AB41" i="5"/>
  <c r="AB35" i="5"/>
  <c r="AB28" i="5"/>
  <c r="AB23" i="5"/>
  <c r="AB13" i="5"/>
  <c r="AB62" i="5"/>
  <c r="AB52" i="5"/>
  <c r="AB46" i="5"/>
  <c r="AB38" i="5"/>
  <c r="AB34" i="5"/>
  <c r="AB26" i="5"/>
  <c r="AB20" i="5"/>
  <c r="AB12" i="5"/>
  <c r="AB50" i="5"/>
  <c r="AB45" i="5"/>
  <c r="AB49" i="5"/>
  <c r="AB36" i="5"/>
  <c r="AB24" i="5"/>
  <c r="Y63" i="5"/>
  <c r="AB37" i="5"/>
  <c r="K131" i="5"/>
  <c r="AC105" i="5"/>
  <c r="K151" i="5"/>
  <c r="G75" i="5"/>
  <c r="X75" i="5"/>
  <c r="B102" i="5"/>
  <c r="B151" i="5" s="1"/>
  <c r="T99" i="5"/>
  <c r="B127" i="5"/>
  <c r="F131" i="5"/>
  <c r="F12" i="6"/>
  <c r="F134" i="5"/>
  <c r="F133" i="5"/>
  <c r="X104" i="5"/>
  <c r="X102" i="5"/>
  <c r="X105" i="5"/>
  <c r="D131" i="5"/>
  <c r="D12" i="6"/>
  <c r="D132" i="5"/>
  <c r="D134" i="5"/>
  <c r="V104" i="5"/>
  <c r="D133" i="5"/>
  <c r="V102" i="5"/>
  <c r="V105" i="5"/>
  <c r="G148" i="5"/>
  <c r="G102" i="5"/>
  <c r="G127" i="5"/>
  <c r="Y99" i="5"/>
  <c r="E131" i="5"/>
  <c r="E12" i="6"/>
  <c r="E134" i="5"/>
  <c r="E133" i="5"/>
  <c r="E132" i="5"/>
  <c r="W102" i="5"/>
  <c r="W105" i="5"/>
  <c r="W104" i="5"/>
  <c r="M27" i="6"/>
  <c r="M150" i="5" s="1"/>
  <c r="AE12" i="6"/>
  <c r="C131" i="5"/>
  <c r="C134" i="5"/>
  <c r="C133" i="5"/>
  <c r="C12" i="6"/>
  <c r="U105" i="5"/>
  <c r="C132" i="5"/>
  <c r="U102" i="5"/>
  <c r="U104" i="5"/>
  <c r="AD105" i="5"/>
  <c r="AD102" i="5"/>
  <c r="H9" i="5"/>
  <c r="G8" i="6"/>
  <c r="Y8" i="6" s="1"/>
  <c r="K134" i="5"/>
  <c r="K133" i="5"/>
  <c r="K12" i="6"/>
  <c r="R12" i="6" s="1"/>
  <c r="AC102" i="5"/>
  <c r="K132" i="5"/>
  <c r="H27" i="6"/>
  <c r="Z12" i="6"/>
  <c r="I27" i="6"/>
  <c r="AA12" i="6"/>
  <c r="J27" i="6"/>
  <c r="AB12" i="6"/>
  <c r="R134" i="5" l="1"/>
  <c r="R131" i="5"/>
  <c r="J150" i="5"/>
  <c r="I150" i="5"/>
  <c r="H150" i="5"/>
  <c r="H168" i="5"/>
  <c r="Z9" i="5"/>
  <c r="G116" i="5"/>
  <c r="Y116" i="5" s="1"/>
  <c r="E27" i="6"/>
  <c r="E150" i="5" s="1"/>
  <c r="W12" i="6"/>
  <c r="D27" i="6"/>
  <c r="D150" i="5" s="1"/>
  <c r="V12" i="6"/>
  <c r="F27" i="6"/>
  <c r="F150" i="5" s="1"/>
  <c r="X12" i="6"/>
  <c r="C27" i="6"/>
  <c r="C150" i="5" s="1"/>
  <c r="U12" i="6"/>
  <c r="AE27" i="6"/>
  <c r="M46" i="6"/>
  <c r="AE46" i="6" s="1"/>
  <c r="G131" i="5"/>
  <c r="G151" i="5"/>
  <c r="G134" i="5"/>
  <c r="G133" i="5"/>
  <c r="G12" i="6"/>
  <c r="Y102" i="5"/>
  <c r="Y105" i="5"/>
  <c r="G132" i="5"/>
  <c r="B131" i="5"/>
  <c r="B12" i="6"/>
  <c r="T102" i="5"/>
  <c r="B134" i="5"/>
  <c r="B132" i="5"/>
  <c r="B133" i="5"/>
  <c r="T104" i="5"/>
  <c r="T105" i="5"/>
  <c r="H75" i="5"/>
  <c r="Y75" i="5"/>
  <c r="L27" i="6"/>
  <c r="L150" i="5" s="1"/>
  <c r="R150" i="5" s="1"/>
  <c r="AD12" i="6"/>
  <c r="H8" i="6"/>
  <c r="Z8" i="6" s="1"/>
  <c r="I9" i="5"/>
  <c r="K27" i="6"/>
  <c r="AC12" i="6"/>
  <c r="H46" i="6"/>
  <c r="Z27" i="6"/>
  <c r="I46" i="6"/>
  <c r="AA27" i="6"/>
  <c r="J46" i="6"/>
  <c r="AB27" i="6"/>
  <c r="AH12" i="6" l="1"/>
  <c r="K150" i="5"/>
  <c r="R27" i="6"/>
  <c r="Q150" i="5" s="1"/>
  <c r="AA9" i="5"/>
  <c r="H116" i="5"/>
  <c r="Z116" i="5" s="1"/>
  <c r="I75" i="5"/>
  <c r="Z75" i="5"/>
  <c r="B27" i="6"/>
  <c r="B150" i="5" s="1"/>
  <c r="T12" i="6"/>
  <c r="G27" i="6"/>
  <c r="Y12" i="6"/>
  <c r="C46" i="6"/>
  <c r="U46" i="6" s="1"/>
  <c r="U27" i="6"/>
  <c r="X27" i="6"/>
  <c r="F46" i="6"/>
  <c r="X46" i="6" s="1"/>
  <c r="V27" i="6"/>
  <c r="D46" i="6"/>
  <c r="V46" i="6" s="1"/>
  <c r="W27" i="6"/>
  <c r="E46" i="6"/>
  <c r="W46" i="6" s="1"/>
  <c r="AD27" i="6"/>
  <c r="L46" i="6"/>
  <c r="J9" i="5"/>
  <c r="I8" i="6"/>
  <c r="AA8" i="6" s="1"/>
  <c r="AC27" i="6"/>
  <c r="K46" i="6"/>
  <c r="H50" i="6"/>
  <c r="Z46" i="6"/>
  <c r="AA46" i="6"/>
  <c r="AB46" i="6"/>
  <c r="AC46" i="6" l="1"/>
  <c r="AH27" i="6"/>
  <c r="AB9" i="5"/>
  <c r="I116" i="5"/>
  <c r="AA116" i="5" s="1"/>
  <c r="G150" i="5"/>
  <c r="G46" i="6"/>
  <c r="Y46" i="6" s="1"/>
  <c r="Y27" i="6"/>
  <c r="T27" i="6"/>
  <c r="B46" i="6"/>
  <c r="J75" i="5"/>
  <c r="AA75" i="5"/>
  <c r="AD46" i="6"/>
  <c r="AH46" i="6" s="1"/>
  <c r="K9" i="5"/>
  <c r="L9" i="5" s="1"/>
  <c r="J8" i="6"/>
  <c r="AB8" i="6" s="1"/>
  <c r="I48" i="6"/>
  <c r="Z50" i="6"/>
  <c r="AC9" i="5" l="1"/>
  <c r="K116" i="5" s="1"/>
  <c r="AC116" i="5" s="1"/>
  <c r="AC173" i="5" s="1"/>
  <c r="J116" i="5"/>
  <c r="AB116" i="5" s="1"/>
  <c r="AB173" i="5" s="1"/>
  <c r="M9" i="5"/>
  <c r="L8" i="6"/>
  <c r="AD8" i="6" s="1"/>
  <c r="AD9" i="5"/>
  <c r="L75" i="5"/>
  <c r="K75" i="5"/>
  <c r="AB75" i="5"/>
  <c r="T46" i="6"/>
  <c r="B50" i="6"/>
  <c r="T50" i="6" s="1"/>
  <c r="K8" i="6"/>
  <c r="AC8" i="6" s="1"/>
  <c r="AA48" i="6"/>
  <c r="I50" i="6"/>
  <c r="AE9" i="5" l="1"/>
  <c r="AE75" i="5" s="1"/>
  <c r="N9" i="5"/>
  <c r="AC75" i="5"/>
  <c r="AD75" i="5"/>
  <c r="L116" i="5"/>
  <c r="AD116" i="5" s="1"/>
  <c r="AD173" i="5" s="1"/>
  <c r="M116" i="5"/>
  <c r="AE116" i="5" s="1"/>
  <c r="AE173" i="5" s="1"/>
  <c r="M8" i="6"/>
  <c r="AE8" i="6" s="1"/>
  <c r="M75" i="5"/>
  <c r="AA50" i="6"/>
  <c r="J48" i="6"/>
  <c r="N75" i="5" l="1"/>
  <c r="AF9" i="5"/>
  <c r="AF75" i="5" s="1"/>
  <c r="N8" i="6"/>
  <c r="AF8" i="6" s="1"/>
  <c r="N116" i="5"/>
  <c r="AF116" i="5" s="1"/>
  <c r="AF173" i="5" s="1"/>
  <c r="O9" i="5"/>
  <c r="AB48" i="6"/>
  <c r="J50" i="6"/>
  <c r="K48" i="6" s="1"/>
  <c r="P9" i="5" l="1"/>
  <c r="O8" i="6"/>
  <c r="AG8" i="6" s="1"/>
  <c r="O116" i="5"/>
  <c r="AG116" i="5" s="1"/>
  <c r="AG173" i="5" s="1"/>
  <c r="AG9" i="5"/>
  <c r="AG75" i="5" s="1"/>
  <c r="O75" i="5"/>
  <c r="AC48" i="6"/>
  <c r="K50" i="6"/>
  <c r="AB50" i="6"/>
  <c r="L48" i="6" l="1"/>
  <c r="AD48" i="6" s="1"/>
  <c r="P116" i="5"/>
  <c r="AH116" i="5" s="1"/>
  <c r="AH173" i="5" s="1"/>
  <c r="P8" i="6"/>
  <c r="AH9" i="5"/>
  <c r="AH75" i="5" s="1"/>
  <c r="P75" i="5"/>
  <c r="AC50" i="6"/>
  <c r="L50" i="6" l="1"/>
  <c r="M48" i="6" s="1"/>
  <c r="M50" i="6" s="1"/>
  <c r="AE48" i="6" l="1"/>
  <c r="AD50" i="6"/>
  <c r="N48" i="6"/>
  <c r="AE50" i="6"/>
  <c r="N50" i="6" l="1"/>
  <c r="AF48" i="6"/>
  <c r="AF50" i="6" l="1"/>
  <c r="O48" i="6"/>
  <c r="O50" i="6" l="1"/>
  <c r="P48" i="6" s="1"/>
  <c r="AG48" i="6"/>
  <c r="AH48" i="6" s="1"/>
  <c r="P50" i="6" l="1"/>
  <c r="R48" i="6"/>
  <c r="AG50" i="6"/>
  <c r="AH50" i="6" s="1"/>
  <c r="Q48" i="6" l="1"/>
  <c r="Q50" i="6" s="1"/>
  <c r="R50" i="6"/>
</calcChain>
</file>

<file path=xl/sharedStrings.xml><?xml version="1.0" encoding="utf-8"?>
<sst xmlns="http://schemas.openxmlformats.org/spreadsheetml/2006/main" count="292" uniqueCount="225">
  <si>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</si>
  <si>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</si>
  <si>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</si>
  <si>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</si>
  <si>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</si>
  <si>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</si>
  <si>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</si>
  <si>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</si>
  <si>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</si>
  <si>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</si>
  <si>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</si>
  <si>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</si>
  <si>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</si>
  <si>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</si>
  <si>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</si>
  <si>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</si>
  <si>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</si>
  <si>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</si>
  <si>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</si>
  <si>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</si>
  <si>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</si>
  <si>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</si>
  <si>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</si>
  <si>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</si>
  <si>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</si>
  <si>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</si>
  <si>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</si>
  <si>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</si>
  <si>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</si>
  <si>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</si>
  <si>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</si>
  <si>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</si>
  <si>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</si>
  <si>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</si>
  <si>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</si>
  <si>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</si>
  <si>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</si>
  <si>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</si>
  <si>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</si>
  <si>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</si>
  <si>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</si>
  <si>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</si>
  <si>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</si>
  <si>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</si>
  <si>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</si>
  <si>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</si>
  <si>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</si>
  <si>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</si>
  <si>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</si>
  <si>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</si>
  <si>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</si>
  <si>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</si>
  <si>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</si>
  <si>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</si>
  <si>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</si>
  <si>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</si>
  <si>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</si>
  <si>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</si>
  <si>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</si>
  <si>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</si>
  <si>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</si>
  <si>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</si>
  <si>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</si>
  <si>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</si>
  <si>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</si>
  <si>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</si>
  <si>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</si>
  <si>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</si>
  <si>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</si>
  <si>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</si>
  <si>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</si>
  <si>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</si>
  <si>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</si>
  <si>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</si>
  <si>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</si>
  <si>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</si>
  <si>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</si>
  <si>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</si>
  <si>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</si>
  <si>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</si>
  <si>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</si>
  <si>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</si>
  <si>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</si>
  <si>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</si>
  <si>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</si>
  <si>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</si>
  <si>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</si>
  <si>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</si>
  <si>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</si>
  <si>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</si>
  <si>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</si>
  <si>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</si>
  <si>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</si>
  <si>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</si>
  <si>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</si>
  <si>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</si>
  <si>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</si>
  <si>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</si>
  <si>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</si>
  <si>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</si>
  <si>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</si>
  <si>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</si>
  <si>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</si>
  <si>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</si>
  <si>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</si>
  <si>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</si>
  <si>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</si>
  <si>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</si>
  <si>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</si>
  <si>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</si>
  <si>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</si>
  <si>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</si>
  <si>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</si>
  <si>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</si>
  <si>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</si>
  <si>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</si>
  <si>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</si>
  <si>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</si>
  <si>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</si>
  <si>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</si>
  <si>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</si>
  <si>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</si>
  <si>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</si>
  <si>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</si>
  <si>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</si>
  <si>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</si>
  <si>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</si>
  <si>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</si>
  <si>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</si>
  <si>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</si>
  <si>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</si>
  <si>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</si>
  <si>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</si>
  <si>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</si>
  <si>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</si>
  <si>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</si>
  <si>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</si>
  <si>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</si>
  <si>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</si>
  <si>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</si>
  <si>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</si>
  <si>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</si>
  <si>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</si>
  <si>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</si>
  <si>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</si>
  <si>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</si>
  <si>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</si>
  <si>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</si>
  <si>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</si>
  <si>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</si>
  <si>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</si>
  <si>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</si>
  <si>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</si>
  <si>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</si>
  <si>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</si>
  <si>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</si>
  <si>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</si>
  <si>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</si>
  <si>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</si>
  <si>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</si>
  <si>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</si>
  <si>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</si>
  <si>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</si>
  <si>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</si>
  <si>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</si>
  <si>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</si>
  <si>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</si>
  <si>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</si>
  <si>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</si>
  <si>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</si>
  <si>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</si>
  <si>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</si>
  <si>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</si>
  <si>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</si>
  <si>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</si>
  <si>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</si>
  <si>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</si>
  <si>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</si>
  <si>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</si>
  <si>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</si>
  <si>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</si>
  <si>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</si>
  <si>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</si>
  <si>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</si>
  <si>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</si>
  <si>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</si>
  <si>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</si>
  <si>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</si>
  <si>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</si>
  <si>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</si>
  <si>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</si>
  <si>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</si>
  <si>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</si>
  <si>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</si>
  <si>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</si>
  <si>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</si>
  <si>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</si>
  <si>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</si>
  <si>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</si>
  <si>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</si>
  <si>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</si>
  <si>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</si>
  <si>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</si>
  <si>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</si>
  <si>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</si>
  <si>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</si>
  <si>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 xml:space="preserve">   TOTAL QUESTAR COST OF GAS SOLD</t>
  </si>
  <si>
    <t>Elimination of Gas From Affiliated Parties</t>
  </si>
  <si>
    <t xml:space="preserve">   Total Gas From Unaffilated Parties</t>
  </si>
  <si>
    <t>Total Cost of Sales</t>
  </si>
  <si>
    <t>1st Qrtr</t>
  </si>
  <si>
    <t>2008 to 2013</t>
  </si>
  <si>
    <t>2009 to 2013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</si>
  <si>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</si>
  <si>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</si>
  <si>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</si>
  <si>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</si>
  <si>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</si>
  <si>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</si>
  <si>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Operator Service Fee per DTh</t>
  </si>
  <si>
    <t>Cost of Service Gas Production (Item 2 Page 21)</t>
  </si>
  <si>
    <t>Return On Equity (Regulatory)</t>
  </si>
  <si>
    <t xml:space="preserve">Return On Equity (SEC) </t>
  </si>
  <si>
    <t>Natural Gas Cost-of-service deliveries (Bcf)</t>
  </si>
  <si>
    <t>Dividend Payout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</si>
</sst>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55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5" fontId="11" fillId="2" borderId="0" xfId="2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0" fontId="13" fillId="2" borderId="0" xfId="9" applyNumberFormat="1" applyFont="1" applyBorder="1" applyAlignment="1">
      <alignment horizontal="center"/>
    </xf>
    <xf numFmtId="171" fontId="11" fillId="2" borderId="11" xfId="9" applyNumberFormat="1" applyFont="1" applyBorder="1"/>
    <xf numFmtId="10" fontId="11" fillId="2" borderId="15" xfId="0" applyNumberFormat="1" applyFont="1" applyFill="1" applyBorder="1"/>
    <xf numFmtId="43" fontId="11" fillId="2" borderId="11" xfId="0" applyNumberFormat="1" applyFont="1" applyFill="1" applyBorder="1"/>
    <xf numFmtId="10" fontId="11" fillId="2" borderId="16" xfId="9" applyFont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0" fontId="2" fillId="4" borderId="0" xfId="11" applyNumberFormat="1" applyFont="1" applyFill="1"/>
    <xf numFmtId="44" fontId="2" fillId="2" borderId="0" xfId="2" applyNumberFormat="1" applyFont="1"/>
    <xf numFmtId="171" fontId="11" fillId="2" borderId="3" xfId="0" applyNumberFormat="1" applyFont="1" applyFill="1" applyBorder="1"/>
    <xf numFmtId="170" fontId="2" fillId="2" borderId="0" xfId="11" applyNumberFormat="1" applyFont="1" applyFill="1" applyBorder="1"/>
    <xf numFmtId="44" fontId="2" fillId="2" borderId="0" xfId="11" applyNumberFormat="1" applyFont="1" applyFill="1" applyBorder="1"/>
    <xf numFmtId="10" fontId="20" fillId="2" borderId="0" xfId="0" applyNumberFormat="1" applyFont="1" applyFill="1"/>
    <xf numFmtId="2" fontId="20" fillId="2" borderId="0" xfId="0" applyNumberFormat="1" applyFont="1" applyFill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171" fontId="11" fillId="2" borderId="9" xfId="9" applyNumberFormat="1" applyFont="1" applyBorder="1"/>
    <xf numFmtId="171" fontId="11" fillId="2" borderId="15" xfId="9" applyNumberFormat="1" applyFont="1" applyBorder="1"/>
    <xf numFmtId="0" fontId="2" fillId="2" borderId="0" xfId="0" applyNumberFormat="1" applyFont="1" applyFill="1"/>
    <xf numFmtId="0" fontId="11" fillId="2" borderId="0" xfId="11" applyNumberFormat="1" applyFont="1" applyFill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5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showGridLines="0" tabSelected="1" view="pageBreakPreview" zoomScaleNormal="100" zoomScaleSheetLayoutView="100" workbookViewId="0">
      <selection activeCell="AH101" sqref="AH101"/>
    </sheetView>
  </sheetViews>
  <sheetFormatPr defaultColWidth="13.7109375" defaultRowHeight="12.75" x14ac:dyDescent="0.2"/>
  <cols>
    <col min="1" max="1" width="36.28515625" customWidth="1"/>
    <col min="2" max="2" width="12.5703125" hidden="1" customWidth="1"/>
    <col min="3" max="5" width="11.140625" hidden="1" customWidth="1"/>
    <col min="6" max="10" width="11.85546875" hidden="1" customWidth="1"/>
    <col min="11" max="16" width="11.85546875" customWidth="1"/>
    <col min="17" max="17" width="11.85546875" hidden="1" customWidth="1"/>
    <col min="18" max="18" width="11.140625" style="1" customWidth="1"/>
    <col min="19" max="19" width="36.85546875" customWidth="1"/>
    <col min="20" max="28" width="10.7109375" hidden="1" customWidth="1"/>
    <col min="29" max="34" width="10.7109375" customWidth="1"/>
    <col min="35" max="35" width="10.7109375" hidden="1" customWidth="1"/>
    <col min="36" max="36" width="11.42578125" customWidth="1"/>
    <col min="37" max="38" width="12.7109375" customWidth="1"/>
  </cols>
  <sheetData>
    <row r="1" spans="1:37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1" t="s">
        <v>114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91" t="s">
        <v>114</v>
      </c>
      <c r="AK1" s="20"/>
    </row>
    <row r="2" spans="1:37" ht="15.75" x14ac:dyDescent="0.2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52" t="s">
        <v>177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2" t="s">
        <v>180</v>
      </c>
      <c r="AK2" s="2"/>
    </row>
    <row r="3" spans="1:37" ht="20.25" x14ac:dyDescent="0.3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4" t="str">
        <f>A3</f>
        <v>Questar Gas Company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  <c r="AK3" s="2"/>
    </row>
    <row r="4" spans="1:37" ht="15.75" x14ac:dyDescent="0.2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86"/>
      <c r="S4" s="65" t="s">
        <v>45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86"/>
      <c r="AK4" s="2"/>
    </row>
    <row r="5" spans="1:37" ht="15.75" x14ac:dyDescent="0.25">
      <c r="A5" s="68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86"/>
      <c r="S5" s="65" t="s">
        <v>46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86"/>
      <c r="AK5" s="7"/>
    </row>
    <row r="6" spans="1:37" ht="15.75" x14ac:dyDescent="0.2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6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86"/>
      <c r="AK6" s="2"/>
    </row>
    <row r="7" spans="1:37" ht="15.75" x14ac:dyDescent="0.25">
      <c r="A7" s="128" t="s">
        <v>130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119" t="s">
        <v>211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185"/>
      <c r="AH7" s="185"/>
      <c r="AI7" s="185"/>
      <c r="AJ7" s="88"/>
      <c r="AK7" s="2"/>
    </row>
    <row r="8" spans="1:37" ht="15.75" x14ac:dyDescent="0.2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/>
      <c r="P8" s="142"/>
      <c r="Q8" s="142" t="s">
        <v>210</v>
      </c>
      <c r="R8" s="122" t="s">
        <v>3</v>
      </c>
      <c r="S8" s="87"/>
      <c r="T8" s="87"/>
      <c r="U8" s="87"/>
      <c r="V8" s="87"/>
      <c r="W8" s="87"/>
      <c r="X8" s="87"/>
      <c r="Y8" s="87"/>
      <c r="Z8" s="89"/>
      <c r="AA8" s="89"/>
      <c r="AB8" s="89"/>
      <c r="AC8" s="92"/>
      <c r="AD8" s="92"/>
      <c r="AE8" s="90"/>
      <c r="AF8" s="90"/>
      <c r="AG8" s="186"/>
      <c r="AH8" s="209"/>
      <c r="AI8" s="209" t="str">
        <f>+Q8</f>
        <v>1st Qrtr</v>
      </c>
      <c r="AJ8" s="122" t="s">
        <v>212</v>
      </c>
      <c r="AK8" s="2"/>
    </row>
    <row r="9" spans="1:37" ht="15.75" x14ac:dyDescent="0.25">
      <c r="A9" s="93" t="s">
        <v>0</v>
      </c>
      <c r="B9" s="93">
        <v>1999</v>
      </c>
      <c r="C9" s="93">
        <f t="shared" ref="C9:L9" si="0">B9+1</f>
        <v>2000</v>
      </c>
      <c r="D9" s="93">
        <f t="shared" si="0"/>
        <v>2001</v>
      </c>
      <c r="E9" s="93">
        <f t="shared" si="0"/>
        <v>2002</v>
      </c>
      <c r="F9" s="93">
        <f t="shared" si="0"/>
        <v>2003</v>
      </c>
      <c r="G9" s="93">
        <f t="shared" si="0"/>
        <v>2004</v>
      </c>
      <c r="H9" s="93">
        <f t="shared" si="0"/>
        <v>2005</v>
      </c>
      <c r="I9" s="93">
        <f t="shared" si="0"/>
        <v>2006</v>
      </c>
      <c r="J9" s="93">
        <f t="shared" si="0"/>
        <v>2007</v>
      </c>
      <c r="K9" s="93">
        <f t="shared" si="0"/>
        <v>2008</v>
      </c>
      <c r="L9" s="93">
        <f t="shared" si="0"/>
        <v>2009</v>
      </c>
      <c r="M9" s="93">
        <f>L9+1</f>
        <v>2010</v>
      </c>
      <c r="N9" s="93">
        <f>M9+1</f>
        <v>2011</v>
      </c>
      <c r="O9" s="93">
        <f>N9+1</f>
        <v>2012</v>
      </c>
      <c r="P9" s="93">
        <f>O9+1</f>
        <v>2013</v>
      </c>
      <c r="Q9" s="93">
        <v>2014</v>
      </c>
      <c r="R9" s="120" t="s">
        <v>24</v>
      </c>
      <c r="S9" s="94" t="s">
        <v>0</v>
      </c>
      <c r="T9" s="93">
        <f>B9</f>
        <v>1999</v>
      </c>
      <c r="U9" s="93">
        <f t="shared" ref="U9:AB9" si="1">T9+1</f>
        <v>2000</v>
      </c>
      <c r="V9" s="93">
        <f t="shared" si="1"/>
        <v>2001</v>
      </c>
      <c r="W9" s="93">
        <f t="shared" si="1"/>
        <v>2002</v>
      </c>
      <c r="X9" s="93">
        <f t="shared" si="1"/>
        <v>2003</v>
      </c>
      <c r="Y9" s="93">
        <f t="shared" si="1"/>
        <v>2004</v>
      </c>
      <c r="Z9" s="93">
        <f t="shared" si="1"/>
        <v>2005</v>
      </c>
      <c r="AA9" s="93">
        <f t="shared" si="1"/>
        <v>2006</v>
      </c>
      <c r="AB9" s="93">
        <f t="shared" si="1"/>
        <v>2007</v>
      </c>
      <c r="AC9" s="93">
        <f>AB9+1</f>
        <v>2008</v>
      </c>
      <c r="AD9" s="93">
        <f>+L9</f>
        <v>2009</v>
      </c>
      <c r="AE9" s="93">
        <f>+M9</f>
        <v>2010</v>
      </c>
      <c r="AF9" s="93">
        <f>+N9</f>
        <v>2011</v>
      </c>
      <c r="AG9" s="187">
        <f t="shared" ref="AG9:AI9" si="2">+O9</f>
        <v>2012</v>
      </c>
      <c r="AH9" s="187">
        <f t="shared" si="2"/>
        <v>2013</v>
      </c>
      <c r="AI9" s="187">
        <f t="shared" si="2"/>
        <v>2014</v>
      </c>
      <c r="AJ9" s="120" t="s">
        <v>44</v>
      </c>
      <c r="AK9" s="2"/>
    </row>
    <row r="10" spans="1:37" ht="12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  <c r="AK10" s="2"/>
    </row>
    <row r="11" spans="1:37" ht="15.75" x14ac:dyDescent="0.2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3"/>
      <c r="S11" s="153" t="s">
        <v>7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43"/>
      <c r="AK11" s="2"/>
    </row>
    <row r="12" spans="1:37" ht="15" x14ac:dyDescent="0.2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>
        <v>1400</v>
      </c>
      <c r="P12" s="95">
        <v>8800</v>
      </c>
      <c r="Q12" s="95"/>
      <c r="R12" s="43">
        <f>RATE(5,,-K12,P12)</f>
        <v>0.48956783302724854</v>
      </c>
      <c r="S12" s="72" t="str">
        <f>A12</f>
        <v>Cash &amp; Equivalents</v>
      </c>
      <c r="T12" s="43">
        <f t="shared" ref="T12:AD20" si="3">B12/B$38</f>
        <v>2.3605767104506654E-3</v>
      </c>
      <c r="U12" s="43">
        <f t="shared" si="3"/>
        <v>1.0622333878500733E-3</v>
      </c>
      <c r="V12" s="43">
        <f t="shared" si="3"/>
        <v>5.2359913844795911E-3</v>
      </c>
      <c r="W12" s="43">
        <f t="shared" si="3"/>
        <v>3.5982596589768344E-3</v>
      </c>
      <c r="X12" s="43">
        <f t="shared" si="3"/>
        <v>4.2800050999547163E-3</v>
      </c>
      <c r="Y12" s="43">
        <f t="shared" si="3"/>
        <v>2.1065055534247768E-3</v>
      </c>
      <c r="Z12" s="43">
        <f t="shared" si="3"/>
        <v>2.8971127370847598E-3</v>
      </c>
      <c r="AA12" s="43">
        <f t="shared" si="3"/>
        <v>3.3541414329637566E-3</v>
      </c>
      <c r="AB12" s="43">
        <f t="shared" si="3"/>
        <v>3.5111758157060891E-3</v>
      </c>
      <c r="AC12" s="43">
        <f t="shared" si="3"/>
        <v>9.1954022988505744E-4</v>
      </c>
      <c r="AD12" s="43">
        <f t="shared" si="3"/>
        <v>5.3767455753864534E-3</v>
      </c>
      <c r="AE12" s="43">
        <f>M12/M$38</f>
        <v>3.3302628781974068E-3</v>
      </c>
      <c r="AF12" s="43">
        <f>N12/N$38</f>
        <v>3.4537542308489327E-3</v>
      </c>
      <c r="AG12" s="43">
        <f t="shared" ref="AG12:AI20" si="4">O12/O$38</f>
        <v>8.6137943764228147E-4</v>
      </c>
      <c r="AH12" s="43">
        <f t="shared" si="4"/>
        <v>4.9096183887525104E-3</v>
      </c>
      <c r="AI12" s="43" t="e">
        <f t="shared" si="4"/>
        <v>#DIV/0!</v>
      </c>
      <c r="AJ12" s="43">
        <f>SUM(L12:P12)/SUM(L$38:P$38)</f>
        <v>3.5583917644896137E-3</v>
      </c>
      <c r="AK12" s="146"/>
    </row>
    <row r="13" spans="1:37" ht="15" x14ac:dyDescent="0.2">
      <c r="A13" s="76" t="s">
        <v>108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76100+75200+1800</f>
        <v>153100</v>
      </c>
      <c r="O13" s="95">
        <f>67000+78200+31800</f>
        <v>177000</v>
      </c>
      <c r="P13" s="95">
        <f>86100+93400+30400</f>
        <v>209900</v>
      </c>
      <c r="Q13" s="95"/>
      <c r="R13" s="43">
        <f t="shared" ref="R13:R16" si="5">RATE(5,,-K13,P13)</f>
        <v>3.751322152930165E-2</v>
      </c>
      <c r="S13" s="72" t="str">
        <f>A13</f>
        <v>Accounts Receivable, net</v>
      </c>
      <c r="T13" s="43">
        <f t="shared" si="3"/>
        <v>0.11484730883198443</v>
      </c>
      <c r="U13" s="43">
        <f t="shared" si="3"/>
        <v>0.13862145711443458</v>
      </c>
      <c r="V13" s="43">
        <f t="shared" si="3"/>
        <v>0.12938391353778406</v>
      </c>
      <c r="W13" s="43">
        <f t="shared" si="3"/>
        <v>0.10908749914341463</v>
      </c>
      <c r="X13" s="43">
        <f t="shared" si="3"/>
        <v>0.14313946177891695</v>
      </c>
      <c r="Y13" s="43">
        <f t="shared" si="3"/>
        <v>0.13449212556394247</v>
      </c>
      <c r="Z13" s="43">
        <f t="shared" si="3"/>
        <v>0.17119803654193538</v>
      </c>
      <c r="AA13" s="43">
        <f t="shared" si="3"/>
        <v>0.14245784030559955</v>
      </c>
      <c r="AB13" s="43">
        <f t="shared" si="3"/>
        <v>0.1310268048300077</v>
      </c>
      <c r="AC13" s="43">
        <f t="shared" si="3"/>
        <v>0.13379310344827586</v>
      </c>
      <c r="AD13" s="43">
        <f t="shared" si="3"/>
        <v>0.12463594951833321</v>
      </c>
      <c r="AE13" s="43">
        <f>M13/M$38</f>
        <v>0.12137745341174803</v>
      </c>
      <c r="AF13" s="43">
        <f>N13/N$38</f>
        <v>0.10575395454859432</v>
      </c>
      <c r="AG13" s="43">
        <f t="shared" si="4"/>
        <v>0.10890297175905987</v>
      </c>
      <c r="AH13" s="43">
        <f t="shared" si="4"/>
        <v>0.11710555679535818</v>
      </c>
      <c r="AI13" s="43" t="e">
        <f t="shared" si="4"/>
        <v>#DIV/0!</v>
      </c>
      <c r="AJ13" s="43">
        <f>SUM(L13:P13)/SUM(L$38:P$38)</f>
        <v>0.11531290212453058</v>
      </c>
      <c r="AK13" s="2"/>
    </row>
    <row r="14" spans="1:37" ht="15" x14ac:dyDescent="0.2">
      <c r="A14" s="83" t="s">
        <v>173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40300</v>
      </c>
      <c r="O14" s="95">
        <v>38300</v>
      </c>
      <c r="P14" s="95">
        <v>39200</v>
      </c>
      <c r="Q14" s="95"/>
      <c r="R14" s="43"/>
      <c r="S14" s="72" t="str">
        <f>+A14</f>
        <v>Gas Stored Underground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2"/>
    </row>
    <row r="15" spans="1:37" ht="15" x14ac:dyDescent="0.2">
      <c r="A15" s="76" t="s">
        <v>94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12200</v>
      </c>
      <c r="O15" s="95">
        <v>13500</v>
      </c>
      <c r="P15" s="95">
        <v>12100</v>
      </c>
      <c r="Q15" s="95"/>
      <c r="R15" s="43">
        <f t="shared" si="5"/>
        <v>-0.30717550650650294</v>
      </c>
      <c r="S15" s="72" t="str">
        <f>A15</f>
        <v>Material and Supplies</v>
      </c>
      <c r="T15" s="43">
        <f t="shared" si="3"/>
        <v>2.9963292202910087E-2</v>
      </c>
      <c r="U15" s="43">
        <f t="shared" si="3"/>
        <v>3.1296141515501141E-2</v>
      </c>
      <c r="V15" s="43">
        <f t="shared" si="3"/>
        <v>3.2407740536599172E-2</v>
      </c>
      <c r="W15" s="43">
        <f t="shared" si="3"/>
        <v>3.2237665471254194E-2</v>
      </c>
      <c r="X15" s="43">
        <f t="shared" si="3"/>
        <v>3.0761300136731545E-2</v>
      </c>
      <c r="Y15" s="43">
        <f t="shared" si="3"/>
        <v>4.9425282811468248E-2</v>
      </c>
      <c r="Z15" s="43">
        <f t="shared" si="3"/>
        <v>5.7991955677609008E-2</v>
      </c>
      <c r="AA15" s="43">
        <f t="shared" si="3"/>
        <v>5.4038945308860525E-2</v>
      </c>
      <c r="AB15" s="43">
        <f t="shared" si="3"/>
        <v>4.470326282435557E-2</v>
      </c>
      <c r="AC15" s="43">
        <f t="shared" si="3"/>
        <v>5.8084291187739466E-2</v>
      </c>
      <c r="AD15" s="43">
        <f t="shared" si="3"/>
        <v>9.0359196475244576E-3</v>
      </c>
      <c r="AE15" s="43">
        <f>M15/M$38</f>
        <v>5.5976759016509604E-3</v>
      </c>
      <c r="AF15" s="43">
        <f>N15/N$38</f>
        <v>8.4271603232713953E-3</v>
      </c>
      <c r="AG15" s="43">
        <f t="shared" si="4"/>
        <v>8.3061588629791423E-3</v>
      </c>
      <c r="AH15" s="43">
        <f t="shared" si="4"/>
        <v>6.7507252845347022E-3</v>
      </c>
      <c r="AI15" s="43" t="e">
        <f t="shared" si="4"/>
        <v>#DIV/0!</v>
      </c>
      <c r="AJ15" s="43">
        <f>SUM(L15:P15)/SUM(L$38:P$38)</f>
        <v>7.5894850179889176E-3</v>
      </c>
      <c r="AK15" s="2"/>
    </row>
    <row r="16" spans="1:37" ht="15" x14ac:dyDescent="0.2">
      <c r="A16" s="83" t="s">
        <v>145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>
        <v>1500</v>
      </c>
      <c r="O16" s="95"/>
      <c r="P16" s="95">
        <v>2800</v>
      </c>
      <c r="Q16" s="95"/>
      <c r="R16" s="43">
        <f t="shared" si="5"/>
        <v>-0.16980533817418719</v>
      </c>
      <c r="S16" s="72" t="str">
        <f>+A16</f>
        <v>Income Tax Receivable</v>
      </c>
      <c r="T16" s="43"/>
      <c r="U16" s="43"/>
      <c r="V16" s="43"/>
      <c r="W16" s="43"/>
      <c r="X16" s="43"/>
      <c r="Y16" s="43"/>
      <c r="Z16" s="43"/>
      <c r="AA16" s="43"/>
      <c r="AB16" s="43"/>
      <c r="AC16" s="43">
        <f t="shared" si="3"/>
        <v>5.4406130268199234E-3</v>
      </c>
      <c r="AD16" s="43"/>
      <c r="AE16" s="43"/>
      <c r="AF16" s="43"/>
      <c r="AG16" s="43"/>
      <c r="AH16" s="43"/>
      <c r="AI16" s="43"/>
      <c r="AJ16" s="43"/>
      <c r="AK16" s="2"/>
    </row>
    <row r="17" spans="1:39" ht="15" x14ac:dyDescent="0.2">
      <c r="A17" s="83" t="s">
        <v>163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43"/>
      <c r="S17" s="72" t="str">
        <f>+A17</f>
        <v>Purchased-Gas Adjustment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2"/>
    </row>
    <row r="18" spans="1:39" ht="15" x14ac:dyDescent="0.2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26500</v>
      </c>
      <c r="O18" s="95">
        <v>41000</v>
      </c>
      <c r="P18" s="95">
        <v>30200</v>
      </c>
      <c r="Q18" s="95"/>
      <c r="R18" s="43">
        <f t="shared" ref="R18:R19" si="6">RATE(5,,-K18,P18)</f>
        <v>7.9513168624827255E-2</v>
      </c>
      <c r="S18" s="72" t="str">
        <f>+A18</f>
        <v>Regulatory Assets</v>
      </c>
      <c r="T18" s="43"/>
      <c r="U18" s="43"/>
      <c r="V18" s="43"/>
      <c r="W18" s="43"/>
      <c r="X18" s="43"/>
      <c r="Y18" s="43"/>
      <c r="Z18" s="43"/>
      <c r="AA18" s="43"/>
      <c r="AB18" s="43"/>
      <c r="AC18" s="43">
        <f t="shared" si="3"/>
        <v>1.5785440613026822E-2</v>
      </c>
      <c r="AD18" s="43">
        <f t="shared" si="3"/>
        <v>3.233515047419909E-2</v>
      </c>
      <c r="AE18" s="43">
        <f t="shared" ref="AE18:AF20" si="7">M18/M$38</f>
        <v>3.7341458230000707E-2</v>
      </c>
      <c r="AF18" s="43">
        <f t="shared" si="7"/>
        <v>1.8304897423499344E-2</v>
      </c>
      <c r="AG18" s="43">
        <f t="shared" si="4"/>
        <v>2.5226112102381099E-2</v>
      </c>
      <c r="AH18" s="43">
        <f t="shared" si="4"/>
        <v>1.6848917652309753E-2</v>
      </c>
      <c r="AI18" s="43" t="e">
        <f t="shared" si="4"/>
        <v>#DIV/0!</v>
      </c>
      <c r="AJ18" s="43">
        <f t="shared" ref="AJ18:AJ20" si="8">SUM(L18:P18)/SUM(L$38:P$38)</f>
        <v>2.5433966228104728E-2</v>
      </c>
      <c r="AK18" s="2"/>
    </row>
    <row r="19" spans="1:39" ht="15" x14ac:dyDescent="0.2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f>3100+5600</f>
        <v>8700</v>
      </c>
      <c r="O19" s="95">
        <f>3200+1500</f>
        <v>4700</v>
      </c>
      <c r="P19" s="95">
        <f>3000+2900</f>
        <v>5900</v>
      </c>
      <c r="Q19" s="95"/>
      <c r="R19" s="51">
        <f t="shared" si="6"/>
        <v>4.6527947715820951E-2</v>
      </c>
      <c r="S19" s="72" t="str">
        <f>A19</f>
        <v>Other Current Assets</v>
      </c>
      <c r="T19" s="77">
        <f t="shared" si="3"/>
        <v>4.9754544248374688E-3</v>
      </c>
      <c r="U19" s="77">
        <f t="shared" si="3"/>
        <v>4.9808147643214833E-2</v>
      </c>
      <c r="V19" s="77">
        <f t="shared" si="3"/>
        <v>1.1700030221480277E-2</v>
      </c>
      <c r="W19" s="77">
        <f t="shared" si="3"/>
        <v>7.8397097347771248E-3</v>
      </c>
      <c r="X19" s="77">
        <f t="shared" si="3"/>
        <v>2.5631668960180783E-3</v>
      </c>
      <c r="Y19" s="77">
        <f t="shared" si="3"/>
        <v>4.4227720071014248E-2</v>
      </c>
      <c r="Z19" s="77">
        <f t="shared" si="3"/>
        <v>4.3571455035563277E-2</v>
      </c>
      <c r="AA19" s="77">
        <f t="shared" si="3"/>
        <v>3.5404826236839653E-3</v>
      </c>
      <c r="AB19" s="77">
        <f t="shared" si="3"/>
        <v>1.5329279780765608E-2</v>
      </c>
      <c r="AC19" s="77">
        <f t="shared" si="3"/>
        <v>3.6015325670498083E-3</v>
      </c>
      <c r="AD19" s="77">
        <f t="shared" si="3"/>
        <v>5.2273915316257188E-3</v>
      </c>
      <c r="AE19" s="77">
        <f t="shared" si="7"/>
        <v>2.9759795932827889E-3</v>
      </c>
      <c r="AF19" s="77">
        <f t="shared" si="7"/>
        <v>6.0095323616771428E-3</v>
      </c>
      <c r="AG19" s="77">
        <f t="shared" si="4"/>
        <v>2.8917738263705161E-3</v>
      </c>
      <c r="AH19" s="77">
        <f t="shared" si="4"/>
        <v>3.2916759651863423E-3</v>
      </c>
      <c r="AI19" s="77" t="e">
        <f t="shared" si="4"/>
        <v>#DIV/0!</v>
      </c>
      <c r="AJ19" s="51">
        <f t="shared" si="8"/>
        <v>4.0048320596654322E-3</v>
      </c>
      <c r="AK19" s="2"/>
    </row>
    <row r="20" spans="1:39" ht="15" x14ac:dyDescent="0.2">
      <c r="A20" s="72" t="s">
        <v>38</v>
      </c>
      <c r="B20" s="78">
        <f t="shared" ref="B20:M20" si="9">SUM(B11:B19)</f>
        <v>110086</v>
      </c>
      <c r="C20" s="96">
        <f t="shared" si="9"/>
        <v>183326</v>
      </c>
      <c r="D20" s="96">
        <f t="shared" si="9"/>
        <v>149031</v>
      </c>
      <c r="E20" s="96">
        <f t="shared" si="9"/>
        <v>127067</v>
      </c>
      <c r="F20" s="96">
        <f t="shared" si="9"/>
        <v>164443</v>
      </c>
      <c r="G20" s="96">
        <f t="shared" si="9"/>
        <v>232929</v>
      </c>
      <c r="H20" s="96">
        <f t="shared" si="9"/>
        <v>305049</v>
      </c>
      <c r="I20" s="96">
        <f t="shared" si="9"/>
        <v>218300</v>
      </c>
      <c r="J20" s="96">
        <f t="shared" si="9"/>
        <v>227200</v>
      </c>
      <c r="K20" s="96">
        <f t="shared" si="9"/>
        <v>284000</v>
      </c>
      <c r="L20" s="96">
        <f t="shared" si="9"/>
        <v>279000</v>
      </c>
      <c r="M20" s="96">
        <f t="shared" si="9"/>
        <v>291800</v>
      </c>
      <c r="N20" s="96">
        <f t="shared" ref="N20" si="10">SUM(N11:N19)</f>
        <v>247300</v>
      </c>
      <c r="O20" s="96">
        <f t="shared" ref="O20:P20" si="11">SUM(O11:O19)</f>
        <v>275900</v>
      </c>
      <c r="P20" s="96">
        <f t="shared" si="11"/>
        <v>308900</v>
      </c>
      <c r="Q20" s="96">
        <f t="shared" ref="Q20" si="12">SUM(Q11:Q19)</f>
        <v>0</v>
      </c>
      <c r="R20" s="43">
        <f>RATE(5,,-K20,P20)</f>
        <v>1.6950732919483708E-2</v>
      </c>
      <c r="S20" s="72" t="str">
        <f>A20</f>
        <v>Total Current Assets</v>
      </c>
      <c r="T20" s="43">
        <f t="shared" si="3"/>
        <v>0.15214663217018265</v>
      </c>
      <c r="U20" s="43">
        <f t="shared" si="3"/>
        <v>0.22078797966100061</v>
      </c>
      <c r="V20" s="43">
        <f t="shared" si="3"/>
        <v>0.17872767568034309</v>
      </c>
      <c r="W20" s="43">
        <f t="shared" si="3"/>
        <v>0.15276313400842279</v>
      </c>
      <c r="X20" s="43">
        <f t="shared" si="3"/>
        <v>0.1807439339116213</v>
      </c>
      <c r="Y20" s="43">
        <f t="shared" si="3"/>
        <v>0.23025163399984974</v>
      </c>
      <c r="Z20" s="43">
        <f t="shared" si="3"/>
        <v>0.27565855999219241</v>
      </c>
      <c r="AA20" s="43">
        <f t="shared" si="3"/>
        <v>0.2033914096711078</v>
      </c>
      <c r="AB20" s="43">
        <f t="shared" si="3"/>
        <v>0.19457052325083499</v>
      </c>
      <c r="AC20" s="43">
        <f t="shared" si="3"/>
        <v>0.21762452107279692</v>
      </c>
      <c r="AD20" s="43">
        <f t="shared" si="3"/>
        <v>0.20834889104622509</v>
      </c>
      <c r="AE20" s="43">
        <f t="shared" si="7"/>
        <v>0.20675972507617091</v>
      </c>
      <c r="AF20" s="43">
        <f t="shared" si="7"/>
        <v>0.17082268425778821</v>
      </c>
      <c r="AG20" s="43">
        <f t="shared" si="4"/>
        <v>0.16975327631821818</v>
      </c>
      <c r="AH20" s="43">
        <f t="shared" si="4"/>
        <v>0.17233876366882392</v>
      </c>
      <c r="AI20" s="43" t="e">
        <f t="shared" si="4"/>
        <v>#DIV/0!</v>
      </c>
      <c r="AJ20" s="43">
        <f t="shared" si="8"/>
        <v>0.18420914414769296</v>
      </c>
      <c r="AK20" s="2"/>
    </row>
    <row r="21" spans="1:39" ht="15" x14ac:dyDescent="0.2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3"/>
      <c r="S21" s="7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7"/>
    </row>
    <row r="22" spans="1:39" ht="15.75" x14ac:dyDescent="0.2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41"/>
      <c r="S22" s="117" t="s">
        <v>25</v>
      </c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7"/>
    </row>
    <row r="23" spans="1:39" ht="15" x14ac:dyDescent="0.2">
      <c r="A23" s="72" t="s">
        <v>116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f>1583100+284400</f>
        <v>1867500</v>
      </c>
      <c r="O23" s="95">
        <f>1690500+281600</f>
        <v>1972100</v>
      </c>
      <c r="P23" s="95">
        <f>1839800+289800</f>
        <v>2129600</v>
      </c>
      <c r="Q23" s="95"/>
      <c r="R23" s="43">
        <f t="shared" ref="R23:R24" si="13">RATE(5,,-K23,P23)</f>
        <v>5.5847644954217027E-2</v>
      </c>
      <c r="S23" s="72" t="str">
        <f>A23</f>
        <v>Plant in Service</v>
      </c>
      <c r="T23" s="43">
        <f t="shared" ref="T23:AD26" si="14">B23/B$38</f>
        <v>1.3062848281809738</v>
      </c>
      <c r="U23" s="43">
        <f t="shared" si="14"/>
        <v>1.2557019772956646</v>
      </c>
      <c r="V23" s="43">
        <f t="shared" si="14"/>
        <v>1.3342831512848927</v>
      </c>
      <c r="W23" s="43">
        <f t="shared" si="14"/>
        <v>1.416188682012669</v>
      </c>
      <c r="X23" s="43">
        <f t="shared" si="14"/>
        <v>1.3412650085951823</v>
      </c>
      <c r="Y23" s="43">
        <f t="shared" si="14"/>
        <v>1.2856929622351299</v>
      </c>
      <c r="Z23" s="43">
        <f t="shared" si="14"/>
        <v>1.2328380409156177</v>
      </c>
      <c r="AA23" s="43">
        <f t="shared" si="14"/>
        <v>1.2922761576446473</v>
      </c>
      <c r="AB23" s="43">
        <f t="shared" si="14"/>
        <v>1.2894579087094289</v>
      </c>
      <c r="AC23" s="43">
        <f t="shared" si="14"/>
        <v>1.2436015325670497</v>
      </c>
      <c r="AD23" s="43">
        <f t="shared" si="14"/>
        <v>1.2557687999402585</v>
      </c>
      <c r="AE23" s="43">
        <f>M23/M$38</f>
        <v>1.2488485793240276</v>
      </c>
      <c r="AF23" s="43">
        <f>N23/N$38</f>
        <v>1.2899772052220764</v>
      </c>
      <c r="AG23" s="43">
        <f t="shared" ref="AG23:AI26" si="15">O23/O$38</f>
        <v>1.2133759921245308</v>
      </c>
      <c r="AH23" s="43">
        <f t="shared" si="15"/>
        <v>1.1881276500781075</v>
      </c>
      <c r="AI23" s="43" t="e">
        <f t="shared" si="15"/>
        <v>#DIV/0!</v>
      </c>
      <c r="AJ23" s="43">
        <f t="shared" ref="AJ23:AJ24" si="16">SUM(L23:P23)/SUM(L$38:P$38)</f>
        <v>1.2360224795819217</v>
      </c>
      <c r="AK23" s="7"/>
      <c r="AM23" s="1"/>
    </row>
    <row r="24" spans="1:39" ht="15" x14ac:dyDescent="0.2">
      <c r="A24" s="76" t="s">
        <v>124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>
        <v>59500</v>
      </c>
      <c r="O24" s="27">
        <v>68800</v>
      </c>
      <c r="P24" s="27">
        <v>73400</v>
      </c>
      <c r="Q24" s="27"/>
      <c r="R24" s="43">
        <f t="shared" si="13"/>
        <v>0.25158293145143823</v>
      </c>
      <c r="S24" s="72" t="str">
        <f>A24</f>
        <v>Construction Work in Progress</v>
      </c>
      <c r="T24" s="43">
        <f t="shared" si="14"/>
        <v>9.4580624474813149E-2</v>
      </c>
      <c r="U24" s="43">
        <f t="shared" si="14"/>
        <v>2.9771439169675524E-2</v>
      </c>
      <c r="V24" s="43">
        <f t="shared" si="14"/>
        <v>3.8221777694628735E-2</v>
      </c>
      <c r="W24" s="43">
        <f t="shared" si="14"/>
        <v>1.8730666717961603E-2</v>
      </c>
      <c r="X24" s="43">
        <f t="shared" si="14"/>
        <v>2.2261741986256502E-2</v>
      </c>
      <c r="Y24" s="43">
        <f t="shared" si="14"/>
        <v>1.4722803243880162E-2</v>
      </c>
      <c r="Z24" s="43">
        <f t="shared" si="14"/>
        <v>1.7241706495189402E-2</v>
      </c>
      <c r="AA24" s="43">
        <f t="shared" si="14"/>
        <v>2.8976055156992454E-2</v>
      </c>
      <c r="AB24" s="43">
        <f t="shared" si="14"/>
        <v>2.8688875567354628E-2</v>
      </c>
      <c r="AC24" s="43">
        <f t="shared" si="14"/>
        <v>1.8314176245210728E-2</v>
      </c>
      <c r="AD24" s="43">
        <f t="shared" si="14"/>
        <v>3.0094839817788068E-2</v>
      </c>
      <c r="AE24" s="160">
        <f t="shared" ref="AE24" si="17">M24/M$38</f>
        <v>3.9042017997590876E-2</v>
      </c>
      <c r="AF24" s="160">
        <f t="shared" ref="AF24" si="18">N24/N$38</f>
        <v>4.10996753471023E-2</v>
      </c>
      <c r="AG24" s="160">
        <f t="shared" si="15"/>
        <v>4.2330646649849257E-2</v>
      </c>
      <c r="AH24" s="160">
        <f t="shared" si="15"/>
        <v>4.0950680651640259E-2</v>
      </c>
      <c r="AI24" s="160" t="e">
        <f t="shared" si="15"/>
        <v>#DIV/0!</v>
      </c>
      <c r="AJ24" s="43">
        <f t="shared" si="16"/>
        <v>3.9011003440216394E-2</v>
      </c>
      <c r="AK24" s="7"/>
    </row>
    <row r="25" spans="1:39" ht="15" x14ac:dyDescent="0.2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51"/>
      <c r="S25" s="72" t="str">
        <f>A25</f>
        <v>Other PP&amp;E</v>
      </c>
      <c r="T25" s="79">
        <f t="shared" si="14"/>
        <v>0</v>
      </c>
      <c r="U25" s="79">
        <f t="shared" si="14"/>
        <v>0</v>
      </c>
      <c r="V25" s="79">
        <f t="shared" si="14"/>
        <v>0</v>
      </c>
      <c r="W25" s="79">
        <f t="shared" si="14"/>
        <v>0</v>
      </c>
      <c r="X25" s="79">
        <f t="shared" si="14"/>
        <v>0</v>
      </c>
      <c r="Y25" s="79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51"/>
      <c r="AK25" s="2"/>
    </row>
    <row r="26" spans="1:39" ht="12.75" customHeight="1" x14ac:dyDescent="0.2">
      <c r="A26" s="72" t="s">
        <v>65</v>
      </c>
      <c r="B26" s="78">
        <f t="shared" ref="B26:M26" si="19">SUM(B23:B25)</f>
        <v>1013599</v>
      </c>
      <c r="C26" s="96">
        <f t="shared" si="19"/>
        <v>1067362</v>
      </c>
      <c r="D26" s="96">
        <f t="shared" si="19"/>
        <v>1144455</v>
      </c>
      <c r="E26" s="96">
        <f t="shared" si="19"/>
        <v>1193553</v>
      </c>
      <c r="F26" s="96">
        <f t="shared" si="19"/>
        <v>1240553</v>
      </c>
      <c r="G26" s="96">
        <f t="shared" si="19"/>
        <v>1315537</v>
      </c>
      <c r="H26" s="96">
        <f t="shared" si="19"/>
        <v>1383362</v>
      </c>
      <c r="I26" s="96">
        <f t="shared" si="19"/>
        <v>1418100</v>
      </c>
      <c r="J26" s="96">
        <f t="shared" si="19"/>
        <v>1539200</v>
      </c>
      <c r="K26" s="96">
        <f t="shared" si="19"/>
        <v>1646800</v>
      </c>
      <c r="L26" s="96">
        <f t="shared" si="19"/>
        <v>1721900</v>
      </c>
      <c r="M26" s="96">
        <f t="shared" si="19"/>
        <v>1817600</v>
      </c>
      <c r="N26" s="96">
        <f t="shared" ref="N26" si="20">SUM(N23:N25)</f>
        <v>1927000</v>
      </c>
      <c r="O26" s="96">
        <f t="shared" ref="O26:P26" si="21">SUM(O23:O25)</f>
        <v>2040900</v>
      </c>
      <c r="P26" s="96">
        <f t="shared" si="21"/>
        <v>2203000</v>
      </c>
      <c r="Q26" s="96">
        <f t="shared" ref="Q26" si="22">SUM(Q23:Q25)</f>
        <v>0</v>
      </c>
      <c r="R26" s="43">
        <f>RATE(5,,-K26,P26)</f>
        <v>5.9924004177143692E-2</v>
      </c>
      <c r="S26" s="72" t="str">
        <f>A26</f>
        <v>Total Plant &amp; Equipment:</v>
      </c>
      <c r="T26" s="80">
        <f t="shared" si="14"/>
        <v>1.4008654526557871</v>
      </c>
      <c r="U26" s="80">
        <f t="shared" si="14"/>
        <v>1.2854734164653401</v>
      </c>
      <c r="V26" s="80">
        <f t="shared" si="14"/>
        <v>1.3725049289795213</v>
      </c>
      <c r="W26" s="80">
        <f t="shared" si="14"/>
        <v>1.4349193487306307</v>
      </c>
      <c r="X26" s="80">
        <f t="shared" si="14"/>
        <v>1.3635267505814388</v>
      </c>
      <c r="Y26" s="80">
        <f t="shared" si="14"/>
        <v>1.3004157654790101</v>
      </c>
      <c r="Z26" s="80">
        <f t="shared" si="14"/>
        <v>1.2500797474108072</v>
      </c>
      <c r="AA26" s="80">
        <f t="shared" si="14"/>
        <v>1.3212522128016397</v>
      </c>
      <c r="AB26" s="80">
        <f t="shared" si="14"/>
        <v>1.3181467842767833</v>
      </c>
      <c r="AC26" s="80">
        <f t="shared" si="14"/>
        <v>1.2619157088122606</v>
      </c>
      <c r="AD26" s="80">
        <f t="shared" si="14"/>
        <v>1.2858636397580465</v>
      </c>
      <c r="AE26" s="80">
        <f>M26/M$38</f>
        <v>1.2878905973216184</v>
      </c>
      <c r="AF26" s="80">
        <f>N26/N$38</f>
        <v>1.3310768805691786</v>
      </c>
      <c r="AG26" s="80">
        <f t="shared" si="15"/>
        <v>1.25570663877438</v>
      </c>
      <c r="AH26" s="80">
        <f t="shared" si="15"/>
        <v>1.2290783307297479</v>
      </c>
      <c r="AI26" s="80" t="e">
        <f t="shared" si="15"/>
        <v>#DIV/0!</v>
      </c>
      <c r="AJ26" s="43">
        <f>SUM(L26:P26)/SUM(L$38:P$38)</f>
        <v>1.2750334830221381</v>
      </c>
      <c r="AK26" s="2"/>
    </row>
    <row r="27" spans="1:39" ht="12" customHeight="1" x14ac:dyDescent="0.2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43"/>
      <c r="S27" s="73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43"/>
      <c r="AK27" s="2"/>
    </row>
    <row r="28" spans="1:39" ht="12.75" customHeight="1" x14ac:dyDescent="0.2">
      <c r="A28" s="72" t="s">
        <v>128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749600</v>
      </c>
      <c r="O28" s="95">
        <v>716600</v>
      </c>
      <c r="P28" s="95">
        <v>745200</v>
      </c>
      <c r="Q28" s="95"/>
      <c r="R28" s="43">
        <f>RATE(5,,-K28,P28)</f>
        <v>2.5420139386121355E-2</v>
      </c>
      <c r="S28" s="72" t="str">
        <f>A28</f>
        <v>Accumulated Dep &amp; Amort</v>
      </c>
      <c r="T28" s="43">
        <f t="shared" ref="T28:AD28" si="23">B28/B$38</f>
        <v>0.58200516341603648</v>
      </c>
      <c r="U28" s="43">
        <f t="shared" si="23"/>
        <v>0.53894012713078965</v>
      </c>
      <c r="V28" s="43">
        <f t="shared" si="23"/>
        <v>0.58713980073011263</v>
      </c>
      <c r="W28" s="43">
        <f t="shared" si="23"/>
        <v>0.6173245442665285</v>
      </c>
      <c r="X28" s="43">
        <f t="shared" si="23"/>
        <v>0.58555723600040444</v>
      </c>
      <c r="Y28" s="43">
        <f t="shared" si="23"/>
        <v>0.5657119020035033</v>
      </c>
      <c r="Z28" s="43">
        <f t="shared" si="23"/>
        <v>0.55659084111152979</v>
      </c>
      <c r="AA28" s="43">
        <f t="shared" si="23"/>
        <v>0.55716016025342396</v>
      </c>
      <c r="AB28" s="43">
        <f t="shared" si="23"/>
        <v>0.53977905283891414</v>
      </c>
      <c r="AC28" s="43">
        <f t="shared" si="23"/>
        <v>0.50367816091954021</v>
      </c>
      <c r="AD28" s="43">
        <f t="shared" si="23"/>
        <v>0.51557015906205661</v>
      </c>
      <c r="AE28" s="43">
        <f>M28/M$38</f>
        <v>0.51108906681782751</v>
      </c>
      <c r="AF28" s="43">
        <f>N28/N$38</f>
        <v>0.51778683428887196</v>
      </c>
      <c r="AG28" s="43">
        <f t="shared" ref="AG28:AI28" si="24">O28/O$38</f>
        <v>0.44090321786747061</v>
      </c>
      <c r="AH28" s="43">
        <f t="shared" si="24"/>
        <v>0.41575541173845126</v>
      </c>
      <c r="AI28" s="43" t="e">
        <f t="shared" si="24"/>
        <v>#DIV/0!</v>
      </c>
      <c r="AJ28" s="43">
        <f>SUM(L28:P28)/SUM(L$38:P$38)</f>
        <v>0.47573465689750255</v>
      </c>
      <c r="AK28" s="2"/>
    </row>
    <row r="29" spans="1:39" ht="12" customHeight="1" x14ac:dyDescent="0.2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43"/>
      <c r="S29" s="72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43"/>
      <c r="AK29" s="2"/>
    </row>
    <row r="30" spans="1:39" ht="15" x14ac:dyDescent="0.2">
      <c r="A30" s="72" t="s">
        <v>59</v>
      </c>
      <c r="B30" s="72">
        <f t="shared" ref="B30:H30" si="25">B26-B28</f>
        <v>592488</v>
      </c>
      <c r="C30" s="95">
        <f t="shared" si="25"/>
        <v>619866</v>
      </c>
      <c r="D30" s="95">
        <f t="shared" si="25"/>
        <v>654872</v>
      </c>
      <c r="E30" s="95">
        <f t="shared" si="25"/>
        <v>680068</v>
      </c>
      <c r="F30" s="95">
        <f t="shared" si="25"/>
        <v>707806</v>
      </c>
      <c r="G30" s="95">
        <f t="shared" si="25"/>
        <v>743247</v>
      </c>
      <c r="H30" s="95">
        <f t="shared" si="25"/>
        <v>767428</v>
      </c>
      <c r="I30" s="95">
        <f t="shared" ref="I30:O30" si="26">I26-I28</f>
        <v>820100</v>
      </c>
      <c r="J30" s="95">
        <f t="shared" si="26"/>
        <v>908900</v>
      </c>
      <c r="K30" s="95">
        <f t="shared" si="26"/>
        <v>989500</v>
      </c>
      <c r="L30" s="95">
        <f t="shared" si="26"/>
        <v>1031500</v>
      </c>
      <c r="M30" s="95">
        <f t="shared" si="26"/>
        <v>1096300</v>
      </c>
      <c r="N30" s="95">
        <f t="shared" ref="N30" si="27">N26-N28</f>
        <v>1177400</v>
      </c>
      <c r="O30" s="95">
        <f t="shared" si="26"/>
        <v>1324300</v>
      </c>
      <c r="P30" s="95">
        <f t="shared" ref="P30:Q30" si="28">P26-P28</f>
        <v>1457800</v>
      </c>
      <c r="Q30" s="95">
        <f t="shared" si="28"/>
        <v>0</v>
      </c>
      <c r="R30" s="43">
        <f>RATE(5,,-K30,P30)</f>
        <v>8.0578766800356721E-2</v>
      </c>
      <c r="S30" s="72" t="str">
        <f>A30</f>
        <v>Net Plant &amp; Equipment</v>
      </c>
      <c r="T30" s="43">
        <f t="shared" ref="T30:AD30" si="29">B30/B$38</f>
        <v>0.81886028923975052</v>
      </c>
      <c r="U30" s="43">
        <f t="shared" si="29"/>
        <v>0.74653328933455054</v>
      </c>
      <c r="V30" s="43">
        <f t="shared" si="29"/>
        <v>0.78536512824940874</v>
      </c>
      <c r="W30" s="43">
        <f t="shared" si="29"/>
        <v>0.81759480446410215</v>
      </c>
      <c r="X30" s="43">
        <f t="shared" si="29"/>
        <v>0.77796951458103436</v>
      </c>
      <c r="Y30" s="43">
        <f t="shared" si="29"/>
        <v>0.73470386347550676</v>
      </c>
      <c r="Z30" s="43">
        <f t="shared" si="29"/>
        <v>0.6934889062992774</v>
      </c>
      <c r="AA30" s="43">
        <f t="shared" si="29"/>
        <v>0.76409205254821577</v>
      </c>
      <c r="AB30" s="43">
        <f t="shared" si="29"/>
        <v>0.7783677314378693</v>
      </c>
      <c r="AC30" s="43">
        <f t="shared" si="29"/>
        <v>0.75823754789272035</v>
      </c>
      <c r="AD30" s="43">
        <f t="shared" si="29"/>
        <v>0.7702934806959898</v>
      </c>
      <c r="AE30" s="43">
        <f>M30/M$38</f>
        <v>0.77680153050379086</v>
      </c>
      <c r="AF30" s="43">
        <f>N30/N$38</f>
        <v>0.81329004628030666</v>
      </c>
      <c r="AG30" s="43">
        <f t="shared" ref="AG30:AI30" si="30">O30/O$38</f>
        <v>0.81480342090690949</v>
      </c>
      <c r="AH30" s="43">
        <f t="shared" si="30"/>
        <v>0.81332291899129661</v>
      </c>
      <c r="AI30" s="43" t="e">
        <f t="shared" si="30"/>
        <v>#DIV/0!</v>
      </c>
      <c r="AJ30" s="43">
        <f>SUM(L30:P30)/SUM(L$38:P$38)</f>
        <v>0.79929882612463565</v>
      </c>
      <c r="AK30" s="2"/>
    </row>
    <row r="31" spans="1:39" ht="12" customHeight="1" x14ac:dyDescent="0.2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43"/>
      <c r="S31" s="7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2"/>
    </row>
    <row r="32" spans="1:39" ht="15.75" x14ac:dyDescent="0.25">
      <c r="A32" s="117" t="s">
        <v>72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43"/>
      <c r="S32" s="117" t="str">
        <f>A32</f>
        <v>Other Assets:</v>
      </c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2"/>
    </row>
    <row r="33" spans="1:37" ht="15" x14ac:dyDescent="0.2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15100</v>
      </c>
      <c r="O33" s="95">
        <v>16400</v>
      </c>
      <c r="P33" s="95">
        <v>16100</v>
      </c>
      <c r="Q33" s="95"/>
      <c r="R33" s="43">
        <f t="shared" ref="R33:R35" si="31">RATE(5,,-K33,P33)</f>
        <v>-2.3146447494642623E-2</v>
      </c>
      <c r="S33" s="72" t="str">
        <f>A33</f>
        <v>Regulatory Assets</v>
      </c>
      <c r="T33" s="43">
        <f t="shared" ref="T33:AD38" si="32">B33/B$38</f>
        <v>2.26010017248242E-2</v>
      </c>
      <c r="U33" s="43">
        <f t="shared" si="32"/>
        <v>2.6927977685872777E-2</v>
      </c>
      <c r="V33" s="43">
        <f t="shared" si="32"/>
        <v>2.3039081650764411E-2</v>
      </c>
      <c r="W33" s="43">
        <f t="shared" si="32"/>
        <v>1.6761422039911468E-2</v>
      </c>
      <c r="X33" s="43">
        <f t="shared" si="32"/>
        <v>2.7077022505748439E-2</v>
      </c>
      <c r="Y33" s="43">
        <f t="shared" si="32"/>
        <v>2.1591929049018018E-2</v>
      </c>
      <c r="Z33" s="43">
        <f t="shared" si="32"/>
        <v>1.9927364341295422E-2</v>
      </c>
      <c r="AA33" s="43">
        <f t="shared" si="32"/>
        <v>2.1429236932823999E-2</v>
      </c>
      <c r="AB33" s="43">
        <f t="shared" si="32"/>
        <v>1.6356940995118609E-2</v>
      </c>
      <c r="AC33" s="43">
        <f t="shared" si="32"/>
        <v>1.3869731800766283E-2</v>
      </c>
      <c r="AD33" s="43">
        <f t="shared" si="32"/>
        <v>1.1948323500858785E-2</v>
      </c>
      <c r="AE33" s="43">
        <f t="shared" ref="AE33:AF38" si="33">M33/M$38</f>
        <v>1.0628498547438532E-2</v>
      </c>
      <c r="AF33" s="43">
        <f t="shared" si="33"/>
        <v>1.0430337777163777E-2</v>
      </c>
      <c r="AG33" s="43">
        <f t="shared" ref="AG33:AI38" si="34">O33/O$38</f>
        <v>1.009044484095244E-2</v>
      </c>
      <c r="AH33" s="43">
        <f t="shared" si="34"/>
        <v>8.9823700066949345E-3</v>
      </c>
      <c r="AI33" s="43" t="e">
        <f t="shared" si="34"/>
        <v>#DIV/0!</v>
      </c>
      <c r="AJ33" s="43">
        <f>SUM(L33:P33)/SUM(L$38:P$38)</f>
        <v>1.0320649176711574E-2</v>
      </c>
      <c r="AK33" s="2"/>
    </row>
    <row r="34" spans="1:37" ht="15" x14ac:dyDescent="0.2">
      <c r="A34" s="72" t="s">
        <v>95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27">
        <v>5600</v>
      </c>
      <c r="P34" s="27">
        <v>5600</v>
      </c>
      <c r="Q34" s="27"/>
      <c r="R34" s="43">
        <f t="shared" si="31"/>
        <v>1.2661654631550869E-16</v>
      </c>
      <c r="S34" s="72" t="str">
        <f>A34</f>
        <v>Goodwill</v>
      </c>
      <c r="T34" s="43">
        <f t="shared" si="32"/>
        <v>0</v>
      </c>
      <c r="U34" s="43">
        <f t="shared" si="32"/>
        <v>0</v>
      </c>
      <c r="V34" s="43">
        <f t="shared" si="32"/>
        <v>7.0468816709120651E-3</v>
      </c>
      <c r="W34" s="43">
        <f t="shared" si="32"/>
        <v>6.7949761418433239E-3</v>
      </c>
      <c r="X34" s="43">
        <f t="shared" si="32"/>
        <v>6.2122724255120835E-3</v>
      </c>
      <c r="Y34" s="43">
        <f t="shared" si="32"/>
        <v>5.5870339690083709E-3</v>
      </c>
      <c r="Z34" s="43">
        <f t="shared" si="32"/>
        <v>5.1074489051787467E-3</v>
      </c>
      <c r="AA34" s="43">
        <f t="shared" si="32"/>
        <v>5.2175533401658441E-3</v>
      </c>
      <c r="AB34" s="43">
        <f t="shared" si="32"/>
        <v>4.795752333647341E-3</v>
      </c>
      <c r="AC34" s="43">
        <f t="shared" si="32"/>
        <v>4.2911877394636016E-3</v>
      </c>
      <c r="AD34" s="43">
        <f t="shared" si="32"/>
        <v>4.1819132253005748E-3</v>
      </c>
      <c r="AE34" s="43">
        <f t="shared" si="33"/>
        <v>3.9679727910437185E-3</v>
      </c>
      <c r="AF34" s="43">
        <f t="shared" si="33"/>
        <v>3.8682047385508048E-3</v>
      </c>
      <c r="AG34" s="43">
        <f t="shared" si="34"/>
        <v>3.4455177505691259E-3</v>
      </c>
      <c r="AH34" s="43">
        <f t="shared" si="34"/>
        <v>3.1243026110243251E-3</v>
      </c>
      <c r="AI34" s="43" t="e">
        <f t="shared" si="34"/>
        <v>#DIV/0!</v>
      </c>
      <c r="AJ34" s="43">
        <f t="shared" ref="AJ34:AJ38" si="35">SUM(L34:P34)/SUM(L$38:P$38)</f>
        <v>3.6765671367420365E-3</v>
      </c>
      <c r="AK34" s="2"/>
    </row>
    <row r="35" spans="1:37" ht="15" x14ac:dyDescent="0.2">
      <c r="A35" s="72" t="s">
        <v>96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2300</v>
      </c>
      <c r="O35" s="95">
        <v>3100</v>
      </c>
      <c r="P35" s="95">
        <v>4000</v>
      </c>
      <c r="Q35" s="95"/>
      <c r="R35" s="51">
        <f t="shared" si="31"/>
        <v>-0.12503017113408993</v>
      </c>
      <c r="S35" s="72" t="str">
        <f>A35</f>
        <v>Other Non-Current Assets</v>
      </c>
      <c r="T35" s="43">
        <f t="shared" si="32"/>
        <v>6.3920768652425807E-3</v>
      </c>
      <c r="U35" s="43">
        <f t="shared" si="32"/>
        <v>5.7507533185760769E-3</v>
      </c>
      <c r="V35" s="43">
        <f t="shared" si="32"/>
        <v>5.8212327485716751E-3</v>
      </c>
      <c r="W35" s="43">
        <f t="shared" si="32"/>
        <v>6.0856633457202587E-3</v>
      </c>
      <c r="X35" s="43">
        <f t="shared" si="32"/>
        <v>7.9972565760838502E-3</v>
      </c>
      <c r="Y35" s="43">
        <f t="shared" si="32"/>
        <v>7.8655395066170569E-3</v>
      </c>
      <c r="Z35" s="43">
        <f t="shared" si="32"/>
        <v>5.8177204620560464E-3</v>
      </c>
      <c r="AA35" s="43">
        <f t="shared" si="32"/>
        <v>5.869747507686574E-3</v>
      </c>
      <c r="AB35" s="43">
        <f t="shared" si="32"/>
        <v>5.9090519825297592E-3</v>
      </c>
      <c r="AC35" s="43">
        <f t="shared" si="32"/>
        <v>5.9770114942528738E-3</v>
      </c>
      <c r="AD35" s="43">
        <f t="shared" si="32"/>
        <v>5.2273915316257188E-3</v>
      </c>
      <c r="AE35" s="43">
        <f t="shared" si="33"/>
        <v>1.8422730815560121E-3</v>
      </c>
      <c r="AF35" s="43">
        <f t="shared" si="33"/>
        <v>1.5887269461905091E-3</v>
      </c>
      <c r="AG35" s="43">
        <f t="shared" si="34"/>
        <v>1.907340183350766E-3</v>
      </c>
      <c r="AH35" s="43">
        <f t="shared" si="34"/>
        <v>2.2316447221602323E-3</v>
      </c>
      <c r="AI35" s="43" t="e">
        <f t="shared" si="34"/>
        <v>#DIV/0!</v>
      </c>
      <c r="AJ35" s="51">
        <f t="shared" si="35"/>
        <v>2.4948134142178105E-3</v>
      </c>
      <c r="AK35" s="2"/>
    </row>
    <row r="36" spans="1:37" ht="15" x14ac:dyDescent="0.2">
      <c r="A36" s="72" t="s">
        <v>73</v>
      </c>
      <c r="B36" s="78">
        <f t="shared" ref="B36:K36" si="36">SUM(B33:B35)</f>
        <v>20978</v>
      </c>
      <c r="C36" s="96">
        <f t="shared" si="36"/>
        <v>27134</v>
      </c>
      <c r="D36" s="96">
        <f t="shared" si="36"/>
        <v>29941</v>
      </c>
      <c r="E36" s="96">
        <f t="shared" si="36"/>
        <v>24656</v>
      </c>
      <c r="F36" s="96">
        <f t="shared" si="36"/>
        <v>37563</v>
      </c>
      <c r="G36" s="96">
        <f t="shared" si="36"/>
        <v>35452</v>
      </c>
      <c r="H36" s="96">
        <f t="shared" si="36"/>
        <v>34142</v>
      </c>
      <c r="I36" s="96">
        <f t="shared" si="36"/>
        <v>34900</v>
      </c>
      <c r="J36" s="96">
        <f t="shared" si="36"/>
        <v>31600</v>
      </c>
      <c r="K36" s="96">
        <f t="shared" si="36"/>
        <v>31500</v>
      </c>
      <c r="L36" s="96">
        <f t="shared" ref="L36" si="37">SUM(L33:L35)</f>
        <v>28600</v>
      </c>
      <c r="M36" s="96">
        <f t="shared" ref="M36:O36" si="38">SUM(M33:M35)</f>
        <v>23200</v>
      </c>
      <c r="N36" s="96">
        <f t="shared" ref="N36" si="39">SUM(N33:N35)</f>
        <v>23000</v>
      </c>
      <c r="O36" s="96">
        <f t="shared" si="38"/>
        <v>25100</v>
      </c>
      <c r="P36" s="96">
        <f t="shared" ref="P36:Q36" si="40">SUM(P33:P35)</f>
        <v>25700</v>
      </c>
      <c r="Q36" s="96">
        <f t="shared" si="40"/>
        <v>0</v>
      </c>
      <c r="R36" s="177">
        <f>RATE(5,,-K36,P36)</f>
        <v>-3.9882216390142652E-2</v>
      </c>
      <c r="S36" s="72" t="s">
        <v>73</v>
      </c>
      <c r="T36" s="80">
        <f t="shared" si="32"/>
        <v>2.8993078590066782E-2</v>
      </c>
      <c r="U36" s="80">
        <f t="shared" si="32"/>
        <v>3.2678731004448854E-2</v>
      </c>
      <c r="V36" s="80">
        <f t="shared" si="32"/>
        <v>3.590719607024815E-2</v>
      </c>
      <c r="W36" s="80">
        <f t="shared" si="32"/>
        <v>2.9642061527475051E-2</v>
      </c>
      <c r="X36" s="80">
        <f t="shared" si="32"/>
        <v>4.1286551507344373E-2</v>
      </c>
      <c r="Y36" s="80">
        <f t="shared" si="32"/>
        <v>3.5044502524643445E-2</v>
      </c>
      <c r="Z36" s="80">
        <f t="shared" si="32"/>
        <v>3.0852533708530215E-2</v>
      </c>
      <c r="AA36" s="80">
        <f t="shared" si="32"/>
        <v>3.2516537780676417E-2</v>
      </c>
      <c r="AB36" s="80">
        <f t="shared" si="32"/>
        <v>2.706174531129571E-2</v>
      </c>
      <c r="AC36" s="80">
        <f t="shared" si="32"/>
        <v>2.4137931034482758E-2</v>
      </c>
      <c r="AD36" s="80">
        <f t="shared" si="32"/>
        <v>2.1357628257785078E-2</v>
      </c>
      <c r="AE36" s="80">
        <f t="shared" si="33"/>
        <v>1.6438744420038263E-2</v>
      </c>
      <c r="AF36" s="80">
        <f t="shared" si="33"/>
        <v>1.588726946190509E-2</v>
      </c>
      <c r="AG36" s="80">
        <f t="shared" si="34"/>
        <v>1.5443302774872332E-2</v>
      </c>
      <c r="AH36" s="80">
        <f t="shared" si="34"/>
        <v>1.4338317339879491E-2</v>
      </c>
      <c r="AI36" s="80" t="e">
        <f t="shared" si="34"/>
        <v>#DIV/0!</v>
      </c>
      <c r="AJ36" s="177">
        <f t="shared" si="35"/>
        <v>1.6492029727671421E-2</v>
      </c>
      <c r="AK36" s="2"/>
    </row>
    <row r="37" spans="1:37" ht="15" x14ac:dyDescent="0.2">
      <c r="A37" s="72" t="s">
        <v>42</v>
      </c>
      <c r="B37" s="78">
        <f t="shared" ref="B37:K37" si="41">B30+B36</f>
        <v>613466</v>
      </c>
      <c r="C37" s="96">
        <f t="shared" si="41"/>
        <v>647000</v>
      </c>
      <c r="D37" s="96">
        <f t="shared" si="41"/>
        <v>684813</v>
      </c>
      <c r="E37" s="96">
        <f t="shared" si="41"/>
        <v>704724</v>
      </c>
      <c r="F37" s="96">
        <f t="shared" si="41"/>
        <v>745369</v>
      </c>
      <c r="G37" s="96">
        <f t="shared" si="41"/>
        <v>778699</v>
      </c>
      <c r="H37" s="96">
        <f t="shared" si="41"/>
        <v>801570</v>
      </c>
      <c r="I37" s="96">
        <f t="shared" si="41"/>
        <v>855000</v>
      </c>
      <c r="J37" s="96">
        <f t="shared" si="41"/>
        <v>940500</v>
      </c>
      <c r="K37" s="96">
        <f t="shared" si="41"/>
        <v>1021000</v>
      </c>
      <c r="L37" s="96">
        <f t="shared" ref="L37" si="42">L30+L36</f>
        <v>1060100</v>
      </c>
      <c r="M37" s="96">
        <f t="shared" ref="M37:O37" si="43">M30+M36</f>
        <v>1119500</v>
      </c>
      <c r="N37" s="96">
        <f t="shared" ref="N37" si="44">N30+N36</f>
        <v>1200400</v>
      </c>
      <c r="O37" s="96">
        <f t="shared" si="43"/>
        <v>1349400</v>
      </c>
      <c r="P37" s="96">
        <f t="shared" ref="P37:Q37" si="45">P30+P36</f>
        <v>1483500</v>
      </c>
      <c r="Q37" s="96">
        <f t="shared" si="45"/>
        <v>0</v>
      </c>
      <c r="R37" s="177">
        <f>RATE(5,,-K37,P37)</f>
        <v>7.7587045385353937E-2</v>
      </c>
      <c r="S37" s="72" t="s">
        <v>42</v>
      </c>
      <c r="T37" s="80">
        <f t="shared" si="32"/>
        <v>0.84785336782981735</v>
      </c>
      <c r="U37" s="80">
        <f t="shared" si="32"/>
        <v>0.77921202033899939</v>
      </c>
      <c r="V37" s="80">
        <f t="shared" si="32"/>
        <v>0.82127232431965691</v>
      </c>
      <c r="W37" s="80">
        <f t="shared" si="32"/>
        <v>0.84723686599157721</v>
      </c>
      <c r="X37" s="80">
        <f t="shared" si="32"/>
        <v>0.81925606608837864</v>
      </c>
      <c r="Y37" s="80">
        <f t="shared" si="32"/>
        <v>0.76974836600015029</v>
      </c>
      <c r="Z37" s="80">
        <f t="shared" si="32"/>
        <v>0.72434144000780754</v>
      </c>
      <c r="AA37" s="80">
        <f t="shared" si="32"/>
        <v>0.7966085903288922</v>
      </c>
      <c r="AB37" s="80">
        <f t="shared" si="32"/>
        <v>0.80542947674916499</v>
      </c>
      <c r="AC37" s="80">
        <f t="shared" si="32"/>
        <v>0.78237547892720305</v>
      </c>
      <c r="AD37" s="80">
        <f t="shared" si="32"/>
        <v>0.79165110895377488</v>
      </c>
      <c r="AE37" s="80">
        <f t="shared" si="33"/>
        <v>0.79324027492382909</v>
      </c>
      <c r="AF37" s="80">
        <f t="shared" si="33"/>
        <v>0.82917731574221176</v>
      </c>
      <c r="AG37" s="80">
        <f t="shared" si="34"/>
        <v>0.83024672368178187</v>
      </c>
      <c r="AH37" s="80">
        <f t="shared" si="34"/>
        <v>0.82766123633117605</v>
      </c>
      <c r="AI37" s="80" t="e">
        <f t="shared" si="34"/>
        <v>#DIV/0!</v>
      </c>
      <c r="AJ37" s="177">
        <f t="shared" si="35"/>
        <v>0.81579085585230704</v>
      </c>
      <c r="AK37" s="2"/>
    </row>
    <row r="38" spans="1:37" ht="15.75" thickBot="1" x14ac:dyDescent="0.25">
      <c r="A38" s="72" t="s">
        <v>37</v>
      </c>
      <c r="B38" s="78">
        <f t="shared" ref="B38:G38" si="46">B20+B30+B36</f>
        <v>723552</v>
      </c>
      <c r="C38" s="96">
        <f t="shared" si="46"/>
        <v>830326</v>
      </c>
      <c r="D38" s="96">
        <f t="shared" si="46"/>
        <v>833844</v>
      </c>
      <c r="E38" s="96">
        <f t="shared" si="46"/>
        <v>831791</v>
      </c>
      <c r="F38" s="96">
        <f t="shared" si="46"/>
        <v>909812</v>
      </c>
      <c r="G38" s="96">
        <f t="shared" si="46"/>
        <v>1011628</v>
      </c>
      <c r="H38" s="96">
        <f t="shared" ref="H38:M38" si="47">H20+H30+H36</f>
        <v>1106619</v>
      </c>
      <c r="I38" s="96">
        <f t="shared" si="47"/>
        <v>1073300</v>
      </c>
      <c r="J38" s="96">
        <f t="shared" si="47"/>
        <v>1167700</v>
      </c>
      <c r="K38" s="96">
        <f t="shared" si="47"/>
        <v>1305000</v>
      </c>
      <c r="L38" s="96">
        <f t="shared" si="47"/>
        <v>1339100</v>
      </c>
      <c r="M38" s="96">
        <f t="shared" si="47"/>
        <v>1411300</v>
      </c>
      <c r="N38" s="96">
        <f t="shared" ref="N38" si="48">N20+N30+N36</f>
        <v>1447700</v>
      </c>
      <c r="O38" s="96">
        <f t="shared" ref="O38:P38" si="49">O20+O30+O36</f>
        <v>1625300</v>
      </c>
      <c r="P38" s="96">
        <f t="shared" si="49"/>
        <v>1792400</v>
      </c>
      <c r="Q38" s="96">
        <f t="shared" ref="Q38" si="50">Q20+Q30+Q36</f>
        <v>0</v>
      </c>
      <c r="R38" s="81">
        <f>RATE(5,,-K38,P38)</f>
        <v>6.5528044408448186E-2</v>
      </c>
      <c r="S38" s="72" t="s">
        <v>37</v>
      </c>
      <c r="T38" s="81">
        <f t="shared" si="32"/>
        <v>1</v>
      </c>
      <c r="U38" s="81">
        <f t="shared" si="32"/>
        <v>1</v>
      </c>
      <c r="V38" s="81">
        <f t="shared" si="32"/>
        <v>1</v>
      </c>
      <c r="W38" s="81">
        <f t="shared" si="32"/>
        <v>1</v>
      </c>
      <c r="X38" s="81">
        <f t="shared" si="32"/>
        <v>1</v>
      </c>
      <c r="Y38" s="81">
        <f t="shared" si="32"/>
        <v>1</v>
      </c>
      <c r="Z38" s="81">
        <f t="shared" si="32"/>
        <v>1</v>
      </c>
      <c r="AA38" s="81">
        <f t="shared" si="32"/>
        <v>1</v>
      </c>
      <c r="AB38" s="81">
        <f t="shared" si="32"/>
        <v>1</v>
      </c>
      <c r="AC38" s="81">
        <f t="shared" si="32"/>
        <v>1</v>
      </c>
      <c r="AD38" s="81">
        <f t="shared" si="32"/>
        <v>1</v>
      </c>
      <c r="AE38" s="81">
        <f t="shared" si="33"/>
        <v>1</v>
      </c>
      <c r="AF38" s="81">
        <f t="shared" si="33"/>
        <v>1</v>
      </c>
      <c r="AG38" s="81">
        <f t="shared" si="34"/>
        <v>1</v>
      </c>
      <c r="AH38" s="81">
        <f t="shared" si="34"/>
        <v>1</v>
      </c>
      <c r="AI38" s="81" t="e">
        <f t="shared" si="34"/>
        <v>#DIV/0!</v>
      </c>
      <c r="AJ38" s="81">
        <f t="shared" si="35"/>
        <v>1</v>
      </c>
      <c r="AK38" s="2"/>
    </row>
    <row r="39" spans="1:37" ht="15.75" thickTop="1" x14ac:dyDescent="0.2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95"/>
      <c r="P39" s="195"/>
      <c r="Q39" s="195"/>
      <c r="R39" s="43"/>
      <c r="S39" s="72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43"/>
      <c r="AK39" s="2"/>
    </row>
    <row r="40" spans="1:37" ht="15.75" x14ac:dyDescent="0.2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196"/>
      <c r="P40" s="196"/>
      <c r="Q40" s="196"/>
      <c r="R40" s="43"/>
      <c r="S40" s="117" t="s">
        <v>8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2"/>
    </row>
    <row r="41" spans="1:37" ht="15" x14ac:dyDescent="0.2">
      <c r="A41" s="76" t="s">
        <v>97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142700</v>
      </c>
      <c r="O41" s="95">
        <v>166100</v>
      </c>
      <c r="P41" s="95">
        <v>17700</v>
      </c>
      <c r="Q41" s="95"/>
      <c r="R41" s="43">
        <f t="shared" ref="R41:R47" si="51">RATE(5,,-K41,P41)</f>
        <v>-0.2748923073743359</v>
      </c>
      <c r="S41" s="72" t="str">
        <f t="shared" ref="S41:S46" si="52">A41</f>
        <v>Notes Payable to Questar</v>
      </c>
      <c r="T41" s="43">
        <f t="shared" ref="T41:AD42" si="53">B41/B$38</f>
        <v>0.1095982044137809</v>
      </c>
      <c r="U41" s="43">
        <f t="shared" si="53"/>
        <v>0.12717896344327409</v>
      </c>
      <c r="V41" s="43">
        <f t="shared" si="53"/>
        <v>7.9871055017485287E-2</v>
      </c>
      <c r="W41" s="43">
        <f t="shared" si="53"/>
        <v>4.3760992845558559E-2</v>
      </c>
      <c r="X41" s="43">
        <f t="shared" si="53"/>
        <v>5.7044752102632192E-2</v>
      </c>
      <c r="Y41" s="43">
        <f t="shared" si="53"/>
        <v>9.410573847303555E-2</v>
      </c>
      <c r="Z41" s="43">
        <f t="shared" si="53"/>
        <v>6.9942771631428702E-2</v>
      </c>
      <c r="AA41" s="43">
        <f t="shared" si="53"/>
        <v>1.2298518587533775E-2</v>
      </c>
      <c r="AB41" s="43">
        <f t="shared" si="53"/>
        <v>6.243041877194485E-2</v>
      </c>
      <c r="AC41" s="43">
        <f t="shared" si="53"/>
        <v>6.7662835249042153E-2</v>
      </c>
      <c r="AD41" s="43">
        <f t="shared" si="53"/>
        <v>6.496900903591965E-2</v>
      </c>
      <c r="AE41" s="43">
        <f>M41/M$38</f>
        <v>0.10883582512577057</v>
      </c>
      <c r="AF41" s="43">
        <f>N41/N$38</f>
        <v>9.8570145748428539E-2</v>
      </c>
      <c r="AG41" s="43">
        <f t="shared" ref="AG41:AI42" si="54">O41/O$38</f>
        <v>0.10219651756598781</v>
      </c>
      <c r="AH41" s="43">
        <f t="shared" si="54"/>
        <v>9.8750278955590277E-3</v>
      </c>
      <c r="AI41" s="43" t="e">
        <f t="shared" si="54"/>
        <v>#DIV/0!</v>
      </c>
      <c r="AJ41" s="43">
        <f t="shared" ref="AJ41:AJ47" si="55">SUM(L41:P41)/SUM(L$38:P$38)</f>
        <v>7.4463615115943169E-2</v>
      </c>
      <c r="AK41" s="2"/>
    </row>
    <row r="42" spans="1:37" ht="15" x14ac:dyDescent="0.2">
      <c r="A42" s="83" t="s">
        <v>121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>
        <v>91500</v>
      </c>
      <c r="O42" s="95">
        <v>42000</v>
      </c>
      <c r="P42" s="95">
        <v>0</v>
      </c>
      <c r="Q42" s="95"/>
      <c r="R42" s="43"/>
      <c r="S42" s="72" t="str">
        <f t="shared" si="52"/>
        <v>Current Portion, LTD</v>
      </c>
      <c r="T42" s="43"/>
      <c r="U42" s="43">
        <f t="shared" ref="U42:AD47" si="56">C42/C$38</f>
        <v>0</v>
      </c>
      <c r="V42" s="43">
        <f t="shared" si="56"/>
        <v>0</v>
      </c>
      <c r="W42" s="43">
        <f t="shared" si="56"/>
        <v>0</v>
      </c>
      <c r="X42" s="43">
        <f t="shared" si="56"/>
        <v>0</v>
      </c>
      <c r="Y42" s="43"/>
      <c r="Z42" s="43"/>
      <c r="AA42" s="43">
        <f t="shared" si="56"/>
        <v>9.3170595360104348E-3</v>
      </c>
      <c r="AB42" s="43">
        <f t="shared" si="56"/>
        <v>3.6824526847649225E-2</v>
      </c>
      <c r="AC42" s="160">
        <f t="shared" si="53"/>
        <v>0</v>
      </c>
      <c r="AD42" s="160">
        <f t="shared" ref="AD42" si="57">L42/L$38</f>
        <v>0</v>
      </c>
      <c r="AE42" s="160">
        <f t="shared" ref="AE42" si="58">M42/M$38</f>
        <v>1.4171331396584709E-3</v>
      </c>
      <c r="AF42" s="160">
        <f t="shared" ref="AF42" si="59">N42/N$38</f>
        <v>6.3203702424535477E-2</v>
      </c>
      <c r="AG42" s="160">
        <f t="shared" si="54"/>
        <v>2.5841383129268442E-2</v>
      </c>
      <c r="AH42" s="160">
        <f t="shared" si="54"/>
        <v>0</v>
      </c>
      <c r="AI42" s="160" t="e">
        <f t="shared" si="54"/>
        <v>#DIV/0!</v>
      </c>
      <c r="AJ42" s="43">
        <f t="shared" si="55"/>
        <v>1.7791958822448068E-2</v>
      </c>
      <c r="AK42" s="2"/>
    </row>
    <row r="43" spans="1:37" ht="15" x14ac:dyDescent="0.2">
      <c r="A43" s="72" t="s">
        <v>189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106500</v>
      </c>
      <c r="O43" s="95">
        <v>100500</v>
      </c>
      <c r="P43" s="95">
        <v>134000</v>
      </c>
      <c r="Q43" s="95"/>
      <c r="R43" s="43">
        <f t="shared" si="51"/>
        <v>3.7075381779987898E-2</v>
      </c>
      <c r="S43" s="72" t="str">
        <f t="shared" si="52"/>
        <v>Accounts Payable</v>
      </c>
      <c r="T43" s="43">
        <f>B43/B$38</f>
        <v>4.7500386979788596E-2</v>
      </c>
      <c r="U43" s="43">
        <f t="shared" si="56"/>
        <v>0.11729971119777051</v>
      </c>
      <c r="V43" s="43">
        <f t="shared" si="56"/>
        <v>5.4552170429960523E-2</v>
      </c>
      <c r="W43" s="43">
        <f t="shared" si="56"/>
        <v>6.0873464608297033E-2</v>
      </c>
      <c r="X43" s="43">
        <f t="shared" si="56"/>
        <v>7.0230992776529652E-2</v>
      </c>
      <c r="Y43" s="43">
        <f t="shared" si="56"/>
        <v>9.3522520135860224E-2</v>
      </c>
      <c r="Z43" s="43">
        <f t="shared" si="56"/>
        <v>0.13427927769178011</v>
      </c>
      <c r="AA43" s="43">
        <f t="shared" si="56"/>
        <v>0.11814031491661232</v>
      </c>
      <c r="AB43" s="43">
        <f t="shared" si="56"/>
        <v>0.1116725186263595</v>
      </c>
      <c r="AC43" s="43">
        <f t="shared" si="56"/>
        <v>8.5593869731800762E-2</v>
      </c>
      <c r="AD43" s="43">
        <f t="shared" si="56"/>
        <v>9.2674184153535955E-2</v>
      </c>
      <c r="AE43" s="43">
        <f t="shared" ref="AE43:AF47" si="60">M43/M$38</f>
        <v>7.2628073407496635E-2</v>
      </c>
      <c r="AF43" s="43">
        <f t="shared" si="60"/>
        <v>7.356496511708227E-2</v>
      </c>
      <c r="AG43" s="43">
        <f t="shared" ref="AG43:AI47" si="61">O43/O$38</f>
        <v>6.1834738202178059E-2</v>
      </c>
      <c r="AH43" s="43">
        <f t="shared" si="61"/>
        <v>7.4760098192367772E-2</v>
      </c>
      <c r="AI43" s="43" t="e">
        <f t="shared" si="61"/>
        <v>#DIV/0!</v>
      </c>
      <c r="AJ43" s="43">
        <f t="shared" si="55"/>
        <v>7.4529268100527846E-2</v>
      </c>
      <c r="AK43" s="2"/>
    </row>
    <row r="44" spans="1:37" ht="15" x14ac:dyDescent="0.2">
      <c r="A44" s="72" t="s">
        <v>190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41900</v>
      </c>
      <c r="O44" s="95">
        <v>50900</v>
      </c>
      <c r="P44" s="95">
        <v>67800</v>
      </c>
      <c r="Q44" s="95"/>
      <c r="R44" s="43">
        <f t="shared" si="51"/>
        <v>6.4939409520931024E-2</v>
      </c>
      <c r="S44" s="72" t="str">
        <f t="shared" si="52"/>
        <v>Accounts Payable, Affiliates</v>
      </c>
      <c r="T44" s="43">
        <f>B44/B$38</f>
        <v>3.0952854805183318E-2</v>
      </c>
      <c r="U44" s="43">
        <f t="shared" si="56"/>
        <v>3.0952902835753669E-2</v>
      </c>
      <c r="V44" s="43">
        <f t="shared" si="56"/>
        <v>2.8019629570998891E-2</v>
      </c>
      <c r="W44" s="43">
        <f t="shared" si="56"/>
        <v>2.5383780300580316E-2</v>
      </c>
      <c r="X44" s="43">
        <f t="shared" si="56"/>
        <v>2.6272460684185303E-2</v>
      </c>
      <c r="Y44" s="43">
        <f t="shared" si="56"/>
        <v>3.161339939187132E-2</v>
      </c>
      <c r="Z44" s="43">
        <f t="shared" si="56"/>
        <v>2.4768235499300122E-2</v>
      </c>
      <c r="AA44" s="43">
        <f t="shared" si="56"/>
        <v>3.0373614087394019E-2</v>
      </c>
      <c r="AB44" s="43">
        <f t="shared" si="56"/>
        <v>2.7918129656589876E-2</v>
      </c>
      <c r="AC44" s="43">
        <f t="shared" si="56"/>
        <v>3.793103448275862E-2</v>
      </c>
      <c r="AD44" s="43">
        <f t="shared" si="56"/>
        <v>3.5247554327533417E-2</v>
      </c>
      <c r="AE44" s="43">
        <f t="shared" si="60"/>
        <v>3.797916814284702E-2</v>
      </c>
      <c r="AF44" s="43">
        <f t="shared" si="60"/>
        <v>2.8942460454514058E-2</v>
      </c>
      <c r="AG44" s="43">
        <f>O44/O$38</f>
        <v>3.1317295268565803E-2</v>
      </c>
      <c r="AH44" s="43">
        <f>P44/P$38</f>
        <v>3.7826378040615935E-2</v>
      </c>
      <c r="AI44" s="43" t="e">
        <f>Q44/Q$38</f>
        <v>#DIV/0!</v>
      </c>
      <c r="AJ44" s="43">
        <f t="shared" si="55"/>
        <v>3.4323380340870298E-2</v>
      </c>
      <c r="AK44" s="2"/>
    </row>
    <row r="45" spans="1:37" ht="15" x14ac:dyDescent="0.2">
      <c r="A45" s="76" t="s">
        <v>191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25000</v>
      </c>
      <c r="O45" s="95">
        <v>30200</v>
      </c>
      <c r="P45" s="95">
        <v>19800</v>
      </c>
      <c r="Q45" s="95"/>
      <c r="R45" s="43">
        <f t="shared" si="51"/>
        <v>-0.10717168970817965</v>
      </c>
      <c r="S45" s="72" t="str">
        <f t="shared" si="52"/>
        <v>Customer-Credit Balances</v>
      </c>
      <c r="T45" s="43">
        <f>B45/B$38</f>
        <v>0</v>
      </c>
      <c r="U45" s="43">
        <f t="shared" si="56"/>
        <v>0</v>
      </c>
      <c r="V45" s="43">
        <f t="shared" si="56"/>
        <v>0</v>
      </c>
      <c r="W45" s="43">
        <f t="shared" si="56"/>
        <v>0</v>
      </c>
      <c r="X45" s="43">
        <f t="shared" si="56"/>
        <v>2.4813917600559236E-2</v>
      </c>
      <c r="Y45" s="43">
        <f t="shared" si="56"/>
        <v>2.4486273610457601E-2</v>
      </c>
      <c r="Z45" s="43">
        <f t="shared" si="56"/>
        <v>2.7858730059758599E-2</v>
      </c>
      <c r="AA45" s="43">
        <f t="shared" si="56"/>
        <v>2.9255566943072766E-2</v>
      </c>
      <c r="AB45" s="43">
        <f t="shared" si="56"/>
        <v>2.9202706174531131E-2</v>
      </c>
      <c r="AC45" s="43">
        <f t="shared" si="56"/>
        <v>2.6743295019157089E-2</v>
      </c>
      <c r="AD45" s="43">
        <f t="shared" si="56"/>
        <v>2.2627137629751326E-2</v>
      </c>
      <c r="AE45" s="43">
        <f t="shared" si="60"/>
        <v>1.8564444129525969E-2</v>
      </c>
      <c r="AF45" s="43">
        <f t="shared" si="60"/>
        <v>1.7268771154244664E-2</v>
      </c>
      <c r="AG45" s="43">
        <f t="shared" si="61"/>
        <v>1.8581185011997785E-2</v>
      </c>
      <c r="AH45" s="43">
        <f t="shared" si="61"/>
        <v>1.1046641374693149E-2</v>
      </c>
      <c r="AI45" s="43" t="e">
        <f t="shared" si="61"/>
        <v>#DIV/0!</v>
      </c>
      <c r="AJ45" s="43">
        <f t="shared" si="55"/>
        <v>1.7266734945770634E-2</v>
      </c>
      <c r="AK45" s="2"/>
    </row>
    <row r="46" spans="1:37" ht="15" x14ac:dyDescent="0.2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f>5800+14200</f>
        <v>20000</v>
      </c>
      <c r="O46" s="99">
        <f>4500+4300</f>
        <v>8800</v>
      </c>
      <c r="P46" s="99">
        <f>11100+5200</f>
        <v>16300</v>
      </c>
      <c r="Q46" s="99"/>
      <c r="R46" s="51">
        <f t="shared" si="51"/>
        <v>-0.20584078322743696</v>
      </c>
      <c r="S46" s="72" t="str">
        <f t="shared" si="52"/>
        <v xml:space="preserve">Other </v>
      </c>
      <c r="T46" s="77">
        <f>B46/B$38</f>
        <v>1.7304906903719428E-2</v>
      </c>
      <c r="U46" s="77">
        <f t="shared" si="56"/>
        <v>3.2035610109764114E-2</v>
      </c>
      <c r="V46" s="77">
        <f t="shared" si="56"/>
        <v>2.0701713989667133E-2</v>
      </c>
      <c r="W46" s="77">
        <f t="shared" si="56"/>
        <v>3.2366303554618892E-2</v>
      </c>
      <c r="X46" s="77">
        <f t="shared" si="56"/>
        <v>3.5593067578796496E-2</v>
      </c>
      <c r="Y46" s="77">
        <f t="shared" si="56"/>
        <v>3.7441628740999655E-2</v>
      </c>
      <c r="Z46" s="77">
        <f t="shared" si="56"/>
        <v>1.6656139104786742E-2</v>
      </c>
      <c r="AA46" s="77">
        <f t="shared" si="56"/>
        <v>4.3044815056368209E-2</v>
      </c>
      <c r="AB46" s="77">
        <f t="shared" si="56"/>
        <v>5.3352744711826668E-2</v>
      </c>
      <c r="AC46" s="77">
        <f t="shared" si="56"/>
        <v>3.9540229885057468E-2</v>
      </c>
      <c r="AD46" s="77">
        <f t="shared" si="56"/>
        <v>2.5240833395564186E-2</v>
      </c>
      <c r="AE46" s="77">
        <f t="shared" si="60"/>
        <v>6.093672500531425E-3</v>
      </c>
      <c r="AF46" s="77">
        <f t="shared" si="60"/>
        <v>1.3815016923395731E-2</v>
      </c>
      <c r="AG46" s="77">
        <f t="shared" si="61"/>
        <v>5.4143850366086257E-3</v>
      </c>
      <c r="AH46" s="77">
        <f t="shared" si="61"/>
        <v>9.093952242802945E-3</v>
      </c>
      <c r="AI46" s="77" t="e">
        <f t="shared" si="61"/>
        <v>#DIV/0!</v>
      </c>
      <c r="AJ46" s="51">
        <f t="shared" si="55"/>
        <v>1.1489272302318863E-2</v>
      </c>
      <c r="AK46" s="2"/>
    </row>
    <row r="47" spans="1:37" ht="15" x14ac:dyDescent="0.2">
      <c r="A47" s="72" t="s">
        <v>39</v>
      </c>
      <c r="B47" s="78">
        <f t="shared" ref="B47:M47" si="62">SUM(B40:B46)</f>
        <v>148586</v>
      </c>
      <c r="C47" s="96">
        <f t="shared" si="62"/>
        <v>255298</v>
      </c>
      <c r="D47" s="96">
        <f t="shared" si="62"/>
        <v>152714</v>
      </c>
      <c r="E47" s="96">
        <f t="shared" si="62"/>
        <v>135070</v>
      </c>
      <c r="F47" s="96">
        <f t="shared" si="62"/>
        <v>194659</v>
      </c>
      <c r="G47" s="96">
        <f t="shared" si="62"/>
        <v>284439</v>
      </c>
      <c r="H47" s="96">
        <f t="shared" si="62"/>
        <v>302666</v>
      </c>
      <c r="I47" s="96">
        <f t="shared" si="62"/>
        <v>260200</v>
      </c>
      <c r="J47" s="96">
        <f t="shared" si="62"/>
        <v>375300</v>
      </c>
      <c r="K47" s="96">
        <f t="shared" si="62"/>
        <v>336000</v>
      </c>
      <c r="L47" s="96">
        <f t="shared" si="62"/>
        <v>322400</v>
      </c>
      <c r="M47" s="96">
        <f t="shared" si="62"/>
        <v>346500</v>
      </c>
      <c r="N47" s="96">
        <f t="shared" ref="N47" si="63">SUM(N40:N46)</f>
        <v>427600</v>
      </c>
      <c r="O47" s="96">
        <f t="shared" ref="O47:P47" si="64">SUM(O40:O46)</f>
        <v>398500</v>
      </c>
      <c r="P47" s="96">
        <f t="shared" si="64"/>
        <v>255600</v>
      </c>
      <c r="Q47" s="96">
        <f t="shared" ref="Q47" si="65">SUM(Q40:Q46)</f>
        <v>0</v>
      </c>
      <c r="R47" s="43">
        <f t="shared" si="51"/>
        <v>-5.3230378679124994E-2</v>
      </c>
      <c r="S47" s="72" t="s">
        <v>39</v>
      </c>
      <c r="T47" s="43">
        <f>B47/B$38</f>
        <v>0.20535635310247224</v>
      </c>
      <c r="U47" s="43">
        <f t="shared" si="56"/>
        <v>0.30746718758656238</v>
      </c>
      <c r="V47" s="43">
        <f t="shared" si="56"/>
        <v>0.18314456900811182</v>
      </c>
      <c r="W47" s="43">
        <f t="shared" si="56"/>
        <v>0.1623845413090548</v>
      </c>
      <c r="X47" s="43">
        <f t="shared" si="56"/>
        <v>0.21395519074270289</v>
      </c>
      <c r="Y47" s="43">
        <f t="shared" si="56"/>
        <v>0.28116956035222435</v>
      </c>
      <c r="Z47" s="43">
        <f t="shared" si="56"/>
        <v>0.27350515398705427</v>
      </c>
      <c r="AA47" s="43">
        <f t="shared" si="56"/>
        <v>0.24242988912699151</v>
      </c>
      <c r="AB47" s="43">
        <f t="shared" si="56"/>
        <v>0.32140104478890125</v>
      </c>
      <c r="AC47" s="43">
        <f t="shared" si="56"/>
        <v>0.25747126436781609</v>
      </c>
      <c r="AD47" s="43">
        <f t="shared" si="56"/>
        <v>0.24075871854230455</v>
      </c>
      <c r="AE47" s="43">
        <f t="shared" si="60"/>
        <v>0.24551831644583008</v>
      </c>
      <c r="AF47" s="43">
        <f t="shared" si="60"/>
        <v>0.29536506182220074</v>
      </c>
      <c r="AG47" s="43">
        <f t="shared" si="61"/>
        <v>0.24518550421460653</v>
      </c>
      <c r="AH47" s="43">
        <f t="shared" si="61"/>
        <v>0.14260209774603883</v>
      </c>
      <c r="AI47" s="43" t="e">
        <f t="shared" si="61"/>
        <v>#DIV/0!</v>
      </c>
      <c r="AJ47" s="43">
        <f t="shared" si="55"/>
        <v>0.22986422962787889</v>
      </c>
      <c r="AK47" s="2"/>
    </row>
    <row r="48" spans="1:37" ht="15" x14ac:dyDescent="0.2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43"/>
      <c r="S48" s="72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2"/>
    </row>
    <row r="49" spans="1:37" ht="15" x14ac:dyDescent="0.2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f>276500</f>
        <v>276500</v>
      </c>
      <c r="O49" s="95">
        <v>384500</v>
      </c>
      <c r="P49" s="95">
        <v>534500</v>
      </c>
      <c r="Q49" s="95"/>
      <c r="R49" s="43">
        <f t="shared" ref="R49:R53" si="66">RATE(5,,-K49,P49)</f>
        <v>7.6339298235642561E-2</v>
      </c>
      <c r="S49" s="72" t="str">
        <f>A49</f>
        <v>Long-Term Debt</v>
      </c>
      <c r="T49" s="43">
        <f t="shared" ref="T49:AD53" si="67">B49/B$38</f>
        <v>0.31096590155234177</v>
      </c>
      <c r="U49" s="43">
        <f t="shared" si="67"/>
        <v>0.27097790506379421</v>
      </c>
      <c r="V49" s="43">
        <f t="shared" si="67"/>
        <v>0.34179055075050008</v>
      </c>
      <c r="W49" s="43">
        <f t="shared" si="67"/>
        <v>0.34263414727978542</v>
      </c>
      <c r="X49" s="43">
        <f t="shared" si="67"/>
        <v>0.31874716974495831</v>
      </c>
      <c r="Y49" s="43">
        <f t="shared" si="67"/>
        <v>0.26986204415061665</v>
      </c>
      <c r="Z49" s="43">
        <f t="shared" si="67"/>
        <v>0.29188004182107846</v>
      </c>
      <c r="AA49" s="43">
        <f t="shared" si="67"/>
        <v>0.2916239634771266</v>
      </c>
      <c r="AB49" s="43">
        <f t="shared" si="67"/>
        <v>0.23122377322942536</v>
      </c>
      <c r="AC49" s="43">
        <f t="shared" si="67"/>
        <v>0.28352490421455939</v>
      </c>
      <c r="AD49" s="43">
        <f t="shared" si="67"/>
        <v>0.27630498095735945</v>
      </c>
      <c r="AE49" s="43">
        <f t="shared" ref="AE49:AF53" si="68">M49/M$38</f>
        <v>0.26075249769715864</v>
      </c>
      <c r="AF49" s="43">
        <f t="shared" si="68"/>
        <v>0.19099260896594597</v>
      </c>
      <c r="AG49" s="43">
        <f t="shared" ref="AG49:AI53" si="69">O49/O$38</f>
        <v>0.23657170983818371</v>
      </c>
      <c r="AH49" s="43">
        <f t="shared" si="69"/>
        <v>0.29820352599866101</v>
      </c>
      <c r="AI49" s="43" t="e">
        <f t="shared" si="69"/>
        <v>#DIV/0!</v>
      </c>
      <c r="AJ49" s="43">
        <f t="shared" ref="AJ49:AJ53" si="70">SUM(L49:P49)/SUM(L$38:P$38)</f>
        <v>0.25388009138895457</v>
      </c>
      <c r="AK49" s="2"/>
    </row>
    <row r="50" spans="1:37" ht="15" x14ac:dyDescent="0.2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259800</v>
      </c>
      <c r="O50" s="95">
        <v>301600</v>
      </c>
      <c r="P50" s="95">
        <v>340700</v>
      </c>
      <c r="Q50" s="95"/>
      <c r="R50" s="43">
        <f t="shared" si="66"/>
        <v>0.1721151585199811</v>
      </c>
      <c r="S50" s="72" t="str">
        <f>A50</f>
        <v>Deferred Income Taxes</v>
      </c>
      <c r="T50" s="43">
        <f t="shared" si="67"/>
        <v>0.10994234001149883</v>
      </c>
      <c r="U50" s="43">
        <f t="shared" si="67"/>
        <v>9.6606634020854454E-2</v>
      </c>
      <c r="V50" s="43">
        <f t="shared" si="67"/>
        <v>9.51221091714997E-2</v>
      </c>
      <c r="W50" s="43">
        <f t="shared" si="67"/>
        <v>0.10838660192283879</v>
      </c>
      <c r="X50" s="43">
        <f t="shared" si="67"/>
        <v>0.10869718139571692</v>
      </c>
      <c r="Y50" s="43">
        <f t="shared" si="67"/>
        <v>0.11700644901090124</v>
      </c>
      <c r="Z50" s="43">
        <f t="shared" si="67"/>
        <v>0.10665278655074602</v>
      </c>
      <c r="AA50" s="43">
        <f t="shared" si="67"/>
        <v>0.11059349669244387</v>
      </c>
      <c r="AB50" s="43">
        <f t="shared" si="67"/>
        <v>0.10533527447118267</v>
      </c>
      <c r="AC50" s="43">
        <f t="shared" si="67"/>
        <v>0.11800766283524904</v>
      </c>
      <c r="AD50" s="43">
        <f t="shared" si="67"/>
        <v>0.14113957135389441</v>
      </c>
      <c r="AE50" s="43">
        <f t="shared" si="68"/>
        <v>0.16318288103167292</v>
      </c>
      <c r="AF50" s="43">
        <f t="shared" si="68"/>
        <v>0.17945706983491055</v>
      </c>
      <c r="AG50" s="43">
        <f t="shared" si="69"/>
        <v>0.18556574170922291</v>
      </c>
      <c r="AH50" s="43">
        <f t="shared" si="69"/>
        <v>0.19008033920999776</v>
      </c>
      <c r="AI50" s="43" t="e">
        <f t="shared" si="69"/>
        <v>#DIV/0!</v>
      </c>
      <c r="AJ50" s="43">
        <f t="shared" si="70"/>
        <v>0.17350770766039025</v>
      </c>
      <c r="AK50" s="2"/>
    </row>
    <row r="51" spans="1:37" ht="15" x14ac:dyDescent="0.2">
      <c r="A51" s="72" t="s">
        <v>218</v>
      </c>
      <c r="B51" s="72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>
        <v>46700</v>
      </c>
      <c r="P51" s="95">
        <v>53000</v>
      </c>
      <c r="Q51" s="95"/>
      <c r="R51" s="43"/>
      <c r="S51" s="72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2"/>
    </row>
    <row r="52" spans="1:37" ht="15" x14ac:dyDescent="0.2">
      <c r="A52" s="72" t="s">
        <v>62</v>
      </c>
      <c r="B52" s="72">
        <f>5630+1394</f>
        <v>7024</v>
      </c>
      <c r="C52" s="95">
        <f>5250+507</f>
        <v>5757</v>
      </c>
      <c r="D52" s="95">
        <f>4960+5924</f>
        <v>10884</v>
      </c>
      <c r="E52" s="95">
        <f>4565+3173</f>
        <v>7738</v>
      </c>
      <c r="F52" s="95">
        <f>4652+8870+3727</f>
        <v>17249</v>
      </c>
      <c r="G52" s="95">
        <f>11634+5745+3472</f>
        <v>20851</v>
      </c>
      <c r="H52" s="99">
        <f>22249+5590+16764</f>
        <v>44603</v>
      </c>
      <c r="I52" s="99">
        <f>40000+5300+6500</f>
        <v>51800</v>
      </c>
      <c r="J52" s="99">
        <f>51200+7500</f>
        <v>58700</v>
      </c>
      <c r="K52" s="99">
        <f>53900+6500</f>
        <v>60400</v>
      </c>
      <c r="L52" s="99">
        <f>52200+6500</f>
        <v>58700</v>
      </c>
      <c r="M52" s="99">
        <f>45500+5500</f>
        <v>51000</v>
      </c>
      <c r="N52" s="99">
        <f>26600+4800</f>
        <v>31400</v>
      </c>
      <c r="O52" s="99">
        <f>22900+3500</f>
        <v>26400</v>
      </c>
      <c r="P52" s="99">
        <f>29100+3200</f>
        <v>32300</v>
      </c>
      <c r="Q52" s="99"/>
      <c r="R52" s="51">
        <f t="shared" si="66"/>
        <v>-0.11766579273208036</v>
      </c>
      <c r="S52" s="72" t="str">
        <f>A52</f>
        <v>Other Deferred Credits</v>
      </c>
      <c r="T52" s="77">
        <f t="shared" si="67"/>
        <v>9.7076644111273279E-3</v>
      </c>
      <c r="U52" s="77">
        <f t="shared" si="67"/>
        <v>6.9334213308989484E-3</v>
      </c>
      <c r="V52" s="77">
        <f t="shared" si="67"/>
        <v>1.3052801243398046E-2</v>
      </c>
      <c r="W52" s="77">
        <f t="shared" si="67"/>
        <v>9.3028176549157186E-3</v>
      </c>
      <c r="X52" s="77">
        <f t="shared" si="67"/>
        <v>1.8958861830795811E-2</v>
      </c>
      <c r="Y52" s="77">
        <f t="shared" si="67"/>
        <v>2.0611331438038488E-2</v>
      </c>
      <c r="Z52" s="77">
        <f t="shared" si="67"/>
        <v>4.0305651719336102E-2</v>
      </c>
      <c r="AA52" s="77">
        <f t="shared" si="67"/>
        <v>4.8262368396534056E-2</v>
      </c>
      <c r="AB52" s="77">
        <f t="shared" si="67"/>
        <v>5.0269761068767661E-2</v>
      </c>
      <c r="AC52" s="77">
        <f t="shared" si="67"/>
        <v>4.6283524904214557E-2</v>
      </c>
      <c r="AD52" s="77">
        <f t="shared" si="67"/>
        <v>4.3835411843775672E-2</v>
      </c>
      <c r="AE52" s="77">
        <f t="shared" si="68"/>
        <v>3.6136895061291009E-2</v>
      </c>
      <c r="AF52" s="77">
        <f t="shared" si="68"/>
        <v>2.1689576569731299E-2</v>
      </c>
      <c r="AG52" s="77">
        <f t="shared" si="69"/>
        <v>1.624315510982588E-2</v>
      </c>
      <c r="AH52" s="77">
        <f t="shared" si="69"/>
        <v>1.8020531131443873E-2</v>
      </c>
      <c r="AI52" s="77" t="e">
        <f t="shared" si="69"/>
        <v>#DIV/0!</v>
      </c>
      <c r="AJ52" s="51">
        <f t="shared" si="70"/>
        <v>2.6234932640037817E-2</v>
      </c>
      <c r="AK52" s="2"/>
    </row>
    <row r="53" spans="1:37" ht="15" x14ac:dyDescent="0.2">
      <c r="A53" s="73" t="s">
        <v>63</v>
      </c>
      <c r="B53" s="78">
        <f t="shared" ref="B53:L53" si="71">SUM(B49:B52)</f>
        <v>311573</v>
      </c>
      <c r="C53" s="96">
        <f t="shared" si="71"/>
        <v>310972</v>
      </c>
      <c r="D53" s="96">
        <f t="shared" si="71"/>
        <v>375201</v>
      </c>
      <c r="E53" s="96">
        <f t="shared" si="71"/>
        <v>382893</v>
      </c>
      <c r="F53" s="96">
        <f t="shared" si="71"/>
        <v>406143</v>
      </c>
      <c r="G53" s="96">
        <f t="shared" si="71"/>
        <v>412218</v>
      </c>
      <c r="H53" s="96">
        <f t="shared" si="71"/>
        <v>485627</v>
      </c>
      <c r="I53" s="96">
        <f t="shared" si="71"/>
        <v>483500</v>
      </c>
      <c r="J53" s="96">
        <f t="shared" si="71"/>
        <v>451700</v>
      </c>
      <c r="K53" s="96">
        <f t="shared" si="71"/>
        <v>584400</v>
      </c>
      <c r="L53" s="96">
        <f t="shared" si="71"/>
        <v>617700</v>
      </c>
      <c r="M53" s="96">
        <f t="shared" ref="M53:O53" si="72">SUM(M49:M52)</f>
        <v>649300</v>
      </c>
      <c r="N53" s="96">
        <f t="shared" ref="N53" si="73">SUM(N49:N52)</f>
        <v>567700</v>
      </c>
      <c r="O53" s="96">
        <f t="shared" si="72"/>
        <v>759200</v>
      </c>
      <c r="P53" s="96">
        <f t="shared" ref="P53:Q53" si="74">SUM(P49:P52)</f>
        <v>960500</v>
      </c>
      <c r="Q53" s="96">
        <f t="shared" si="74"/>
        <v>0</v>
      </c>
      <c r="R53" s="43">
        <f t="shared" si="66"/>
        <v>0.10447892257297942</v>
      </c>
      <c r="S53" s="72" t="str">
        <f>A53</f>
        <v>Total LTD &amp; Deferrals</v>
      </c>
      <c r="T53" s="43">
        <f t="shared" si="67"/>
        <v>0.43061590597496796</v>
      </c>
      <c r="U53" s="43">
        <f t="shared" si="67"/>
        <v>0.37451796041554763</v>
      </c>
      <c r="V53" s="43">
        <f t="shared" si="67"/>
        <v>0.44996546116539782</v>
      </c>
      <c r="W53" s="43">
        <f t="shared" si="67"/>
        <v>0.46032356685753995</v>
      </c>
      <c r="X53" s="43">
        <f t="shared" si="67"/>
        <v>0.44640321297147101</v>
      </c>
      <c r="Y53" s="43">
        <f t="shared" si="67"/>
        <v>0.40747982459955634</v>
      </c>
      <c r="Z53" s="43">
        <f t="shared" si="67"/>
        <v>0.43883848009116055</v>
      </c>
      <c r="AA53" s="43">
        <f t="shared" si="67"/>
        <v>0.45047982856610452</v>
      </c>
      <c r="AB53" s="43">
        <f t="shared" si="67"/>
        <v>0.3868288087693757</v>
      </c>
      <c r="AC53" s="43">
        <f t="shared" si="67"/>
        <v>0.447816091954023</v>
      </c>
      <c r="AD53" s="43">
        <f t="shared" si="67"/>
        <v>0.46127996415502948</v>
      </c>
      <c r="AE53" s="43">
        <f t="shared" si="68"/>
        <v>0.46007227379012255</v>
      </c>
      <c r="AF53" s="43">
        <f t="shared" si="68"/>
        <v>0.3921392553705878</v>
      </c>
      <c r="AG53" s="43">
        <f t="shared" si="69"/>
        <v>0.46711376361287149</v>
      </c>
      <c r="AH53" s="43">
        <f t="shared" si="69"/>
        <v>0.53587368890872578</v>
      </c>
      <c r="AI53" s="43" t="e">
        <f t="shared" si="69"/>
        <v>#DIV/0!</v>
      </c>
      <c r="AJ53" s="43">
        <f t="shared" si="70"/>
        <v>0.46671393681556761</v>
      </c>
      <c r="AK53" s="2"/>
    </row>
    <row r="54" spans="1:37" ht="12" customHeight="1" x14ac:dyDescent="0.2">
      <c r="A54" s="73"/>
      <c r="B54" s="72"/>
      <c r="C54" s="95"/>
      <c r="D54" s="95"/>
      <c r="E54" s="95"/>
      <c r="F54" s="95"/>
      <c r="G54" s="95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43"/>
      <c r="S54" s="7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7" ht="15" x14ac:dyDescent="0.2">
      <c r="A55" s="72" t="s">
        <v>40</v>
      </c>
      <c r="B55" s="72">
        <f t="shared" ref="B55:H55" si="75">B53+B47</f>
        <v>460159</v>
      </c>
      <c r="C55" s="95">
        <f t="shared" si="75"/>
        <v>566270</v>
      </c>
      <c r="D55" s="95">
        <f t="shared" si="75"/>
        <v>527915</v>
      </c>
      <c r="E55" s="95">
        <f t="shared" si="75"/>
        <v>517963</v>
      </c>
      <c r="F55" s="95">
        <f t="shared" si="75"/>
        <v>600802</v>
      </c>
      <c r="G55" s="95">
        <f t="shared" si="75"/>
        <v>696657</v>
      </c>
      <c r="H55" s="95">
        <f t="shared" si="75"/>
        <v>788293</v>
      </c>
      <c r="I55" s="95">
        <f t="shared" ref="I55:O55" si="76">I53+I47</f>
        <v>743700</v>
      </c>
      <c r="J55" s="95">
        <f t="shared" si="76"/>
        <v>827000</v>
      </c>
      <c r="K55" s="95">
        <f t="shared" si="76"/>
        <v>920400</v>
      </c>
      <c r="L55" s="95">
        <f t="shared" si="76"/>
        <v>940100</v>
      </c>
      <c r="M55" s="95">
        <f t="shared" si="76"/>
        <v>995800</v>
      </c>
      <c r="N55" s="95">
        <f t="shared" ref="N55" si="77">N53+N47</f>
        <v>995300</v>
      </c>
      <c r="O55" s="95">
        <f t="shared" si="76"/>
        <v>1157700</v>
      </c>
      <c r="P55" s="95">
        <f t="shared" ref="P55:Q55" si="78">P53+P47</f>
        <v>1216100</v>
      </c>
      <c r="Q55" s="95">
        <f t="shared" si="78"/>
        <v>0</v>
      </c>
      <c r="R55" s="43">
        <f>RATE(5,,-K55,P55)</f>
        <v>5.7300738850809788E-2</v>
      </c>
      <c r="S55" s="72" t="str">
        <f>A55</f>
        <v>Total Liabilities</v>
      </c>
      <c r="T55" s="43">
        <f t="shared" ref="T55:AD55" si="79">B55/B$38</f>
        <v>0.63597225907744015</v>
      </c>
      <c r="U55" s="43">
        <f t="shared" si="79"/>
        <v>0.68198514800210996</v>
      </c>
      <c r="V55" s="43">
        <f t="shared" si="79"/>
        <v>0.63311003017350964</v>
      </c>
      <c r="W55" s="43">
        <f t="shared" si="79"/>
        <v>0.62270810816659472</v>
      </c>
      <c r="X55" s="43">
        <f t="shared" si="79"/>
        <v>0.66035840371417387</v>
      </c>
      <c r="Y55" s="43">
        <f t="shared" si="79"/>
        <v>0.68864938495178074</v>
      </c>
      <c r="Z55" s="43">
        <f t="shared" si="79"/>
        <v>0.71234363407821477</v>
      </c>
      <c r="AA55" s="43">
        <f t="shared" si="79"/>
        <v>0.69290971769309606</v>
      </c>
      <c r="AB55" s="43">
        <f t="shared" si="79"/>
        <v>0.70822985355827694</v>
      </c>
      <c r="AC55" s="43">
        <f t="shared" si="79"/>
        <v>0.70528735632183903</v>
      </c>
      <c r="AD55" s="43">
        <f t="shared" si="79"/>
        <v>0.70203868269733405</v>
      </c>
      <c r="AE55" s="43">
        <f>M55/M$38</f>
        <v>0.70559059023595272</v>
      </c>
      <c r="AF55" s="43">
        <f>N55/N$38</f>
        <v>0.68750431719278859</v>
      </c>
      <c r="AG55" s="43">
        <f t="shared" ref="AG55:AI55" si="80">O55/O$38</f>
        <v>0.71229926782747799</v>
      </c>
      <c r="AH55" s="43">
        <f t="shared" si="80"/>
        <v>0.6784757866547646</v>
      </c>
      <c r="AI55" s="43" t="e">
        <f t="shared" si="80"/>
        <v>#DIV/0!</v>
      </c>
      <c r="AJ55" s="43">
        <f>SUM(L55:P55)/SUM(L$38:P$38)</f>
        <v>0.6965781664434465</v>
      </c>
      <c r="AK55" s="2"/>
    </row>
    <row r="56" spans="1:37" ht="12" customHeight="1" x14ac:dyDescent="0.2">
      <c r="A56" s="72"/>
      <c r="B56" s="72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3"/>
      <c r="S56" s="72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2"/>
    </row>
    <row r="57" spans="1:37" ht="15" x14ac:dyDescent="0.2">
      <c r="A57" s="72" t="s">
        <v>64</v>
      </c>
      <c r="B57" s="72">
        <v>0</v>
      </c>
      <c r="C57" s="95">
        <v>0</v>
      </c>
      <c r="D57" s="95">
        <v>0</v>
      </c>
      <c r="E57" s="95"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3"/>
      <c r="S57" s="72" t="str">
        <f>A57</f>
        <v>Preferred Stock</v>
      </c>
      <c r="T57" s="43">
        <f t="shared" ref="T57:W57" si="81">B57/B$38</f>
        <v>0</v>
      </c>
      <c r="U57" s="43">
        <f t="shared" si="81"/>
        <v>0</v>
      </c>
      <c r="V57" s="43">
        <f t="shared" si="81"/>
        <v>0</v>
      </c>
      <c r="W57" s="43">
        <f t="shared" si="81"/>
        <v>0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2"/>
    </row>
    <row r="58" spans="1:37" ht="12" customHeight="1" x14ac:dyDescent="0.2">
      <c r="A58" s="72"/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3"/>
      <c r="S58" s="72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"/>
    </row>
    <row r="59" spans="1:37" ht="15.75" x14ac:dyDescent="0.25">
      <c r="A59" s="117" t="s">
        <v>67</v>
      </c>
      <c r="B59" s="72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3"/>
      <c r="S59" s="117" t="str">
        <f>A59</f>
        <v>Common Equity: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43"/>
      <c r="AK59" s="2"/>
    </row>
    <row r="60" spans="1:37" ht="15" x14ac:dyDescent="0.2">
      <c r="A60" s="83" t="s">
        <v>5</v>
      </c>
      <c r="B60" s="72">
        <f>22974+81875</f>
        <v>104849</v>
      </c>
      <c r="C60" s="95">
        <f>22974+81875</f>
        <v>104849</v>
      </c>
      <c r="D60" s="95">
        <f>22974+121875</f>
        <v>144849</v>
      </c>
      <c r="E60" s="95">
        <f>22974+121875</f>
        <v>144849</v>
      </c>
      <c r="F60" s="95">
        <f>22974+121875</f>
        <v>144849</v>
      </c>
      <c r="G60" s="95">
        <f>22974+121875</f>
        <v>144849</v>
      </c>
      <c r="H60" s="95">
        <f>22974+115255</f>
        <v>138229</v>
      </c>
      <c r="I60" s="95">
        <f>23000+116000</f>
        <v>139000</v>
      </c>
      <c r="J60" s="95">
        <f>23000+116700</f>
        <v>139700</v>
      </c>
      <c r="K60" s="95">
        <f>23000+147900</f>
        <v>170900</v>
      </c>
      <c r="L60" s="95">
        <f>23000+148900</f>
        <v>171900</v>
      </c>
      <c r="M60" s="95">
        <f>23000+150300</f>
        <v>173300</v>
      </c>
      <c r="N60" s="95">
        <f>23000+171400</f>
        <v>194400</v>
      </c>
      <c r="O60" s="95">
        <f>23000+172500</f>
        <v>195500</v>
      </c>
      <c r="P60" s="95">
        <f>23000+263900</f>
        <v>286900</v>
      </c>
      <c r="Q60" s="95"/>
      <c r="R60" s="43">
        <f t="shared" ref="R60:R63" si="82">RATE(5,,-K60,P60)</f>
        <v>0.10916893375478383</v>
      </c>
      <c r="S60" s="72" t="str">
        <f>A60</f>
        <v>Common Stock</v>
      </c>
      <c r="T60" s="43">
        <f t="shared" ref="T60:AD63" si="83">B60/B$38</f>
        <v>0.14490872805271771</v>
      </c>
      <c r="U60" s="43">
        <f t="shared" si="83"/>
        <v>0.12627449941348337</v>
      </c>
      <c r="V60" s="43">
        <f t="shared" si="83"/>
        <v>0.17371234907248839</v>
      </c>
      <c r="W60" s="43">
        <f t="shared" si="83"/>
        <v>0.17414110034852506</v>
      </c>
      <c r="X60" s="43">
        <f t="shared" si="83"/>
        <v>0.15920761651857746</v>
      </c>
      <c r="Y60" s="43">
        <f t="shared" si="83"/>
        <v>0.14318405579916729</v>
      </c>
      <c r="Z60" s="43">
        <f t="shared" si="83"/>
        <v>0.12491110309871781</v>
      </c>
      <c r="AA60" s="43">
        <f t="shared" si="83"/>
        <v>0.12950712755054505</v>
      </c>
      <c r="AB60" s="43">
        <f t="shared" si="83"/>
        <v>0.11963689303759527</v>
      </c>
      <c r="AC60" s="43">
        <f t="shared" si="83"/>
        <v>0.13095785440613028</v>
      </c>
      <c r="AD60" s="43">
        <f t="shared" si="83"/>
        <v>0.12836980061235159</v>
      </c>
      <c r="AE60" s="43">
        <f t="shared" ref="AE60:AF63" si="84">M60/M$38</f>
        <v>0.1227945865514065</v>
      </c>
      <c r="AF60" s="43">
        <f t="shared" si="84"/>
        <v>0.1342819644954065</v>
      </c>
      <c r="AG60" s="43">
        <f t="shared" ref="AG60:AI63" si="85">O60/O$38</f>
        <v>0.12028548575647573</v>
      </c>
      <c r="AH60" s="43">
        <f t="shared" si="85"/>
        <v>0.16006471769694264</v>
      </c>
      <c r="AI60" s="43" t="e">
        <f t="shared" si="85"/>
        <v>#DIV/0!</v>
      </c>
      <c r="AJ60" s="43">
        <f t="shared" ref="AJ60:AJ63" si="86">SUM(L60:P60)/SUM(L$38:P$38)</f>
        <v>0.13419470049108431</v>
      </c>
      <c r="AK60" s="2"/>
    </row>
    <row r="61" spans="1:37" ht="15" x14ac:dyDescent="0.2">
      <c r="A61" s="83" t="s">
        <v>28</v>
      </c>
      <c r="B61" s="72">
        <v>158544</v>
      </c>
      <c r="C61" s="95">
        <v>159207</v>
      </c>
      <c r="D61" s="95">
        <v>161080</v>
      </c>
      <c r="E61" s="95">
        <v>168979</v>
      </c>
      <c r="F61" s="95">
        <v>164161</v>
      </c>
      <c r="G61" s="95">
        <v>170122</v>
      </c>
      <c r="H61" s="95">
        <v>180097</v>
      </c>
      <c r="I61" s="95">
        <v>190600</v>
      </c>
      <c r="J61" s="95">
        <f>201000</f>
        <v>201000</v>
      </c>
      <c r="K61" s="95">
        <v>213700</v>
      </c>
      <c r="L61" s="95">
        <v>227100</v>
      </c>
      <c r="M61" s="95">
        <v>242200</v>
      </c>
      <c r="N61" s="95">
        <v>258000</v>
      </c>
      <c r="O61" s="95">
        <v>272100</v>
      </c>
      <c r="P61" s="95">
        <v>289400</v>
      </c>
      <c r="Q61" s="95"/>
      <c r="R61" s="51">
        <f t="shared" si="82"/>
        <v>6.2524128116854566E-2</v>
      </c>
      <c r="S61" s="72" t="str">
        <f>A61</f>
        <v>Retained Earnings</v>
      </c>
      <c r="T61" s="77">
        <f t="shared" si="83"/>
        <v>0.21911901286984212</v>
      </c>
      <c r="U61" s="77">
        <f t="shared" si="83"/>
        <v>0.19174035258440661</v>
      </c>
      <c r="V61" s="77">
        <f t="shared" si="83"/>
        <v>0.19317762075400194</v>
      </c>
      <c r="W61" s="77">
        <f t="shared" si="83"/>
        <v>0.20315079148488022</v>
      </c>
      <c r="X61" s="77">
        <f t="shared" si="83"/>
        <v>0.18043397976724862</v>
      </c>
      <c r="Y61" s="77">
        <f t="shared" si="83"/>
        <v>0.16816655924905202</v>
      </c>
      <c r="Z61" s="77">
        <f t="shared" si="83"/>
        <v>0.16274526282306737</v>
      </c>
      <c r="AA61" s="77">
        <f t="shared" si="83"/>
        <v>0.17758315475635889</v>
      </c>
      <c r="AB61" s="77">
        <f t="shared" si="83"/>
        <v>0.17213325340412777</v>
      </c>
      <c r="AC61" s="77">
        <f t="shared" si="83"/>
        <v>0.16375478927203066</v>
      </c>
      <c r="AD61" s="77">
        <f t="shared" si="83"/>
        <v>0.16959151669031439</v>
      </c>
      <c r="AE61" s="77">
        <f t="shared" si="84"/>
        <v>0.17161482321264082</v>
      </c>
      <c r="AF61" s="77">
        <f t="shared" si="84"/>
        <v>0.17821371831180494</v>
      </c>
      <c r="AG61" s="77">
        <f t="shared" si="85"/>
        <v>0.16741524641604627</v>
      </c>
      <c r="AH61" s="77">
        <f t="shared" si="85"/>
        <v>0.16145949564829279</v>
      </c>
      <c r="AI61" s="77" t="e">
        <f t="shared" si="85"/>
        <v>#DIV/0!</v>
      </c>
      <c r="AJ61" s="51">
        <f t="shared" si="86"/>
        <v>0.16922713306546916</v>
      </c>
      <c r="AK61" s="2"/>
    </row>
    <row r="62" spans="1:37" ht="15" x14ac:dyDescent="0.2">
      <c r="A62" s="72" t="s">
        <v>68</v>
      </c>
      <c r="B62" s="78">
        <f t="shared" ref="B62:K62" si="87">SUM(B59:B61)</f>
        <v>263393</v>
      </c>
      <c r="C62" s="96">
        <f t="shared" si="87"/>
        <v>264056</v>
      </c>
      <c r="D62" s="96">
        <f t="shared" si="87"/>
        <v>305929</v>
      </c>
      <c r="E62" s="96">
        <f t="shared" si="87"/>
        <v>313828</v>
      </c>
      <c r="F62" s="96">
        <f t="shared" si="87"/>
        <v>309010</v>
      </c>
      <c r="G62" s="96">
        <f t="shared" si="87"/>
        <v>314971</v>
      </c>
      <c r="H62" s="96">
        <f t="shared" si="87"/>
        <v>318326</v>
      </c>
      <c r="I62" s="96">
        <f t="shared" si="87"/>
        <v>329600</v>
      </c>
      <c r="J62" s="96">
        <f t="shared" si="87"/>
        <v>340700</v>
      </c>
      <c r="K62" s="96">
        <f t="shared" si="87"/>
        <v>384600</v>
      </c>
      <c r="L62" s="96">
        <f t="shared" ref="L62" si="88">SUM(L59:L61)</f>
        <v>399000</v>
      </c>
      <c r="M62" s="96">
        <f t="shared" ref="M62:O62" si="89">SUM(M59:M61)</f>
        <v>415500</v>
      </c>
      <c r="N62" s="96">
        <f t="shared" ref="N62" si="90">SUM(N59:N61)</f>
        <v>452400</v>
      </c>
      <c r="O62" s="96">
        <f t="shared" si="89"/>
        <v>467600</v>
      </c>
      <c r="P62" s="96">
        <f t="shared" ref="P62:Q62" si="91">SUM(P59:P61)</f>
        <v>576300</v>
      </c>
      <c r="Q62" s="96">
        <f t="shared" si="91"/>
        <v>0</v>
      </c>
      <c r="R62" s="177">
        <f t="shared" si="82"/>
        <v>8.424609814283851E-2</v>
      </c>
      <c r="S62" s="72" t="str">
        <f>A62</f>
        <v>Total Common Equity</v>
      </c>
      <c r="T62" s="77">
        <f t="shared" si="83"/>
        <v>0.36402774092255979</v>
      </c>
      <c r="U62" s="77">
        <f t="shared" si="83"/>
        <v>0.31801485199788998</v>
      </c>
      <c r="V62" s="77">
        <f t="shared" si="83"/>
        <v>0.3668899698264903</v>
      </c>
      <c r="W62" s="77">
        <f t="shared" si="83"/>
        <v>0.37729189183340528</v>
      </c>
      <c r="X62" s="77">
        <f t="shared" si="83"/>
        <v>0.33964159628582608</v>
      </c>
      <c r="Y62" s="77">
        <f t="shared" si="83"/>
        <v>0.31135061504821931</v>
      </c>
      <c r="Z62" s="77">
        <f t="shared" si="83"/>
        <v>0.28765636592178517</v>
      </c>
      <c r="AA62" s="77">
        <f t="shared" si="83"/>
        <v>0.30709028230690394</v>
      </c>
      <c r="AB62" s="77">
        <f t="shared" si="83"/>
        <v>0.29177014644172306</v>
      </c>
      <c r="AC62" s="77">
        <f t="shared" si="83"/>
        <v>0.29471264367816091</v>
      </c>
      <c r="AD62" s="77">
        <f t="shared" si="83"/>
        <v>0.29796131730266595</v>
      </c>
      <c r="AE62" s="77">
        <f t="shared" si="84"/>
        <v>0.29440940976404734</v>
      </c>
      <c r="AF62" s="77">
        <f t="shared" si="84"/>
        <v>0.31249568280721146</v>
      </c>
      <c r="AG62" s="77">
        <f t="shared" si="85"/>
        <v>0.28770073217252201</v>
      </c>
      <c r="AH62" s="77">
        <f t="shared" si="85"/>
        <v>0.32152421334523545</v>
      </c>
      <c r="AI62" s="77" t="e">
        <f t="shared" si="85"/>
        <v>#DIV/0!</v>
      </c>
      <c r="AJ62" s="177">
        <f t="shared" si="86"/>
        <v>0.3034218335565535</v>
      </c>
      <c r="AK62" s="2"/>
    </row>
    <row r="63" spans="1:37" ht="15.75" thickBot="1" x14ac:dyDescent="0.25">
      <c r="A63" s="72" t="s">
        <v>41</v>
      </c>
      <c r="B63" s="84">
        <f t="shared" ref="B63:K63" si="92">B62+B55+B57</f>
        <v>723552</v>
      </c>
      <c r="C63" s="100">
        <f t="shared" si="92"/>
        <v>830326</v>
      </c>
      <c r="D63" s="100">
        <f t="shared" si="92"/>
        <v>833844</v>
      </c>
      <c r="E63" s="100">
        <f t="shared" si="92"/>
        <v>831791</v>
      </c>
      <c r="F63" s="100">
        <f t="shared" si="92"/>
        <v>909812</v>
      </c>
      <c r="G63" s="100">
        <f t="shared" si="92"/>
        <v>1011628</v>
      </c>
      <c r="H63" s="100">
        <f t="shared" si="92"/>
        <v>1106619</v>
      </c>
      <c r="I63" s="100">
        <f t="shared" si="92"/>
        <v>1073300</v>
      </c>
      <c r="J63" s="100">
        <f t="shared" si="92"/>
        <v>1167700</v>
      </c>
      <c r="K63" s="100">
        <f t="shared" si="92"/>
        <v>1305000</v>
      </c>
      <c r="L63" s="100">
        <f t="shared" ref="L63" si="93">L62+L55+L57</f>
        <v>1339100</v>
      </c>
      <c r="M63" s="100">
        <f t="shared" ref="M63:O63" si="94">M62+M55+M57</f>
        <v>1411300</v>
      </c>
      <c r="N63" s="100">
        <f t="shared" ref="N63" si="95">N62+N55+N57</f>
        <v>1447700</v>
      </c>
      <c r="O63" s="100">
        <f t="shared" si="94"/>
        <v>1625300</v>
      </c>
      <c r="P63" s="100">
        <f t="shared" ref="P63:Q63" si="96">P62+P55+P57</f>
        <v>1792400</v>
      </c>
      <c r="Q63" s="100">
        <f t="shared" si="96"/>
        <v>0</v>
      </c>
      <c r="R63" s="178">
        <f t="shared" si="82"/>
        <v>6.5528044408448186E-2</v>
      </c>
      <c r="S63" s="72" t="str">
        <f>A63</f>
        <v>Total Liabilities &amp; Equity</v>
      </c>
      <c r="T63" s="85">
        <f t="shared" si="83"/>
        <v>1</v>
      </c>
      <c r="U63" s="85">
        <f t="shared" si="83"/>
        <v>1</v>
      </c>
      <c r="V63" s="85">
        <f t="shared" si="83"/>
        <v>1</v>
      </c>
      <c r="W63" s="85">
        <f t="shared" si="83"/>
        <v>1</v>
      </c>
      <c r="X63" s="85">
        <f t="shared" si="83"/>
        <v>1</v>
      </c>
      <c r="Y63" s="85">
        <f t="shared" si="83"/>
        <v>1</v>
      </c>
      <c r="Z63" s="85">
        <f t="shared" si="83"/>
        <v>1</v>
      </c>
      <c r="AA63" s="85">
        <f t="shared" si="83"/>
        <v>1</v>
      </c>
      <c r="AB63" s="85">
        <f t="shared" si="83"/>
        <v>1</v>
      </c>
      <c r="AC63" s="85">
        <f t="shared" si="83"/>
        <v>1</v>
      </c>
      <c r="AD63" s="85">
        <f t="shared" si="83"/>
        <v>1</v>
      </c>
      <c r="AE63" s="85">
        <f t="shared" si="84"/>
        <v>1</v>
      </c>
      <c r="AF63" s="85">
        <f t="shared" si="84"/>
        <v>1</v>
      </c>
      <c r="AG63" s="85">
        <f t="shared" si="85"/>
        <v>1</v>
      </c>
      <c r="AH63" s="85">
        <f t="shared" si="85"/>
        <v>1</v>
      </c>
      <c r="AI63" s="85" t="e">
        <f t="shared" si="85"/>
        <v>#DIV/0!</v>
      </c>
      <c r="AJ63" s="178">
        <f t="shared" si="86"/>
        <v>1</v>
      </c>
      <c r="AK63" s="2"/>
    </row>
    <row r="64" spans="1:37" ht="15.75" thickTop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139">
        <f>+O63-O38</f>
        <v>0</v>
      </c>
      <c r="P64" s="139">
        <f>+P63-P38</f>
        <v>0</v>
      </c>
      <c r="Q64" s="72"/>
      <c r="R64" s="43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43"/>
      <c r="AK64" s="2"/>
    </row>
    <row r="65" spans="1:37" ht="15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43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2"/>
    </row>
    <row r="66" spans="1:3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AK66" s="2"/>
    </row>
    <row r="67" spans="1:37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91" t="s">
        <v>114</v>
      </c>
      <c r="S67" s="2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91" t="s">
        <v>114</v>
      </c>
      <c r="AK67" s="2"/>
    </row>
    <row r="68" spans="1:3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94"/>
      <c r="P68" s="194"/>
      <c r="Q68" s="194"/>
      <c r="R68" s="152" t="s">
        <v>178</v>
      </c>
      <c r="S68" s="2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152" t="s">
        <v>181</v>
      </c>
      <c r="AK68" s="2"/>
    </row>
    <row r="69" spans="1:37" ht="20.25" x14ac:dyDescent="0.3">
      <c r="A69" s="64" t="str">
        <f>A3</f>
        <v>Questar Gas Company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64" t="str">
        <f>A3</f>
        <v>Questar Gas Company</v>
      </c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7"/>
      <c r="AK69" s="2"/>
    </row>
    <row r="70" spans="1:37" ht="15.75" x14ac:dyDescent="0.25">
      <c r="A70" s="65" t="s">
        <v>13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86"/>
      <c r="S70" s="65" t="s">
        <v>45</v>
      </c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7"/>
      <c r="AK70" s="2"/>
    </row>
    <row r="71" spans="1:37" ht="15.75" x14ac:dyDescent="0.25">
      <c r="A71" s="68" t="str">
        <f>A5</f>
        <v>Years Ended December 31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86"/>
      <c r="S71" s="65" t="s">
        <v>13</v>
      </c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2"/>
    </row>
    <row r="72" spans="1:37" ht="15.75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86"/>
      <c r="S72" s="65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2"/>
    </row>
    <row r="73" spans="1:37" ht="15.75" x14ac:dyDescent="0.25">
      <c r="A73" s="128" t="s">
        <v>130</v>
      </c>
      <c r="B73" s="87"/>
      <c r="C73" s="87"/>
      <c r="D73" s="87"/>
      <c r="E73" s="87"/>
      <c r="F73" s="87"/>
      <c r="G73" s="87"/>
      <c r="H73" s="87"/>
      <c r="I73" s="89"/>
      <c r="J73" s="106"/>
      <c r="K73" s="121"/>
      <c r="L73" s="121"/>
      <c r="M73" s="121"/>
      <c r="N73" s="121"/>
      <c r="O73" s="188"/>
      <c r="P73" s="188"/>
      <c r="Q73" s="188"/>
      <c r="R73" s="119" t="str">
        <f>R7</f>
        <v>2008 to 2013</v>
      </c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2"/>
    </row>
    <row r="74" spans="1:37" ht="15" customHeight="1" x14ac:dyDescent="0.25">
      <c r="A74" s="87"/>
      <c r="B74" s="87"/>
      <c r="C74" s="87"/>
      <c r="D74" s="87"/>
      <c r="E74" s="87"/>
      <c r="F74" s="87"/>
      <c r="G74" s="87"/>
      <c r="H74" s="89"/>
      <c r="I74" s="89"/>
      <c r="J74" s="89"/>
      <c r="K74" s="90"/>
      <c r="L74" s="90"/>
      <c r="M74" s="90"/>
      <c r="N74" s="90"/>
      <c r="O74" s="186"/>
      <c r="P74" s="209"/>
      <c r="Q74" s="209" t="str">
        <f>+Q8</f>
        <v>1st Qrtr</v>
      </c>
      <c r="R74" s="122" t="s">
        <v>3</v>
      </c>
      <c r="S74" s="87"/>
      <c r="T74" s="87"/>
      <c r="U74" s="87"/>
      <c r="V74" s="87"/>
      <c r="W74" s="87"/>
      <c r="X74" s="87"/>
      <c r="Y74" s="87"/>
      <c r="Z74" s="89"/>
      <c r="AA74" s="89"/>
      <c r="AB74" s="89"/>
      <c r="AC74" s="90"/>
      <c r="AD74" s="90"/>
      <c r="AE74" s="90"/>
      <c r="AF74" s="90"/>
      <c r="AG74" s="90"/>
      <c r="AH74" s="90"/>
      <c r="AI74" s="90" t="str">
        <f>+Q74</f>
        <v>1st Qrtr</v>
      </c>
      <c r="AJ74" s="119" t="str">
        <f>+AJ8</f>
        <v>2009 to 2013</v>
      </c>
      <c r="AK74" s="2"/>
    </row>
    <row r="75" spans="1:37" ht="15.75" x14ac:dyDescent="0.25">
      <c r="A75" s="94" t="s">
        <v>0</v>
      </c>
      <c r="B75" s="93">
        <f>B9</f>
        <v>1999</v>
      </c>
      <c r="C75" s="93">
        <f t="shared" ref="C75:J75" si="97">B75+1</f>
        <v>2000</v>
      </c>
      <c r="D75" s="93">
        <f t="shared" si="97"/>
        <v>2001</v>
      </c>
      <c r="E75" s="93">
        <f t="shared" si="97"/>
        <v>2002</v>
      </c>
      <c r="F75" s="93">
        <f t="shared" si="97"/>
        <v>2003</v>
      </c>
      <c r="G75" s="93">
        <f t="shared" si="97"/>
        <v>2004</v>
      </c>
      <c r="H75" s="93">
        <f t="shared" si="97"/>
        <v>2005</v>
      </c>
      <c r="I75" s="93">
        <f t="shared" si="97"/>
        <v>2006</v>
      </c>
      <c r="J75" s="93">
        <f t="shared" si="97"/>
        <v>2007</v>
      </c>
      <c r="K75" s="93">
        <f>J75+1</f>
        <v>2008</v>
      </c>
      <c r="L75" s="93">
        <f>+L9</f>
        <v>2009</v>
      </c>
      <c r="M75" s="93">
        <f>+M9</f>
        <v>2010</v>
      </c>
      <c r="N75" s="93">
        <f>+N9</f>
        <v>2011</v>
      </c>
      <c r="O75" s="187">
        <f t="shared" ref="O75:P75" si="98">+O9</f>
        <v>2012</v>
      </c>
      <c r="P75" s="187">
        <f t="shared" si="98"/>
        <v>2013</v>
      </c>
      <c r="Q75" s="187">
        <f>+Q9</f>
        <v>2014</v>
      </c>
      <c r="R75" s="120" t="s">
        <v>24</v>
      </c>
      <c r="S75" s="94" t="s">
        <v>0</v>
      </c>
      <c r="T75" s="93">
        <f t="shared" ref="T75:AC75" si="99">B75</f>
        <v>1999</v>
      </c>
      <c r="U75" s="93">
        <f t="shared" si="99"/>
        <v>2000</v>
      </c>
      <c r="V75" s="93">
        <f t="shared" si="99"/>
        <v>2001</v>
      </c>
      <c r="W75" s="93">
        <f t="shared" si="99"/>
        <v>2002</v>
      </c>
      <c r="X75" s="93">
        <f t="shared" si="99"/>
        <v>2003</v>
      </c>
      <c r="Y75" s="93">
        <f t="shared" si="99"/>
        <v>2004</v>
      </c>
      <c r="Z75" s="93">
        <f t="shared" si="99"/>
        <v>2005</v>
      </c>
      <c r="AA75" s="93">
        <f t="shared" si="99"/>
        <v>2006</v>
      </c>
      <c r="AB75" s="93">
        <f t="shared" si="99"/>
        <v>2007</v>
      </c>
      <c r="AC75" s="93">
        <f t="shared" si="99"/>
        <v>2008</v>
      </c>
      <c r="AD75" s="93">
        <f>+L75</f>
        <v>2009</v>
      </c>
      <c r="AE75" s="93">
        <f>+AE9</f>
        <v>2010</v>
      </c>
      <c r="AF75" s="93">
        <f>+AF9</f>
        <v>2011</v>
      </c>
      <c r="AG75" s="93">
        <f>+AG9</f>
        <v>2012</v>
      </c>
      <c r="AH75" s="93">
        <f>+AH9</f>
        <v>2013</v>
      </c>
      <c r="AI75" s="93">
        <f>+AI9</f>
        <v>2014</v>
      </c>
      <c r="AJ75" s="120" t="s">
        <v>2</v>
      </c>
      <c r="AK75" s="2"/>
    </row>
    <row r="76" spans="1:37" ht="15" customHeight="1" x14ac:dyDescent="0.2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/>
      <c r="S76" s="73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5"/>
      <c r="AK76" s="2"/>
    </row>
    <row r="77" spans="1:37" ht="15.75" x14ac:dyDescent="0.25">
      <c r="A77" s="117" t="s">
        <v>22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43"/>
      <c r="S77" s="117" t="s">
        <v>21</v>
      </c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7"/>
    </row>
    <row r="78" spans="1:37" ht="15" x14ac:dyDescent="0.2">
      <c r="A78" s="72" t="s">
        <v>125</v>
      </c>
      <c r="B78" s="101">
        <f>449937-B79</f>
        <v>192672</v>
      </c>
      <c r="C78" s="107">
        <f>536762-C79</f>
        <v>202569</v>
      </c>
      <c r="D78" s="107">
        <f>704113-D79</f>
        <v>205568</v>
      </c>
      <c r="E78" s="107">
        <f>595511-E79</f>
        <v>225217</v>
      </c>
      <c r="F78" s="95">
        <v>226472</v>
      </c>
      <c r="G78" s="95">
        <v>228065</v>
      </c>
      <c r="H78" s="95">
        <v>242374</v>
      </c>
      <c r="I78" s="108">
        <v>242800</v>
      </c>
      <c r="J78" s="109">
        <v>245300</v>
      </c>
      <c r="K78" s="109">
        <v>263400</v>
      </c>
      <c r="L78" s="109">
        <f>919900-626600</f>
        <v>293300</v>
      </c>
      <c r="M78" s="109">
        <v>310700</v>
      </c>
      <c r="N78" s="109">
        <f>968800-645700</f>
        <v>323100</v>
      </c>
      <c r="O78" s="109">
        <f>862200-533300</f>
        <v>328900</v>
      </c>
      <c r="P78" s="109">
        <f>985800-370900</f>
        <v>614900</v>
      </c>
      <c r="Q78" s="109"/>
      <c r="R78" s="43">
        <f t="shared" ref="R78:R79" si="100">RATE(5,,-K78,P78)</f>
        <v>0.18478008220860717</v>
      </c>
      <c r="S78" s="72" t="str">
        <f>A78</f>
        <v>Revenues</v>
      </c>
      <c r="T78" s="43">
        <f t="shared" ref="T78:AF80" si="101">B78/B$80</f>
        <v>0.42821995079311104</v>
      </c>
      <c r="U78" s="43">
        <f t="shared" si="101"/>
        <v>0.37739072438063798</v>
      </c>
      <c r="V78" s="43">
        <f t="shared" si="101"/>
        <v>0.29195313820366903</v>
      </c>
      <c r="W78" s="43">
        <f t="shared" si="101"/>
        <v>0.37819116691379334</v>
      </c>
      <c r="X78" s="43">
        <f t="shared" si="101"/>
        <v>0.36469214727976879</v>
      </c>
      <c r="Y78" s="43">
        <f t="shared" si="101"/>
        <v>0.2984390069000894</v>
      </c>
      <c r="Z78" s="43">
        <f t="shared" si="101"/>
        <v>0.25180484693214983</v>
      </c>
      <c r="AA78" s="43">
        <f t="shared" si="101"/>
        <v>0.22806687957918467</v>
      </c>
      <c r="AB78" s="43">
        <f t="shared" si="101"/>
        <v>0.26305630026809651</v>
      </c>
      <c r="AC78" s="43">
        <f t="shared" si="101"/>
        <v>0.26332100369889033</v>
      </c>
      <c r="AD78" s="43">
        <f t="shared" si="101"/>
        <v>0.31883900423959127</v>
      </c>
      <c r="AE78" s="43">
        <f t="shared" si="101"/>
        <v>0.34411341233802195</v>
      </c>
      <c r="AF78" s="43">
        <f t="shared" si="101"/>
        <v>0.33350536746490506</v>
      </c>
      <c r="AG78" s="43">
        <f t="shared" ref="AG78:AI80" si="102">O78/O$80</f>
        <v>0.38146601716539086</v>
      </c>
      <c r="AH78" s="43">
        <f t="shared" si="102"/>
        <v>0.62375735443294789</v>
      </c>
      <c r="AI78" s="43" t="e">
        <f t="shared" si="102"/>
        <v>#DIV/0!</v>
      </c>
      <c r="AJ78" s="43">
        <f>SUM(L78:P78)/SUM(L$80:P$80)</f>
        <v>0.40324596948012759</v>
      </c>
      <c r="AK78" s="2"/>
    </row>
    <row r="79" spans="1:37" ht="15" x14ac:dyDescent="0.2">
      <c r="A79" s="72" t="s">
        <v>126</v>
      </c>
      <c r="B79" s="101">
        <f>B83+B84</f>
        <v>257265</v>
      </c>
      <c r="C79" s="107">
        <f>C83+C84</f>
        <v>334193</v>
      </c>
      <c r="D79" s="107">
        <f>D83+D84</f>
        <v>498545</v>
      </c>
      <c r="E79" s="107">
        <f>E83+E84</f>
        <v>370294</v>
      </c>
      <c r="F79" s="107">
        <v>394523</v>
      </c>
      <c r="G79" s="107">
        <v>536128</v>
      </c>
      <c r="H79" s="107">
        <v>720173</v>
      </c>
      <c r="I79" s="108">
        <v>821800</v>
      </c>
      <c r="J79" s="109">
        <v>687200</v>
      </c>
      <c r="K79" s="109">
        <v>736900</v>
      </c>
      <c r="L79" s="109">
        <f>305600+321000</f>
        <v>626600</v>
      </c>
      <c r="M79" s="109">
        <v>592200</v>
      </c>
      <c r="N79" s="109">
        <f>318400+327300</f>
        <v>645700</v>
      </c>
      <c r="O79" s="109">
        <v>533300</v>
      </c>
      <c r="P79" s="109">
        <v>370900</v>
      </c>
      <c r="Q79" s="109"/>
      <c r="R79" s="51">
        <f t="shared" si="100"/>
        <v>-0.12829476254118488</v>
      </c>
      <c r="S79" s="72" t="str">
        <f>A79</f>
        <v>Commodity Pass Through</v>
      </c>
      <c r="T79" s="77">
        <f t="shared" si="101"/>
        <v>0.57178004920688896</v>
      </c>
      <c r="U79" s="77">
        <f t="shared" si="101"/>
        <v>0.62260927561936208</v>
      </c>
      <c r="V79" s="77">
        <f t="shared" si="101"/>
        <v>0.70804686179633103</v>
      </c>
      <c r="W79" s="77">
        <f t="shared" si="101"/>
        <v>0.6218088330862066</v>
      </c>
      <c r="X79" s="77">
        <f t="shared" si="101"/>
        <v>0.63530785272023127</v>
      </c>
      <c r="Y79" s="77">
        <f t="shared" si="101"/>
        <v>0.7015609930999106</v>
      </c>
      <c r="Z79" s="77">
        <f t="shared" si="101"/>
        <v>0.74819515306785023</v>
      </c>
      <c r="AA79" s="77">
        <f t="shared" si="101"/>
        <v>0.7719331204208153</v>
      </c>
      <c r="AB79" s="77">
        <f t="shared" si="101"/>
        <v>0.73694369973190343</v>
      </c>
      <c r="AC79" s="77">
        <f t="shared" si="101"/>
        <v>0.73667899630110967</v>
      </c>
      <c r="AD79" s="77">
        <f t="shared" si="101"/>
        <v>0.68116099576040878</v>
      </c>
      <c r="AE79" s="77">
        <f t="shared" si="101"/>
        <v>0.65588658766197805</v>
      </c>
      <c r="AF79" s="77">
        <f t="shared" si="101"/>
        <v>0.666494632535095</v>
      </c>
      <c r="AG79" s="77">
        <f t="shared" si="102"/>
        <v>0.61853398283460914</v>
      </c>
      <c r="AH79" s="77">
        <f t="shared" si="102"/>
        <v>0.37624264556705211</v>
      </c>
      <c r="AI79" s="77" t="e">
        <f t="shared" si="102"/>
        <v>#DIV/0!</v>
      </c>
      <c r="AJ79" s="51">
        <f t="shared" ref="AJ79:AJ80" si="103">SUM(L79:P79)/SUM(L$80:P$80)</f>
        <v>0.59675403051987241</v>
      </c>
      <c r="AK79" s="2"/>
    </row>
    <row r="80" spans="1:37" ht="15" x14ac:dyDescent="0.2">
      <c r="A80" s="72" t="s">
        <v>54</v>
      </c>
      <c r="B80" s="103">
        <f t="shared" ref="B80:J80" si="104">SUM(B77:B79)</f>
        <v>449937</v>
      </c>
      <c r="C80" s="110">
        <f t="shared" si="104"/>
        <v>536762</v>
      </c>
      <c r="D80" s="110">
        <f t="shared" si="104"/>
        <v>704113</v>
      </c>
      <c r="E80" s="110">
        <f t="shared" si="104"/>
        <v>595511</v>
      </c>
      <c r="F80" s="110">
        <f t="shared" si="104"/>
        <v>620995</v>
      </c>
      <c r="G80" s="110">
        <f t="shared" si="104"/>
        <v>764193</v>
      </c>
      <c r="H80" s="110">
        <f t="shared" si="104"/>
        <v>962547</v>
      </c>
      <c r="I80" s="111">
        <f t="shared" si="104"/>
        <v>1064600</v>
      </c>
      <c r="J80" s="111">
        <f t="shared" si="104"/>
        <v>932500</v>
      </c>
      <c r="K80" s="111">
        <f t="shared" ref="K80:P80" si="105">SUM(K77:K79)</f>
        <v>1000300</v>
      </c>
      <c r="L80" s="111">
        <f t="shared" si="105"/>
        <v>919900</v>
      </c>
      <c r="M80" s="111">
        <f t="shared" si="105"/>
        <v>902900</v>
      </c>
      <c r="N80" s="111">
        <f t="shared" si="105"/>
        <v>968800</v>
      </c>
      <c r="O80" s="111">
        <f t="shared" si="105"/>
        <v>862200</v>
      </c>
      <c r="P80" s="111">
        <f t="shared" si="105"/>
        <v>985800</v>
      </c>
      <c r="Q80" s="111">
        <f t="shared" ref="Q80" si="106">SUM(Q77:Q79)</f>
        <v>0</v>
      </c>
      <c r="R80" s="43">
        <f>RATE(5,,-K80,P80)</f>
        <v>-2.9160878758837244E-3</v>
      </c>
      <c r="S80" s="72" t="str">
        <f>A80</f>
        <v>Total Revenues</v>
      </c>
      <c r="T80" s="43">
        <f t="shared" si="101"/>
        <v>1</v>
      </c>
      <c r="U80" s="43">
        <f t="shared" si="101"/>
        <v>1</v>
      </c>
      <c r="V80" s="43">
        <f t="shared" si="101"/>
        <v>1</v>
      </c>
      <c r="W80" s="43">
        <f t="shared" si="101"/>
        <v>1</v>
      </c>
      <c r="X80" s="43">
        <f t="shared" si="101"/>
        <v>1</v>
      </c>
      <c r="Y80" s="43">
        <f t="shared" si="101"/>
        <v>1</v>
      </c>
      <c r="Z80" s="43">
        <f t="shared" si="101"/>
        <v>1</v>
      </c>
      <c r="AA80" s="43">
        <f t="shared" si="101"/>
        <v>1</v>
      </c>
      <c r="AB80" s="43">
        <f t="shared" si="101"/>
        <v>1</v>
      </c>
      <c r="AC80" s="43">
        <f t="shared" si="101"/>
        <v>1</v>
      </c>
      <c r="AD80" s="43">
        <f t="shared" si="101"/>
        <v>1</v>
      </c>
      <c r="AE80" s="43">
        <f t="shared" si="101"/>
        <v>1</v>
      </c>
      <c r="AF80" s="43">
        <f t="shared" si="101"/>
        <v>1</v>
      </c>
      <c r="AG80" s="43">
        <f t="shared" si="102"/>
        <v>1</v>
      </c>
      <c r="AH80" s="43">
        <f t="shared" si="102"/>
        <v>1</v>
      </c>
      <c r="AI80" s="43" t="e">
        <f t="shared" si="102"/>
        <v>#DIV/0!</v>
      </c>
      <c r="AJ80" s="43">
        <f t="shared" si="103"/>
        <v>1</v>
      </c>
      <c r="AK80" s="201">
        <f>(+O80-N80)/N80</f>
        <v>-0.11003303055326177</v>
      </c>
    </row>
    <row r="81" spans="1:44" ht="15" x14ac:dyDescent="0.2">
      <c r="A81" s="72"/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09"/>
      <c r="M81" s="109"/>
      <c r="N81" s="109"/>
      <c r="O81" s="109"/>
      <c r="P81" s="143"/>
      <c r="Q81" s="109"/>
      <c r="R81" s="43"/>
      <c r="S81" s="72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>
        <f>+N83+N84</f>
        <v>645700</v>
      </c>
    </row>
    <row r="82" spans="1:44" ht="15.75" x14ac:dyDescent="0.25">
      <c r="A82" s="117" t="s">
        <v>20</v>
      </c>
      <c r="B82" s="101"/>
      <c r="C82" s="107"/>
      <c r="D82" s="107"/>
      <c r="E82" s="107"/>
      <c r="F82" s="107"/>
      <c r="G82" s="107"/>
      <c r="H82" s="107"/>
      <c r="I82" s="108"/>
      <c r="J82" s="109"/>
      <c r="K82" s="109"/>
      <c r="L82" s="143"/>
      <c r="M82" s="109"/>
      <c r="N82" s="109"/>
      <c r="O82" s="109"/>
      <c r="P82" s="143"/>
      <c r="Q82" s="109"/>
      <c r="R82" s="43"/>
      <c r="S82" s="117" t="s">
        <v>20</v>
      </c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>
        <f>+O83+O84</f>
        <v>533300</v>
      </c>
      <c r="AL82">
        <f>+AK82-AK81</f>
        <v>-112400</v>
      </c>
    </row>
    <row r="83" spans="1:44" ht="15" x14ac:dyDescent="0.2">
      <c r="A83" s="104" t="s">
        <v>98</v>
      </c>
      <c r="B83" s="101">
        <v>106305</v>
      </c>
      <c r="C83" s="107">
        <v>167995</v>
      </c>
      <c r="D83" s="107">
        <v>325150</v>
      </c>
      <c r="E83" s="107">
        <v>190515</v>
      </c>
      <c r="F83" s="107">
        <v>201371</v>
      </c>
      <c r="G83" s="107">
        <v>324393</v>
      </c>
      <c r="H83" s="107">
        <v>484182</v>
      </c>
      <c r="I83" s="108">
        <v>569800</v>
      </c>
      <c r="J83" s="109">
        <v>441200</v>
      </c>
      <c r="K83" s="109">
        <v>304200</v>
      </c>
      <c r="L83" s="109">
        <v>305600</v>
      </c>
      <c r="M83" s="109">
        <v>278500</v>
      </c>
      <c r="N83" s="109">
        <v>318400</v>
      </c>
      <c r="O83" s="109">
        <v>185600</v>
      </c>
      <c r="P83" s="109">
        <f>650600-370900</f>
        <v>279700</v>
      </c>
      <c r="Q83" s="109"/>
      <c r="R83" s="43">
        <f t="shared" ref="R83:R87" si="107">RATE(5,,-K83,P83)</f>
        <v>-1.6653330223183136E-2</v>
      </c>
      <c r="S83" s="118" t="str">
        <f t="shared" ref="S83:S89" si="108">A83</f>
        <v xml:space="preserve">   Cost of Natural Gas Sold</v>
      </c>
      <c r="T83" s="43">
        <f t="shared" ref="T83:AF85" si="109">B83/B$80</f>
        <v>0.23626641063082165</v>
      </c>
      <c r="U83" s="43">
        <f t="shared" si="109"/>
        <v>0.31297856405632291</v>
      </c>
      <c r="V83" s="43">
        <f t="shared" si="109"/>
        <v>0.46178667344588153</v>
      </c>
      <c r="W83" s="43">
        <f t="shared" si="109"/>
        <v>0.31991852375522872</v>
      </c>
      <c r="X83" s="43">
        <f t="shared" si="109"/>
        <v>0.324271531976908</v>
      </c>
      <c r="Y83" s="43">
        <f t="shared" si="109"/>
        <v>0.42449093357306333</v>
      </c>
      <c r="Z83" s="43">
        <f t="shared" si="109"/>
        <v>0.5030216706301095</v>
      </c>
      <c r="AA83" s="43">
        <f t="shared" si="109"/>
        <v>0.53522449746383616</v>
      </c>
      <c r="AB83" s="43">
        <f t="shared" si="109"/>
        <v>0.47313672922252009</v>
      </c>
      <c r="AC83" s="43">
        <f t="shared" si="109"/>
        <v>0.30410876736978909</v>
      </c>
      <c r="AD83" s="43">
        <f t="shared" si="109"/>
        <v>0.33221002282856832</v>
      </c>
      <c r="AE83" s="43">
        <f t="shared" si="109"/>
        <v>0.30845054823346996</v>
      </c>
      <c r="AF83" s="43">
        <f t="shared" si="109"/>
        <v>0.32865400495458297</v>
      </c>
      <c r="AG83" s="43">
        <f t="shared" ref="AG83:AI91" si="110">O83/O$80</f>
        <v>0.21526327998144282</v>
      </c>
      <c r="AH83" s="43">
        <f t="shared" si="110"/>
        <v>0.28372895110570096</v>
      </c>
      <c r="AI83" s="43" t="e">
        <f t="shared" si="110"/>
        <v>#DIV/0!</v>
      </c>
      <c r="AJ83" s="43">
        <f t="shared" ref="AJ83:AJ87" si="111">SUM(L83:P83)/SUM(L$80:P$80)</f>
        <v>0.29480989740494873</v>
      </c>
      <c r="AK83" s="201">
        <f t="shared" ref="AK83:AK84" si="112">(+O83-N83)/N83</f>
        <v>-0.41708542713567837</v>
      </c>
      <c r="AL83" s="3"/>
      <c r="AM83" s="3"/>
      <c r="AN83" s="3"/>
      <c r="AO83" s="3"/>
      <c r="AP83" s="3"/>
      <c r="AQ83" s="3"/>
      <c r="AR83" s="3"/>
    </row>
    <row r="84" spans="1:44" ht="15" x14ac:dyDescent="0.2">
      <c r="A84" s="104" t="s">
        <v>129</v>
      </c>
      <c r="B84" s="101">
        <v>150960</v>
      </c>
      <c r="C84" s="107">
        <v>166198</v>
      </c>
      <c r="D84" s="107">
        <v>173395</v>
      </c>
      <c r="E84" s="107">
        <v>179779</v>
      </c>
      <c r="F84" s="107">
        <v>193152</v>
      </c>
      <c r="G84" s="107">
        <v>211735</v>
      </c>
      <c r="H84" s="112">
        <v>235991</v>
      </c>
      <c r="I84" s="113">
        <v>252000</v>
      </c>
      <c r="J84" s="107">
        <v>246000</v>
      </c>
      <c r="K84" s="107">
        <v>432700</v>
      </c>
      <c r="L84" s="107">
        <v>321000</v>
      </c>
      <c r="M84" s="107">
        <v>313700</v>
      </c>
      <c r="N84" s="107">
        <v>327300</v>
      </c>
      <c r="O84" s="107">
        <v>347700</v>
      </c>
      <c r="P84" s="107">
        <v>370900</v>
      </c>
      <c r="Q84" s="107"/>
      <c r="R84" s="43">
        <f t="shared" si="107"/>
        <v>-3.0352264330958254E-2</v>
      </c>
      <c r="S84" s="118" t="str">
        <f t="shared" si="108"/>
        <v xml:space="preserve">   Cost of Natural Gas Sold - Affiliates</v>
      </c>
      <c r="T84" s="43">
        <f t="shared" si="109"/>
        <v>0.33551363857606731</v>
      </c>
      <c r="U84" s="43">
        <f t="shared" si="109"/>
        <v>0.30963071156303912</v>
      </c>
      <c r="V84" s="43">
        <f t="shared" si="109"/>
        <v>0.24626018835044944</v>
      </c>
      <c r="W84" s="43">
        <f t="shared" si="109"/>
        <v>0.30189030933097794</v>
      </c>
      <c r="X84" s="43">
        <f t="shared" si="109"/>
        <v>0.31103632074332321</v>
      </c>
      <c r="Y84" s="43">
        <f t="shared" si="109"/>
        <v>0.27707005952684727</v>
      </c>
      <c r="Z84" s="43">
        <f t="shared" si="109"/>
        <v>0.2451734824377407</v>
      </c>
      <c r="AA84" s="43">
        <f t="shared" si="109"/>
        <v>0.23670862295697914</v>
      </c>
      <c r="AB84" s="43">
        <f t="shared" si="109"/>
        <v>0.2638069705093834</v>
      </c>
      <c r="AC84" s="43">
        <f t="shared" si="109"/>
        <v>0.43257022893132058</v>
      </c>
      <c r="AD84" s="43">
        <f t="shared" si="109"/>
        <v>0.34895097293184041</v>
      </c>
      <c r="AE84" s="43">
        <f t="shared" si="109"/>
        <v>0.34743603942850815</v>
      </c>
      <c r="AF84" s="43">
        <f t="shared" si="109"/>
        <v>0.33784062758051198</v>
      </c>
      <c r="AG84" s="43">
        <f t="shared" si="110"/>
        <v>0.4032707028531663</v>
      </c>
      <c r="AH84" s="43">
        <f t="shared" si="110"/>
        <v>0.37624264556705211</v>
      </c>
      <c r="AI84" s="43" t="e">
        <f t="shared" si="110"/>
        <v>#DIV/0!</v>
      </c>
      <c r="AJ84" s="43">
        <f t="shared" si="111"/>
        <v>0.3622295025433227</v>
      </c>
      <c r="AK84" s="201">
        <f t="shared" si="112"/>
        <v>6.2328139321723187E-2</v>
      </c>
      <c r="AL84" s="202">
        <f>+AL82/AK81</f>
        <v>-0.17407464766919623</v>
      </c>
    </row>
    <row r="85" spans="1:44" ht="15" x14ac:dyDescent="0.2">
      <c r="A85" s="104" t="s">
        <v>99</v>
      </c>
      <c r="B85" s="101">
        <v>103308</v>
      </c>
      <c r="C85" s="107">
        <v>101486</v>
      </c>
      <c r="D85" s="107">
        <v>103427</v>
      </c>
      <c r="E85" s="107">
        <v>105544</v>
      </c>
      <c r="F85" s="107">
        <v>100279</v>
      </c>
      <c r="G85" s="107">
        <f>104786-200</f>
        <v>104586</v>
      </c>
      <c r="H85" s="107">
        <f>73834</f>
        <v>73834</v>
      </c>
      <c r="I85" s="108">
        <f>73200</f>
        <v>73200</v>
      </c>
      <c r="J85" s="109">
        <v>73400</v>
      </c>
      <c r="K85" s="109">
        <f>87100</f>
        <v>87100</v>
      </c>
      <c r="L85" s="109">
        <f>106400</f>
        <v>106400</v>
      </c>
      <c r="M85" s="109">
        <v>114400</v>
      </c>
      <c r="N85" s="109">
        <v>118500</v>
      </c>
      <c r="O85" s="109">
        <v>119000</v>
      </c>
      <c r="P85" s="109">
        <v>113100</v>
      </c>
      <c r="Q85" s="109"/>
      <c r="R85" s="43">
        <f t="shared" si="107"/>
        <v>5.36318491297181E-2</v>
      </c>
      <c r="S85" s="118" t="str">
        <f t="shared" si="108"/>
        <v xml:space="preserve">   Operating and Maintenance</v>
      </c>
      <c r="T85" s="43">
        <f t="shared" si="109"/>
        <v>0.22960547810026738</v>
      </c>
      <c r="U85" s="43">
        <f t="shared" si="109"/>
        <v>0.18907076134301609</v>
      </c>
      <c r="V85" s="43">
        <f t="shared" si="109"/>
        <v>0.14688977479467075</v>
      </c>
      <c r="W85" s="43">
        <f t="shared" si="109"/>
        <v>0.17723266236895707</v>
      </c>
      <c r="X85" s="43">
        <f t="shared" si="109"/>
        <v>0.16148117134598508</v>
      </c>
      <c r="Y85" s="43">
        <f t="shared" si="109"/>
        <v>0.13685809736545612</v>
      </c>
      <c r="Z85" s="43">
        <f t="shared" si="109"/>
        <v>7.6706903662886072E-2</v>
      </c>
      <c r="AA85" s="43">
        <f t="shared" si="109"/>
        <v>6.8758219049408223E-2</v>
      </c>
      <c r="AB85" s="43">
        <f t="shared" si="109"/>
        <v>7.8713136729222519E-2</v>
      </c>
      <c r="AC85" s="43">
        <f t="shared" si="109"/>
        <v>8.7073877836649008E-2</v>
      </c>
      <c r="AD85" s="43">
        <f t="shared" si="109"/>
        <v>0.11566474616806174</v>
      </c>
      <c r="AE85" s="160">
        <f t="shared" si="109"/>
        <v>0.12670284638387419</v>
      </c>
      <c r="AF85" s="160">
        <f t="shared" si="109"/>
        <v>0.12231626754748141</v>
      </c>
      <c r="AG85" s="160">
        <f t="shared" si="110"/>
        <v>0.13801902110879147</v>
      </c>
      <c r="AH85" s="160">
        <f t="shared" si="110"/>
        <v>0.11472915398660986</v>
      </c>
      <c r="AI85" s="160" t="e">
        <f t="shared" si="110"/>
        <v>#DIV/0!</v>
      </c>
      <c r="AJ85" s="43">
        <f t="shared" si="111"/>
        <v>0.1231571687214415</v>
      </c>
      <c r="AK85" s="2"/>
    </row>
    <row r="86" spans="1:44" ht="15" x14ac:dyDescent="0.2">
      <c r="A86" s="155" t="s">
        <v>162</v>
      </c>
      <c r="B86" s="101"/>
      <c r="C86" s="107"/>
      <c r="D86" s="107"/>
      <c r="E86" s="107"/>
      <c r="F86" s="107"/>
      <c r="G86" s="107"/>
      <c r="H86" s="107">
        <v>39252</v>
      </c>
      <c r="I86" s="108">
        <v>41900</v>
      </c>
      <c r="J86" s="109">
        <v>45500</v>
      </c>
      <c r="K86" s="109">
        <v>38700</v>
      </c>
      <c r="L86" s="109">
        <v>42900</v>
      </c>
      <c r="M86" s="109">
        <v>49900</v>
      </c>
      <c r="N86" s="109">
        <v>51000</v>
      </c>
      <c r="O86" s="109">
        <v>51200</v>
      </c>
      <c r="P86" s="109">
        <v>52500</v>
      </c>
      <c r="Q86" s="109"/>
      <c r="R86" s="43">
        <f t="shared" si="107"/>
        <v>6.2893295625241874E-2</v>
      </c>
      <c r="S86" s="118" t="str">
        <f>+A86</f>
        <v xml:space="preserve">   General and Administrative</v>
      </c>
      <c r="T86" s="43"/>
      <c r="U86" s="43"/>
      <c r="V86" s="43"/>
      <c r="W86" s="43"/>
      <c r="X86" s="43"/>
      <c r="Y86" s="43"/>
      <c r="Z86" s="43">
        <f t="shared" ref="Z86" si="113">H86/H$80</f>
        <v>4.0779307400054234E-2</v>
      </c>
      <c r="AA86" s="43">
        <f t="shared" ref="AA86" si="114">I86/I$80</f>
        <v>3.9357505166259625E-2</v>
      </c>
      <c r="AB86" s="43">
        <f t="shared" ref="AB86" si="115">J86/J$80</f>
        <v>4.8793565683646116E-2</v>
      </c>
      <c r="AC86" s="43">
        <f t="shared" ref="AC86" si="116">K86/K$80</f>
        <v>3.8688393481955415E-2</v>
      </c>
      <c r="AD86" s="43">
        <f t="shared" ref="AD86" si="117">L86/L$80</f>
        <v>4.6635503859115121E-2</v>
      </c>
      <c r="AE86" s="43">
        <f>M86/M$80</f>
        <v>5.5266363938420646E-2</v>
      </c>
      <c r="AF86" s="43">
        <f>N86/N$80</f>
        <v>5.2642444260941369E-2</v>
      </c>
      <c r="AG86" s="43">
        <f t="shared" ref="AG86:AI86" si="118">O86/O$80</f>
        <v>5.9382973787984225E-2</v>
      </c>
      <c r="AH86" s="43">
        <f t="shared" si="118"/>
        <v>5.3256238587948874E-2</v>
      </c>
      <c r="AI86" s="43" t="e">
        <f t="shared" si="118"/>
        <v>#DIV/0!</v>
      </c>
      <c r="AJ86" s="43">
        <f t="shared" si="111"/>
        <v>5.3345115958272266E-2</v>
      </c>
      <c r="AK86" s="2"/>
    </row>
    <row r="87" spans="1:44" ht="15" x14ac:dyDescent="0.2">
      <c r="A87" s="105" t="s">
        <v>48</v>
      </c>
      <c r="B87" s="101">
        <v>36426</v>
      </c>
      <c r="C87" s="107">
        <v>34450</v>
      </c>
      <c r="D87" s="107">
        <v>35030</v>
      </c>
      <c r="E87" s="107">
        <v>39771</v>
      </c>
      <c r="F87" s="107">
        <v>40126</v>
      </c>
      <c r="G87" s="107">
        <v>41956</v>
      </c>
      <c r="H87" s="107">
        <v>45828</v>
      </c>
      <c r="I87" s="108">
        <v>40900</v>
      </c>
      <c r="J87" s="109">
        <v>38800</v>
      </c>
      <c r="K87" s="109">
        <v>41500</v>
      </c>
      <c r="L87" s="109">
        <v>43800</v>
      </c>
      <c r="M87" s="109">
        <v>43700</v>
      </c>
      <c r="N87" s="109">
        <v>44500</v>
      </c>
      <c r="O87" s="109">
        <v>47200</v>
      </c>
      <c r="P87" s="109">
        <v>49700</v>
      </c>
      <c r="Q87" s="109"/>
      <c r="R87" s="43">
        <f t="shared" si="107"/>
        <v>3.6720433378599156E-2</v>
      </c>
      <c r="S87" s="118" t="str">
        <f t="shared" si="108"/>
        <v xml:space="preserve">   Depreciation and amortization</v>
      </c>
      <c r="T87" s="43">
        <f t="shared" ref="T87:AD87" si="119">B87/B$80</f>
        <v>8.0958000786776813E-2</v>
      </c>
      <c r="U87" s="43">
        <f t="shared" si="119"/>
        <v>6.4181145461116848E-2</v>
      </c>
      <c r="V87" s="43">
        <f t="shared" si="119"/>
        <v>4.9750537200704999E-2</v>
      </c>
      <c r="W87" s="43">
        <f t="shared" si="119"/>
        <v>6.6784660568822402E-2</v>
      </c>
      <c r="X87" s="43">
        <f t="shared" si="119"/>
        <v>6.4615657130894774E-2</v>
      </c>
      <c r="Y87" s="43">
        <f t="shared" si="119"/>
        <v>5.4902361052770701E-2</v>
      </c>
      <c r="Z87" s="43">
        <f t="shared" si="119"/>
        <v>4.7611181583860324E-2</v>
      </c>
      <c r="AA87" s="43">
        <f t="shared" si="119"/>
        <v>3.8418185233890664E-2</v>
      </c>
      <c r="AB87" s="43">
        <f t="shared" si="119"/>
        <v>4.1608579088471848E-2</v>
      </c>
      <c r="AC87" s="43">
        <f t="shared" si="119"/>
        <v>4.1487553733879835E-2</v>
      </c>
      <c r="AD87" s="43">
        <f t="shared" si="119"/>
        <v>4.7613871072942709E-2</v>
      </c>
      <c r="AE87" s="43">
        <f>M87/M$80</f>
        <v>4.8399601284749141E-2</v>
      </c>
      <c r="AF87" s="43">
        <f>N87/N$80</f>
        <v>4.5933113129644924E-2</v>
      </c>
      <c r="AG87" s="43">
        <f t="shared" si="110"/>
        <v>5.4743678960797959E-2</v>
      </c>
      <c r="AH87" s="43">
        <f t="shared" si="110"/>
        <v>5.0415905863258267E-2</v>
      </c>
      <c r="AI87" s="43" t="e">
        <f t="shared" si="110"/>
        <v>#DIV/0!</v>
      </c>
      <c r="AJ87" s="43">
        <f t="shared" si="111"/>
        <v>4.9336149668074834E-2</v>
      </c>
      <c r="AK87" s="2"/>
    </row>
    <row r="88" spans="1:44" s="8" customFormat="1" ht="15" x14ac:dyDescent="0.2">
      <c r="A88" s="104" t="s">
        <v>123</v>
      </c>
      <c r="B88" s="101">
        <v>0</v>
      </c>
      <c r="C88" s="107">
        <v>0</v>
      </c>
      <c r="D88" s="107">
        <v>0</v>
      </c>
      <c r="E88" s="107">
        <v>0</v>
      </c>
      <c r="F88" s="107">
        <v>24939</v>
      </c>
      <c r="G88" s="107">
        <v>4090</v>
      </c>
      <c r="H88" s="107"/>
      <c r="I88" s="108"/>
      <c r="J88" s="109"/>
      <c r="K88" s="109"/>
      <c r="L88" s="109"/>
      <c r="M88" s="109"/>
      <c r="N88" s="109"/>
      <c r="O88" s="109">
        <v>2400</v>
      </c>
      <c r="P88" s="109"/>
      <c r="Q88" s="109"/>
      <c r="R88" s="43"/>
      <c r="S88" s="118" t="str">
        <f t="shared" si="108"/>
        <v xml:space="preserve">   Miscellaneous</v>
      </c>
      <c r="T88" s="43">
        <f t="shared" ref="T88:Y91" si="120">B88/B$80</f>
        <v>0</v>
      </c>
      <c r="U88" s="43">
        <f t="shared" si="120"/>
        <v>0</v>
      </c>
      <c r="V88" s="43">
        <f t="shared" si="120"/>
        <v>0</v>
      </c>
      <c r="W88" s="43">
        <f t="shared" si="120"/>
        <v>0</v>
      </c>
      <c r="X88" s="43">
        <f t="shared" si="120"/>
        <v>4.0159743637227352E-2</v>
      </c>
      <c r="Y88" s="43">
        <f t="shared" si="120"/>
        <v>5.3520511179767413E-3</v>
      </c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2"/>
    </row>
    <row r="89" spans="1:44" s="8" customFormat="1" ht="15" x14ac:dyDescent="0.2">
      <c r="A89" s="105" t="s">
        <v>49</v>
      </c>
      <c r="B89" s="101">
        <v>7625</v>
      </c>
      <c r="C89" s="107">
        <v>10213</v>
      </c>
      <c r="D89" s="107">
        <v>8729</v>
      </c>
      <c r="E89" s="107">
        <v>9548</v>
      </c>
      <c r="F89" s="107">
        <v>9743</v>
      </c>
      <c r="G89" s="107">
        <v>9767</v>
      </c>
      <c r="H89" s="107">
        <v>11013</v>
      </c>
      <c r="I89" s="108">
        <v>11600</v>
      </c>
      <c r="J89" s="109">
        <v>11500</v>
      </c>
      <c r="K89" s="109">
        <v>11900</v>
      </c>
      <c r="L89" s="109">
        <v>13300</v>
      </c>
      <c r="M89" s="109">
        <v>14100</v>
      </c>
      <c r="N89" s="109">
        <v>15000</v>
      </c>
      <c r="O89" s="109">
        <v>16200</v>
      </c>
      <c r="P89" s="109">
        <v>18000</v>
      </c>
      <c r="Q89" s="109"/>
      <c r="R89" s="51">
        <f t="shared" ref="R89:R91" si="121">RATE(5,,-K89,P89)</f>
        <v>8.6288317013079319E-2</v>
      </c>
      <c r="S89" s="118" t="str">
        <f t="shared" si="108"/>
        <v xml:space="preserve">   Taxes, other than income taxes</v>
      </c>
      <c r="T89" s="77">
        <f t="shared" si="120"/>
        <v>1.694681699882428E-2</v>
      </c>
      <c r="U89" s="77">
        <f t="shared" si="120"/>
        <v>1.9027054821317457E-2</v>
      </c>
      <c r="V89" s="77">
        <f t="shared" si="120"/>
        <v>1.2397157842562203E-2</v>
      </c>
      <c r="W89" s="77">
        <f t="shared" si="120"/>
        <v>1.6033289057632856E-2</v>
      </c>
      <c r="X89" s="77">
        <f t="shared" si="120"/>
        <v>1.5689337273246968E-2</v>
      </c>
      <c r="Y89" s="77">
        <f t="shared" si="120"/>
        <v>1.2780802755324899E-2</v>
      </c>
      <c r="Z89" s="77">
        <f t="shared" ref="Z89:AF91" si="122">H89/H$80</f>
        <v>1.1441519219321239E-2</v>
      </c>
      <c r="AA89" s="77">
        <f t="shared" si="122"/>
        <v>1.0896111215479993E-2</v>
      </c>
      <c r="AB89" s="43">
        <f t="shared" si="122"/>
        <v>1.2332439678284183E-2</v>
      </c>
      <c r="AC89" s="43">
        <f t="shared" si="122"/>
        <v>1.1896431070678797E-2</v>
      </c>
      <c r="AD89" s="43">
        <f t="shared" si="122"/>
        <v>1.4458093271007718E-2</v>
      </c>
      <c r="AE89" s="43">
        <f t="shared" si="122"/>
        <v>1.5616347325285192E-2</v>
      </c>
      <c r="AF89" s="43">
        <f t="shared" si="122"/>
        <v>1.5483071841453344E-2</v>
      </c>
      <c r="AG89" s="43">
        <f t="shared" si="110"/>
        <v>1.8789144050104383E-2</v>
      </c>
      <c r="AH89" s="43">
        <f t="shared" si="110"/>
        <v>1.8259281801582473E-2</v>
      </c>
      <c r="AI89" s="43" t="e">
        <f t="shared" si="110"/>
        <v>#DIV/0!</v>
      </c>
      <c r="AJ89" s="51">
        <f t="shared" ref="AJ89:AJ91" si="123">SUM(L89:P89)/SUM(L$80:P$80)</f>
        <v>1.6510043969307699E-2</v>
      </c>
      <c r="AK89" s="2"/>
    </row>
    <row r="90" spans="1:44" s="8" customFormat="1" ht="15" x14ac:dyDescent="0.2">
      <c r="A90" s="72" t="s">
        <v>43</v>
      </c>
      <c r="B90" s="103">
        <f t="shared" ref="B90:J90" si="124">SUM(B82:B89)</f>
        <v>404624</v>
      </c>
      <c r="C90" s="110">
        <f t="shared" si="124"/>
        <v>480342</v>
      </c>
      <c r="D90" s="110">
        <f t="shared" si="124"/>
        <v>645731</v>
      </c>
      <c r="E90" s="110">
        <f t="shared" si="124"/>
        <v>525157</v>
      </c>
      <c r="F90" s="110">
        <f t="shared" si="124"/>
        <v>569610</v>
      </c>
      <c r="G90" s="110">
        <f t="shared" si="124"/>
        <v>696527</v>
      </c>
      <c r="H90" s="110">
        <f t="shared" si="124"/>
        <v>890100</v>
      </c>
      <c r="I90" s="111">
        <f t="shared" si="124"/>
        <v>989400</v>
      </c>
      <c r="J90" s="111">
        <f t="shared" si="124"/>
        <v>856400</v>
      </c>
      <c r="K90" s="111">
        <f t="shared" ref="K90:O90" si="125">SUM(K82:K89)</f>
        <v>916100</v>
      </c>
      <c r="L90" s="111">
        <f t="shared" si="125"/>
        <v>833000</v>
      </c>
      <c r="M90" s="111">
        <f t="shared" si="125"/>
        <v>814300</v>
      </c>
      <c r="N90" s="111">
        <f t="shared" si="125"/>
        <v>874700</v>
      </c>
      <c r="O90" s="111">
        <f t="shared" si="125"/>
        <v>769300</v>
      </c>
      <c r="P90" s="111">
        <f>SUM(P83:P89)</f>
        <v>883900</v>
      </c>
      <c r="Q90" s="111">
        <f t="shared" ref="Q90" si="126">SUM(Q82:Q89)</f>
        <v>0</v>
      </c>
      <c r="R90" s="177">
        <f t="shared" si="121"/>
        <v>-7.1307735136198949E-3</v>
      </c>
      <c r="S90" s="72" t="s">
        <v>43</v>
      </c>
      <c r="T90" s="77">
        <f t="shared" si="120"/>
        <v>0.8992903450927574</v>
      </c>
      <c r="U90" s="77">
        <f t="shared" si="120"/>
        <v>0.89488823724481237</v>
      </c>
      <c r="V90" s="77">
        <f t="shared" si="120"/>
        <v>0.91708433163426895</v>
      </c>
      <c r="W90" s="77">
        <f t="shared" si="120"/>
        <v>0.88185944508161895</v>
      </c>
      <c r="X90" s="77">
        <f t="shared" si="120"/>
        <v>0.91725376210758536</v>
      </c>
      <c r="Y90" s="77">
        <f t="shared" si="120"/>
        <v>0.91145430539143912</v>
      </c>
      <c r="Z90" s="77">
        <f t="shared" si="122"/>
        <v>0.92473406493397203</v>
      </c>
      <c r="AA90" s="77">
        <f t="shared" si="122"/>
        <v>0.92936314108585383</v>
      </c>
      <c r="AB90" s="80">
        <f t="shared" si="122"/>
        <v>0.91839142091152814</v>
      </c>
      <c r="AC90" s="80">
        <f t="shared" si="122"/>
        <v>0.91582525242427271</v>
      </c>
      <c r="AD90" s="80">
        <f t="shared" si="122"/>
        <v>0.90553321013153598</v>
      </c>
      <c r="AE90" s="80">
        <f t="shared" si="122"/>
        <v>0.90187174659430724</v>
      </c>
      <c r="AF90" s="80">
        <f t="shared" si="122"/>
        <v>0.90286952931461606</v>
      </c>
      <c r="AG90" s="80">
        <f t="shared" si="110"/>
        <v>0.89225237763859888</v>
      </c>
      <c r="AH90" s="80">
        <f t="shared" si="110"/>
        <v>0.89663217691215258</v>
      </c>
      <c r="AI90" s="80" t="e">
        <f t="shared" si="110"/>
        <v>#DIV/0!</v>
      </c>
      <c r="AJ90" s="177">
        <f t="shared" si="123"/>
        <v>0.89990516423829636</v>
      </c>
      <c r="AK90" s="2"/>
    </row>
    <row r="91" spans="1:44" s="8" customFormat="1" ht="15" x14ac:dyDescent="0.2">
      <c r="A91" s="72" t="s">
        <v>12</v>
      </c>
      <c r="B91" s="103">
        <f t="shared" ref="B91:K91" si="127">B80-B90</f>
        <v>45313</v>
      </c>
      <c r="C91" s="110">
        <f t="shared" si="127"/>
        <v>56420</v>
      </c>
      <c r="D91" s="110">
        <f t="shared" si="127"/>
        <v>58382</v>
      </c>
      <c r="E91" s="110">
        <f t="shared" si="127"/>
        <v>70354</v>
      </c>
      <c r="F91" s="110">
        <f t="shared" si="127"/>
        <v>51385</v>
      </c>
      <c r="G91" s="110">
        <f t="shared" si="127"/>
        <v>67666</v>
      </c>
      <c r="H91" s="110">
        <f t="shared" si="127"/>
        <v>72447</v>
      </c>
      <c r="I91" s="111">
        <f t="shared" si="127"/>
        <v>75200</v>
      </c>
      <c r="J91" s="111">
        <f t="shared" si="127"/>
        <v>76100</v>
      </c>
      <c r="K91" s="111">
        <f t="shared" si="127"/>
        <v>84200</v>
      </c>
      <c r="L91" s="111">
        <f t="shared" ref="L91" si="128">L80-L90</f>
        <v>86900</v>
      </c>
      <c r="M91" s="111">
        <f t="shared" ref="M91:O91" si="129">M80-M90</f>
        <v>88600</v>
      </c>
      <c r="N91" s="111">
        <f t="shared" ref="N91" si="130">N80-N90</f>
        <v>94100</v>
      </c>
      <c r="O91" s="111">
        <f t="shared" si="129"/>
        <v>92900</v>
      </c>
      <c r="P91" s="111">
        <f t="shared" ref="P91:Q91" si="131">P80-P90</f>
        <v>101900</v>
      </c>
      <c r="Q91" s="111">
        <f t="shared" si="131"/>
        <v>0</v>
      </c>
      <c r="R91" s="43">
        <f t="shared" si="121"/>
        <v>3.8896823777683241E-2</v>
      </c>
      <c r="S91" s="72" t="s">
        <v>12</v>
      </c>
      <c r="T91" s="43">
        <f t="shared" si="120"/>
        <v>0.10070965490724257</v>
      </c>
      <c r="U91" s="43">
        <f t="shared" si="120"/>
        <v>0.10511176275518759</v>
      </c>
      <c r="V91" s="43">
        <f t="shared" si="120"/>
        <v>8.2915668365731068E-2</v>
      </c>
      <c r="W91" s="43">
        <f t="shared" si="120"/>
        <v>0.11814055491838102</v>
      </c>
      <c r="X91" s="43">
        <f t="shared" si="120"/>
        <v>8.2746237892414587E-2</v>
      </c>
      <c r="Y91" s="43">
        <f t="shared" si="120"/>
        <v>8.8545694608560932E-2</v>
      </c>
      <c r="Z91" s="43">
        <f t="shared" si="122"/>
        <v>7.5265935066027939E-2</v>
      </c>
      <c r="AA91" s="43">
        <f t="shared" si="122"/>
        <v>7.0636858914146158E-2</v>
      </c>
      <c r="AB91" s="80">
        <f t="shared" si="122"/>
        <v>8.1608579088471855E-2</v>
      </c>
      <c r="AC91" s="80">
        <f t="shared" si="122"/>
        <v>8.417474757572728E-2</v>
      </c>
      <c r="AD91" s="80">
        <f t="shared" si="122"/>
        <v>9.4466789868463963E-2</v>
      </c>
      <c r="AE91" s="80">
        <f t="shared" si="122"/>
        <v>9.812825340569277E-2</v>
      </c>
      <c r="AF91" s="80">
        <f t="shared" si="122"/>
        <v>9.7130470685383982E-2</v>
      </c>
      <c r="AG91" s="80">
        <f t="shared" si="110"/>
        <v>0.10774762236140106</v>
      </c>
      <c r="AH91" s="80">
        <f t="shared" si="110"/>
        <v>0.10336782308784744</v>
      </c>
      <c r="AI91" s="80" t="e">
        <f t="shared" si="110"/>
        <v>#DIV/0!</v>
      </c>
      <c r="AJ91" s="43">
        <f t="shared" si="123"/>
        <v>0.1000948357617036</v>
      </c>
      <c r="AK91" s="7">
        <f>+O91-N91</f>
        <v>-1200</v>
      </c>
      <c r="AL91" s="202">
        <f>+AK91/N91</f>
        <v>-1.2752391073326248E-2</v>
      </c>
    </row>
    <row r="92" spans="1:44" ht="15" customHeight="1" x14ac:dyDescent="0.2">
      <c r="A92" s="72"/>
      <c r="B92" s="101"/>
      <c r="C92" s="107"/>
      <c r="D92" s="107"/>
      <c r="E92" s="107"/>
      <c r="F92" s="107"/>
      <c r="G92" s="107"/>
      <c r="H92" s="107"/>
      <c r="I92" s="108"/>
      <c r="J92" s="109"/>
      <c r="K92" s="109"/>
      <c r="L92" s="109"/>
      <c r="M92" s="109"/>
      <c r="N92" s="109"/>
      <c r="O92" s="109"/>
      <c r="P92" s="109"/>
      <c r="Q92" s="109"/>
      <c r="R92" s="43"/>
      <c r="S92" s="7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7"/>
    </row>
    <row r="93" spans="1:44" ht="15" x14ac:dyDescent="0.2">
      <c r="A93" s="105" t="s">
        <v>50</v>
      </c>
      <c r="B93" s="101">
        <v>20062</v>
      </c>
      <c r="C93" s="107">
        <v>21041</v>
      </c>
      <c r="D93" s="107">
        <v>23777</v>
      </c>
      <c r="E93" s="107">
        <v>22495</v>
      </c>
      <c r="F93" s="107">
        <v>20984</v>
      </c>
      <c r="G93" s="107">
        <v>19733</v>
      </c>
      <c r="H93" s="107">
        <v>20158</v>
      </c>
      <c r="I93" s="108">
        <v>22600</v>
      </c>
      <c r="J93" s="109">
        <v>23800</v>
      </c>
      <c r="K93" s="109">
        <v>25200</v>
      </c>
      <c r="L93" s="109">
        <v>28500</v>
      </c>
      <c r="M93" s="109">
        <v>26200</v>
      </c>
      <c r="N93" s="109">
        <v>25900</v>
      </c>
      <c r="O93" s="109">
        <v>24100</v>
      </c>
      <c r="P93" s="109">
        <v>22300</v>
      </c>
      <c r="Q93" s="109"/>
      <c r="R93" s="43">
        <f t="shared" ref="R93:R94" si="132">RATE(5,,-K93,P93)</f>
        <v>-2.415494784490553E-2</v>
      </c>
      <c r="S93" s="118" t="str">
        <f>A93</f>
        <v xml:space="preserve">   Interest expense (net)</v>
      </c>
      <c r="T93" s="79">
        <f t="shared" ref="T93:AF94" si="133">B93/B$80</f>
        <v>4.4588464607267238E-2</v>
      </c>
      <c r="U93" s="79">
        <f t="shared" si="133"/>
        <v>3.9199868843174446E-2</v>
      </c>
      <c r="V93" s="79">
        <f t="shared" si="133"/>
        <v>3.376872746277941E-2</v>
      </c>
      <c r="W93" s="79">
        <f t="shared" si="133"/>
        <v>3.7774281247533632E-2</v>
      </c>
      <c r="X93" s="79">
        <f t="shared" si="133"/>
        <v>3.3790932294140853E-2</v>
      </c>
      <c r="Y93" s="79">
        <f t="shared" si="133"/>
        <v>2.5822010931793409E-2</v>
      </c>
      <c r="Z93" s="79">
        <f t="shared" si="133"/>
        <v>2.094235398375352E-2</v>
      </c>
      <c r="AA93" s="79">
        <f t="shared" si="133"/>
        <v>2.1228630471538605E-2</v>
      </c>
      <c r="AB93" s="79">
        <f t="shared" si="133"/>
        <v>2.5522788203753352E-2</v>
      </c>
      <c r="AC93" s="79">
        <f t="shared" si="133"/>
        <v>2.5192442267319804E-2</v>
      </c>
      <c r="AD93" s="79">
        <f t="shared" si="133"/>
        <v>3.0981628437873682E-2</v>
      </c>
      <c r="AE93" s="79">
        <f t="shared" si="133"/>
        <v>2.9017609923579577E-2</v>
      </c>
      <c r="AF93" s="79">
        <f t="shared" si="133"/>
        <v>2.6734104046242775E-2</v>
      </c>
      <c r="AG93" s="79">
        <f t="shared" ref="AG93:AI97" si="134">O93/O$80</f>
        <v>2.7951751333797265E-2</v>
      </c>
      <c r="AH93" s="79">
        <f t="shared" si="134"/>
        <v>2.2621221343071617E-2</v>
      </c>
      <c r="AI93" s="79" t="e">
        <f t="shared" si="134"/>
        <v>#DIV/0!</v>
      </c>
      <c r="AJ93" s="43">
        <f t="shared" ref="AJ93:AJ94" si="135">SUM(L93:P93)/SUM(L$80:P$80)</f>
        <v>2.7373049400810416E-2</v>
      </c>
      <c r="AK93" s="2"/>
    </row>
    <row r="94" spans="1:44" ht="15" x14ac:dyDescent="0.2">
      <c r="A94" s="104" t="s">
        <v>115</v>
      </c>
      <c r="B94" s="101">
        <v>-2980</v>
      </c>
      <c r="C94" s="107">
        <v>-1673</v>
      </c>
      <c r="D94" s="107">
        <v>-5158</v>
      </c>
      <c r="E94" s="107">
        <v>-2329</v>
      </c>
      <c r="F94" s="107">
        <v>-3228</v>
      </c>
      <c r="G94" s="107">
        <v>-3508</v>
      </c>
      <c r="H94" s="107">
        <v>-4962</v>
      </c>
      <c r="I94" s="108">
        <v>-6600</v>
      </c>
      <c r="J94" s="109">
        <v>-7400</v>
      </c>
      <c r="K94" s="109">
        <v>-5200</v>
      </c>
      <c r="L94" s="109">
        <v>-7600</v>
      </c>
      <c r="M94" s="109">
        <v>-6700</v>
      </c>
      <c r="N94" s="109">
        <v>-5400</v>
      </c>
      <c r="O94" s="109">
        <v>-5500</v>
      </c>
      <c r="P94" s="109">
        <v>-5100</v>
      </c>
      <c r="Q94" s="109"/>
      <c r="R94" s="43">
        <f t="shared" si="132"/>
        <v>-3.8760856832132495E-3</v>
      </c>
      <c r="S94" s="118" t="str">
        <f>A94</f>
        <v xml:space="preserve">   Interest and Other Income</v>
      </c>
      <c r="T94" s="79">
        <f t="shared" si="133"/>
        <v>-6.6231494631470624E-3</v>
      </c>
      <c r="U94" s="79">
        <f t="shared" si="133"/>
        <v>-3.1168376300855873E-3</v>
      </c>
      <c r="V94" s="79">
        <f t="shared" si="133"/>
        <v>-7.3255287148511674E-3</v>
      </c>
      <c r="W94" s="79">
        <f t="shared" si="133"/>
        <v>-3.9109269182265316E-3</v>
      </c>
      <c r="X94" s="79">
        <f t="shared" si="133"/>
        <v>-5.1981094855836196E-3</v>
      </c>
      <c r="Y94" s="79">
        <f t="shared" si="133"/>
        <v>-4.59046340387834E-3</v>
      </c>
      <c r="Z94" s="79">
        <f t="shared" si="133"/>
        <v>-5.1550729470872594E-3</v>
      </c>
      <c r="AA94" s="79">
        <f t="shared" si="133"/>
        <v>-6.1995115536351685E-3</v>
      </c>
      <c r="AB94" s="79">
        <f t="shared" si="133"/>
        <v>-7.9356568364611253E-3</v>
      </c>
      <c r="AC94" s="79">
        <f t="shared" si="133"/>
        <v>-5.198440467859642E-3</v>
      </c>
      <c r="AD94" s="79">
        <f t="shared" si="133"/>
        <v>-8.2617675834329822E-3</v>
      </c>
      <c r="AE94" s="79">
        <f t="shared" si="133"/>
        <v>-7.4205338354192052E-3</v>
      </c>
      <c r="AF94" s="79">
        <f t="shared" si="133"/>
        <v>-5.5739058629232039E-3</v>
      </c>
      <c r="AG94" s="79">
        <f t="shared" si="134"/>
        <v>-6.3790303873811184E-3</v>
      </c>
      <c r="AH94" s="79">
        <f t="shared" si="134"/>
        <v>-5.1734631771150332E-3</v>
      </c>
      <c r="AI94" s="79" t="e">
        <f t="shared" si="134"/>
        <v>#DIV/0!</v>
      </c>
      <c r="AJ94" s="43">
        <f t="shared" si="135"/>
        <v>-6.5307354082248473E-3</v>
      </c>
      <c r="AK94" s="2"/>
    </row>
    <row r="95" spans="1:44" ht="15" x14ac:dyDescent="0.2">
      <c r="A95" s="105" t="s">
        <v>55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200</v>
      </c>
      <c r="H95" s="107"/>
      <c r="I95" s="108">
        <v>300</v>
      </c>
      <c r="J95" s="109"/>
      <c r="K95" s="109"/>
      <c r="L95" s="109"/>
      <c r="M95" s="109"/>
      <c r="N95" s="109"/>
      <c r="O95" s="109"/>
      <c r="P95" s="109"/>
      <c r="Q95" s="109"/>
      <c r="R95" s="43"/>
      <c r="S95" s="118" t="str">
        <f>A95</f>
        <v xml:space="preserve">   Loss (Gain) on Sale of Assets</v>
      </c>
      <c r="T95" s="79">
        <f t="shared" ref="T95:Y95" si="136">B95/B$80</f>
        <v>0</v>
      </c>
      <c r="U95" s="79">
        <f t="shared" si="136"/>
        <v>0</v>
      </c>
      <c r="V95" s="79">
        <f t="shared" si="136"/>
        <v>0</v>
      </c>
      <c r="W95" s="79">
        <f t="shared" si="136"/>
        <v>0</v>
      </c>
      <c r="X95" s="79">
        <f t="shared" si="136"/>
        <v>0</v>
      </c>
      <c r="Y95" s="79">
        <f t="shared" si="136"/>
        <v>2.6171399109910714E-4</v>
      </c>
      <c r="Z95" s="79"/>
      <c r="AA95" s="79">
        <f>I95/I$80</f>
        <v>2.8179597971068947E-4</v>
      </c>
      <c r="AB95" s="79"/>
      <c r="AC95" s="79"/>
      <c r="AD95" s="79"/>
      <c r="AE95" s="79"/>
      <c r="AF95" s="79"/>
      <c r="AG95" s="79"/>
      <c r="AH95" s="79"/>
      <c r="AI95" s="79"/>
      <c r="AJ95" s="43"/>
      <c r="AK95" s="2"/>
    </row>
    <row r="96" spans="1:44" ht="15" x14ac:dyDescent="0.2">
      <c r="A96" s="72" t="s">
        <v>51</v>
      </c>
      <c r="B96" s="101">
        <v>0</v>
      </c>
      <c r="C96" s="107">
        <v>0</v>
      </c>
      <c r="D96" s="107">
        <v>0</v>
      </c>
      <c r="E96" s="107">
        <v>0</v>
      </c>
      <c r="F96" s="107">
        <v>0</v>
      </c>
      <c r="G96" s="107"/>
      <c r="H96" s="107"/>
      <c r="I96" s="108"/>
      <c r="J96" s="109"/>
      <c r="K96" s="109"/>
      <c r="L96" s="109"/>
      <c r="M96" s="109"/>
      <c r="N96" s="109"/>
      <c r="O96" s="109"/>
      <c r="P96" s="109"/>
      <c r="Q96" s="109"/>
      <c r="R96" s="51"/>
      <c r="S96" s="118" t="str">
        <f>A96</f>
        <v xml:space="preserve">   Other Income (Expense)</v>
      </c>
      <c r="T96" s="77">
        <f t="shared" ref="T96:X97" si="137">B96/B$80</f>
        <v>0</v>
      </c>
      <c r="U96" s="77">
        <f t="shared" si="137"/>
        <v>0</v>
      </c>
      <c r="V96" s="77">
        <f t="shared" si="137"/>
        <v>0</v>
      </c>
      <c r="W96" s="77">
        <f t="shared" si="137"/>
        <v>0</v>
      </c>
      <c r="X96" s="77">
        <f t="shared" si="137"/>
        <v>0</v>
      </c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51"/>
      <c r="AK96" s="2"/>
    </row>
    <row r="97" spans="1:38" ht="15" x14ac:dyDescent="0.2">
      <c r="A97" s="72" t="s">
        <v>52</v>
      </c>
      <c r="B97" s="103">
        <f t="shared" ref="B97:M97" si="138">SUM(B93:B96)</f>
        <v>17082</v>
      </c>
      <c r="C97" s="110">
        <f t="shared" si="138"/>
        <v>19368</v>
      </c>
      <c r="D97" s="110">
        <f t="shared" si="138"/>
        <v>18619</v>
      </c>
      <c r="E97" s="110">
        <f t="shared" si="138"/>
        <v>20166</v>
      </c>
      <c r="F97" s="110">
        <f t="shared" si="138"/>
        <v>17756</v>
      </c>
      <c r="G97" s="110">
        <f t="shared" si="138"/>
        <v>16425</v>
      </c>
      <c r="H97" s="110">
        <f t="shared" si="138"/>
        <v>15196</v>
      </c>
      <c r="I97" s="111">
        <f t="shared" si="138"/>
        <v>16300</v>
      </c>
      <c r="J97" s="111">
        <f t="shared" si="138"/>
        <v>16400</v>
      </c>
      <c r="K97" s="111">
        <f t="shared" si="138"/>
        <v>20000</v>
      </c>
      <c r="L97" s="111">
        <f t="shared" si="138"/>
        <v>20900</v>
      </c>
      <c r="M97" s="111">
        <f t="shared" si="138"/>
        <v>19500</v>
      </c>
      <c r="N97" s="111">
        <f t="shared" ref="N97" si="139">SUM(N93:N96)</f>
        <v>20500</v>
      </c>
      <c r="O97" s="111">
        <f t="shared" ref="O97:P97" si="140">SUM(O93:O96)</f>
        <v>18600</v>
      </c>
      <c r="P97" s="111">
        <f t="shared" si="140"/>
        <v>17200</v>
      </c>
      <c r="Q97" s="111">
        <f t="shared" ref="Q97" si="141">SUM(Q93:Q96)</f>
        <v>0</v>
      </c>
      <c r="R97" s="43">
        <f t="shared" ref="R97" si="142">RATE(5,,-K97,P97)</f>
        <v>-2.9714167242994374E-2</v>
      </c>
      <c r="S97" s="118" t="str">
        <f>A97</f>
        <v>Total Other Income/Expense</v>
      </c>
      <c r="T97" s="79">
        <f t="shared" si="137"/>
        <v>3.7965315144120174E-2</v>
      </c>
      <c r="U97" s="79">
        <f t="shared" si="137"/>
        <v>3.6083031213088854E-2</v>
      </c>
      <c r="V97" s="79">
        <f t="shared" si="137"/>
        <v>2.6443198747928245E-2</v>
      </c>
      <c r="W97" s="79">
        <f t="shared" si="137"/>
        <v>3.3863354329307101E-2</v>
      </c>
      <c r="X97" s="79">
        <f t="shared" si="137"/>
        <v>2.8592822808557235E-2</v>
      </c>
      <c r="Y97" s="79">
        <f t="shared" ref="Y97:AF97" si="143">G97/G$80</f>
        <v>2.1493261519014175E-2</v>
      </c>
      <c r="Z97" s="79">
        <f t="shared" si="143"/>
        <v>1.5787281036666261E-2</v>
      </c>
      <c r="AA97" s="79">
        <f t="shared" si="143"/>
        <v>1.5310914897614127E-2</v>
      </c>
      <c r="AB97" s="79">
        <f t="shared" si="143"/>
        <v>1.7587131367292227E-2</v>
      </c>
      <c r="AC97" s="79">
        <f t="shared" si="143"/>
        <v>1.9994001799460162E-2</v>
      </c>
      <c r="AD97" s="79">
        <f t="shared" si="143"/>
        <v>2.27198608544407E-2</v>
      </c>
      <c r="AE97" s="79">
        <f t="shared" si="143"/>
        <v>2.1597076088160371E-2</v>
      </c>
      <c r="AF97" s="79">
        <f t="shared" si="143"/>
        <v>2.1160198183319569E-2</v>
      </c>
      <c r="AG97" s="79">
        <f t="shared" si="134"/>
        <v>2.1572720946416143E-2</v>
      </c>
      <c r="AH97" s="79">
        <f t="shared" si="134"/>
        <v>1.7447758165956583E-2</v>
      </c>
      <c r="AI97" s="79" t="e">
        <f t="shared" si="134"/>
        <v>#DIV/0!</v>
      </c>
      <c r="AJ97" s="43">
        <f>SUM(L97:P97)/SUM(L$80:P$80)</f>
        <v>2.0842313992585567E-2</v>
      </c>
      <c r="AK97" s="2"/>
    </row>
    <row r="98" spans="1:38" ht="12" customHeight="1" x14ac:dyDescent="0.2">
      <c r="A98" s="72"/>
      <c r="B98" s="101"/>
      <c r="C98" s="107"/>
      <c r="D98" s="107"/>
      <c r="E98" s="107"/>
      <c r="F98" s="107"/>
      <c r="G98" s="107"/>
      <c r="H98" s="107"/>
      <c r="I98" s="108"/>
      <c r="J98" s="109"/>
      <c r="K98" s="109"/>
      <c r="L98" s="109"/>
      <c r="M98" s="109"/>
      <c r="N98" s="109"/>
      <c r="O98" s="109"/>
      <c r="P98" s="109"/>
      <c r="Q98" s="109"/>
      <c r="R98" s="43"/>
      <c r="S98" s="118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43"/>
      <c r="AK98" s="2"/>
    </row>
    <row r="99" spans="1:38" ht="15" x14ac:dyDescent="0.2">
      <c r="A99" s="72" t="s">
        <v>11</v>
      </c>
      <c r="B99" s="101">
        <f t="shared" ref="B99:G99" si="144">B91-B97</f>
        <v>28231</v>
      </c>
      <c r="C99" s="107">
        <f t="shared" si="144"/>
        <v>37052</v>
      </c>
      <c r="D99" s="107">
        <f t="shared" si="144"/>
        <v>39763</v>
      </c>
      <c r="E99" s="107">
        <f t="shared" si="144"/>
        <v>50188</v>
      </c>
      <c r="F99" s="107">
        <f t="shared" si="144"/>
        <v>33629</v>
      </c>
      <c r="G99" s="107">
        <f t="shared" si="144"/>
        <v>51241</v>
      </c>
      <c r="H99" s="107">
        <f t="shared" ref="H99:M99" si="145">H91-H97</f>
        <v>57251</v>
      </c>
      <c r="I99" s="108">
        <f t="shared" si="145"/>
        <v>58900</v>
      </c>
      <c r="J99" s="108">
        <f t="shared" si="145"/>
        <v>59700</v>
      </c>
      <c r="K99" s="108">
        <f t="shared" si="145"/>
        <v>64200</v>
      </c>
      <c r="L99" s="108">
        <f t="shared" si="145"/>
        <v>66000</v>
      </c>
      <c r="M99" s="108">
        <f t="shared" si="145"/>
        <v>69100</v>
      </c>
      <c r="N99" s="108">
        <f t="shared" ref="N99" si="146">N91-N97</f>
        <v>73600</v>
      </c>
      <c r="O99" s="108">
        <f t="shared" ref="O99:P99" si="147">O91-O97</f>
        <v>74300</v>
      </c>
      <c r="P99" s="108">
        <f t="shared" si="147"/>
        <v>84700</v>
      </c>
      <c r="Q99" s="108">
        <f t="shared" ref="Q99" si="148">Q91-Q97</f>
        <v>0</v>
      </c>
      <c r="R99" s="51">
        <f t="shared" ref="R99" si="149">RATE(5,,-K99,P99)</f>
        <v>5.6987074347698882E-2</v>
      </c>
      <c r="S99" s="118" t="str">
        <f>A99</f>
        <v>Earnings Before Taxes</v>
      </c>
      <c r="T99" s="43">
        <f t="shared" ref="T99:AF99" si="150">B99/B$80</f>
        <v>6.2744339763122395E-2</v>
      </c>
      <c r="U99" s="43">
        <f t="shared" si="150"/>
        <v>6.9028731542098737E-2</v>
      </c>
      <c r="V99" s="43">
        <f t="shared" si="150"/>
        <v>5.6472469617802827E-2</v>
      </c>
      <c r="W99" s="43">
        <f t="shared" si="150"/>
        <v>8.4277200589073925E-2</v>
      </c>
      <c r="X99" s="43">
        <f t="shared" si="150"/>
        <v>5.4153415083857355E-2</v>
      </c>
      <c r="Y99" s="43">
        <f t="shared" si="150"/>
        <v>6.7052433089546754E-2</v>
      </c>
      <c r="Z99" s="43">
        <f t="shared" si="150"/>
        <v>5.9478654029361686E-2</v>
      </c>
      <c r="AA99" s="43">
        <f t="shared" si="150"/>
        <v>5.5325944016532028E-2</v>
      </c>
      <c r="AB99" s="43">
        <f t="shared" si="150"/>
        <v>6.4021447721179625E-2</v>
      </c>
      <c r="AC99" s="43">
        <f t="shared" si="150"/>
        <v>6.4180745776267117E-2</v>
      </c>
      <c r="AD99" s="43">
        <f t="shared" si="150"/>
        <v>7.174692901402327E-2</v>
      </c>
      <c r="AE99" s="43">
        <f t="shared" si="150"/>
        <v>7.6531177317532395E-2</v>
      </c>
      <c r="AF99" s="43">
        <f t="shared" si="150"/>
        <v>7.5970272502064409E-2</v>
      </c>
      <c r="AG99" s="43">
        <f t="shared" ref="AG99:AI102" si="151">O99/O$80</f>
        <v>8.617490141498492E-2</v>
      </c>
      <c r="AH99" s="43">
        <f t="shared" si="151"/>
        <v>8.5920064921890846E-2</v>
      </c>
      <c r="AI99" s="43" t="e">
        <f t="shared" si="151"/>
        <v>#DIV/0!</v>
      </c>
      <c r="AJ99" s="43">
        <f>SUM(L99:P99)/SUM(L$80:P$80)</f>
        <v>7.9252521769118026E-2</v>
      </c>
      <c r="AK99" s="2"/>
    </row>
    <row r="100" spans="1:38" ht="15" x14ac:dyDescent="0.2">
      <c r="A100" s="72" t="s">
        <v>53</v>
      </c>
      <c r="B100" s="103">
        <v>0</v>
      </c>
      <c r="C100" s="110">
        <v>0</v>
      </c>
      <c r="D100" s="110">
        <v>0</v>
      </c>
      <c r="E100" s="110">
        <v>0</v>
      </c>
      <c r="F100" s="110">
        <v>334</v>
      </c>
      <c r="G100" s="110"/>
      <c r="H100" s="110"/>
      <c r="I100" s="111"/>
      <c r="J100" s="111"/>
      <c r="K100" s="111"/>
      <c r="L100" s="111"/>
      <c r="M100" s="111"/>
      <c r="N100" s="111"/>
      <c r="O100" s="111"/>
      <c r="P100" s="111"/>
      <c r="Q100" s="111"/>
      <c r="R100" s="43"/>
      <c r="S100" s="118" t="str">
        <f>A100</f>
        <v>Extraordinary Items</v>
      </c>
      <c r="T100" s="43">
        <f t="shared" ref="T100:X102" si="152">B100/B$80</f>
        <v>0</v>
      </c>
      <c r="U100" s="43">
        <f t="shared" si="152"/>
        <v>0</v>
      </c>
      <c r="V100" s="43">
        <f t="shared" si="152"/>
        <v>0</v>
      </c>
      <c r="W100" s="43">
        <f t="shared" si="152"/>
        <v>0</v>
      </c>
      <c r="X100" s="43">
        <f t="shared" si="152"/>
        <v>5.3784652050338565E-4</v>
      </c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2"/>
    </row>
    <row r="101" spans="1:38" ht="15" x14ac:dyDescent="0.2">
      <c r="A101" s="72" t="s">
        <v>14</v>
      </c>
      <c r="B101" s="101">
        <v>9012</v>
      </c>
      <c r="C101" s="107">
        <v>12889</v>
      </c>
      <c r="D101" s="107">
        <v>13890</v>
      </c>
      <c r="E101" s="107">
        <v>17789</v>
      </c>
      <c r="F101" s="107">
        <v>13113</v>
      </c>
      <c r="G101" s="107">
        <v>19780</v>
      </c>
      <c r="H101" s="107">
        <v>21276</v>
      </c>
      <c r="I101" s="108">
        <v>21900</v>
      </c>
      <c r="J101" s="108">
        <v>22300</v>
      </c>
      <c r="K101" s="108">
        <v>24000</v>
      </c>
      <c r="L101" s="108">
        <v>24400</v>
      </c>
      <c r="M101" s="108">
        <v>25200</v>
      </c>
      <c r="N101" s="108">
        <v>27500</v>
      </c>
      <c r="O101" s="108">
        <v>27200</v>
      </c>
      <c r="P101" s="108">
        <v>31900</v>
      </c>
      <c r="Q101" s="108"/>
      <c r="R101" s="51">
        <f t="shared" ref="R101:R102" si="153">RATE(5,,-K101,P101)</f>
        <v>5.8560997074532981E-2</v>
      </c>
      <c r="S101" s="118" t="str">
        <f>A101</f>
        <v>Income Taxes</v>
      </c>
      <c r="T101" s="77">
        <f t="shared" si="152"/>
        <v>2.0029470792577629E-2</v>
      </c>
      <c r="U101" s="77">
        <f t="shared" si="152"/>
        <v>2.4012504610982147E-2</v>
      </c>
      <c r="V101" s="77">
        <f t="shared" si="152"/>
        <v>1.9726947237162219E-2</v>
      </c>
      <c r="W101" s="77">
        <f t="shared" si="152"/>
        <v>2.9871824365964691E-2</v>
      </c>
      <c r="X101" s="77">
        <f t="shared" si="152"/>
        <v>2.1116112045990707E-2</v>
      </c>
      <c r="Y101" s="77">
        <f t="shared" ref="Y101:AF102" si="154">G101/G$80</f>
        <v>2.5883513719701698E-2</v>
      </c>
      <c r="Z101" s="77">
        <f t="shared" si="154"/>
        <v>2.2103855707825176E-2</v>
      </c>
      <c r="AA101" s="77">
        <f t="shared" si="154"/>
        <v>2.057110651888033E-2</v>
      </c>
      <c r="AB101" s="77">
        <f t="shared" si="154"/>
        <v>2.3914209115281502E-2</v>
      </c>
      <c r="AC101" s="77">
        <f t="shared" si="154"/>
        <v>2.3992802159352195E-2</v>
      </c>
      <c r="AD101" s="77">
        <f t="shared" si="154"/>
        <v>2.6524622241547995E-2</v>
      </c>
      <c r="AE101" s="77">
        <f t="shared" si="154"/>
        <v>2.7910067560084174E-2</v>
      </c>
      <c r="AF101" s="77">
        <f t="shared" si="154"/>
        <v>2.838563170933113E-2</v>
      </c>
      <c r="AG101" s="77">
        <f t="shared" si="151"/>
        <v>3.1547204824866622E-2</v>
      </c>
      <c r="AH101" s="77">
        <f t="shared" si="151"/>
        <v>3.2359504970582272E-2</v>
      </c>
      <c r="AI101" s="77" t="e">
        <f t="shared" si="151"/>
        <v>#DIV/0!</v>
      </c>
      <c r="AJ101" s="51">
        <f t="shared" ref="AJ101:AJ102" si="155">SUM(L101:P101)/SUM(L$80:P$80)</f>
        <v>2.9355978963703767E-2</v>
      </c>
      <c r="AK101" s="2"/>
    </row>
    <row r="102" spans="1:38" ht="16.5" thickBot="1" x14ac:dyDescent="0.3">
      <c r="A102" s="117" t="s">
        <v>16</v>
      </c>
      <c r="B102" s="103">
        <f t="shared" ref="B102:K102" si="156">B99-B100-B101</f>
        <v>19219</v>
      </c>
      <c r="C102" s="110">
        <f t="shared" si="156"/>
        <v>24163</v>
      </c>
      <c r="D102" s="110">
        <f t="shared" si="156"/>
        <v>25873</v>
      </c>
      <c r="E102" s="110">
        <f t="shared" si="156"/>
        <v>32399</v>
      </c>
      <c r="F102" s="110">
        <f t="shared" si="156"/>
        <v>20182</v>
      </c>
      <c r="G102" s="110">
        <f t="shared" si="156"/>
        <v>31461</v>
      </c>
      <c r="H102" s="110">
        <f t="shared" si="156"/>
        <v>35975</v>
      </c>
      <c r="I102" s="111">
        <f t="shared" si="156"/>
        <v>37000</v>
      </c>
      <c r="J102" s="111">
        <f t="shared" si="156"/>
        <v>37400</v>
      </c>
      <c r="K102" s="111">
        <f t="shared" si="156"/>
        <v>40200</v>
      </c>
      <c r="L102" s="111">
        <f t="shared" ref="L102" si="157">L99-L100-L101</f>
        <v>41600</v>
      </c>
      <c r="M102" s="111">
        <f t="shared" ref="M102:O102" si="158">M99-M100-M101</f>
        <v>43900</v>
      </c>
      <c r="N102" s="111">
        <f t="shared" ref="N102" si="159">N99-N100-N101</f>
        <v>46100</v>
      </c>
      <c r="O102" s="111">
        <f t="shared" si="158"/>
        <v>47100</v>
      </c>
      <c r="P102" s="111">
        <f t="shared" ref="P102:Q102" si="160">P99-P100-P101</f>
        <v>52800</v>
      </c>
      <c r="Q102" s="111">
        <f t="shared" si="160"/>
        <v>0</v>
      </c>
      <c r="R102" s="81">
        <f t="shared" si="153"/>
        <v>5.604293121510194E-2</v>
      </c>
      <c r="S102" s="154" t="str">
        <f>A102</f>
        <v>Net Income</v>
      </c>
      <c r="T102" s="85">
        <f t="shared" si="152"/>
        <v>4.2714868970544766E-2</v>
      </c>
      <c r="U102" s="85">
        <f t="shared" si="152"/>
        <v>4.5016226931116586E-2</v>
      </c>
      <c r="V102" s="85">
        <f t="shared" si="152"/>
        <v>3.6745522380640605E-2</v>
      </c>
      <c r="W102" s="85">
        <f t="shared" si="152"/>
        <v>5.4405376223109231E-2</v>
      </c>
      <c r="X102" s="85">
        <f t="shared" si="152"/>
        <v>3.2499456517363266E-2</v>
      </c>
      <c r="Y102" s="85">
        <f t="shared" si="154"/>
        <v>4.1168919369845056E-2</v>
      </c>
      <c r="Z102" s="85">
        <f t="shared" si="154"/>
        <v>3.7374798321536506E-2</v>
      </c>
      <c r="AA102" s="85">
        <f t="shared" si="154"/>
        <v>3.4754837497651701E-2</v>
      </c>
      <c r="AB102" s="85">
        <f t="shared" si="154"/>
        <v>4.0107238605898127E-2</v>
      </c>
      <c r="AC102" s="85">
        <f t="shared" si="154"/>
        <v>4.0187943616914926E-2</v>
      </c>
      <c r="AD102" s="85">
        <f t="shared" si="154"/>
        <v>4.5222306772475268E-2</v>
      </c>
      <c r="AE102" s="85">
        <f t="shared" si="154"/>
        <v>4.8621109757448225E-2</v>
      </c>
      <c r="AF102" s="85">
        <f t="shared" si="154"/>
        <v>4.7584640792733279E-2</v>
      </c>
      <c r="AG102" s="85">
        <f t="shared" si="151"/>
        <v>5.4627696590118305E-2</v>
      </c>
      <c r="AH102" s="85">
        <f t="shared" si="151"/>
        <v>5.3560559951308581E-2</v>
      </c>
      <c r="AI102" s="85" t="e">
        <f t="shared" si="151"/>
        <v>#DIV/0!</v>
      </c>
      <c r="AJ102" s="81">
        <f t="shared" si="155"/>
        <v>4.9896542805414258E-2</v>
      </c>
      <c r="AK102" s="7">
        <f>+O102-N102</f>
        <v>1000</v>
      </c>
      <c r="AL102" s="202">
        <f>+AK102/N102</f>
        <v>2.1691973969631236E-2</v>
      </c>
    </row>
    <row r="103" spans="1:38" ht="15.75" thickTop="1" x14ac:dyDescent="0.2">
      <c r="A103" s="72"/>
      <c r="B103" s="103"/>
      <c r="C103" s="114"/>
      <c r="D103" s="114"/>
      <c r="E103" s="114"/>
      <c r="F103" s="114"/>
      <c r="G103" s="114"/>
      <c r="H103" s="114"/>
      <c r="I103" s="115"/>
      <c r="J103" s="115"/>
      <c r="K103" s="115"/>
      <c r="L103" s="115"/>
      <c r="M103" s="115"/>
      <c r="N103" s="115"/>
      <c r="O103" s="115"/>
      <c r="P103" s="115"/>
      <c r="Q103" s="115"/>
      <c r="R103" s="43"/>
      <c r="S103" s="118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43"/>
      <c r="AK103" s="2"/>
    </row>
    <row r="104" spans="1:38" ht="15" x14ac:dyDescent="0.2">
      <c r="A104" s="72" t="s">
        <v>56</v>
      </c>
      <c r="B104" s="101">
        <v>0</v>
      </c>
      <c r="C104" s="107">
        <v>0</v>
      </c>
      <c r="D104" s="107">
        <v>0</v>
      </c>
      <c r="E104" s="107">
        <v>0</v>
      </c>
      <c r="F104" s="107">
        <v>0</v>
      </c>
      <c r="G104" s="107"/>
      <c r="H104" s="107"/>
      <c r="I104" s="108"/>
      <c r="J104" s="108"/>
      <c r="K104" s="108"/>
      <c r="L104" s="108"/>
      <c r="M104" s="108"/>
      <c r="N104" s="108"/>
      <c r="O104" s="108"/>
      <c r="P104" s="108"/>
      <c r="Q104" s="108"/>
      <c r="R104" s="43"/>
      <c r="S104" s="118" t="str">
        <f>A104</f>
        <v>Preferred Stock Dividends</v>
      </c>
      <c r="T104" s="43">
        <f t="shared" ref="T104:X105" si="161">B104/B$102</f>
        <v>0</v>
      </c>
      <c r="U104" s="43">
        <f t="shared" si="161"/>
        <v>0</v>
      </c>
      <c r="V104" s="43">
        <f t="shared" si="161"/>
        <v>0</v>
      </c>
      <c r="W104" s="43">
        <f t="shared" si="161"/>
        <v>0</v>
      </c>
      <c r="X104" s="43">
        <f t="shared" si="161"/>
        <v>0</v>
      </c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2"/>
    </row>
    <row r="105" spans="1:38" ht="15" x14ac:dyDescent="0.2">
      <c r="A105" s="72" t="s">
        <v>57</v>
      </c>
      <c r="B105" s="101">
        <f>'Historical CF - Exhibit 1B'!B41*-1</f>
        <v>23000</v>
      </c>
      <c r="C105" s="107">
        <f>'Historical CF - Exhibit 1B'!C41*-1</f>
        <v>23500</v>
      </c>
      <c r="D105" s="107">
        <f>'Historical CF - Exhibit 1B'!D41*-1</f>
        <v>24000</v>
      </c>
      <c r="E105" s="107">
        <f>'Historical CF - Exhibit 1B'!E41*-1</f>
        <v>24500</v>
      </c>
      <c r="F105" s="107">
        <f>'Historical CF - Exhibit 1B'!F41*-1</f>
        <v>25000</v>
      </c>
      <c r="G105" s="107">
        <f>'Historical CF - Exhibit 1B'!G41*-1</f>
        <v>25500</v>
      </c>
      <c r="H105" s="107">
        <f>'Historical CF - Exhibit 1B'!H41*-1</f>
        <v>26000</v>
      </c>
      <c r="I105" s="108">
        <v>26500</v>
      </c>
      <c r="J105" s="108">
        <v>27000</v>
      </c>
      <c r="K105" s="108">
        <v>27500</v>
      </c>
      <c r="L105" s="108">
        <v>28200</v>
      </c>
      <c r="M105" s="108">
        <v>28800</v>
      </c>
      <c r="N105" s="108">
        <v>30300</v>
      </c>
      <c r="O105" s="108">
        <v>33000</v>
      </c>
      <c r="P105" s="108">
        <v>35500</v>
      </c>
      <c r="Q105" s="108"/>
      <c r="R105" s="43">
        <f t="shared" ref="R105" si="162">RATE(5,,-K105,P105)</f>
        <v>5.23958621584273E-2</v>
      </c>
      <c r="S105" s="118" t="str">
        <f>A105</f>
        <v>Common Stock Dividends</v>
      </c>
      <c r="T105" s="43">
        <f t="shared" si="161"/>
        <v>1.1967324002289401</v>
      </c>
      <c r="U105" s="43">
        <f t="shared" si="161"/>
        <v>0.9725613541364897</v>
      </c>
      <c r="V105" s="43">
        <f t="shared" si="161"/>
        <v>0.92760793104781047</v>
      </c>
      <c r="W105" s="43">
        <f t="shared" si="161"/>
        <v>0.75619617889441038</v>
      </c>
      <c r="X105" s="43">
        <f t="shared" si="161"/>
        <v>1.2387275790308196</v>
      </c>
      <c r="Y105" s="43">
        <f t="shared" ref="Y105:AF105" si="163">G105/G$102</f>
        <v>0.81052731953847623</v>
      </c>
      <c r="Z105" s="43">
        <f t="shared" si="163"/>
        <v>0.72272411396803338</v>
      </c>
      <c r="AA105" s="43">
        <f t="shared" si="163"/>
        <v>0.71621621621621623</v>
      </c>
      <c r="AB105" s="43">
        <f>J105/J$102</f>
        <v>0.72192513368983957</v>
      </c>
      <c r="AC105" s="43">
        <f t="shared" si="163"/>
        <v>0.6840796019900498</v>
      </c>
      <c r="AD105" s="43">
        <f t="shared" si="163"/>
        <v>0.67788461538461542</v>
      </c>
      <c r="AE105" s="43">
        <f t="shared" si="163"/>
        <v>0.6560364464692483</v>
      </c>
      <c r="AF105" s="43">
        <f t="shared" si="163"/>
        <v>0.65726681127982645</v>
      </c>
      <c r="AG105" s="160">
        <f>O105/O$102</f>
        <v>0.70063694267515919</v>
      </c>
      <c r="AH105" s="160">
        <f>P105/P$102</f>
        <v>0.67234848484848486</v>
      </c>
      <c r="AI105" s="160" t="e">
        <f>Q105/Q$102</f>
        <v>#DIV/0!</v>
      </c>
      <c r="AJ105" s="43">
        <f>SUM(L105:P105)/SUM(L$102:P$102)</f>
        <v>0.67300215982721379</v>
      </c>
      <c r="AK105" s="2"/>
    </row>
    <row r="106" spans="1:38" ht="15" x14ac:dyDescent="0.2">
      <c r="A106" s="72"/>
      <c r="B106" s="101"/>
      <c r="C106" s="101"/>
      <c r="D106" s="101"/>
      <c r="E106" s="101"/>
      <c r="F106" s="101"/>
      <c r="G106" s="101"/>
      <c r="H106" s="101"/>
      <c r="I106" s="101"/>
      <c r="O106" s="215"/>
      <c r="P106" s="143"/>
      <c r="Q106" s="143"/>
      <c r="R106" s="43"/>
      <c r="AK106" s="2"/>
    </row>
    <row r="107" spans="1:38" ht="15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R107" s="43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</row>
    <row r="108" spans="1:38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91" t="s">
        <v>114</v>
      </c>
      <c r="AJ108" s="23" t="str">
        <f>+R108</f>
        <v>Exhibit 1</v>
      </c>
    </row>
    <row r="109" spans="1:38" ht="15.75" x14ac:dyDescent="0.25">
      <c r="A109" s="3"/>
      <c r="B109" s="2"/>
      <c r="C109" s="2"/>
      <c r="D109" s="2"/>
      <c r="E109" s="2"/>
      <c r="G109" s="143"/>
      <c r="H109" s="143"/>
      <c r="I109" s="143"/>
      <c r="J109" s="143"/>
      <c r="K109" s="143"/>
      <c r="L109" s="143"/>
      <c r="R109" s="152" t="s">
        <v>179</v>
      </c>
      <c r="AJ109" s="152" t="s">
        <v>182</v>
      </c>
    </row>
    <row r="110" spans="1:38" ht="20.25" x14ac:dyDescent="0.3">
      <c r="A110" s="64" t="str">
        <f>A3</f>
        <v>Questar Gas Company</v>
      </c>
      <c r="B110" s="5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"/>
      <c r="S110" s="248" t="str">
        <f>+A110</f>
        <v>Questar Gas Company</v>
      </c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</row>
    <row r="111" spans="1:38" ht="15.75" x14ac:dyDescent="0.25">
      <c r="A111" s="65" t="s">
        <v>47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86"/>
      <c r="S111" s="249" t="s">
        <v>146</v>
      </c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</row>
    <row r="112" spans="1:38" ht="15.75" x14ac:dyDescent="0.25">
      <c r="A112" s="68" t="str">
        <f>A5</f>
        <v>Years Ended December 31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86"/>
      <c r="S112" s="250" t="str">
        <f>+A112</f>
        <v>Years Ended December 31</v>
      </c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</row>
    <row r="113" spans="1:36" ht="15.75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86"/>
    </row>
    <row r="114" spans="1:36" ht="15.75" x14ac:dyDescent="0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185"/>
      <c r="P114" s="185"/>
      <c r="Q114" s="185"/>
      <c r="R114" s="88"/>
      <c r="AC114" s="203"/>
      <c r="AD114" s="203"/>
      <c r="AE114" s="203"/>
      <c r="AF114" s="203"/>
      <c r="AG114" s="203"/>
      <c r="AH114" s="203"/>
    </row>
    <row r="115" spans="1:36" ht="15.75" x14ac:dyDescent="0.25">
      <c r="A115" s="87"/>
      <c r="B115" s="87"/>
      <c r="C115" s="87"/>
      <c r="D115" s="87"/>
      <c r="E115" s="87"/>
      <c r="F115" s="87"/>
      <c r="G115" s="87"/>
      <c r="H115" s="89"/>
      <c r="I115" s="89"/>
      <c r="J115" s="89"/>
      <c r="K115" s="90"/>
      <c r="L115" s="90"/>
      <c r="M115" s="90"/>
      <c r="N115" s="90"/>
      <c r="O115" s="186"/>
      <c r="P115" s="209"/>
      <c r="Q115" s="209" t="str">
        <f>+Q74</f>
        <v>1st Qrtr</v>
      </c>
      <c r="R115" s="122" t="str">
        <f>R7</f>
        <v>2008 to 2013</v>
      </c>
      <c r="AE115" s="147"/>
      <c r="AF115" s="147"/>
      <c r="AG115" s="147"/>
      <c r="AH115" s="210"/>
      <c r="AI115" s="210" t="str">
        <f>+Q115</f>
        <v>1st Qrtr</v>
      </c>
      <c r="AJ115" s="159" t="str">
        <f>+AJ74</f>
        <v>2009 to 2013</v>
      </c>
    </row>
    <row r="116" spans="1:36" ht="15.75" x14ac:dyDescent="0.25">
      <c r="A116" s="94" t="s">
        <v>27</v>
      </c>
      <c r="B116" s="93">
        <f t="shared" ref="B116:K116" si="164">T9</f>
        <v>1999</v>
      </c>
      <c r="C116" s="93">
        <f t="shared" si="164"/>
        <v>2000</v>
      </c>
      <c r="D116" s="93">
        <f t="shared" si="164"/>
        <v>2001</v>
      </c>
      <c r="E116" s="93">
        <f t="shared" si="164"/>
        <v>2002</v>
      </c>
      <c r="F116" s="93">
        <f t="shared" si="164"/>
        <v>2003</v>
      </c>
      <c r="G116" s="93">
        <f t="shared" si="164"/>
        <v>2004</v>
      </c>
      <c r="H116" s="93">
        <f t="shared" si="164"/>
        <v>2005</v>
      </c>
      <c r="I116" s="93">
        <f t="shared" si="164"/>
        <v>2006</v>
      </c>
      <c r="J116" s="93">
        <f t="shared" si="164"/>
        <v>2007</v>
      </c>
      <c r="K116" s="93">
        <f t="shared" si="164"/>
        <v>2008</v>
      </c>
      <c r="L116" s="93">
        <f>+L75</f>
        <v>2009</v>
      </c>
      <c r="M116" s="93">
        <f>+M9</f>
        <v>2010</v>
      </c>
      <c r="N116" s="93">
        <f>+N9</f>
        <v>2011</v>
      </c>
      <c r="O116" s="187">
        <f t="shared" ref="O116:P116" si="165">+O9</f>
        <v>2012</v>
      </c>
      <c r="P116" s="187">
        <f t="shared" si="165"/>
        <v>2013</v>
      </c>
      <c r="Q116" s="187">
        <f>+Q75</f>
        <v>2014</v>
      </c>
      <c r="R116" s="120" t="s">
        <v>2</v>
      </c>
      <c r="S116" s="8"/>
      <c r="Y116" s="147">
        <f t="shared" ref="Y116:AF116" si="166">+G116</f>
        <v>2004</v>
      </c>
      <c r="Z116" s="147">
        <f t="shared" si="166"/>
        <v>2005</v>
      </c>
      <c r="AA116" s="147">
        <f t="shared" si="166"/>
        <v>2006</v>
      </c>
      <c r="AB116" s="147">
        <f t="shared" si="166"/>
        <v>2007</v>
      </c>
      <c r="AC116" s="147">
        <f t="shared" si="166"/>
        <v>2008</v>
      </c>
      <c r="AD116" s="147">
        <f t="shared" si="166"/>
        <v>2009</v>
      </c>
      <c r="AE116" s="147">
        <f t="shared" si="166"/>
        <v>2010</v>
      </c>
      <c r="AF116" s="147">
        <f t="shared" si="166"/>
        <v>2011</v>
      </c>
      <c r="AG116" s="147">
        <f t="shared" ref="AG116:AI116" si="167">+O116</f>
        <v>2012</v>
      </c>
      <c r="AH116" s="147">
        <f t="shared" si="167"/>
        <v>2013</v>
      </c>
      <c r="AI116" s="147">
        <f t="shared" si="167"/>
        <v>2014</v>
      </c>
      <c r="AJ116" s="161" t="str">
        <f>+R116</f>
        <v>Average</v>
      </c>
    </row>
    <row r="117" spans="1:36" ht="15.75" customHeight="1" x14ac:dyDescent="0.25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5"/>
      <c r="S117" s="162" t="s">
        <v>152</v>
      </c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4"/>
    </row>
    <row r="118" spans="1:36" ht="15.75" x14ac:dyDescent="0.25">
      <c r="A118" s="117" t="s">
        <v>35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43"/>
      <c r="S118" s="165" t="s">
        <v>147</v>
      </c>
      <c r="T118" s="8"/>
      <c r="U118" s="8"/>
      <c r="V118" s="8"/>
      <c r="W118" s="8"/>
      <c r="X118" s="8"/>
      <c r="Y118" s="166">
        <v>680.7</v>
      </c>
      <c r="Z118" s="166">
        <v>867.8</v>
      </c>
      <c r="AA118" s="166">
        <v>988.4</v>
      </c>
      <c r="AB118" s="166">
        <v>876.6</v>
      </c>
      <c r="AC118" s="166">
        <v>926.7</v>
      </c>
      <c r="AD118" s="166">
        <v>874</v>
      </c>
      <c r="AE118" s="166">
        <v>833</v>
      </c>
      <c r="AF118" s="166">
        <v>893</v>
      </c>
      <c r="AG118" s="166">
        <v>788.4</v>
      </c>
      <c r="AH118" s="166">
        <v>910.3</v>
      </c>
      <c r="AI118" s="166"/>
      <c r="AJ118" s="167">
        <f>AVERAGE(AD118:AH118)</f>
        <v>859.74</v>
      </c>
    </row>
    <row r="119" spans="1:36" ht="15" x14ac:dyDescent="0.2">
      <c r="A119" s="72" t="s">
        <v>6</v>
      </c>
      <c r="B119" s="116">
        <f t="shared" ref="B119:J119" si="168">B20/B47</f>
        <v>0.74089079724873141</v>
      </c>
      <c r="C119" s="116">
        <f t="shared" si="168"/>
        <v>0.71808631481641061</v>
      </c>
      <c r="D119" s="116">
        <f t="shared" si="168"/>
        <v>0.97588302316748954</v>
      </c>
      <c r="E119" s="116">
        <f t="shared" si="168"/>
        <v>0.94074924113422664</v>
      </c>
      <c r="F119" s="116">
        <f t="shared" si="168"/>
        <v>0.84477470859297543</v>
      </c>
      <c r="G119" s="116">
        <f t="shared" si="168"/>
        <v>0.81890669001086347</v>
      </c>
      <c r="H119" s="116">
        <f t="shared" si="168"/>
        <v>1.0078733653598355</v>
      </c>
      <c r="I119" s="116">
        <f t="shared" si="168"/>
        <v>0.83897002305918522</v>
      </c>
      <c r="J119" s="116">
        <f t="shared" si="168"/>
        <v>0.60538236077804419</v>
      </c>
      <c r="K119" s="116">
        <f>K20/K47</f>
        <v>0.84523809523809523</v>
      </c>
      <c r="L119" s="116">
        <f t="shared" ref="L119:O119" si="169">L20/L47</f>
        <v>0.86538461538461542</v>
      </c>
      <c r="M119" s="116">
        <f t="shared" si="169"/>
        <v>0.84213564213564218</v>
      </c>
      <c r="N119" s="116">
        <f t="shared" si="169"/>
        <v>0.57834424695977549</v>
      </c>
      <c r="O119" s="116">
        <f t="shared" si="169"/>
        <v>0.69234629861982433</v>
      </c>
      <c r="P119" s="116">
        <f>P20/P47</f>
        <v>1.2085289514866979</v>
      </c>
      <c r="Q119" s="116" t="e">
        <f>Q20/Q47</f>
        <v>#DIV/0!</v>
      </c>
      <c r="R119" s="116">
        <f>AVERAGE(L119:P119)</f>
        <v>0.83734795091731107</v>
      </c>
      <c r="S119" s="165" t="s">
        <v>148</v>
      </c>
      <c r="T119" s="8"/>
      <c r="U119" s="8"/>
      <c r="V119" s="8"/>
      <c r="W119" s="8"/>
      <c r="X119" s="8"/>
      <c r="Y119" s="166">
        <v>49.1</v>
      </c>
      <c r="Z119" s="166">
        <v>40.1</v>
      </c>
      <c r="AA119" s="166">
        <v>23.5</v>
      </c>
      <c r="AB119" s="166">
        <v>9.9</v>
      </c>
      <c r="AC119" s="166">
        <v>12</v>
      </c>
      <c r="AD119" s="166">
        <v>8.3000000000000007</v>
      </c>
      <c r="AE119" s="166">
        <v>26.7</v>
      </c>
      <c r="AF119" s="166">
        <v>29.7</v>
      </c>
      <c r="AG119" s="166">
        <v>27.4</v>
      </c>
      <c r="AH119" s="166">
        <v>28.1</v>
      </c>
      <c r="AI119" s="166"/>
      <c r="AJ119" s="167">
        <f t="shared" ref="AJ119:AJ123" si="170">AVERAGE(AD119:AH119)</f>
        <v>24.04</v>
      </c>
    </row>
    <row r="120" spans="1:36" ht="15" x14ac:dyDescent="0.2">
      <c r="A120" s="72" t="s">
        <v>26</v>
      </c>
      <c r="B120" s="116">
        <f t="shared" ref="B120:J120" si="171">(B12+B13)/B47</f>
        <v>0.57075363762400222</v>
      </c>
      <c r="C120" s="116">
        <f t="shared" si="171"/>
        <v>0.4543043815462714</v>
      </c>
      <c r="D120" s="116">
        <f t="shared" si="171"/>
        <v>0.73504721243631888</v>
      </c>
      <c r="E120" s="116">
        <f t="shared" si="171"/>
        <v>0.69394388095061821</v>
      </c>
      <c r="F120" s="116">
        <f t="shared" si="171"/>
        <v>0.68902028675786886</v>
      </c>
      <c r="G120" s="116">
        <f t="shared" si="171"/>
        <v>0.48582297083030107</v>
      </c>
      <c r="H120" s="116">
        <f t="shared" si="171"/>
        <v>0.63653334038180698</v>
      </c>
      <c r="I120" s="116">
        <f t="shared" si="171"/>
        <v>0.60146041506533432</v>
      </c>
      <c r="J120" s="116">
        <f t="shared" si="171"/>
        <v>0.41859845456967759</v>
      </c>
      <c r="K120" s="116">
        <f>(K12+K13)/K47</f>
        <v>0.52321428571428574</v>
      </c>
      <c r="L120" s="116">
        <f t="shared" ref="L120:O120" si="172">(L12+L13)/L47</f>
        <v>0.54001240694789077</v>
      </c>
      <c r="M120" s="116">
        <f t="shared" si="172"/>
        <v>0.50793650793650791</v>
      </c>
      <c r="N120" s="116">
        <f t="shared" si="172"/>
        <v>0.36973807296538819</v>
      </c>
      <c r="O120" s="116">
        <f t="shared" si="172"/>
        <v>0.4476787954830615</v>
      </c>
      <c r="P120" s="116">
        <f>(P12+P13)/P47</f>
        <v>0.85563380281690138</v>
      </c>
      <c r="Q120" s="116" t="e">
        <f>(Q12+Q13)/Q47</f>
        <v>#DIV/0!</v>
      </c>
      <c r="R120" s="116">
        <f t="shared" ref="R120:R121" si="173">AVERAGE(L120:P120)</f>
        <v>0.54419991722994998</v>
      </c>
      <c r="S120" s="165" t="s">
        <v>155</v>
      </c>
      <c r="T120" s="8"/>
      <c r="U120" s="8"/>
      <c r="V120" s="8"/>
      <c r="W120" s="8"/>
      <c r="X120" s="8"/>
      <c r="Y120" s="166">
        <v>6.4</v>
      </c>
      <c r="Z120" s="166">
        <v>5.9</v>
      </c>
      <c r="AA120" s="166">
        <v>6.7</v>
      </c>
      <c r="AB120" s="166">
        <v>9.9</v>
      </c>
      <c r="AC120" s="166">
        <v>9.9</v>
      </c>
      <c r="AD120" s="166">
        <v>11.2</v>
      </c>
      <c r="AE120" s="166">
        <v>9.6999999999999993</v>
      </c>
      <c r="AF120" s="166">
        <v>11.3</v>
      </c>
      <c r="AG120" s="166">
        <v>11.9</v>
      </c>
      <c r="AH120" s="166">
        <v>14.4</v>
      </c>
      <c r="AI120" s="166"/>
      <c r="AJ120" s="167">
        <f t="shared" si="170"/>
        <v>11.7</v>
      </c>
    </row>
    <row r="121" spans="1:36" ht="15" x14ac:dyDescent="0.2">
      <c r="A121" s="72" t="s">
        <v>9</v>
      </c>
      <c r="B121" s="116">
        <f>365*(B13/B80)</f>
        <v>67.411148671925176</v>
      </c>
      <c r="C121" s="116">
        <f t="shared" ref="C121:J121" si="174">365*(((B13+C13)/2)/((B80+C80)/2))</f>
        <v>73.317835530389715</v>
      </c>
      <c r="D121" s="116">
        <f t="shared" si="174"/>
        <v>65.591018434572376</v>
      </c>
      <c r="E121" s="116">
        <f t="shared" si="174"/>
        <v>55.783642038004842</v>
      </c>
      <c r="F121" s="116">
        <f t="shared" si="174"/>
        <v>66.299155121306427</v>
      </c>
      <c r="G121" s="116">
        <f t="shared" si="174"/>
        <v>70.166930409446223</v>
      </c>
      <c r="H121" s="116">
        <f t="shared" si="174"/>
        <v>68.80598990004286</v>
      </c>
      <c r="I121" s="116">
        <f t="shared" si="174"/>
        <v>61.642354994482396</v>
      </c>
      <c r="J121" s="116">
        <f t="shared" si="174"/>
        <v>55.907816333683847</v>
      </c>
      <c r="K121" s="116">
        <f>365*(((J13+K13)/2)/((J80+K80)/2))</f>
        <v>61.86568708609272</v>
      </c>
      <c r="L121" s="116">
        <f t="shared" ref="L121:Q121" si="175">365*(((K13+L13)/2)/((K80+L80)/2))</f>
        <v>64.913811061347772</v>
      </c>
      <c r="M121" s="116">
        <f t="shared" si="175"/>
        <v>67.721637041913539</v>
      </c>
      <c r="N121" s="116">
        <f t="shared" si="175"/>
        <v>63.261206389912914</v>
      </c>
      <c r="O121" s="116">
        <f t="shared" si="175"/>
        <v>65.803659202621517</v>
      </c>
      <c r="P121" s="116">
        <f t="shared" si="175"/>
        <v>76.416937229437224</v>
      </c>
      <c r="Q121" s="116">
        <f t="shared" si="175"/>
        <v>77.717082572529932</v>
      </c>
      <c r="R121" s="116">
        <f t="shared" si="173"/>
        <v>67.623450185046593</v>
      </c>
      <c r="S121" s="165" t="s">
        <v>149</v>
      </c>
      <c r="T121" s="8"/>
      <c r="U121" s="8"/>
      <c r="V121" s="8"/>
      <c r="W121" s="8"/>
      <c r="X121" s="8"/>
      <c r="Y121" s="166">
        <v>5.3</v>
      </c>
      <c r="Z121" s="166">
        <v>6.6</v>
      </c>
      <c r="AA121" s="166">
        <v>7.1</v>
      </c>
      <c r="AB121" s="166">
        <v>5.9</v>
      </c>
      <c r="AC121" s="166">
        <v>5.6</v>
      </c>
      <c r="AD121" s="166">
        <v>5.4</v>
      </c>
      <c r="AE121" s="166">
        <v>4.8</v>
      </c>
      <c r="AF121" s="166">
        <v>5.0999999999999996</v>
      </c>
      <c r="AG121" s="166">
        <v>4.5</v>
      </c>
      <c r="AH121" s="166">
        <v>4.8</v>
      </c>
      <c r="AI121" s="166"/>
      <c r="AJ121" s="167">
        <f t="shared" si="170"/>
        <v>4.92</v>
      </c>
    </row>
    <row r="122" spans="1:36" ht="15" x14ac:dyDescent="0.2">
      <c r="A122" s="72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65" t="s">
        <v>150</v>
      </c>
      <c r="T122" s="8"/>
      <c r="U122" s="8"/>
      <c r="V122" s="8"/>
      <c r="W122" s="8"/>
      <c r="X122" s="8"/>
      <c r="Y122" s="149">
        <v>22.7</v>
      </c>
      <c r="Z122" s="149">
        <v>42.1</v>
      </c>
      <c r="AA122" s="149">
        <v>38.9</v>
      </c>
      <c r="AB122" s="149">
        <v>30.2</v>
      </c>
      <c r="AC122" s="149">
        <v>46.1</v>
      </c>
      <c r="AD122" s="149">
        <v>21</v>
      </c>
      <c r="AE122" s="149">
        <v>28.7</v>
      </c>
      <c r="AF122" s="149">
        <v>29.7</v>
      </c>
      <c r="AG122" s="149">
        <v>30</v>
      </c>
      <c r="AH122" s="149">
        <v>28.2</v>
      </c>
      <c r="AI122" s="149"/>
      <c r="AJ122" s="179">
        <f t="shared" si="170"/>
        <v>27.52</v>
      </c>
    </row>
    <row r="123" spans="1:36" ht="15.75" x14ac:dyDescent="0.25">
      <c r="A123" s="117" t="s">
        <v>15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65" t="s">
        <v>151</v>
      </c>
      <c r="T123" s="8"/>
      <c r="U123" s="8"/>
      <c r="V123" s="8"/>
      <c r="W123" s="8"/>
      <c r="X123" s="8"/>
      <c r="Y123" s="166">
        <f t="shared" ref="Y123:AD123" si="176">+Y122+Y121+Y120+Y119+Y118</f>
        <v>764.2</v>
      </c>
      <c r="Z123" s="166">
        <f t="shared" si="176"/>
        <v>962.5</v>
      </c>
      <c r="AA123" s="166">
        <f t="shared" si="176"/>
        <v>1064.5999999999999</v>
      </c>
      <c r="AB123" s="166">
        <f t="shared" si="176"/>
        <v>932.5</v>
      </c>
      <c r="AC123" s="166">
        <f t="shared" si="176"/>
        <v>1000.3000000000001</v>
      </c>
      <c r="AD123" s="166">
        <f t="shared" si="176"/>
        <v>919.9</v>
      </c>
      <c r="AE123" s="166">
        <f>+AE122+AE121+AE120+AE119+AE118</f>
        <v>902.9</v>
      </c>
      <c r="AF123" s="166">
        <f>+AF122+AF121+AF120+AF119+AF118</f>
        <v>968.8</v>
      </c>
      <c r="AG123" s="166">
        <f>+AG122+AG121+AG120+AG119+AG118</f>
        <v>862.19999999999993</v>
      </c>
      <c r="AH123" s="166">
        <f>+AH122+AH121+AH120+AH119+AH118</f>
        <v>985.8</v>
      </c>
      <c r="AI123" s="166">
        <f>+AI122+AI121+AI120+AI119+AI118</f>
        <v>0</v>
      </c>
      <c r="AJ123" s="167">
        <f t="shared" si="170"/>
        <v>927.91999999999985</v>
      </c>
    </row>
    <row r="124" spans="1:36" ht="15.75" x14ac:dyDescent="0.25">
      <c r="A124" s="72" t="s">
        <v>19</v>
      </c>
      <c r="B124" s="116">
        <f t="shared" ref="B124:G124" si="177">B62/B55</f>
        <v>0.57239562846755143</v>
      </c>
      <c r="C124" s="116">
        <f t="shared" si="177"/>
        <v>0.46630759178483761</v>
      </c>
      <c r="D124" s="116">
        <f t="shared" si="177"/>
        <v>0.57950427625659429</v>
      </c>
      <c r="E124" s="116">
        <f t="shared" si="177"/>
        <v>0.60588883761967549</v>
      </c>
      <c r="F124" s="116">
        <f t="shared" si="177"/>
        <v>0.51432917999607197</v>
      </c>
      <c r="G124" s="116">
        <f t="shared" si="177"/>
        <v>0.45211775665786752</v>
      </c>
      <c r="H124" s="116">
        <f t="shared" ref="H124:K124" si="178">H62/H55</f>
        <v>0.4038168549003987</v>
      </c>
      <c r="I124" s="116">
        <f t="shared" si="178"/>
        <v>0.44318945811483124</v>
      </c>
      <c r="J124" s="116">
        <f t="shared" si="178"/>
        <v>0.41197097944377264</v>
      </c>
      <c r="K124" s="116">
        <f t="shared" si="178"/>
        <v>0.41786179921773142</v>
      </c>
      <c r="L124" s="116">
        <f t="shared" ref="L124:O124" si="179">L62/L55</f>
        <v>0.4244229337304542</v>
      </c>
      <c r="M124" s="116">
        <f t="shared" si="179"/>
        <v>0.4172524603334003</v>
      </c>
      <c r="N124" s="116">
        <f t="shared" si="179"/>
        <v>0.45453632070732441</v>
      </c>
      <c r="O124" s="116">
        <f t="shared" si="179"/>
        <v>0.40390429299473091</v>
      </c>
      <c r="P124" s="116">
        <f t="shared" ref="P124:Q124" si="180">P62/P55</f>
        <v>0.47389194967519116</v>
      </c>
      <c r="Q124" s="116" t="e">
        <f t="shared" si="180"/>
        <v>#DIV/0!</v>
      </c>
      <c r="R124" s="116">
        <f t="shared" ref="R124:R127" si="181">AVERAGE(L124:P124)</f>
        <v>0.43480159148822023</v>
      </c>
      <c r="S124" s="170" t="s">
        <v>167</v>
      </c>
      <c r="T124" s="8"/>
      <c r="U124" s="8"/>
      <c r="V124" s="8"/>
      <c r="W124" s="8"/>
      <c r="X124" s="8"/>
      <c r="Y124" s="171"/>
      <c r="Z124" s="183">
        <f t="shared" ref="Z124:AH124" si="182">+(Z123-Y123)/Y123</f>
        <v>0.25948704527610567</v>
      </c>
      <c r="AA124" s="183">
        <f t="shared" si="182"/>
        <v>0.10607792207792198</v>
      </c>
      <c r="AB124" s="183">
        <f t="shared" si="182"/>
        <v>-0.12408416306594018</v>
      </c>
      <c r="AC124" s="183">
        <f t="shared" si="182"/>
        <v>7.2707774798927691E-2</v>
      </c>
      <c r="AD124" s="183">
        <f t="shared" si="182"/>
        <v>-8.0375887233829935E-2</v>
      </c>
      <c r="AE124" s="183">
        <f t="shared" si="182"/>
        <v>-1.8480269594521145E-2</v>
      </c>
      <c r="AF124" s="183">
        <f t="shared" si="182"/>
        <v>7.2987041754347087E-2</v>
      </c>
      <c r="AG124" s="183">
        <f t="shared" si="182"/>
        <v>-0.1100330305532618</v>
      </c>
      <c r="AH124" s="183">
        <f t="shared" si="182"/>
        <v>0.1433542101600557</v>
      </c>
      <c r="AI124" s="183"/>
      <c r="AJ124" s="191">
        <f>AVERAGE(AD124:AH124)</f>
        <v>1.4904129065579808E-3</v>
      </c>
    </row>
    <row r="125" spans="1:36" ht="15" x14ac:dyDescent="0.2">
      <c r="A125" s="72" t="s">
        <v>18</v>
      </c>
      <c r="B125" s="116">
        <f t="shared" ref="B125:G125" si="183">B62/B53</f>
        <v>0.84536529160100526</v>
      </c>
      <c r="C125" s="116">
        <f t="shared" si="183"/>
        <v>0.84913111148270581</v>
      </c>
      <c r="D125" s="116">
        <f t="shared" si="183"/>
        <v>0.81537362640291466</v>
      </c>
      <c r="E125" s="116">
        <f t="shared" si="183"/>
        <v>0.81962323677894344</v>
      </c>
      <c r="F125" s="116">
        <f t="shared" si="183"/>
        <v>0.76084039365445177</v>
      </c>
      <c r="G125" s="116">
        <f t="shared" si="183"/>
        <v>0.76408841923448267</v>
      </c>
      <c r="H125" s="116">
        <f t="shared" ref="H125:K125" si="184">H62/H53</f>
        <v>0.65549485510484384</v>
      </c>
      <c r="I125" s="116">
        <f t="shared" si="184"/>
        <v>0.68169596690796275</v>
      </c>
      <c r="J125" s="116">
        <f t="shared" si="184"/>
        <v>0.75426167810493694</v>
      </c>
      <c r="K125" s="116">
        <f t="shared" si="184"/>
        <v>0.65811088295687881</v>
      </c>
      <c r="L125" s="116">
        <f t="shared" ref="L125:O125" si="185">L62/L53</f>
        <v>0.64594463331714425</v>
      </c>
      <c r="M125" s="116">
        <f t="shared" si="185"/>
        <v>0.63991991375327273</v>
      </c>
      <c r="N125" s="116">
        <f t="shared" si="185"/>
        <v>0.79689977100581288</v>
      </c>
      <c r="O125" s="116">
        <f t="shared" si="185"/>
        <v>0.6159114857744995</v>
      </c>
      <c r="P125" s="116">
        <f t="shared" ref="P125:Q125" si="186">P62/P53</f>
        <v>0.6</v>
      </c>
      <c r="Q125" s="116" t="e">
        <f t="shared" si="186"/>
        <v>#DIV/0!</v>
      </c>
      <c r="R125" s="116">
        <f t="shared" si="181"/>
        <v>0.65973516077014582</v>
      </c>
      <c r="S125" s="16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169"/>
    </row>
    <row r="126" spans="1:36" ht="15.75" x14ac:dyDescent="0.25">
      <c r="A126" s="72" t="s">
        <v>17</v>
      </c>
      <c r="B126" s="116">
        <f t="shared" ref="B126:J126" si="187">B62/B30</f>
        <v>0.44455415130770581</v>
      </c>
      <c r="C126" s="116">
        <f t="shared" si="187"/>
        <v>0.42598884274988463</v>
      </c>
      <c r="D126" s="116">
        <f t="shared" si="187"/>
        <v>0.46715846760893731</v>
      </c>
      <c r="E126" s="116">
        <f t="shared" si="187"/>
        <v>0.46146561814406795</v>
      </c>
      <c r="F126" s="116">
        <f t="shared" si="187"/>
        <v>0.43657442858636408</v>
      </c>
      <c r="G126" s="116">
        <f t="shared" si="187"/>
        <v>0.42377702163614517</v>
      </c>
      <c r="H126" s="116">
        <f t="shared" si="187"/>
        <v>0.41479591570805341</v>
      </c>
      <c r="I126" s="116">
        <f t="shared" si="187"/>
        <v>0.40190220704792101</v>
      </c>
      <c r="J126" s="116">
        <f t="shared" si="187"/>
        <v>0.37484871823082849</v>
      </c>
      <c r="K126" s="116">
        <f>K62/K30</f>
        <v>0.3886811520970187</v>
      </c>
      <c r="L126" s="116">
        <f t="shared" ref="L126:O126" si="188">L62/L30</f>
        <v>0.38681531749878817</v>
      </c>
      <c r="M126" s="116">
        <f t="shared" si="188"/>
        <v>0.37900209796588524</v>
      </c>
      <c r="N126" s="116">
        <f t="shared" si="188"/>
        <v>0.38423645320197042</v>
      </c>
      <c r="O126" s="116">
        <f t="shared" si="188"/>
        <v>0.35309219965264665</v>
      </c>
      <c r="P126" s="116">
        <f t="shared" ref="P126:Q126" si="189">P62/P30</f>
        <v>0.39532171765674301</v>
      </c>
      <c r="Q126" s="116" t="e">
        <f t="shared" si="189"/>
        <v>#DIV/0!</v>
      </c>
      <c r="R126" s="116">
        <f t="shared" si="181"/>
        <v>0.37969355719520664</v>
      </c>
      <c r="S126" s="172" t="s">
        <v>153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69"/>
    </row>
    <row r="127" spans="1:36" ht="15" x14ac:dyDescent="0.2">
      <c r="A127" s="72" t="s">
        <v>36</v>
      </c>
      <c r="B127" s="116">
        <f t="shared" ref="B127:J127" si="190">(B99+B93)/B93</f>
        <v>2.4071877180739705</v>
      </c>
      <c r="C127" s="116">
        <f t="shared" si="190"/>
        <v>2.7609429209638323</v>
      </c>
      <c r="D127" s="116">
        <f t="shared" si="190"/>
        <v>2.6723304033309501</v>
      </c>
      <c r="E127" s="116">
        <f t="shared" si="190"/>
        <v>3.2310735719048678</v>
      </c>
      <c r="F127" s="116">
        <f t="shared" si="190"/>
        <v>2.6026019824628288</v>
      </c>
      <c r="G127" s="116">
        <f t="shared" si="190"/>
        <v>3.5967161607459586</v>
      </c>
      <c r="H127" s="116">
        <f t="shared" si="190"/>
        <v>3.8401131064589742</v>
      </c>
      <c r="I127" s="116">
        <f t="shared" si="190"/>
        <v>3.6061946902654869</v>
      </c>
      <c r="J127" s="116">
        <f t="shared" si="190"/>
        <v>3.5084033613445378</v>
      </c>
      <c r="K127" s="116">
        <f>(K99+K93)/K93</f>
        <v>3.5476190476190474</v>
      </c>
      <c r="L127" s="116">
        <f t="shared" ref="L127:O127" si="191">(L99+L93)/L93</f>
        <v>3.3157894736842106</v>
      </c>
      <c r="M127" s="116">
        <f t="shared" si="191"/>
        <v>3.6374045801526718</v>
      </c>
      <c r="N127" s="116">
        <f t="shared" si="191"/>
        <v>3.8416988416988418</v>
      </c>
      <c r="O127" s="116">
        <f t="shared" si="191"/>
        <v>4.0829875518672196</v>
      </c>
      <c r="P127" s="116">
        <f>(P99+P93)/P93</f>
        <v>4.7982062780269059</v>
      </c>
      <c r="Q127" s="116" t="e">
        <f>(Q99+Q93)/Q93</f>
        <v>#DIV/0!</v>
      </c>
      <c r="R127" s="116">
        <f t="shared" si="181"/>
        <v>3.9352173450859702</v>
      </c>
      <c r="S127" s="165" t="str">
        <f t="shared" ref="S127:S132" si="192">+S118</f>
        <v xml:space="preserve">   Residential &amp; Commercial Sales</v>
      </c>
      <c r="T127" s="8"/>
      <c r="U127" s="8"/>
      <c r="V127" s="8"/>
      <c r="W127" s="8"/>
      <c r="X127" s="8"/>
      <c r="Y127" s="171">
        <f t="shared" ref="Y127:AI127" si="193">+Y118/Y$123</f>
        <v>0.89073540957864439</v>
      </c>
      <c r="Z127" s="183">
        <f t="shared" si="193"/>
        <v>0.90161038961038953</v>
      </c>
      <c r="AA127" s="183">
        <f t="shared" si="193"/>
        <v>0.92842382115348498</v>
      </c>
      <c r="AB127" s="171">
        <f t="shared" si="193"/>
        <v>0.94005361930294906</v>
      </c>
      <c r="AC127" s="171">
        <f t="shared" si="193"/>
        <v>0.92642207337798654</v>
      </c>
      <c r="AD127" s="171">
        <f t="shared" si="193"/>
        <v>0.95010327209479295</v>
      </c>
      <c r="AE127" s="171">
        <f t="shared" si="193"/>
        <v>0.92258278879167133</v>
      </c>
      <c r="AF127" s="171">
        <f t="shared" si="193"/>
        <v>0.92175887696118919</v>
      </c>
      <c r="AG127" s="171">
        <f t="shared" si="193"/>
        <v>0.91440501043841338</v>
      </c>
      <c r="AH127" s="171">
        <f t="shared" si="193"/>
        <v>0.92341245688780682</v>
      </c>
      <c r="AI127" s="171" t="e">
        <f t="shared" si="193"/>
        <v>#DIV/0!</v>
      </c>
      <c r="AJ127" s="191">
        <f t="shared" ref="AJ127:AJ132" si="194">AVERAGE(AD127:AH127)</f>
        <v>0.92645248103477462</v>
      </c>
    </row>
    <row r="128" spans="1:36" ht="15" x14ac:dyDescent="0.2">
      <c r="A128" s="72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65" t="str">
        <f t="shared" si="192"/>
        <v xml:space="preserve">   Industrial Sales</v>
      </c>
      <c r="T128" s="8"/>
      <c r="U128" s="8"/>
      <c r="V128" s="8"/>
      <c r="W128" s="8"/>
      <c r="X128" s="8"/>
      <c r="Y128" s="171">
        <f t="shared" ref="Y128:AI128" si="195">+Y119/Y$123</f>
        <v>6.4250196283695368E-2</v>
      </c>
      <c r="Z128" s="183">
        <f t="shared" si="195"/>
        <v>4.1662337662337665E-2</v>
      </c>
      <c r="AA128" s="183">
        <f t="shared" si="195"/>
        <v>2.2074018410670675E-2</v>
      </c>
      <c r="AB128" s="171">
        <f t="shared" si="195"/>
        <v>1.061662198391421E-2</v>
      </c>
      <c r="AC128" s="171">
        <f t="shared" si="195"/>
        <v>1.1996401079676096E-2</v>
      </c>
      <c r="AD128" s="171">
        <f t="shared" si="195"/>
        <v>9.0227198608544418E-3</v>
      </c>
      <c r="AE128" s="171">
        <f t="shared" si="195"/>
        <v>2.9571381105327279E-2</v>
      </c>
      <c r="AF128" s="171">
        <f t="shared" si="195"/>
        <v>3.0656482246077622E-2</v>
      </c>
      <c r="AG128" s="171">
        <f t="shared" si="195"/>
        <v>3.1779169566225937E-2</v>
      </c>
      <c r="AH128" s="171">
        <f t="shared" si="195"/>
        <v>2.8504767701359304E-2</v>
      </c>
      <c r="AI128" s="171" t="e">
        <f t="shared" si="195"/>
        <v>#DIV/0!</v>
      </c>
      <c r="AJ128" s="191">
        <f t="shared" si="194"/>
        <v>2.5906904095968918E-2</v>
      </c>
    </row>
    <row r="129" spans="1:41" ht="15.75" x14ac:dyDescent="0.25">
      <c r="A129" s="117" t="s">
        <v>70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65" t="str">
        <f t="shared" si="192"/>
        <v xml:space="preserve">   Transportation for Industrial </v>
      </c>
      <c r="T129" s="8"/>
      <c r="U129" s="8"/>
      <c r="V129" s="8"/>
      <c r="W129" s="8"/>
      <c r="X129" s="8"/>
      <c r="Y129" s="171">
        <f t="shared" ref="Y129:AI129" si="196">+Y120/Y$123</f>
        <v>8.3747710023554037E-3</v>
      </c>
      <c r="Z129" s="183">
        <f t="shared" si="196"/>
        <v>6.1298701298701302E-3</v>
      </c>
      <c r="AA129" s="183">
        <f t="shared" si="196"/>
        <v>6.2934435468720651E-3</v>
      </c>
      <c r="AB129" s="171">
        <f t="shared" si="196"/>
        <v>1.061662198391421E-2</v>
      </c>
      <c r="AC129" s="171">
        <f t="shared" si="196"/>
        <v>9.8970308907327803E-3</v>
      </c>
      <c r="AD129" s="171">
        <f t="shared" si="196"/>
        <v>1.2175236438743341E-2</v>
      </c>
      <c r="AE129" s="171">
        <f t="shared" si="196"/>
        <v>1.0743160925905415E-2</v>
      </c>
      <c r="AF129" s="171">
        <f t="shared" si="196"/>
        <v>1.166391412056152E-2</v>
      </c>
      <c r="AG129" s="171">
        <f t="shared" si="196"/>
        <v>1.3801902110879147E-2</v>
      </c>
      <c r="AH129" s="171">
        <f t="shared" si="196"/>
        <v>1.4607425441265977E-2</v>
      </c>
      <c r="AI129" s="171" t="e">
        <f t="shared" si="196"/>
        <v>#DIV/0!</v>
      </c>
      <c r="AJ129" s="191">
        <f t="shared" si="194"/>
        <v>1.2598327807471079E-2</v>
      </c>
    </row>
    <row r="130" spans="1:41" ht="15" x14ac:dyDescent="0.2">
      <c r="A130" s="72" t="s">
        <v>143</v>
      </c>
      <c r="B130" s="43">
        <f t="shared" ref="B130:J130" si="197">(+B80-B83-B84)/B80</f>
        <v>0.42821995079311104</v>
      </c>
      <c r="C130" s="43">
        <f t="shared" si="197"/>
        <v>0.37739072438063798</v>
      </c>
      <c r="D130" s="43">
        <f t="shared" si="197"/>
        <v>0.29195313820366903</v>
      </c>
      <c r="E130" s="43">
        <f t="shared" si="197"/>
        <v>0.37819116691379334</v>
      </c>
      <c r="F130" s="43">
        <f t="shared" si="197"/>
        <v>0.36469214727976879</v>
      </c>
      <c r="G130" s="43">
        <f t="shared" si="197"/>
        <v>0.2984390069000894</v>
      </c>
      <c r="H130" s="43">
        <f t="shared" si="197"/>
        <v>0.25180484693214983</v>
      </c>
      <c r="I130" s="43">
        <f t="shared" si="197"/>
        <v>0.22806687957918467</v>
      </c>
      <c r="J130" s="43">
        <f t="shared" si="197"/>
        <v>0.26305630026809651</v>
      </c>
      <c r="K130" s="43">
        <f>(+K80-K83-K84)/K80</f>
        <v>0.26332100369889033</v>
      </c>
      <c r="L130" s="43">
        <f t="shared" ref="L130:N130" si="198">(+L80-L83-L84)/L80</f>
        <v>0.31883900423959127</v>
      </c>
      <c r="M130" s="43">
        <f t="shared" si="198"/>
        <v>0.34411341233802195</v>
      </c>
      <c r="N130" s="43">
        <f t="shared" si="198"/>
        <v>0.33350536746490506</v>
      </c>
      <c r="O130" s="43">
        <f t="shared" ref="O130:P130" si="199">(+O80-O83-O84)/O80</f>
        <v>0.38146601716539086</v>
      </c>
      <c r="P130" s="43">
        <f t="shared" si="199"/>
        <v>0.34002840332724693</v>
      </c>
      <c r="Q130" s="43" t="e">
        <f t="shared" ref="Q130" si="200">(+Q80-Q83-Q84)/Q80</f>
        <v>#DIV/0!</v>
      </c>
      <c r="R130" s="43">
        <f>AVERAGE(L130:P130)</f>
        <v>0.34359044090703128</v>
      </c>
      <c r="S130" s="165" t="str">
        <f t="shared" si="192"/>
        <v xml:space="preserve">   Service</v>
      </c>
      <c r="T130" s="8"/>
      <c r="U130" s="8"/>
      <c r="V130" s="8"/>
      <c r="W130" s="8"/>
      <c r="X130" s="8"/>
      <c r="Y130" s="171">
        <f t="shared" ref="Y130:AI130" si="201">+Y121/Y$123</f>
        <v>6.935357236325569E-3</v>
      </c>
      <c r="Z130" s="183">
        <f t="shared" si="201"/>
        <v>6.8571428571428568E-3</v>
      </c>
      <c r="AA130" s="183">
        <f t="shared" si="201"/>
        <v>6.6691715198196506E-3</v>
      </c>
      <c r="AB130" s="171">
        <f t="shared" si="201"/>
        <v>6.3270777479892768E-3</v>
      </c>
      <c r="AC130" s="171">
        <f t="shared" si="201"/>
        <v>5.598320503848845E-3</v>
      </c>
      <c r="AD130" s="171">
        <f t="shared" si="201"/>
        <v>5.8702032829655399E-3</v>
      </c>
      <c r="AE130" s="171">
        <f t="shared" si="201"/>
        <v>5.3162033447779374E-3</v>
      </c>
      <c r="AF130" s="171">
        <f t="shared" si="201"/>
        <v>5.2642444260941369E-3</v>
      </c>
      <c r="AG130" s="171">
        <f t="shared" si="201"/>
        <v>5.2192066805845519E-3</v>
      </c>
      <c r="AH130" s="171">
        <f t="shared" si="201"/>
        <v>4.8691418137553257E-3</v>
      </c>
      <c r="AI130" s="171" t="e">
        <f t="shared" si="201"/>
        <v>#DIV/0!</v>
      </c>
      <c r="AJ130" s="191">
        <f t="shared" si="194"/>
        <v>5.3077999096354982E-3</v>
      </c>
    </row>
    <row r="131" spans="1:41" ht="15" x14ac:dyDescent="0.2">
      <c r="A131" s="72" t="s">
        <v>144</v>
      </c>
      <c r="B131" s="43">
        <f t="shared" ref="B131:K131" si="202">+B102/B80</f>
        <v>4.2714868970544766E-2</v>
      </c>
      <c r="C131" s="43">
        <f t="shared" si="202"/>
        <v>4.5016226931116586E-2</v>
      </c>
      <c r="D131" s="43">
        <f t="shared" si="202"/>
        <v>3.6745522380640605E-2</v>
      </c>
      <c r="E131" s="43">
        <f t="shared" si="202"/>
        <v>5.4405376223109231E-2</v>
      </c>
      <c r="F131" s="43">
        <f t="shared" si="202"/>
        <v>3.2499456517363266E-2</v>
      </c>
      <c r="G131" s="43">
        <f t="shared" si="202"/>
        <v>4.1168919369845056E-2</v>
      </c>
      <c r="H131" s="43">
        <f t="shared" si="202"/>
        <v>3.7374798321536506E-2</v>
      </c>
      <c r="I131" s="43">
        <f t="shared" si="202"/>
        <v>3.4754837497651701E-2</v>
      </c>
      <c r="J131" s="43">
        <f t="shared" si="202"/>
        <v>4.0107238605898127E-2</v>
      </c>
      <c r="K131" s="43">
        <f t="shared" si="202"/>
        <v>4.0187943616914926E-2</v>
      </c>
      <c r="L131" s="43">
        <f t="shared" ref="L131:N131" si="203">+L102/L80</f>
        <v>4.5222306772475268E-2</v>
      </c>
      <c r="M131" s="43">
        <f t="shared" si="203"/>
        <v>4.8621109757448225E-2</v>
      </c>
      <c r="N131" s="43">
        <f t="shared" si="203"/>
        <v>4.7584640792733279E-2</v>
      </c>
      <c r="O131" s="43">
        <f t="shared" ref="O131:P131" si="204">+O102/O80</f>
        <v>5.4627696590118305E-2</v>
      </c>
      <c r="P131" s="43">
        <f t="shared" si="204"/>
        <v>5.3560559951308581E-2</v>
      </c>
      <c r="Q131" s="43" t="e">
        <f t="shared" ref="Q131" si="205">+Q102/Q80</f>
        <v>#DIV/0!</v>
      </c>
      <c r="R131" s="43">
        <f t="shared" ref="R131:R135" si="206">AVERAGE(L131:P131)</f>
        <v>4.9923262772816737E-2</v>
      </c>
      <c r="S131" s="173" t="str">
        <f t="shared" si="192"/>
        <v xml:space="preserve">   Other</v>
      </c>
      <c r="T131" s="148"/>
      <c r="U131" s="148"/>
      <c r="V131" s="148"/>
      <c r="W131" s="148"/>
      <c r="X131" s="148"/>
      <c r="Y131" s="151">
        <f t="shared" ref="Y131:AI131" si="207">+Y122/Y$123</f>
        <v>2.9704265898979322E-2</v>
      </c>
      <c r="Z131" s="182">
        <f t="shared" si="207"/>
        <v>4.3740259740259739E-2</v>
      </c>
      <c r="AA131" s="182">
        <f t="shared" si="207"/>
        <v>3.6539545369152736E-2</v>
      </c>
      <c r="AB131" s="151">
        <f t="shared" si="207"/>
        <v>3.2386058981233243E-2</v>
      </c>
      <c r="AC131" s="151">
        <f t="shared" si="207"/>
        <v>4.6086174147755669E-2</v>
      </c>
      <c r="AD131" s="151">
        <f t="shared" si="207"/>
        <v>2.2828568322643766E-2</v>
      </c>
      <c r="AE131" s="151">
        <f t="shared" si="207"/>
        <v>3.1786465832318089E-2</v>
      </c>
      <c r="AF131" s="151">
        <f t="shared" si="207"/>
        <v>3.0656482246077622E-2</v>
      </c>
      <c r="AG131" s="151">
        <f t="shared" si="207"/>
        <v>3.4794711203897009E-2</v>
      </c>
      <c r="AH131" s="151">
        <f t="shared" si="207"/>
        <v>2.8606208155812538E-2</v>
      </c>
      <c r="AI131" s="151" t="e">
        <f t="shared" si="207"/>
        <v>#DIV/0!</v>
      </c>
      <c r="AJ131" s="192">
        <f t="shared" si="194"/>
        <v>2.9734487152149804E-2</v>
      </c>
    </row>
    <row r="132" spans="1:41" ht="15" x14ac:dyDescent="0.2">
      <c r="A132" s="72" t="s">
        <v>29</v>
      </c>
      <c r="B132" s="43">
        <f>(B102+(B93*(1-(B101/B99))))/((B38)/1)</f>
        <v>4.5437974282927861E-2</v>
      </c>
      <c r="C132" s="43">
        <f t="shared" ref="C132:J132" si="208">(C102+(C93*(1-(C101/C99))))/((B38+C38)/2)</f>
        <v>4.8761390410488763E-2</v>
      </c>
      <c r="D132" s="43">
        <f t="shared" si="208"/>
        <v>4.968750191785988E-2</v>
      </c>
      <c r="E132" s="43">
        <f t="shared" si="208"/>
        <v>5.6339724460796936E-2</v>
      </c>
      <c r="F132" s="43">
        <f t="shared" si="208"/>
        <v>3.7877382395332809E-2</v>
      </c>
      <c r="G132" s="43">
        <f t="shared" si="208"/>
        <v>4.5358363426255467E-2</v>
      </c>
      <c r="H132" s="43">
        <f t="shared" si="208"/>
        <v>4.5926418451123302E-2</v>
      </c>
      <c r="I132" s="43">
        <f t="shared" si="208"/>
        <v>4.6971418637880867E-2</v>
      </c>
      <c r="J132" s="43">
        <f t="shared" si="208"/>
        <v>4.6684411197740902E-2</v>
      </c>
      <c r="K132" s="43">
        <f>(K102+(K93*(1-(K101/K99))))/((J38+K38)/2)</f>
        <v>4.5277987020128967E-2</v>
      </c>
      <c r="L132" s="43">
        <f t="shared" ref="L132:P132" si="209">(L102+(L93*(1-(L101/L99))))/((K38+L38)/2)</f>
        <v>4.505399671997002E-2</v>
      </c>
      <c r="M132" s="43">
        <f t="shared" si="209"/>
        <v>4.4026433939565381E-2</v>
      </c>
      <c r="N132" s="43">
        <f t="shared" si="209"/>
        <v>4.3597544748087656E-2</v>
      </c>
      <c r="O132" s="43">
        <f t="shared" si="209"/>
        <v>4.0597064083085478E-2</v>
      </c>
      <c r="P132" s="43">
        <f t="shared" si="209"/>
        <v>3.9032857595048542E-2</v>
      </c>
      <c r="Q132" s="43" t="e">
        <f>(Q102+(Q93*(1-(Q101/Q99))))/((P38+Q38)/2)*4/3</f>
        <v>#DIV/0!</v>
      </c>
      <c r="R132" s="43">
        <f t="shared" si="206"/>
        <v>4.246157941715141E-2</v>
      </c>
      <c r="S132" s="173" t="str">
        <f t="shared" si="192"/>
        <v xml:space="preserve">      Total Revenue</v>
      </c>
      <c r="T132" s="148"/>
      <c r="U132" s="148"/>
      <c r="V132" s="148"/>
      <c r="W132" s="148"/>
      <c r="X132" s="148"/>
      <c r="Y132" s="151">
        <f t="shared" ref="Y132:AI132" si="210">+Y123/Y$123</f>
        <v>1</v>
      </c>
      <c r="Z132" s="182">
        <f t="shared" si="210"/>
        <v>1</v>
      </c>
      <c r="AA132" s="182">
        <f t="shared" si="210"/>
        <v>1</v>
      </c>
      <c r="AB132" s="151">
        <f t="shared" si="210"/>
        <v>1</v>
      </c>
      <c r="AC132" s="151">
        <f t="shared" si="210"/>
        <v>1</v>
      </c>
      <c r="AD132" s="151">
        <f t="shared" si="210"/>
        <v>1</v>
      </c>
      <c r="AE132" s="151">
        <f t="shared" si="210"/>
        <v>1</v>
      </c>
      <c r="AF132" s="151">
        <f t="shared" si="210"/>
        <v>1</v>
      </c>
      <c r="AG132" s="151">
        <f t="shared" si="210"/>
        <v>1</v>
      </c>
      <c r="AH132" s="151">
        <f t="shared" si="210"/>
        <v>1</v>
      </c>
      <c r="AI132" s="151" t="e">
        <f t="shared" si="210"/>
        <v>#DIV/0!</v>
      </c>
      <c r="AJ132" s="230">
        <f t="shared" si="194"/>
        <v>1</v>
      </c>
    </row>
    <row r="133" spans="1:41" ht="15" x14ac:dyDescent="0.2">
      <c r="A133" s="72" t="s">
        <v>69</v>
      </c>
      <c r="B133" s="43">
        <f>(B102+(B93*(1-(B101/B99))))/((B49+B57+B62)/1)</f>
        <v>6.7316151477111702E-2</v>
      </c>
      <c r="C133" s="43">
        <f t="shared" ref="C133:K133" si="211">(C102+(C93*(1-(C101/C99))))/((B49+C49+B57+C57+B62+C62)/2)</f>
        <v>7.7517345465870302E-2</v>
      </c>
      <c r="D133" s="43">
        <f t="shared" si="211"/>
        <v>7.6564443086380718E-2</v>
      </c>
      <c r="E133" s="43">
        <f t="shared" si="211"/>
        <v>7.8874439866510146E-2</v>
      </c>
      <c r="F133" s="43">
        <f t="shared" si="211"/>
        <v>5.5072023772712843E-2</v>
      </c>
      <c r="G133" s="43">
        <f t="shared" si="211"/>
        <v>7.3424405126741116E-2</v>
      </c>
      <c r="H133" s="43">
        <f t="shared" si="211"/>
        <v>7.9137505505046044E-2</v>
      </c>
      <c r="I133" s="43">
        <f t="shared" si="211"/>
        <v>7.9750614868513148E-2</v>
      </c>
      <c r="J133" s="43">
        <f t="shared" si="211"/>
        <v>8.3475437240993669E-2</v>
      </c>
      <c r="K133" s="43">
        <f t="shared" si="211"/>
        <v>8.200313374692221E-2</v>
      </c>
      <c r="L133" s="43">
        <f t="shared" ref="L133" si="212">(L102+(L93*(1-(L101/L99))))/((K49+L49+K57+L57+K62+L62)/2)</f>
        <v>7.8188023580515048E-2</v>
      </c>
      <c r="M133" s="43">
        <f t="shared" ref="M133" si="213">(M102+(M93*(1-(M101/M99))))/((L49+M49+L57+M57+L62+M62)/2)</f>
        <v>7.7996975141630023E-2</v>
      </c>
      <c r="N133" s="43">
        <f t="shared" ref="N133" si="214">(N102+(N93*(1-(N101/N99))))/((M49+N49+M57+N57+M62+N62)/2)</f>
        <v>8.2415617848970252E-2</v>
      </c>
      <c r="O133" s="43">
        <f>(O102+(O93*(1-(O101/O99))))/((N49+O49+N57+O57+N62+O62)/2)</f>
        <v>7.8908777942644948E-2</v>
      </c>
      <c r="P133" s="43">
        <f>(P102+(P93*(1-(P101/P99))))/((O49+P49+O57+P57+O62+P62)/2)</f>
        <v>6.7961993684139493E-2</v>
      </c>
      <c r="Q133" s="43" t="e">
        <f>(Q102+(Q93*(1-(Q101/Q99))))/((P49+Q49+P57+Q57+P62+Q62)/2)*4/3</f>
        <v>#DIV/0!</v>
      </c>
      <c r="R133" s="43">
        <f t="shared" si="206"/>
        <v>7.7094277639579947E-2</v>
      </c>
      <c r="S133" s="241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4"/>
    </row>
    <row r="134" spans="1:41" ht="15.75" x14ac:dyDescent="0.25">
      <c r="A134" s="72" t="s">
        <v>222</v>
      </c>
      <c r="B134" s="43">
        <f>(B102-B104)/((B62)/1)</f>
        <v>7.2967011272129484E-2</v>
      </c>
      <c r="C134" s="43">
        <f t="shared" ref="C134:K134" si="215">(C102-C104)/((C62+B62)/2)</f>
        <v>9.1622128395351971E-2</v>
      </c>
      <c r="D134" s="43">
        <f t="shared" si="215"/>
        <v>9.0784845215224966E-2</v>
      </c>
      <c r="E134" s="43">
        <f t="shared" si="215"/>
        <v>0.10455388160198271</v>
      </c>
      <c r="F134" s="43">
        <f t="shared" si="215"/>
        <v>6.4806578917792429E-2</v>
      </c>
      <c r="G134" s="43">
        <f t="shared" si="215"/>
        <v>0.10083960889834787</v>
      </c>
      <c r="H134" s="43">
        <f t="shared" si="215"/>
        <v>0.11361178088637716</v>
      </c>
      <c r="I134" s="43">
        <f t="shared" si="215"/>
        <v>0.11421057342968179</v>
      </c>
      <c r="J134" s="43">
        <f t="shared" si="215"/>
        <v>0.11159182455616888</v>
      </c>
      <c r="K134" s="43">
        <f t="shared" si="215"/>
        <v>0.11085068247621674</v>
      </c>
      <c r="L134" s="43">
        <f>(L102-L104)/((L62+K62)/2)</f>
        <v>0.10617662072485962</v>
      </c>
      <c r="M134" s="43">
        <f t="shared" ref="M134" si="216">(M102-M104)/((M62+L62)/2)</f>
        <v>0.10779619398403929</v>
      </c>
      <c r="N134" s="43">
        <f t="shared" ref="N134" si="217">(N102-N104)/((N62+M62)/2)</f>
        <v>0.10623343703191612</v>
      </c>
      <c r="O134" s="43">
        <f>(O102-O104)/((O62+N62)/2)</f>
        <v>0.10239130434782609</v>
      </c>
      <c r="P134" s="43">
        <f>(P102-P104)/((P62+O62)/2)</f>
        <v>0.10115911485774499</v>
      </c>
      <c r="Q134" s="43">
        <f>(Q102-Q104)/((Q62+P62)/2)*4/3</f>
        <v>0</v>
      </c>
      <c r="R134" s="43">
        <f t="shared" si="206"/>
        <v>0.10475133418927722</v>
      </c>
      <c r="S134" s="251" t="s">
        <v>154</v>
      </c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3"/>
    </row>
    <row r="135" spans="1:41" ht="15.75" x14ac:dyDescent="0.25">
      <c r="A135" s="72" t="s">
        <v>221</v>
      </c>
      <c r="B135" s="45">
        <v>7.5700000000000003E-2</v>
      </c>
      <c r="C135" s="45">
        <v>0.1047</v>
      </c>
      <c r="D135" s="45">
        <v>0.1046</v>
      </c>
      <c r="E135" s="45">
        <v>9.06E-2</v>
      </c>
      <c r="F135" s="45">
        <v>0.1109</v>
      </c>
      <c r="G135" s="45">
        <v>0.10050000000000001</v>
      </c>
      <c r="H135" s="45">
        <v>0.10059999999999999</v>
      </c>
      <c r="I135" s="45">
        <v>0.1086</v>
      </c>
      <c r="J135" s="45">
        <v>0.1028</v>
      </c>
      <c r="K135" s="45">
        <v>0.1</v>
      </c>
      <c r="L135" s="45">
        <v>9.7299999999999998E-2</v>
      </c>
      <c r="M135" s="45">
        <v>9.2700000000000005E-2</v>
      </c>
      <c r="N135" s="45">
        <v>0.1023</v>
      </c>
      <c r="O135" s="45">
        <v>9.0200000000000002E-2</v>
      </c>
      <c r="P135" s="220"/>
      <c r="Q135" s="45"/>
      <c r="R135" s="43">
        <f t="shared" si="206"/>
        <v>9.5625000000000002E-2</v>
      </c>
      <c r="S135" s="162" t="s">
        <v>187</v>
      </c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4"/>
    </row>
    <row r="136" spans="1:41" ht="15" x14ac:dyDescent="0.2">
      <c r="A136" s="218"/>
      <c r="B136" s="219"/>
      <c r="C136" s="219"/>
      <c r="D136" s="219"/>
      <c r="E136" s="219"/>
      <c r="F136" s="219"/>
      <c r="G136" s="219"/>
      <c r="H136" s="219"/>
      <c r="I136" s="219"/>
      <c r="J136" s="219"/>
      <c r="K136" s="220"/>
      <c r="L136" s="220"/>
      <c r="M136" s="220"/>
      <c r="N136" s="220"/>
      <c r="O136" s="220"/>
      <c r="P136" s="220"/>
      <c r="Q136" s="220"/>
      <c r="R136" s="160"/>
      <c r="S136" s="165" t="str">
        <f>+S127</f>
        <v xml:space="preserve">   Residential &amp; Commercial Sales</v>
      </c>
      <c r="T136" s="8"/>
      <c r="U136" s="8"/>
      <c r="V136" s="8"/>
      <c r="W136" s="8"/>
      <c r="X136" s="8"/>
      <c r="Y136" s="166">
        <v>93</v>
      </c>
      <c r="Z136" s="166">
        <v>96.3</v>
      </c>
      <c r="AA136" s="166">
        <v>102.2</v>
      </c>
      <c r="AB136" s="166">
        <v>106.1</v>
      </c>
      <c r="AC136" s="166">
        <v>112.3</v>
      </c>
      <c r="AD136" s="166">
        <v>109.4</v>
      </c>
      <c r="AE136" s="166">
        <v>105.8</v>
      </c>
      <c r="AF136" s="166">
        <v>113.3</v>
      </c>
      <c r="AG136" s="166">
        <v>96.2</v>
      </c>
      <c r="AH136" s="166">
        <v>114.9</v>
      </c>
      <c r="AI136" s="166"/>
      <c r="AJ136" s="167">
        <f t="shared" ref="AJ136:AJ139" si="218">AVERAGE(AD136:AH136)</f>
        <v>107.92</v>
      </c>
    </row>
    <row r="137" spans="1:41" ht="15.75" x14ac:dyDescent="0.25">
      <c r="A137" s="117" t="s">
        <v>1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39"/>
      <c r="N137" s="116"/>
      <c r="O137" s="116"/>
      <c r="P137" s="116"/>
      <c r="Q137" s="116"/>
      <c r="R137" s="116"/>
      <c r="S137" s="165" t="str">
        <f>+S128</f>
        <v xml:space="preserve">   Industrial Sales</v>
      </c>
      <c r="T137" s="8"/>
      <c r="U137" s="8"/>
      <c r="V137" s="8"/>
      <c r="W137" s="8"/>
      <c r="X137" s="8"/>
      <c r="Y137" s="166">
        <v>8.8000000000000007</v>
      </c>
      <c r="Z137" s="166">
        <v>5.7</v>
      </c>
      <c r="AA137" s="166">
        <v>3.1</v>
      </c>
      <c r="AB137" s="166">
        <v>1.6</v>
      </c>
      <c r="AC137" s="166">
        <v>1.7</v>
      </c>
      <c r="AD137" s="166">
        <v>1.3</v>
      </c>
      <c r="AE137" s="166">
        <v>4.5</v>
      </c>
      <c r="AF137" s="166">
        <v>5</v>
      </c>
      <c r="AG137" s="166">
        <v>4.7</v>
      </c>
      <c r="AH137" s="166">
        <v>4.4000000000000004</v>
      </c>
      <c r="AI137" s="166"/>
      <c r="AJ137" s="167">
        <f t="shared" si="218"/>
        <v>3.9799999999999995</v>
      </c>
    </row>
    <row r="138" spans="1:41" ht="15" x14ac:dyDescent="0.2">
      <c r="A138" s="72" t="s">
        <v>31</v>
      </c>
      <c r="B138" s="116">
        <f>B80/B12</f>
        <v>263.42915690866511</v>
      </c>
      <c r="C138" s="116">
        <f>C80/((B12+C12)/2)</f>
        <v>414.48803088803089</v>
      </c>
      <c r="D138" s="116">
        <f>D80/((C12+D12)/2)</f>
        <v>268.33574695121951</v>
      </c>
      <c r="E138" s="116">
        <f>E80/((D12+E12)/2)</f>
        <v>161.8456311998913</v>
      </c>
      <c r="F138" s="116">
        <f>F80/((D12+F12)/2)</f>
        <v>150.36198547215497</v>
      </c>
      <c r="G138" s="116">
        <f t="shared" ref="G138:O138" si="219">G80/((F12+G12)/2)</f>
        <v>253.67402489626556</v>
      </c>
      <c r="H138" s="116">
        <f t="shared" si="219"/>
        <v>360.70713884204611</v>
      </c>
      <c r="I138" s="116">
        <f t="shared" si="219"/>
        <v>312.8416103438143</v>
      </c>
      <c r="J138" s="116">
        <f t="shared" si="219"/>
        <v>242.20779220779221</v>
      </c>
      <c r="K138" s="116">
        <f t="shared" si="219"/>
        <v>377.47169811320754</v>
      </c>
      <c r="L138" s="116">
        <f t="shared" si="219"/>
        <v>219.02380952380952</v>
      </c>
      <c r="M138" s="116">
        <f t="shared" si="219"/>
        <v>151.74789915966386</v>
      </c>
      <c r="N138" s="116">
        <f t="shared" si="219"/>
        <v>199.75257731958763</v>
      </c>
      <c r="O138" s="116">
        <f t="shared" si="219"/>
        <v>269.4375</v>
      </c>
      <c r="P138" s="116">
        <f>P80/((O12+P12)/2)</f>
        <v>193.29411764705881</v>
      </c>
      <c r="Q138" s="116">
        <f>Q80/((P12+Q12)/2)</f>
        <v>0</v>
      </c>
      <c r="R138" s="116">
        <f t="shared" ref="R138:R142" si="220">AVERAGE(L138:P138)</f>
        <v>206.65118073002395</v>
      </c>
      <c r="S138" s="165" t="str">
        <f>+S129</f>
        <v xml:space="preserve">   Transportation for Industrial </v>
      </c>
      <c r="T138" s="8"/>
      <c r="U138" s="8"/>
      <c r="V138" s="8"/>
      <c r="W138" s="8"/>
      <c r="X138" s="8"/>
      <c r="Y138" s="166">
        <v>34.299999999999997</v>
      </c>
      <c r="Z138" s="166">
        <v>31.2</v>
      </c>
      <c r="AA138" s="166">
        <v>35.5</v>
      </c>
      <c r="AB138" s="166">
        <v>53.8</v>
      </c>
      <c r="AC138" s="166">
        <v>62.2</v>
      </c>
      <c r="AD138" s="166">
        <v>58</v>
      </c>
      <c r="AE138" s="166">
        <v>59.3</v>
      </c>
      <c r="AF138" s="166">
        <v>52.5</v>
      </c>
      <c r="AG138" s="166">
        <v>62</v>
      </c>
      <c r="AH138" s="166">
        <v>64.5</v>
      </c>
      <c r="AI138" s="166"/>
      <c r="AJ138" s="167">
        <f t="shared" si="218"/>
        <v>59.260000000000005</v>
      </c>
    </row>
    <row r="139" spans="1:41" ht="15" x14ac:dyDescent="0.2">
      <c r="A139" s="72" t="s">
        <v>30</v>
      </c>
      <c r="B139" s="116">
        <f>B80/B13</f>
        <v>5.4145346458398516</v>
      </c>
      <c r="C139" s="116">
        <f>C80/((B13+C13)/2)</f>
        <v>5.416394633676255</v>
      </c>
      <c r="D139" s="116">
        <f>D80/((C13+D13)/2)</f>
        <v>6.3152829537147905</v>
      </c>
      <c r="E139" s="116">
        <f>E80/((D13+E13)/2)</f>
        <v>5.9963649911390364</v>
      </c>
      <c r="F139" s="116">
        <f>F80/((D13+F13)/2)</f>
        <v>5.2159031732432934</v>
      </c>
      <c r="G139" s="116">
        <f t="shared" ref="G139:Q139" si="221">G80/((F13+G13)/2)</f>
        <v>5.739640837295239</v>
      </c>
      <c r="H139" s="116">
        <f t="shared" si="221"/>
        <v>5.9141400952974896</v>
      </c>
      <c r="I139" s="116">
        <f t="shared" si="221"/>
        <v>6.2193479791208439</v>
      </c>
      <c r="J139" s="116">
        <f t="shared" si="221"/>
        <v>6.0967636482510628</v>
      </c>
      <c r="K139" s="116">
        <f t="shared" si="221"/>
        <v>6.1068376068376065</v>
      </c>
      <c r="L139" s="116">
        <f t="shared" si="221"/>
        <v>5.3874084919472915</v>
      </c>
      <c r="M139" s="116">
        <f t="shared" si="221"/>
        <v>5.3394441159077468</v>
      </c>
      <c r="N139" s="116">
        <f t="shared" si="221"/>
        <v>5.9728729963008629</v>
      </c>
      <c r="O139" s="116">
        <f t="shared" si="221"/>
        <v>5.2238715540745231</v>
      </c>
      <c r="P139" s="116">
        <f t="shared" si="221"/>
        <v>5.095890410958904</v>
      </c>
      <c r="Q139" s="116">
        <f t="shared" si="221"/>
        <v>0</v>
      </c>
      <c r="R139" s="116">
        <f t="shared" si="220"/>
        <v>5.4038975138378662</v>
      </c>
      <c r="S139" s="165" t="s">
        <v>156</v>
      </c>
      <c r="T139" s="8"/>
      <c r="U139" s="8"/>
      <c r="V139" s="8"/>
      <c r="W139" s="8"/>
      <c r="X139" s="8"/>
      <c r="Y139" s="166">
        <f t="shared" ref="Y139:AD139" si="222">+Y138+Y137+Y136</f>
        <v>136.1</v>
      </c>
      <c r="Z139" s="166">
        <f t="shared" si="222"/>
        <v>133.19999999999999</v>
      </c>
      <c r="AA139" s="166">
        <f t="shared" si="222"/>
        <v>140.80000000000001</v>
      </c>
      <c r="AB139" s="166">
        <f t="shared" si="222"/>
        <v>161.5</v>
      </c>
      <c r="AC139" s="166">
        <f t="shared" si="222"/>
        <v>176.2</v>
      </c>
      <c r="AD139" s="166">
        <f t="shared" si="222"/>
        <v>168.7</v>
      </c>
      <c r="AE139" s="166">
        <f>+AE138+AE137+AE136</f>
        <v>169.6</v>
      </c>
      <c r="AF139" s="166">
        <f>+AF138+AF137+AF136</f>
        <v>170.8</v>
      </c>
      <c r="AG139" s="166">
        <f>+AG138+AG137+AG136</f>
        <v>162.9</v>
      </c>
      <c r="AH139" s="166">
        <f>+AH138+AH137+AH136</f>
        <v>183.8</v>
      </c>
      <c r="AI139" s="166">
        <f>+AI138+AI137+AI136</f>
        <v>0</v>
      </c>
      <c r="AJ139" s="167">
        <f t="shared" si="218"/>
        <v>171.16</v>
      </c>
      <c r="AK139" s="143">
        <f>(AH139-AG139)/AG139</f>
        <v>0.1282995702885206</v>
      </c>
    </row>
    <row r="140" spans="1:41" ht="15.75" x14ac:dyDescent="0.25">
      <c r="A140" s="72" t="s">
        <v>34</v>
      </c>
      <c r="B140" s="116">
        <f>B80/(B20-B47)</f>
        <v>-11.686675324675324</v>
      </c>
      <c r="C140" s="116">
        <f t="shared" ref="C140:O140" si="223">C80/((B20+C20-B47-C47)/2)</f>
        <v>-9.7176117025128548</v>
      </c>
      <c r="D140" s="116">
        <f t="shared" si="223"/>
        <v>-18.613786266604983</v>
      </c>
      <c r="E140" s="116">
        <f t="shared" si="223"/>
        <v>-101.91870614410405</v>
      </c>
      <c r="F140" s="116">
        <f t="shared" si="223"/>
        <v>-32.496663962950365</v>
      </c>
      <c r="G140" s="116">
        <f t="shared" si="223"/>
        <v>-18.701343513692095</v>
      </c>
      <c r="H140" s="116">
        <f t="shared" si="223"/>
        <v>-39.186068760559365</v>
      </c>
      <c r="I140" s="116">
        <f t="shared" si="223"/>
        <v>-53.880608345775237</v>
      </c>
      <c r="J140" s="116">
        <f t="shared" si="223"/>
        <v>-9.8157894736842106</v>
      </c>
      <c r="K140" s="116">
        <f t="shared" si="223"/>
        <v>-9.998000999500249</v>
      </c>
      <c r="L140" s="116">
        <f t="shared" si="223"/>
        <v>-19.285115303983229</v>
      </c>
      <c r="M140" s="116">
        <f t="shared" si="223"/>
        <v>-18.407747196738022</v>
      </c>
      <c r="N140" s="116">
        <f t="shared" si="223"/>
        <v>-8.2451063829787241</v>
      </c>
      <c r="O140" s="116">
        <f t="shared" si="223"/>
        <v>-5.6929679762297791</v>
      </c>
      <c r="P140" s="116">
        <f>P80/((O20+P20-O47-P47)/2)</f>
        <v>-28.450216450216452</v>
      </c>
      <c r="Q140" s="116">
        <f>Q80/((P20+Q20-P47-Q47)/2)</f>
        <v>0</v>
      </c>
      <c r="R140" s="116">
        <f t="shared" si="220"/>
        <v>-16.016230662029241</v>
      </c>
      <c r="S140" s="170" t="s">
        <v>215</v>
      </c>
      <c r="T140" s="8"/>
      <c r="U140" s="8"/>
      <c r="V140" s="8"/>
      <c r="W140" s="8"/>
      <c r="X140" s="8"/>
      <c r="Y140" s="8"/>
      <c r="Z140" s="8"/>
      <c r="AA140" s="8"/>
      <c r="AB140" s="8"/>
      <c r="AC140" s="183">
        <f>+(AC139-AB139)/AB139</f>
        <v>9.1021671826625322E-2</v>
      </c>
      <c r="AD140" s="183">
        <f>+(AD139-AC139)/AC139</f>
        <v>-4.2565266742338258E-2</v>
      </c>
      <c r="AE140" s="183">
        <f t="shared" ref="AE140:AH140" si="224">+(AE139-AD139)/AD139</f>
        <v>5.3349140486070286E-3</v>
      </c>
      <c r="AF140" s="183">
        <f t="shared" si="224"/>
        <v>7.0754716981133083E-3</v>
      </c>
      <c r="AG140" s="183">
        <f t="shared" si="224"/>
        <v>-4.6252927400468415E-2</v>
      </c>
      <c r="AH140" s="183">
        <f t="shared" si="224"/>
        <v>0.1282995702885206</v>
      </c>
      <c r="AI140" s="8"/>
      <c r="AJ140" s="191">
        <f>AVERAGE(AD140:AH140)</f>
        <v>1.0378352378486855E-2</v>
      </c>
      <c r="AK140" s="203">
        <f>+AD138-AC138</f>
        <v>-4.2000000000000028</v>
      </c>
      <c r="AL140" s="203">
        <f>+AE138-AD138</f>
        <v>1.2999999999999972</v>
      </c>
      <c r="AM140" s="203">
        <f>+AF138-AE138</f>
        <v>-6.7999999999999972</v>
      </c>
      <c r="AN140" s="203">
        <f>+AG138-AF138</f>
        <v>9.5</v>
      </c>
      <c r="AO140" s="203"/>
    </row>
    <row r="141" spans="1:41" ht="15" x14ac:dyDescent="0.2">
      <c r="A141" s="72" t="s">
        <v>32</v>
      </c>
      <c r="B141" s="116">
        <f>B80/(B30)</f>
        <v>0.75940272208044723</v>
      </c>
      <c r="C141" s="116">
        <f>C80/((B30+C30)/2)</f>
        <v>0.8854872421751403</v>
      </c>
      <c r="D141" s="116">
        <f>D80/((C30+D30)/2)</f>
        <v>1.1047179891083501</v>
      </c>
      <c r="E141" s="116">
        <f>E80/((D30+E30)/2)</f>
        <v>0.89219140935173114</v>
      </c>
      <c r="F141" s="116">
        <f>F80/((D30+F30)/2)</f>
        <v>0.91143322193504261</v>
      </c>
      <c r="G141" s="116">
        <f t="shared" ref="G141:O141" si="225">G80/((F30+G30)/2)</f>
        <v>1.0532944006869494</v>
      </c>
      <c r="H141" s="116">
        <f t="shared" si="225"/>
        <v>1.2743270392374271</v>
      </c>
      <c r="I141" s="116">
        <f t="shared" si="225"/>
        <v>1.341204690562938</v>
      </c>
      <c r="J141" s="116">
        <f t="shared" si="225"/>
        <v>1.0786581839213418</v>
      </c>
      <c r="K141" s="116">
        <f t="shared" si="225"/>
        <v>1.053834808259587</v>
      </c>
      <c r="L141" s="116">
        <f t="shared" si="225"/>
        <v>0.91034141514101929</v>
      </c>
      <c r="M141" s="116">
        <f t="shared" si="225"/>
        <v>0.84866998778080649</v>
      </c>
      <c r="N141" s="116">
        <f t="shared" si="225"/>
        <v>0.85217926727360693</v>
      </c>
      <c r="O141" s="116">
        <f t="shared" si="225"/>
        <v>0.68929128192828881</v>
      </c>
      <c r="P141" s="116">
        <f>P80/((O30+P30)/2)</f>
        <v>0.70867330433844933</v>
      </c>
      <c r="Q141" s="116">
        <f>Q80/((P30+Q30)/2)</f>
        <v>0</v>
      </c>
      <c r="R141" s="116">
        <f t="shared" si="220"/>
        <v>0.80183105129243426</v>
      </c>
      <c r="S141" s="16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169"/>
      <c r="AK141" s="143">
        <f>+AK140/AC138</f>
        <v>-6.7524115755627057E-2</v>
      </c>
      <c r="AL141" s="143">
        <f>+AL140/AD138</f>
        <v>2.2413793103448227E-2</v>
      </c>
      <c r="AM141" s="143">
        <f>+AM140/AE138</f>
        <v>-0.11467116357504212</v>
      </c>
      <c r="AN141" s="143">
        <f>+AN140/AF138</f>
        <v>0.18095238095238095</v>
      </c>
      <c r="AO141" s="143"/>
    </row>
    <row r="142" spans="1:41" ht="15.75" x14ac:dyDescent="0.25">
      <c r="A142" s="72" t="s">
        <v>33</v>
      </c>
      <c r="B142" s="116">
        <f>B80/B38</f>
        <v>0.62184473265224893</v>
      </c>
      <c r="C142" s="116">
        <f>C80/((B38+C38)/2)</f>
        <v>0.69086762281208691</v>
      </c>
      <c r="D142" s="116">
        <f>D80/((C38+D38)/2)</f>
        <v>0.84620321241219343</v>
      </c>
      <c r="E142" s="116">
        <f>E80/((D38+E38)/2)</f>
        <v>0.71505581955230291</v>
      </c>
      <c r="F142" s="116">
        <f>F80/((D38+F38)/2)</f>
        <v>0.71229072707001839</v>
      </c>
      <c r="G142" s="116">
        <f t="shared" ref="G142:Q142" si="226">G80/((F38+G38)/2)</f>
        <v>0.79543779665251058</v>
      </c>
      <c r="H142" s="116">
        <f t="shared" si="226"/>
        <v>0.90881469441476848</v>
      </c>
      <c r="I142" s="116">
        <f t="shared" si="226"/>
        <v>0.97673353918196038</v>
      </c>
      <c r="J142" s="116">
        <f t="shared" si="226"/>
        <v>0.83221775992860325</v>
      </c>
      <c r="K142" s="116">
        <f t="shared" si="226"/>
        <v>0.80907510009301575</v>
      </c>
      <c r="L142" s="116">
        <f t="shared" si="226"/>
        <v>0.69581332022238196</v>
      </c>
      <c r="M142" s="116">
        <f t="shared" si="226"/>
        <v>0.65655904595695169</v>
      </c>
      <c r="N142" s="116">
        <f t="shared" si="226"/>
        <v>0.67771948233648127</v>
      </c>
      <c r="O142" s="116">
        <f t="shared" si="226"/>
        <v>0.56114546046208913</v>
      </c>
      <c r="P142" s="116">
        <f t="shared" si="226"/>
        <v>0.57687918775784885</v>
      </c>
      <c r="Q142" s="116">
        <f t="shared" si="226"/>
        <v>0</v>
      </c>
      <c r="R142" s="116">
        <f t="shared" si="220"/>
        <v>0.63362329934715056</v>
      </c>
      <c r="S142" s="172" t="s">
        <v>157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169"/>
    </row>
    <row r="143" spans="1:41" ht="15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116"/>
      <c r="S143" s="165" t="str">
        <f>+S136</f>
        <v xml:space="preserve">   Residential &amp; Commercial Sales</v>
      </c>
      <c r="T143" s="8"/>
      <c r="U143" s="8"/>
      <c r="V143" s="8"/>
      <c r="W143" s="8"/>
      <c r="X143" s="8"/>
      <c r="Y143" s="171">
        <f t="shared" ref="Y143:AI143" si="227">+Y136/Y$139</f>
        <v>0.68332108743570907</v>
      </c>
      <c r="Z143" s="183">
        <f t="shared" si="227"/>
        <v>0.72297297297297303</v>
      </c>
      <c r="AA143" s="183">
        <f t="shared" si="227"/>
        <v>0.72585227272727271</v>
      </c>
      <c r="AB143" s="171">
        <f t="shared" si="227"/>
        <v>0.65696594427244581</v>
      </c>
      <c r="AC143" s="171">
        <f t="shared" si="227"/>
        <v>0.63734392735527812</v>
      </c>
      <c r="AD143" s="171">
        <f t="shared" si="227"/>
        <v>0.64848844101956138</v>
      </c>
      <c r="AE143" s="171">
        <f t="shared" si="227"/>
        <v>0.62382075471698117</v>
      </c>
      <c r="AF143" s="171">
        <f t="shared" si="227"/>
        <v>0.66334894613583129</v>
      </c>
      <c r="AG143" s="171">
        <f t="shared" si="227"/>
        <v>0.59054634745242485</v>
      </c>
      <c r="AH143" s="171">
        <f t="shared" si="227"/>
        <v>0.62513601741022851</v>
      </c>
      <c r="AI143" s="171" t="e">
        <f t="shared" si="227"/>
        <v>#DIV/0!</v>
      </c>
      <c r="AJ143" s="191">
        <f t="shared" ref="AJ143:AJ146" si="228">AVERAGE(AD143:AH143)</f>
        <v>0.63026810134700528</v>
      </c>
    </row>
    <row r="144" spans="1:41" ht="15.75" x14ac:dyDescent="0.25">
      <c r="A144" s="117" t="s">
        <v>71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116"/>
      <c r="S144" s="165" t="str">
        <f>+S137</f>
        <v xml:space="preserve">   Industrial Sales</v>
      </c>
      <c r="T144" s="8"/>
      <c r="U144" s="8"/>
      <c r="V144" s="8"/>
      <c r="W144" s="8"/>
      <c r="X144" s="8"/>
      <c r="Y144" s="171">
        <f t="shared" ref="Y144:AI144" si="229">+Y137/Y$139</f>
        <v>6.465833945628216E-2</v>
      </c>
      <c r="Z144" s="183">
        <f t="shared" si="229"/>
        <v>4.27927927927928E-2</v>
      </c>
      <c r="AA144" s="183">
        <f t="shared" si="229"/>
        <v>2.2017045454545452E-2</v>
      </c>
      <c r="AB144" s="171">
        <f t="shared" si="229"/>
        <v>9.9071207430340563E-3</v>
      </c>
      <c r="AC144" s="171">
        <f t="shared" si="229"/>
        <v>9.6481271282633368E-3</v>
      </c>
      <c r="AD144" s="171">
        <f t="shared" si="229"/>
        <v>7.7059869590989927E-3</v>
      </c>
      <c r="AE144" s="171">
        <f t="shared" si="229"/>
        <v>2.6533018867924529E-2</v>
      </c>
      <c r="AF144" s="171">
        <f t="shared" si="229"/>
        <v>2.9274004683840747E-2</v>
      </c>
      <c r="AG144" s="171">
        <f t="shared" si="229"/>
        <v>2.8852056476365868E-2</v>
      </c>
      <c r="AH144" s="171">
        <f t="shared" si="229"/>
        <v>2.3939064200217627E-2</v>
      </c>
      <c r="AI144" s="171" t="e">
        <f t="shared" si="229"/>
        <v>#DIV/0!</v>
      </c>
      <c r="AJ144" s="191">
        <f t="shared" si="228"/>
        <v>2.3260826237489554E-2</v>
      </c>
    </row>
    <row r="145" spans="1:39" ht="15" x14ac:dyDescent="0.2">
      <c r="A145" s="72" t="s">
        <v>136</v>
      </c>
      <c r="B145" s="72"/>
      <c r="C145" s="72"/>
      <c r="D145" s="72"/>
      <c r="E145" s="72"/>
      <c r="F145" s="72"/>
      <c r="G145" s="72"/>
      <c r="H145" s="28" t="s">
        <v>111</v>
      </c>
      <c r="I145" s="28" t="s">
        <v>111</v>
      </c>
      <c r="J145" s="28" t="s">
        <v>111</v>
      </c>
      <c r="K145" s="28" t="s">
        <v>111</v>
      </c>
      <c r="L145" s="28" t="s">
        <v>137</v>
      </c>
      <c r="M145" s="28" t="s">
        <v>164</v>
      </c>
      <c r="N145" s="28" t="s">
        <v>164</v>
      </c>
      <c r="O145" s="28" t="s">
        <v>164</v>
      </c>
      <c r="P145" s="28" t="s">
        <v>164</v>
      </c>
      <c r="Q145" s="28" t="s">
        <v>164</v>
      </c>
      <c r="R145" s="116"/>
      <c r="S145" s="165" t="str">
        <f>+S138</f>
        <v xml:space="preserve">   Transportation for Industrial </v>
      </c>
      <c r="T145" s="8"/>
      <c r="U145" s="8"/>
      <c r="V145" s="8"/>
      <c r="W145" s="8"/>
      <c r="X145" s="8"/>
      <c r="Y145" s="171">
        <f t="shared" ref="Y145:AI145" si="230">+Y138/Y$139</f>
        <v>0.25202057310800879</v>
      </c>
      <c r="Z145" s="183">
        <f t="shared" si="230"/>
        <v>0.23423423423423426</v>
      </c>
      <c r="AA145" s="183">
        <f t="shared" si="230"/>
        <v>0.25213068181818182</v>
      </c>
      <c r="AB145" s="171">
        <f t="shared" si="230"/>
        <v>0.33312693498452012</v>
      </c>
      <c r="AC145" s="171">
        <f t="shared" si="230"/>
        <v>0.35300794551645859</v>
      </c>
      <c r="AD145" s="171">
        <f t="shared" si="230"/>
        <v>0.34380557202133966</v>
      </c>
      <c r="AE145" s="171">
        <f t="shared" si="230"/>
        <v>0.34964622641509435</v>
      </c>
      <c r="AF145" s="171">
        <f t="shared" si="230"/>
        <v>0.30737704918032782</v>
      </c>
      <c r="AG145" s="171">
        <f t="shared" si="230"/>
        <v>0.3806015960712093</v>
      </c>
      <c r="AH145" s="171">
        <f t="shared" si="230"/>
        <v>0.35092491838955386</v>
      </c>
      <c r="AI145" s="171" t="e">
        <f t="shared" si="230"/>
        <v>#DIV/0!</v>
      </c>
      <c r="AJ145" s="191">
        <f t="shared" si="228"/>
        <v>0.34647107241550501</v>
      </c>
    </row>
    <row r="146" spans="1:39" ht="15" x14ac:dyDescent="0.2">
      <c r="A146" s="72" t="s">
        <v>135</v>
      </c>
      <c r="B146" s="72"/>
      <c r="C146" s="72"/>
      <c r="D146" s="72"/>
      <c r="E146" s="72"/>
      <c r="F146" s="72"/>
      <c r="G146" s="72"/>
      <c r="H146" s="28"/>
      <c r="I146" s="28"/>
      <c r="J146" s="28" t="s">
        <v>133</v>
      </c>
      <c r="K146" s="28" t="s">
        <v>134</v>
      </c>
      <c r="L146" s="28" t="s">
        <v>134</v>
      </c>
      <c r="M146" s="28" t="s">
        <v>134</v>
      </c>
      <c r="N146" s="28" t="s">
        <v>134</v>
      </c>
      <c r="O146" s="28" t="s">
        <v>134</v>
      </c>
      <c r="P146" s="28" t="s">
        <v>134</v>
      </c>
      <c r="Q146" s="28" t="s">
        <v>133</v>
      </c>
      <c r="R146" s="116"/>
      <c r="S146" s="165" t="str">
        <f>+S139</f>
        <v xml:space="preserve">      Total Deliveries</v>
      </c>
      <c r="T146" s="8"/>
      <c r="U146" s="8"/>
      <c r="V146" s="8"/>
      <c r="W146" s="8"/>
      <c r="X146" s="8"/>
      <c r="Y146" s="171">
        <f t="shared" ref="Y146:AI146" si="231">+Y139/Y$139</f>
        <v>1</v>
      </c>
      <c r="Z146" s="183">
        <f t="shared" si="231"/>
        <v>1</v>
      </c>
      <c r="AA146" s="183">
        <f t="shared" si="231"/>
        <v>1</v>
      </c>
      <c r="AB146" s="171">
        <f t="shared" si="231"/>
        <v>1</v>
      </c>
      <c r="AC146" s="171">
        <f t="shared" si="231"/>
        <v>1</v>
      </c>
      <c r="AD146" s="171">
        <f t="shared" si="231"/>
        <v>1</v>
      </c>
      <c r="AE146" s="171">
        <f t="shared" si="231"/>
        <v>1</v>
      </c>
      <c r="AF146" s="171">
        <f t="shared" si="231"/>
        <v>1</v>
      </c>
      <c r="AG146" s="171">
        <f t="shared" si="231"/>
        <v>1</v>
      </c>
      <c r="AH146" s="171">
        <f t="shared" si="231"/>
        <v>1</v>
      </c>
      <c r="AI146" s="171" t="e">
        <f t="shared" si="231"/>
        <v>#DIV/0!</v>
      </c>
      <c r="AJ146" s="191">
        <f t="shared" si="228"/>
        <v>1</v>
      </c>
    </row>
    <row r="147" spans="1:39" ht="15" x14ac:dyDescent="0.2">
      <c r="A147" s="72" t="s">
        <v>131</v>
      </c>
      <c r="B147" s="72"/>
      <c r="C147" s="72"/>
      <c r="D147" s="72"/>
      <c r="E147" s="72"/>
      <c r="F147" s="72"/>
      <c r="G147" s="72"/>
      <c r="H147" s="28"/>
      <c r="I147" s="28"/>
      <c r="J147" s="28"/>
      <c r="K147" s="28" t="s">
        <v>132</v>
      </c>
      <c r="L147" s="28" t="s">
        <v>132</v>
      </c>
      <c r="M147" s="28" t="s">
        <v>132</v>
      </c>
      <c r="N147" s="28" t="s">
        <v>132</v>
      </c>
      <c r="O147" s="28" t="s">
        <v>132</v>
      </c>
      <c r="P147" s="28" t="s">
        <v>132</v>
      </c>
      <c r="Q147" s="28" t="s">
        <v>132</v>
      </c>
      <c r="R147" s="116"/>
      <c r="S147" s="16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169"/>
    </row>
    <row r="148" spans="1:39" ht="15.75" x14ac:dyDescent="0.25">
      <c r="A148" s="72" t="s">
        <v>141</v>
      </c>
      <c r="B148" s="116">
        <f t="shared" ref="B148:O148" si="232">(+B99+B93)/B93</f>
        <v>2.4071877180739705</v>
      </c>
      <c r="C148" s="116">
        <f t="shared" si="232"/>
        <v>2.7609429209638323</v>
      </c>
      <c r="D148" s="116">
        <f t="shared" si="232"/>
        <v>2.6723304033309501</v>
      </c>
      <c r="E148" s="116">
        <f t="shared" si="232"/>
        <v>3.2310735719048678</v>
      </c>
      <c r="F148" s="116">
        <f t="shared" si="232"/>
        <v>2.6026019824628288</v>
      </c>
      <c r="G148" s="116">
        <f t="shared" si="232"/>
        <v>3.5967161607459586</v>
      </c>
      <c r="H148" s="116">
        <f t="shared" si="232"/>
        <v>3.8401131064589742</v>
      </c>
      <c r="I148" s="116">
        <f t="shared" si="232"/>
        <v>3.6061946902654869</v>
      </c>
      <c r="J148" s="116">
        <f t="shared" si="232"/>
        <v>3.5084033613445378</v>
      </c>
      <c r="K148" s="116">
        <f t="shared" si="232"/>
        <v>3.5476190476190474</v>
      </c>
      <c r="L148" s="116">
        <f t="shared" si="232"/>
        <v>3.3157894736842106</v>
      </c>
      <c r="M148" s="116">
        <f t="shared" si="232"/>
        <v>3.6374045801526718</v>
      </c>
      <c r="N148" s="116">
        <f t="shared" si="232"/>
        <v>3.8416988416988418</v>
      </c>
      <c r="O148" s="116">
        <f t="shared" si="232"/>
        <v>4.0829875518672196</v>
      </c>
      <c r="P148" s="116">
        <f>(+P99+P93)/P93</f>
        <v>4.7982062780269059</v>
      </c>
      <c r="Q148" s="116" t="e">
        <f>(+Q99+Q93)/Q93</f>
        <v>#DIV/0!</v>
      </c>
      <c r="R148" s="116">
        <f>AVERAGE(L148:P148)</f>
        <v>3.9352173450859702</v>
      </c>
      <c r="S148" s="172" t="s">
        <v>188</v>
      </c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169"/>
    </row>
    <row r="149" spans="1:39" ht="15" x14ac:dyDescent="0.2">
      <c r="A149" s="72" t="s">
        <v>140</v>
      </c>
      <c r="B149" s="45">
        <f t="shared" ref="B149:O149" si="233">(B41+B49)/(B62+B49+B41)</f>
        <v>0.53602915660400952</v>
      </c>
      <c r="C149" s="45">
        <f t="shared" si="233"/>
        <v>0.55595167626325137</v>
      </c>
      <c r="D149" s="45">
        <f t="shared" si="233"/>
        <v>0.5347292666939405</v>
      </c>
      <c r="E149" s="45">
        <f t="shared" si="233"/>
        <v>0.50596006473266297</v>
      </c>
      <c r="F149" s="45">
        <f t="shared" si="233"/>
        <v>0.52526462951867381</v>
      </c>
      <c r="G149" s="45">
        <f t="shared" si="233"/>
        <v>0.53895730351551807</v>
      </c>
      <c r="H149" s="45">
        <f t="shared" si="233"/>
        <v>0.5570968630604709</v>
      </c>
      <c r="I149" s="45">
        <f t="shared" si="233"/>
        <v>0.49740774626410489</v>
      </c>
      <c r="J149" s="45">
        <f t="shared" si="233"/>
        <v>0.50160912814511405</v>
      </c>
      <c r="K149" s="45">
        <f t="shared" si="233"/>
        <v>0.54371811602799858</v>
      </c>
      <c r="L149" s="45">
        <f t="shared" si="233"/>
        <v>0.53387850467289721</v>
      </c>
      <c r="M149" s="45">
        <f t="shared" si="233"/>
        <v>0.55661082061679645</v>
      </c>
      <c r="N149" s="45">
        <f t="shared" si="233"/>
        <v>0.48095456631482331</v>
      </c>
      <c r="O149" s="45">
        <f t="shared" si="233"/>
        <v>0.54075820074641523</v>
      </c>
      <c r="P149" s="45">
        <f>(P41+P49)/(P62+P49+P41)</f>
        <v>0.48932210899424017</v>
      </c>
      <c r="Q149" s="45" t="e">
        <f>(Q41+Q49)/(Q62+Q49+Q41)</f>
        <v>#DIV/0!</v>
      </c>
      <c r="R149" s="43">
        <f t="shared" ref="R149:R152" si="234">AVERAGE(L149:P149)</f>
        <v>0.52030484026903445</v>
      </c>
      <c r="S149" s="165" t="str">
        <f>+S143</f>
        <v xml:space="preserve">   Residential &amp; Commercial Sales</v>
      </c>
      <c r="T149" s="73"/>
      <c r="U149" s="73"/>
      <c r="V149" s="73"/>
      <c r="W149" s="73"/>
      <c r="X149" s="73"/>
      <c r="Y149" s="174">
        <v>7.32</v>
      </c>
      <c r="Z149" s="180">
        <v>9.01</v>
      </c>
      <c r="AA149" s="180">
        <v>9.67</v>
      </c>
      <c r="AB149" s="205">
        <v>8.26</v>
      </c>
      <c r="AC149" s="205">
        <v>8.25</v>
      </c>
      <c r="AD149" s="205">
        <v>7.99</v>
      </c>
      <c r="AE149" s="205">
        <v>7.88</v>
      </c>
      <c r="AF149" s="205">
        <v>7.88</v>
      </c>
      <c r="AG149" s="205">
        <v>8.19</v>
      </c>
      <c r="AH149" s="205">
        <v>7.92</v>
      </c>
      <c r="AI149" s="205"/>
      <c r="AJ149" s="206">
        <f t="shared" ref="AJ149:AJ151" si="235">AVERAGE(AD149:AH149)</f>
        <v>7.9719999999999995</v>
      </c>
    </row>
    <row r="150" spans="1:39" ht="15" x14ac:dyDescent="0.2">
      <c r="A150" s="72" t="s">
        <v>139</v>
      </c>
      <c r="B150" s="45">
        <f>+('Historical CF - Exhibit 1B'!B27+'Historical CF - Exhibit 1B'!B41)/(B41+B49)</f>
        <v>0.13213604995070655</v>
      </c>
      <c r="C150" s="45">
        <f>+('Historical CF - Exhibit 1B'!C27+'Historical CF - Exhibit 1B'!C41)/(C41+C49)</f>
        <v>0.1153750756200847</v>
      </c>
      <c r="D150" s="45">
        <f>+('Historical CF - Exhibit 1B'!D27+'Historical CF - Exhibit 1B'!D41)/(D41+D49)</f>
        <v>5.1936860068259386E-2</v>
      </c>
      <c r="E150" s="45">
        <f>+('Historical CF - Exhibit 1B'!E27+'Historical CF - Exhibit 1B'!E41)/(E41+E49)</f>
        <v>0.31064405724953331</v>
      </c>
      <c r="F150" s="45">
        <f>+('Historical CF - Exhibit 1B'!F27+'Historical CF - Exhibit 1B'!F41)/(F41+F49)</f>
        <v>0.14961099736765135</v>
      </c>
      <c r="G150" s="45">
        <f>+('Historical CF - Exhibit 1B'!G27+'Historical CF - Exhibit 1B'!G41)/(G41+G49)</f>
        <v>0.14139326453014667</v>
      </c>
      <c r="H150" s="45">
        <f>+('Historical CF - Exhibit 1B'!H27+'Historical CF - Exhibit 1B'!H41)/(H41+H49)</f>
        <v>9.0347152847152848E-2</v>
      </c>
      <c r="I150" s="45">
        <f>+('Historical CF - Exhibit 1B'!I27+'Historical CF - Exhibit 1B'!I41)/(I41+I49)</f>
        <v>0.4619865113427345</v>
      </c>
      <c r="J150" s="45">
        <f>+('Historical CF - Exhibit 1B'!J27+'Historical CF - Exhibit 1B'!J41)/(J41+J49)</f>
        <v>0.25517643627879849</v>
      </c>
      <c r="K150" s="45">
        <f>+('Historical CF - Exhibit 1B'!K27+'Historical CF - Exhibit 1B'!K41)/(K41+K49)</f>
        <v>5.4985817150338206E-2</v>
      </c>
      <c r="L150" s="45">
        <f>+('Historical CF - Exhibit 1B'!L27+'Historical CF - Exhibit 1B'!L41)/(L41+L49)</f>
        <v>0.19934354485776806</v>
      </c>
      <c r="M150" s="45">
        <f>+('Historical CF - Exhibit 1B'!M27+'Historical CF - Exhibit 1B'!M41)/(M41+M49)</f>
        <v>7.7645705521472388E-2</v>
      </c>
      <c r="N150" s="45">
        <f>+('Historical CF - Exhibit 1B'!N27+'Historical CF - Exhibit 1B'!N41)/(N41+N49)</f>
        <v>0.27814885496183206</v>
      </c>
      <c r="O150" s="45">
        <f>+('Historical CF - Exhibit 1B'!O27+'Historical CF - Exhibit 1B'!O41)/(O41+O49)</f>
        <v>0.14475118053033054</v>
      </c>
      <c r="P150" s="45">
        <f>+('Historical CF - Exhibit 1B'!P27+'Historical CF - Exhibit 1B'!P41)/(P41+P49)</f>
        <v>0.21332850416515756</v>
      </c>
      <c r="Q150" s="45" t="e">
        <f>+('Historical CF - Exhibit 1B'!R27+('Historical CF - Exhibit 1B'!R41*2))/(Q41+Q49)</f>
        <v>#DIV/0!</v>
      </c>
      <c r="R150" s="43">
        <f t="shared" si="234"/>
        <v>0.18264355800731211</v>
      </c>
      <c r="S150" s="165" t="str">
        <f>+S144</f>
        <v xml:space="preserve">   Industrial Sales</v>
      </c>
      <c r="T150" s="73"/>
      <c r="U150" s="73"/>
      <c r="V150" s="73"/>
      <c r="W150" s="73"/>
      <c r="X150" s="73"/>
      <c r="Y150" s="174">
        <v>5.56</v>
      </c>
      <c r="Z150" s="180">
        <v>7.06</v>
      </c>
      <c r="AA150" s="180">
        <v>7.64</v>
      </c>
      <c r="AB150" s="207">
        <v>6.18</v>
      </c>
      <c r="AC150" s="207">
        <v>6.99</v>
      </c>
      <c r="AD150" s="207">
        <v>6.5</v>
      </c>
      <c r="AE150" s="207">
        <v>5.89</v>
      </c>
      <c r="AF150" s="207">
        <v>6.03</v>
      </c>
      <c r="AG150" s="207">
        <v>5.79</v>
      </c>
      <c r="AH150" s="207">
        <v>6.47</v>
      </c>
      <c r="AI150" s="207"/>
      <c r="AJ150" s="231">
        <f t="shared" si="235"/>
        <v>6.1360000000000001</v>
      </c>
    </row>
    <row r="151" spans="1:39" ht="15" x14ac:dyDescent="0.2">
      <c r="A151" s="72" t="s">
        <v>142</v>
      </c>
      <c r="B151" s="43">
        <f t="shared" ref="B151:O151" si="236">+B102/B62</f>
        <v>7.2967011272129484E-2</v>
      </c>
      <c r="C151" s="43">
        <f t="shared" si="236"/>
        <v>9.1507104553579549E-2</v>
      </c>
      <c r="D151" s="43">
        <f t="shared" si="236"/>
        <v>8.4571910475960105E-2</v>
      </c>
      <c r="E151" s="43">
        <f t="shared" si="236"/>
        <v>0.10323807945753725</v>
      </c>
      <c r="F151" s="43">
        <f t="shared" si="236"/>
        <v>6.5311802207048311E-2</v>
      </c>
      <c r="G151" s="43">
        <f t="shared" si="236"/>
        <v>9.9885386273656937E-2</v>
      </c>
      <c r="H151" s="43">
        <f t="shared" si="236"/>
        <v>0.11301307464674579</v>
      </c>
      <c r="I151" s="43">
        <f t="shared" si="236"/>
        <v>0.11225728155339806</v>
      </c>
      <c r="J151" s="43">
        <f t="shared" si="236"/>
        <v>0.10977399471675961</v>
      </c>
      <c r="K151" s="43">
        <f t="shared" si="236"/>
        <v>0.10452418096723869</v>
      </c>
      <c r="L151" s="43">
        <f t="shared" si="236"/>
        <v>0.10426065162907268</v>
      </c>
      <c r="M151" s="43">
        <f t="shared" si="236"/>
        <v>0.10565583634175692</v>
      </c>
      <c r="N151" s="43">
        <f t="shared" si="236"/>
        <v>0.10190097259062776</v>
      </c>
      <c r="O151" s="43">
        <f t="shared" si="236"/>
        <v>0.10072711719418306</v>
      </c>
      <c r="P151" s="43">
        <f t="shared" ref="P151" si="237">+P102/P62</f>
        <v>9.1618948464341488E-2</v>
      </c>
      <c r="Q151" s="43" t="e">
        <f>+Q102*(4/3)/Q62</f>
        <v>#DIV/0!</v>
      </c>
      <c r="R151" s="43">
        <f t="shared" si="234"/>
        <v>0.10083270524399639</v>
      </c>
      <c r="S151" s="165" t="str">
        <f>+S145</f>
        <v xml:space="preserve">   Transportation for Industrial </v>
      </c>
      <c r="T151" s="73"/>
      <c r="U151" s="73"/>
      <c r="V151" s="73"/>
      <c r="W151" s="73"/>
      <c r="X151" s="73"/>
      <c r="Y151" s="174">
        <v>0.19</v>
      </c>
      <c r="Z151" s="180">
        <v>0.19</v>
      </c>
      <c r="AA151" s="180">
        <v>0.19</v>
      </c>
      <c r="AB151" s="207">
        <v>0.18</v>
      </c>
      <c r="AC151" s="207">
        <v>0.16</v>
      </c>
      <c r="AD151" s="207">
        <v>0.19</v>
      </c>
      <c r="AE151" s="207">
        <v>0.16</v>
      </c>
      <c r="AF151" s="207">
        <v>0.21</v>
      </c>
      <c r="AG151" s="207">
        <v>0.19</v>
      </c>
      <c r="AH151" s="207">
        <v>0.22</v>
      </c>
      <c r="AI151" s="207"/>
      <c r="AJ151" s="231">
        <f t="shared" si="235"/>
        <v>0.19400000000000001</v>
      </c>
    </row>
    <row r="152" spans="1:39" ht="15" x14ac:dyDescent="0.2">
      <c r="A152" s="72" t="s">
        <v>138</v>
      </c>
      <c r="B152" s="72"/>
      <c r="C152" s="45">
        <f t="shared" ref="C152:P152" si="238">+C93/((C41+B41+C49+B49)*0.5)</f>
        <v>6.6281304142384631E-2</v>
      </c>
      <c r="D152" s="45">
        <f t="shared" si="238"/>
        <v>6.9706830841395478E-2</v>
      </c>
      <c r="E152" s="45">
        <f t="shared" si="238"/>
        <v>6.6849925705794955E-2</v>
      </c>
      <c r="F152" s="45">
        <f t="shared" si="238"/>
        <v>6.3271521181968937E-2</v>
      </c>
      <c r="G152" s="45">
        <f t="shared" si="238"/>
        <v>5.5578087593296716E-2</v>
      </c>
      <c r="H152" s="45">
        <f t="shared" si="238"/>
        <v>5.2453812125943272E-2</v>
      </c>
      <c r="I152" s="45">
        <f t="shared" si="238"/>
        <v>6.2207541976328107E-2</v>
      </c>
      <c r="J152" s="45">
        <f t="shared" si="238"/>
        <v>7.1140337767149897E-2</v>
      </c>
      <c r="K152" s="45">
        <f t="shared" si="238"/>
        <v>6.2905641537693457E-2</v>
      </c>
      <c r="L152" s="45">
        <f t="shared" si="238"/>
        <v>6.2274664044575552E-2</v>
      </c>
      <c r="M152" s="45">
        <f t="shared" si="238"/>
        <v>5.3545881872062127E-2</v>
      </c>
      <c r="N152" s="45">
        <f t="shared" si="238"/>
        <v>5.5059523809523808E-2</v>
      </c>
      <c r="O152" s="45">
        <f t="shared" si="238"/>
        <v>4.9700969272014846E-2</v>
      </c>
      <c r="P152" s="45">
        <f t="shared" si="238"/>
        <v>4.0442509974610082E-2</v>
      </c>
      <c r="Q152" s="45">
        <f>(4/3)*Q93/((Q41+P41+Q49+P49)*0.5)</f>
        <v>0</v>
      </c>
      <c r="R152" s="43">
        <f t="shared" si="234"/>
        <v>5.2204709794557283E-2</v>
      </c>
      <c r="S152" s="165"/>
      <c r="T152" s="73"/>
      <c r="U152" s="73"/>
      <c r="V152" s="73"/>
      <c r="W152" s="73"/>
      <c r="X152" s="73"/>
      <c r="Y152" s="73"/>
      <c r="Z152" s="180"/>
      <c r="AA152" s="180"/>
      <c r="AB152" s="205"/>
      <c r="AC152" s="205"/>
      <c r="AD152" s="205"/>
      <c r="AE152" s="205"/>
      <c r="AF152" s="205"/>
      <c r="AG152" s="205"/>
      <c r="AH152" s="205"/>
      <c r="AI152" s="205"/>
      <c r="AJ152" s="206"/>
    </row>
    <row r="153" spans="1:39" ht="15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143"/>
      <c r="L153" s="143"/>
      <c r="M153" s="143"/>
      <c r="N153" s="143"/>
      <c r="O153" s="143"/>
      <c r="P153" s="143"/>
      <c r="Q153" s="143"/>
      <c r="R153" s="116"/>
      <c r="S153" s="165" t="s">
        <v>186</v>
      </c>
      <c r="T153" s="73"/>
      <c r="U153" s="73"/>
      <c r="V153" s="73"/>
      <c r="W153" s="73"/>
      <c r="X153" s="73"/>
      <c r="Y153" s="174">
        <v>5.2</v>
      </c>
      <c r="Z153" s="180">
        <v>6.46</v>
      </c>
      <c r="AA153" s="193">
        <v>6.54</v>
      </c>
      <c r="AB153" s="204">
        <v>5.93</v>
      </c>
      <c r="AC153" s="204">
        <v>6.14</v>
      </c>
      <c r="AD153" s="204">
        <v>5.01</v>
      </c>
      <c r="AE153" s="204">
        <v>5.34</v>
      </c>
      <c r="AF153" s="204">
        <v>5.05</v>
      </c>
      <c r="AG153" s="204">
        <v>4.7699999999999996</v>
      </c>
      <c r="AH153" s="204">
        <v>5</v>
      </c>
      <c r="AI153" s="204"/>
      <c r="AJ153" s="206">
        <f>AVERAGE(AD153:AH153)</f>
        <v>5.0339999999999998</v>
      </c>
    </row>
    <row r="154" spans="1:39" ht="15.75" x14ac:dyDescent="0.25">
      <c r="A154" s="117" t="s">
        <v>117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116"/>
      <c r="S154" s="16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189"/>
      <c r="AF154" s="189"/>
      <c r="AG154" s="8"/>
      <c r="AH154" s="8"/>
      <c r="AI154" s="8"/>
      <c r="AJ154" s="167"/>
    </row>
    <row r="155" spans="1:39" ht="15" x14ac:dyDescent="0.2">
      <c r="A155" s="72" t="s">
        <v>61</v>
      </c>
      <c r="B155" s="43">
        <f t="shared" ref="B155:N155" si="239">(B42+B49)/(B$42+B$49+B$62)</f>
        <v>0.46069456359939637</v>
      </c>
      <c r="C155" s="43">
        <f t="shared" si="239"/>
        <v>0.46007001243211409</v>
      </c>
      <c r="D155" s="43">
        <f t="shared" si="239"/>
        <v>0.48229144279600428</v>
      </c>
      <c r="E155" s="43">
        <f t="shared" si="239"/>
        <v>0.47592964924819814</v>
      </c>
      <c r="F155" s="43">
        <f t="shared" si="239"/>
        <v>0.48413215138311549</v>
      </c>
      <c r="G155" s="43">
        <f t="shared" si="239"/>
        <v>0.46430861386020739</v>
      </c>
      <c r="H155" s="43">
        <f t="shared" si="239"/>
        <v>0.50364401256147417</v>
      </c>
      <c r="I155" s="43">
        <f t="shared" si="239"/>
        <v>0.49494330370824396</v>
      </c>
      <c r="J155" s="43">
        <f t="shared" si="239"/>
        <v>0.47881291112130947</v>
      </c>
      <c r="K155" s="43">
        <f t="shared" si="239"/>
        <v>0.49032600053008218</v>
      </c>
      <c r="L155" s="43">
        <f t="shared" si="239"/>
        <v>0.48114434330299088</v>
      </c>
      <c r="M155" s="43">
        <f t="shared" si="239"/>
        <v>0.47103755569700828</v>
      </c>
      <c r="N155" s="43">
        <f t="shared" si="239"/>
        <v>0.44856167723061918</v>
      </c>
      <c r="O155" s="43">
        <f>(O42+O49)/(O$42+O$49+O$62)</f>
        <v>0.47701599373671849</v>
      </c>
      <c r="P155" s="43">
        <f t="shared" ref="P155:Q155" si="240">(P42+P49)/(P$42+P$49+P$62)</f>
        <v>0.48118473172488296</v>
      </c>
      <c r="Q155" s="43" t="e">
        <f t="shared" si="240"/>
        <v>#DIV/0!</v>
      </c>
      <c r="R155" s="43">
        <f t="shared" ref="R155:R157" si="241">AVERAGE(L155:P155)</f>
        <v>0.47178886033844397</v>
      </c>
      <c r="S155" s="165" t="s">
        <v>159</v>
      </c>
      <c r="T155" s="73"/>
      <c r="U155" s="73"/>
      <c r="V155" s="73"/>
      <c r="W155" s="73"/>
      <c r="X155" s="73"/>
      <c r="Y155" s="175">
        <v>0.03</v>
      </c>
      <c r="Z155" s="184">
        <v>-0.03</v>
      </c>
      <c r="AA155" s="184">
        <v>-0.02</v>
      </c>
      <c r="AB155" s="175">
        <v>0.02</v>
      </c>
      <c r="AC155" s="175">
        <v>0.08</v>
      </c>
      <c r="AD155" s="175">
        <v>0.05</v>
      </c>
      <c r="AE155" s="175">
        <v>0.01</v>
      </c>
      <c r="AF155" s="175">
        <v>7.0000000000000007E-2</v>
      </c>
      <c r="AG155" s="175">
        <v>-0.16</v>
      </c>
      <c r="AH155" s="175">
        <v>0.08</v>
      </c>
      <c r="AI155" s="175"/>
      <c r="AJ155" s="227">
        <f>AVERAGE(AD155:AH155)</f>
        <v>0.01</v>
      </c>
      <c r="AK155" s="203">
        <f>+AG153-AF153</f>
        <v>-0.28000000000000025</v>
      </c>
    </row>
    <row r="156" spans="1:39" ht="15" x14ac:dyDescent="0.2">
      <c r="A156" s="72" t="s">
        <v>118</v>
      </c>
      <c r="B156" s="51">
        <f t="shared" ref="B156:O156" si="242">B62/(B$42+B$49+B$62)</f>
        <v>0.53930543640060358</v>
      </c>
      <c r="C156" s="51">
        <f t="shared" si="242"/>
        <v>0.53992998756788591</v>
      </c>
      <c r="D156" s="51">
        <f t="shared" si="242"/>
        <v>0.51770855720399578</v>
      </c>
      <c r="E156" s="51">
        <f t="shared" si="242"/>
        <v>0.52407035075180186</v>
      </c>
      <c r="F156" s="51">
        <f t="shared" si="242"/>
        <v>0.51586784861688451</v>
      </c>
      <c r="G156" s="51">
        <f t="shared" si="242"/>
        <v>0.53569138613979261</v>
      </c>
      <c r="H156" s="51">
        <f t="shared" si="242"/>
        <v>0.49635598743852583</v>
      </c>
      <c r="I156" s="51">
        <f t="shared" si="242"/>
        <v>0.50505669629175609</v>
      </c>
      <c r="J156" s="51">
        <f t="shared" si="242"/>
        <v>0.52118708887869059</v>
      </c>
      <c r="K156" s="51">
        <f t="shared" si="242"/>
        <v>0.50967399946991787</v>
      </c>
      <c r="L156" s="51">
        <f t="shared" si="242"/>
        <v>0.51885565669700906</v>
      </c>
      <c r="M156" s="51">
        <f t="shared" si="242"/>
        <v>0.52896244430299177</v>
      </c>
      <c r="N156" s="51">
        <f t="shared" si="242"/>
        <v>0.55143832276938076</v>
      </c>
      <c r="O156" s="51">
        <f t="shared" si="242"/>
        <v>0.52298400626328156</v>
      </c>
      <c r="P156" s="51">
        <f t="shared" ref="P156:Q156" si="243">P62/(P$42+P$49+P$62)</f>
        <v>0.51881526827511704</v>
      </c>
      <c r="Q156" s="51" t="e">
        <f t="shared" si="243"/>
        <v>#DIV/0!</v>
      </c>
      <c r="R156" s="51">
        <f t="shared" si="241"/>
        <v>0.52821113966155608</v>
      </c>
      <c r="S156" s="165" t="s">
        <v>185</v>
      </c>
      <c r="T156" s="73"/>
      <c r="U156" s="73"/>
      <c r="V156" s="73"/>
      <c r="W156" s="73"/>
      <c r="X156" s="73"/>
      <c r="Y156" s="166">
        <v>114.9</v>
      </c>
      <c r="Z156" s="166">
        <v>113.3</v>
      </c>
      <c r="AA156" s="166">
        <v>113.6</v>
      </c>
      <c r="AB156" s="166">
        <v>110.8</v>
      </c>
      <c r="AC156" s="166">
        <v>109.9</v>
      </c>
      <c r="AD156" s="166">
        <v>109</v>
      </c>
      <c r="AE156" s="166">
        <v>106.9</v>
      </c>
      <c r="AF156" s="166">
        <v>111.1</v>
      </c>
      <c r="AG156" s="166">
        <v>108.4</v>
      </c>
      <c r="AH156" s="166">
        <v>108</v>
      </c>
      <c r="AI156" s="166"/>
      <c r="AJ156" s="167">
        <f>AVERAGE(AD156:AH156)</f>
        <v>108.67999999999999</v>
      </c>
      <c r="AK156" s="143">
        <f>+AK155/AF153</f>
        <v>-5.5445544554455495E-2</v>
      </c>
      <c r="AL156" s="212">
        <v>107.24</v>
      </c>
      <c r="AM156" s="212">
        <v>106.02</v>
      </c>
    </row>
    <row r="157" spans="1:39" ht="15" x14ac:dyDescent="0.2">
      <c r="A157" s="72"/>
      <c r="B157" s="43">
        <f>SUM(B155:B156)</f>
        <v>1</v>
      </c>
      <c r="C157" s="43">
        <f>SUM(C155:C156)</f>
        <v>1</v>
      </c>
      <c r="D157" s="43">
        <f t="shared" ref="D157:K157" si="244">SUM(D155:D156)</f>
        <v>1</v>
      </c>
      <c r="E157" s="43">
        <f t="shared" si="244"/>
        <v>1</v>
      </c>
      <c r="F157" s="43">
        <f t="shared" si="244"/>
        <v>1</v>
      </c>
      <c r="G157" s="43">
        <f t="shared" si="244"/>
        <v>1</v>
      </c>
      <c r="H157" s="43">
        <f t="shared" si="244"/>
        <v>1</v>
      </c>
      <c r="I157" s="43">
        <f t="shared" si="244"/>
        <v>1</v>
      </c>
      <c r="J157" s="43">
        <f t="shared" si="244"/>
        <v>1</v>
      </c>
      <c r="K157" s="43">
        <f t="shared" si="244"/>
        <v>1</v>
      </c>
      <c r="L157" s="43">
        <f t="shared" ref="L157:O157" si="245">SUM(L155:L156)</f>
        <v>1</v>
      </c>
      <c r="M157" s="43">
        <f t="shared" si="245"/>
        <v>1</v>
      </c>
      <c r="N157" s="43">
        <f t="shared" si="245"/>
        <v>1</v>
      </c>
      <c r="O157" s="43">
        <f t="shared" si="245"/>
        <v>1</v>
      </c>
      <c r="P157" s="43">
        <f t="shared" ref="P157:Q157" si="246">SUM(P155:P156)</f>
        <v>1</v>
      </c>
      <c r="Q157" s="43" t="e">
        <f t="shared" si="246"/>
        <v>#DIV/0!</v>
      </c>
      <c r="R157" s="43">
        <f t="shared" si="241"/>
        <v>1</v>
      </c>
      <c r="S157" s="165"/>
      <c r="T157" s="73"/>
      <c r="U157" s="73"/>
      <c r="V157" s="73"/>
      <c r="W157" s="73"/>
      <c r="X157" s="73"/>
      <c r="Y157" s="73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169"/>
    </row>
    <row r="158" spans="1:39" ht="15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181"/>
      <c r="S158" s="165" t="s">
        <v>158</v>
      </c>
      <c r="T158" s="73"/>
      <c r="U158" s="73"/>
      <c r="V158" s="73"/>
      <c r="W158" s="73"/>
      <c r="X158" s="73"/>
      <c r="Y158" s="166">
        <v>794.1</v>
      </c>
      <c r="Z158" s="166">
        <v>824.4</v>
      </c>
      <c r="AA158" s="166">
        <v>850.5</v>
      </c>
      <c r="AB158" s="166">
        <v>873.6</v>
      </c>
      <c r="AC158" s="166">
        <v>888.6</v>
      </c>
      <c r="AD158" s="166">
        <v>898.6</v>
      </c>
      <c r="AE158" s="166">
        <v>909.6</v>
      </c>
      <c r="AF158" s="166">
        <v>919</v>
      </c>
      <c r="AG158" s="166">
        <v>931</v>
      </c>
      <c r="AH158" s="166">
        <v>945.971</v>
      </c>
      <c r="AI158" s="166"/>
      <c r="AJ158" s="167"/>
    </row>
    <row r="159" spans="1:39" ht="15.75" x14ac:dyDescent="0.25">
      <c r="A159" s="117" t="s">
        <v>119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181"/>
      <c r="S159" s="173" t="s">
        <v>160</v>
      </c>
      <c r="T159" s="148"/>
      <c r="U159" s="148"/>
      <c r="V159" s="148"/>
      <c r="W159" s="148"/>
      <c r="X159" s="148"/>
      <c r="Y159" s="151">
        <v>3.8193364450000003E-2</v>
      </c>
      <c r="Z159" s="182">
        <f t="shared" ref="Z159:AA159" si="247">(+Z158-Y158)/Y158</f>
        <v>3.8156403475632733E-2</v>
      </c>
      <c r="AA159" s="182">
        <f t="shared" si="247"/>
        <v>3.1659388646288235E-2</v>
      </c>
      <c r="AB159" s="182">
        <f t="shared" ref="AB159:AI159" si="248">(+AB158-AA158)/AA158</f>
        <v>2.7160493827160521E-2</v>
      </c>
      <c r="AC159" s="182">
        <f t="shared" si="248"/>
        <v>1.7170329670329668E-2</v>
      </c>
      <c r="AD159" s="182">
        <f t="shared" si="248"/>
        <v>1.1253657438667566E-2</v>
      </c>
      <c r="AE159" s="182">
        <f t="shared" si="248"/>
        <v>1.2241264188738037E-2</v>
      </c>
      <c r="AF159" s="182">
        <f t="shared" si="248"/>
        <v>1.0334212840809121E-2</v>
      </c>
      <c r="AG159" s="182">
        <f t="shared" si="248"/>
        <v>1.3057671381936888E-2</v>
      </c>
      <c r="AH159" s="182">
        <f t="shared" si="248"/>
        <v>1.6080558539205158E-2</v>
      </c>
      <c r="AI159" s="182">
        <f t="shared" si="248"/>
        <v>-1</v>
      </c>
      <c r="AJ159" s="192">
        <f>AVERAGE(AD159:AH159)</f>
        <v>1.2593472877871353E-2</v>
      </c>
    </row>
    <row r="160" spans="1:39" ht="15" x14ac:dyDescent="0.2">
      <c r="A160" s="72" t="s">
        <v>120</v>
      </c>
      <c r="B160" s="43">
        <f>(B$41)/(B$41+B$42+B$57+B$62+B$49)</f>
        <v>0.13968817653203405</v>
      </c>
      <c r="C160" s="43">
        <f>(C$41)/(C$41+C$42+C$57+C$62+C$49)</f>
        <v>0.17758166065759026</v>
      </c>
      <c r="D160" s="43">
        <f t="shared" ref="D160:Q160" si="249">(D$41)/(D$41+D$42+D$57+D$62+D$49)</f>
        <v>0.10128830819629249</v>
      </c>
      <c r="E160" s="43">
        <f t="shared" si="249"/>
        <v>5.7302259975945645E-2</v>
      </c>
      <c r="F160" s="43">
        <f t="shared" si="249"/>
        <v>7.9734525510439233E-2</v>
      </c>
      <c r="G160" s="43">
        <f t="shared" si="249"/>
        <v>0.13935017733481075</v>
      </c>
      <c r="H160" s="43">
        <f t="shared" si="249"/>
        <v>0.10769055244975137</v>
      </c>
      <c r="I160" s="43">
        <f t="shared" si="249"/>
        <v>1.9825773505557226E-2</v>
      </c>
      <c r="J160" s="43">
        <f t="shared" si="249"/>
        <v>0.10033030553261767</v>
      </c>
      <c r="K160" s="43">
        <f t="shared" si="249"/>
        <v>0.1047573852177008</v>
      </c>
      <c r="L160" s="43">
        <f t="shared" si="249"/>
        <v>0.10163551401869159</v>
      </c>
      <c r="M160" s="43">
        <f t="shared" si="249"/>
        <v>0.16356085613885635</v>
      </c>
      <c r="N160" s="43">
        <f t="shared" si="249"/>
        <v>0.14816737618108192</v>
      </c>
      <c r="O160" s="43">
        <f t="shared" si="249"/>
        <v>0.15666855310318809</v>
      </c>
      <c r="P160" s="43">
        <f t="shared" si="249"/>
        <v>1.5684536996012407E-2</v>
      </c>
      <c r="Q160" s="43" t="e">
        <f t="shared" si="249"/>
        <v>#DIV/0!</v>
      </c>
      <c r="R160" s="43">
        <f t="shared" ref="R160:R168" si="250">AVERAGE(L160:P160)</f>
        <v>0.11714336728756605</v>
      </c>
      <c r="S160" s="241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</row>
    <row r="161" spans="1:39" ht="15.75" x14ac:dyDescent="0.25">
      <c r="A161" s="72" t="s">
        <v>61</v>
      </c>
      <c r="B161" s="43">
        <f t="shared" ref="B161:O161" si="251">(B$49+B42)/(B$41+B$42+B$57+B$62+B$49)</f>
        <v>0.39634098007197555</v>
      </c>
      <c r="C161" s="43">
        <f t="shared" si="251"/>
        <v>0.37837001560566108</v>
      </c>
      <c r="D161" s="43">
        <f t="shared" si="251"/>
        <v>0.43344095849764802</v>
      </c>
      <c r="E161" s="43">
        <f t="shared" si="251"/>
        <v>0.44865780475671729</v>
      </c>
      <c r="F161" s="43">
        <f t="shared" si="251"/>
        <v>0.44553010400823462</v>
      </c>
      <c r="G161" s="43">
        <f t="shared" si="251"/>
        <v>0.39960712618070732</v>
      </c>
      <c r="H161" s="43">
        <f t="shared" si="251"/>
        <v>0.44940631061071951</v>
      </c>
      <c r="I161" s="43">
        <f t="shared" si="251"/>
        <v>0.48513066987083209</v>
      </c>
      <c r="J161" s="43">
        <f t="shared" si="251"/>
        <v>0.4307734654555464</v>
      </c>
      <c r="K161" s="43">
        <f t="shared" si="251"/>
        <v>0.43896073081029779</v>
      </c>
      <c r="L161" s="43">
        <f t="shared" si="251"/>
        <v>0.43224299065420563</v>
      </c>
      <c r="M161" s="43">
        <f t="shared" si="251"/>
        <v>0.39399424981365139</v>
      </c>
      <c r="N161" s="43">
        <f t="shared" si="251"/>
        <v>0.382099470459973</v>
      </c>
      <c r="O161" s="43">
        <f t="shared" si="251"/>
        <v>0.4022825881909074</v>
      </c>
      <c r="P161" s="43">
        <f t="shared" ref="P161:Q161" si="252">(P$49+P42)/(P$41+P$42+P$57+P$62+P$49)</f>
        <v>0.47363757199822776</v>
      </c>
      <c r="Q161" s="43" t="e">
        <f t="shared" si="252"/>
        <v>#DIV/0!</v>
      </c>
      <c r="R161" s="43">
        <f t="shared" si="250"/>
        <v>0.41685137422339302</v>
      </c>
      <c r="S161" s="251" t="s">
        <v>193</v>
      </c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3"/>
    </row>
    <row r="162" spans="1:39" ht="15.75" x14ac:dyDescent="0.25">
      <c r="A162" s="72" t="s">
        <v>5</v>
      </c>
      <c r="B162" s="43">
        <f>B$62/(B$41+B$42+B$57+B$62+B$49)</f>
        <v>0.46397084339599043</v>
      </c>
      <c r="C162" s="43">
        <f>C$62/(C$41+C$42+C$57+C$62+C$49)</f>
        <v>0.44404832373674863</v>
      </c>
      <c r="D162" s="43">
        <f t="shared" ref="D162:Q162" si="253">D$62/(D$41+D$42+D$57+D$62+D$49)</f>
        <v>0.4652707333060595</v>
      </c>
      <c r="E162" s="43">
        <f t="shared" si="253"/>
        <v>0.49403993526733708</v>
      </c>
      <c r="F162" s="43">
        <f t="shared" si="253"/>
        <v>0.47473537048132614</v>
      </c>
      <c r="G162" s="43">
        <f t="shared" si="253"/>
        <v>0.46104269648448193</v>
      </c>
      <c r="H162" s="43">
        <f t="shared" si="253"/>
        <v>0.4429031369395291</v>
      </c>
      <c r="I162" s="43">
        <f t="shared" si="253"/>
        <v>0.49504355662361071</v>
      </c>
      <c r="J162" s="43">
        <f t="shared" si="253"/>
        <v>0.46889622901183597</v>
      </c>
      <c r="K162" s="43">
        <f t="shared" si="253"/>
        <v>0.45628188397200142</v>
      </c>
      <c r="L162" s="43">
        <f t="shared" si="253"/>
        <v>0.46612149532710279</v>
      </c>
      <c r="M162" s="43">
        <f t="shared" si="253"/>
        <v>0.44244489404749227</v>
      </c>
      <c r="N162" s="43">
        <f t="shared" si="253"/>
        <v>0.46973315335894505</v>
      </c>
      <c r="O162" s="43">
        <f t="shared" si="253"/>
        <v>0.44104885870590455</v>
      </c>
      <c r="P162" s="43">
        <f t="shared" si="253"/>
        <v>0.51067789100575989</v>
      </c>
      <c r="Q162" s="43" t="e">
        <f t="shared" si="253"/>
        <v>#DIV/0!</v>
      </c>
      <c r="R162" s="228">
        <f t="shared" si="250"/>
        <v>0.46600525848904084</v>
      </c>
      <c r="S162" s="242" t="s">
        <v>192</v>
      </c>
      <c r="T162" s="163"/>
      <c r="U162" s="163"/>
      <c r="V162" s="163"/>
      <c r="W162" s="163"/>
      <c r="X162" s="163"/>
      <c r="Y162" s="163"/>
      <c r="Z162" s="163"/>
      <c r="AA162" s="163"/>
      <c r="AB162" s="243">
        <v>0.34</v>
      </c>
      <c r="AC162" s="243">
        <v>0.49</v>
      </c>
      <c r="AD162" s="243">
        <v>0.51</v>
      </c>
      <c r="AE162" s="243">
        <v>0.51</v>
      </c>
      <c r="AF162" s="243">
        <v>0.52</v>
      </c>
      <c r="AG162" s="243">
        <v>0.68</v>
      </c>
      <c r="AH162" s="243">
        <v>0.59</v>
      </c>
      <c r="AI162" s="243">
        <v>0.68</v>
      </c>
      <c r="AJ162" s="244">
        <f t="shared" ref="AJ162:AJ166" si="254">AVERAGE(AD162:AH162)</f>
        <v>0.56200000000000006</v>
      </c>
    </row>
    <row r="163" spans="1:39" ht="15.75" x14ac:dyDescent="0.25">
      <c r="A163" s="72"/>
      <c r="B163" s="80">
        <f>SUM(B160:B162)</f>
        <v>1</v>
      </c>
      <c r="C163" s="80">
        <f>SUM(C160:C162)</f>
        <v>1</v>
      </c>
      <c r="D163" s="80">
        <f t="shared" ref="D163:K163" si="255">SUM(D160:D162)</f>
        <v>1</v>
      </c>
      <c r="E163" s="80">
        <f t="shared" si="255"/>
        <v>1</v>
      </c>
      <c r="F163" s="80">
        <f t="shared" si="255"/>
        <v>1</v>
      </c>
      <c r="G163" s="80">
        <f t="shared" si="255"/>
        <v>1</v>
      </c>
      <c r="H163" s="80">
        <f t="shared" si="255"/>
        <v>1</v>
      </c>
      <c r="I163" s="80">
        <f t="shared" si="255"/>
        <v>1</v>
      </c>
      <c r="J163" s="80">
        <f t="shared" si="255"/>
        <v>1</v>
      </c>
      <c r="K163" s="80">
        <f t="shared" si="255"/>
        <v>1</v>
      </c>
      <c r="L163" s="80">
        <f t="shared" ref="L163:O163" si="256">SUM(L160:L162)</f>
        <v>1</v>
      </c>
      <c r="M163" s="80">
        <f t="shared" si="256"/>
        <v>1</v>
      </c>
      <c r="N163" s="80">
        <f t="shared" si="256"/>
        <v>1</v>
      </c>
      <c r="O163" s="80">
        <f t="shared" si="256"/>
        <v>1</v>
      </c>
      <c r="P163" s="80">
        <f t="shared" ref="P163:Q163" si="257">SUM(P160:P162)</f>
        <v>1</v>
      </c>
      <c r="Q163" s="80" t="e">
        <f t="shared" si="257"/>
        <v>#DIV/0!</v>
      </c>
      <c r="R163" s="43">
        <f t="shared" si="250"/>
        <v>1</v>
      </c>
      <c r="S163" s="221" t="s">
        <v>169</v>
      </c>
      <c r="T163" s="148"/>
      <c r="U163" s="148"/>
      <c r="V163" s="148"/>
      <c r="W163" s="148"/>
      <c r="X163" s="148"/>
      <c r="Y163" s="148"/>
      <c r="Z163" s="148"/>
      <c r="AA163" s="148"/>
      <c r="AB163" s="151">
        <f t="shared" ref="AB163:AF163" si="258">1-AB162</f>
        <v>0.65999999999999992</v>
      </c>
      <c r="AC163" s="151">
        <f t="shared" si="258"/>
        <v>0.51</v>
      </c>
      <c r="AD163" s="151">
        <f t="shared" si="258"/>
        <v>0.49</v>
      </c>
      <c r="AE163" s="151">
        <f t="shared" si="258"/>
        <v>0.49</v>
      </c>
      <c r="AF163" s="151">
        <f t="shared" si="258"/>
        <v>0.48</v>
      </c>
      <c r="AG163" s="151">
        <f>1-AG162</f>
        <v>0.31999999999999995</v>
      </c>
      <c r="AH163" s="151">
        <f>1-AH162</f>
        <v>0.41000000000000003</v>
      </c>
      <c r="AI163" s="151">
        <f>1-AI162</f>
        <v>0.31999999999999995</v>
      </c>
      <c r="AJ163" s="245">
        <f t="shared" si="254"/>
        <v>0.438</v>
      </c>
    </row>
    <row r="164" spans="1:39" ht="15" x14ac:dyDescent="0.2">
      <c r="A164" s="72" t="s">
        <v>168</v>
      </c>
      <c r="B164" s="72" t="s">
        <v>112</v>
      </c>
      <c r="C164" s="76"/>
      <c r="D164" s="72"/>
      <c r="E164" s="72"/>
      <c r="F164" s="72"/>
      <c r="G164" s="158"/>
      <c r="H164" s="150">
        <f>(+H80-G80)/G80</f>
        <v>0.25956008495236149</v>
      </c>
      <c r="I164" s="150">
        <f t="shared" ref="I164:Q164" si="259">(+I80-H80)/H80</f>
        <v>0.10602391363746394</v>
      </c>
      <c r="J164" s="150">
        <f t="shared" si="259"/>
        <v>-0.12408416306594026</v>
      </c>
      <c r="K164" s="150">
        <f t="shared" si="259"/>
        <v>7.2707774798927607E-2</v>
      </c>
      <c r="L164" s="150">
        <f t="shared" si="259"/>
        <v>-8.0375887233829851E-2</v>
      </c>
      <c r="M164" s="150">
        <f t="shared" si="259"/>
        <v>-1.8480269594521145E-2</v>
      </c>
      <c r="N164" s="150">
        <f t="shared" si="259"/>
        <v>7.2987041754347101E-2</v>
      </c>
      <c r="O164" s="150">
        <f t="shared" si="259"/>
        <v>-0.11003303055326177</v>
      </c>
      <c r="P164" s="150">
        <f t="shared" si="259"/>
        <v>0.14335421016005567</v>
      </c>
      <c r="Q164" s="150">
        <f t="shared" si="259"/>
        <v>-1</v>
      </c>
      <c r="R164" s="43">
        <f t="shared" si="250"/>
        <v>1.4904129065580029E-3</v>
      </c>
      <c r="S164" s="72" t="s">
        <v>165</v>
      </c>
      <c r="T164" s="72"/>
      <c r="U164" s="72"/>
      <c r="V164" s="72"/>
      <c r="W164" s="72"/>
      <c r="X164" s="72"/>
      <c r="Y164" s="156">
        <f t="shared" ref="Y164:AF164" si="260">+Y149-Y153</f>
        <v>2.12</v>
      </c>
      <c r="Z164" s="156">
        <f t="shared" si="260"/>
        <v>2.5499999999999998</v>
      </c>
      <c r="AA164" s="156">
        <f t="shared" si="260"/>
        <v>3.13</v>
      </c>
      <c r="AB164" s="156">
        <f t="shared" si="260"/>
        <v>2.33</v>
      </c>
      <c r="AC164" s="156">
        <f t="shared" si="260"/>
        <v>2.1100000000000003</v>
      </c>
      <c r="AD164" s="156">
        <f t="shared" si="260"/>
        <v>2.9800000000000004</v>
      </c>
      <c r="AE164" s="156">
        <f t="shared" si="260"/>
        <v>2.54</v>
      </c>
      <c r="AF164" s="156">
        <f t="shared" si="260"/>
        <v>2.83</v>
      </c>
      <c r="AG164" s="156">
        <f>+AG149-AG153</f>
        <v>3.42</v>
      </c>
      <c r="AH164" s="156">
        <f>+AH149-AH153</f>
        <v>2.92</v>
      </c>
      <c r="AI164" s="156">
        <f>+AI149-AI153</f>
        <v>0</v>
      </c>
      <c r="AJ164" s="229">
        <f t="shared" si="254"/>
        <v>2.9380000000000002</v>
      </c>
    </row>
    <row r="165" spans="1:39" ht="15" x14ac:dyDescent="0.2">
      <c r="A165" s="72" t="s">
        <v>169</v>
      </c>
      <c r="B165" s="72"/>
      <c r="C165" s="72"/>
      <c r="D165" s="72"/>
      <c r="E165" s="72"/>
      <c r="F165" s="72"/>
      <c r="G165" s="150">
        <f>+G83/(G$83+G$84)</f>
        <v>0.60506632744419242</v>
      </c>
      <c r="H165" s="150">
        <f>+H83/(H$83+H$84)</f>
        <v>0.67231345801633779</v>
      </c>
      <c r="I165" s="150">
        <f t="shared" ref="I165:L165" si="261">+I83/(I$83+I$84)</f>
        <v>0.69335604770017034</v>
      </c>
      <c r="J165" s="150">
        <f t="shared" si="261"/>
        <v>0.64202561117578583</v>
      </c>
      <c r="K165" s="150">
        <f t="shared" si="261"/>
        <v>0.4128104220382684</v>
      </c>
      <c r="L165" s="150">
        <f t="shared" si="261"/>
        <v>0.4877114586658155</v>
      </c>
      <c r="M165" s="150">
        <f>+M83/(M$83+M$84)</f>
        <v>0.47028031070584264</v>
      </c>
      <c r="N165" s="150">
        <f>+N83/(N$83+N$84)</f>
        <v>0.49310825460740282</v>
      </c>
      <c r="O165" s="150">
        <f>+O83/(O$83+O$84)</f>
        <v>0.34802175135945995</v>
      </c>
      <c r="P165" s="150">
        <f>+P83/(P$83+P$84)</f>
        <v>0.4299108515216723</v>
      </c>
      <c r="Q165" s="150" t="e">
        <f>+Q83/(Q$83+Q$84)</f>
        <v>#DIV/0!</v>
      </c>
      <c r="R165" s="43">
        <f t="shared" si="250"/>
        <v>0.44580652537203863</v>
      </c>
      <c r="S165" s="72" t="s">
        <v>166</v>
      </c>
      <c r="T165" s="72"/>
      <c r="U165" s="72"/>
      <c r="V165" s="72"/>
      <c r="W165" s="72"/>
      <c r="X165" s="72"/>
      <c r="Y165" s="156">
        <f t="shared" ref="Y165:AG165" si="262">+Y150-Y153</f>
        <v>0.35999999999999943</v>
      </c>
      <c r="Z165" s="156">
        <f t="shared" si="262"/>
        <v>0.59999999999999964</v>
      </c>
      <c r="AA165" s="156">
        <f t="shared" si="262"/>
        <v>1.0999999999999996</v>
      </c>
      <c r="AB165" s="156">
        <f t="shared" si="262"/>
        <v>0.25</v>
      </c>
      <c r="AC165" s="156">
        <f t="shared" si="262"/>
        <v>0.85000000000000053</v>
      </c>
      <c r="AD165" s="156">
        <f t="shared" si="262"/>
        <v>1.4900000000000002</v>
      </c>
      <c r="AE165" s="156">
        <f t="shared" si="262"/>
        <v>0.54999999999999982</v>
      </c>
      <c r="AF165" s="156">
        <f t="shared" si="262"/>
        <v>0.98000000000000043</v>
      </c>
      <c r="AG165" s="156">
        <f t="shared" si="262"/>
        <v>1.0200000000000005</v>
      </c>
      <c r="AH165" s="156">
        <f t="shared" ref="AH165:AI165" si="263">+AH150-AH153</f>
        <v>1.4699999999999998</v>
      </c>
      <c r="AI165" s="156">
        <f t="shared" si="263"/>
        <v>0</v>
      </c>
      <c r="AJ165" s="229">
        <f t="shared" si="254"/>
        <v>1.1020000000000001</v>
      </c>
    </row>
    <row r="166" spans="1:39" ht="15.75" x14ac:dyDescent="0.25">
      <c r="A166" s="197" t="s">
        <v>170</v>
      </c>
      <c r="B166" s="198"/>
      <c r="C166" s="198"/>
      <c r="D166" s="198"/>
      <c r="E166" s="198"/>
      <c r="F166" s="198"/>
      <c r="G166" s="199">
        <f>+G84/(G$83+G$84)</f>
        <v>0.39493367255580758</v>
      </c>
      <c r="H166" s="199">
        <f>+H84/(H$83+H$84)</f>
        <v>0.32768654198366226</v>
      </c>
      <c r="I166" s="199">
        <f t="shared" ref="I166:L166" si="264">+I84/(I$83+I$84)</f>
        <v>0.30664395229982966</v>
      </c>
      <c r="J166" s="199">
        <f t="shared" si="264"/>
        <v>0.35797438882421423</v>
      </c>
      <c r="K166" s="199">
        <f t="shared" si="264"/>
        <v>0.58718957796173155</v>
      </c>
      <c r="L166" s="199">
        <f t="shared" si="264"/>
        <v>0.51228854133418444</v>
      </c>
      <c r="M166" s="199">
        <f t="shared" ref="M166" si="265">+M84/(M$83+M$84)</f>
        <v>0.52971968929415736</v>
      </c>
      <c r="N166" s="199">
        <f t="shared" ref="N166" si="266">+N84/(N$83+N$84)</f>
        <v>0.50689174539259718</v>
      </c>
      <c r="O166" s="199">
        <f>+O84/(O$83+O$84)</f>
        <v>0.65197824864053999</v>
      </c>
      <c r="P166" s="199">
        <f>+P84/(P$83+P$84)</f>
        <v>0.5700891484783277</v>
      </c>
      <c r="Q166" s="199" t="e">
        <f>+Q84/(Q$83+Q$84)</f>
        <v>#DIV/0!</v>
      </c>
      <c r="R166" s="43">
        <f t="shared" si="250"/>
        <v>0.55419347462796131</v>
      </c>
      <c r="S166" s="72" t="s">
        <v>172</v>
      </c>
      <c r="T166" s="72"/>
      <c r="U166" s="72"/>
      <c r="V166" s="72"/>
      <c r="W166" s="72"/>
      <c r="X166" s="72"/>
      <c r="Y166" s="157">
        <f t="shared" ref="Y166:AE166" si="267">+Y164-Y165</f>
        <v>1.7600000000000007</v>
      </c>
      <c r="Z166" s="157">
        <f t="shared" si="267"/>
        <v>1.9500000000000002</v>
      </c>
      <c r="AA166" s="157">
        <f t="shared" si="267"/>
        <v>2.0300000000000002</v>
      </c>
      <c r="AB166" s="157">
        <f t="shared" si="267"/>
        <v>2.08</v>
      </c>
      <c r="AC166" s="157">
        <f t="shared" si="267"/>
        <v>1.2599999999999998</v>
      </c>
      <c r="AD166" s="157">
        <f t="shared" si="267"/>
        <v>1.4900000000000002</v>
      </c>
      <c r="AE166" s="157">
        <f t="shared" si="267"/>
        <v>1.9900000000000002</v>
      </c>
      <c r="AF166" s="157">
        <f t="shared" ref="AF166" si="268">+AF164-AF165</f>
        <v>1.8499999999999996</v>
      </c>
      <c r="AG166" s="157">
        <f t="shared" ref="AG166:AH166" si="269">+AG164-AG165</f>
        <v>2.3999999999999995</v>
      </c>
      <c r="AH166" s="157">
        <f t="shared" si="269"/>
        <v>1.4500000000000002</v>
      </c>
      <c r="AI166" s="157">
        <f t="shared" ref="AI166" si="270">+AI164-AI165</f>
        <v>0</v>
      </c>
      <c r="AJ166" s="229">
        <f t="shared" si="254"/>
        <v>1.8359999999999999</v>
      </c>
    </row>
    <row r="167" spans="1:39" ht="15" x14ac:dyDescent="0.2">
      <c r="A167" s="72" t="s">
        <v>143</v>
      </c>
      <c r="B167" s="72"/>
      <c r="C167" s="72"/>
      <c r="D167" s="72"/>
      <c r="E167" s="72"/>
      <c r="F167" s="72"/>
      <c r="G167" s="158">
        <f>+G130</f>
        <v>0.2984390069000894</v>
      </c>
      <c r="H167" s="158">
        <f>+H130</f>
        <v>0.25180484693214983</v>
      </c>
      <c r="I167" s="158">
        <f t="shared" ref="I167:L167" si="271">+I130</f>
        <v>0.22806687957918467</v>
      </c>
      <c r="J167" s="158">
        <f t="shared" si="271"/>
        <v>0.26305630026809651</v>
      </c>
      <c r="K167" s="158">
        <f t="shared" si="271"/>
        <v>0.26332100369889033</v>
      </c>
      <c r="L167" s="158">
        <f t="shared" si="271"/>
        <v>0.31883900423959127</v>
      </c>
      <c r="M167" s="158">
        <f t="shared" ref="M167" si="272">+M130</f>
        <v>0.34411341233802195</v>
      </c>
      <c r="N167" s="158">
        <f t="shared" ref="N167:O167" si="273">+N130</f>
        <v>0.33350536746490506</v>
      </c>
      <c r="O167" s="158">
        <f t="shared" si="273"/>
        <v>0.38146601716539086</v>
      </c>
      <c r="P167" s="158">
        <f t="shared" ref="P167:Q167" si="274">+P130</f>
        <v>0.34002840332724693</v>
      </c>
      <c r="Q167" s="158" t="e">
        <f t="shared" si="274"/>
        <v>#DIV/0!</v>
      </c>
      <c r="R167" s="43">
        <f t="shared" si="250"/>
        <v>0.34359044090703128</v>
      </c>
      <c r="S167" s="72"/>
      <c r="T167" s="72"/>
      <c r="U167" s="72"/>
      <c r="V167" s="72"/>
      <c r="W167" s="72"/>
      <c r="X167" s="72"/>
    </row>
    <row r="168" spans="1:39" ht="15" x14ac:dyDescent="0.2">
      <c r="A168" s="72" t="s">
        <v>171</v>
      </c>
      <c r="B168" s="72"/>
      <c r="C168" s="72"/>
      <c r="D168" s="72"/>
      <c r="E168" s="72"/>
      <c r="F168" s="72"/>
      <c r="G168" s="150"/>
      <c r="H168" s="150">
        <f>(+H102-G102)/G102</f>
        <v>0.14347922825085027</v>
      </c>
      <c r="I168" s="150">
        <f t="shared" ref="I168:Q168" si="275">(+I102-H102)/H102</f>
        <v>2.8492008339124391E-2</v>
      </c>
      <c r="J168" s="150">
        <f t="shared" si="275"/>
        <v>1.0810810810810811E-2</v>
      </c>
      <c r="K168" s="150">
        <f t="shared" si="275"/>
        <v>7.4866310160427801E-2</v>
      </c>
      <c r="L168" s="150">
        <f t="shared" si="275"/>
        <v>3.482587064676617E-2</v>
      </c>
      <c r="M168" s="150">
        <f t="shared" si="275"/>
        <v>5.5288461538461536E-2</v>
      </c>
      <c r="N168" s="150">
        <f t="shared" si="275"/>
        <v>5.011389521640091E-2</v>
      </c>
      <c r="O168" s="150">
        <f t="shared" si="275"/>
        <v>2.1691973969631236E-2</v>
      </c>
      <c r="P168" s="150">
        <f t="shared" si="275"/>
        <v>0.12101910828025478</v>
      </c>
      <c r="Q168" s="150">
        <f t="shared" si="275"/>
        <v>-1</v>
      </c>
      <c r="R168" s="43">
        <f t="shared" si="250"/>
        <v>5.6587861930302928E-2</v>
      </c>
      <c r="S168" s="72" t="str">
        <f>+S156</f>
        <v>Temp Adjusted Usage / Cust (Dth)</v>
      </c>
      <c r="AB168" s="45">
        <f t="shared" ref="AB168:AI168" si="276">(+AB156-AA156)/AA156</f>
        <v>-2.464788732394364E-2</v>
      </c>
      <c r="AC168" s="45">
        <f t="shared" si="276"/>
        <v>-8.1227436823103922E-3</v>
      </c>
      <c r="AD168" s="45">
        <f t="shared" si="276"/>
        <v>-8.1892629663330805E-3</v>
      </c>
      <c r="AE168" s="45">
        <f t="shared" si="276"/>
        <v>-1.9266055045871509E-2</v>
      </c>
      <c r="AF168" s="45">
        <f t="shared" si="276"/>
        <v>3.9289055191767897E-2</v>
      </c>
      <c r="AG168" s="45">
        <f t="shared" si="276"/>
        <v>-2.4302430243024201E-2</v>
      </c>
      <c r="AH168" s="45">
        <f t="shared" si="276"/>
        <v>-3.6900369003690561E-3</v>
      </c>
      <c r="AI168" s="45">
        <f t="shared" si="276"/>
        <v>-1</v>
      </c>
      <c r="AJ168" s="157"/>
    </row>
    <row r="169" spans="1:39" ht="15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43"/>
      <c r="AL169" s="214"/>
      <c r="AM169" s="214"/>
    </row>
    <row r="170" spans="1:39" ht="15.75" x14ac:dyDescent="0.25">
      <c r="A170" s="72" t="s">
        <v>183</v>
      </c>
      <c r="B170" s="72"/>
      <c r="C170" s="72"/>
      <c r="D170" s="72"/>
      <c r="E170" s="72"/>
      <c r="F170" s="72"/>
      <c r="G170" s="72"/>
      <c r="H170" s="72"/>
      <c r="I170" s="72"/>
      <c r="J170" s="102">
        <f t="shared" ref="J170:P170" si="277">+J105-I105</f>
        <v>500</v>
      </c>
      <c r="K170" s="102">
        <f t="shared" si="277"/>
        <v>500</v>
      </c>
      <c r="L170" s="102">
        <f t="shared" si="277"/>
        <v>700</v>
      </c>
      <c r="M170" s="102">
        <f t="shared" si="277"/>
        <v>600</v>
      </c>
      <c r="N170" s="102">
        <f t="shared" si="277"/>
        <v>1500</v>
      </c>
      <c r="O170" s="102">
        <f t="shared" si="277"/>
        <v>2700</v>
      </c>
      <c r="P170" s="102">
        <f t="shared" si="277"/>
        <v>2500</v>
      </c>
      <c r="Q170" s="102"/>
      <c r="R170" s="200">
        <f>AVERAGE(L170:P170)</f>
        <v>1600</v>
      </c>
      <c r="AK170" s="213"/>
      <c r="AL170" s="213"/>
      <c r="AM170" s="213"/>
    </row>
    <row r="171" spans="1:39" ht="15.75" x14ac:dyDescent="0.25">
      <c r="A171" s="72" t="s">
        <v>184</v>
      </c>
      <c r="B171" s="72"/>
      <c r="C171" s="72"/>
      <c r="D171" s="72"/>
      <c r="E171" s="72"/>
      <c r="F171" s="72"/>
      <c r="G171" s="72"/>
      <c r="H171" s="72"/>
      <c r="I171" s="72"/>
      <c r="J171" s="45">
        <f t="shared" ref="J171:P171" si="278">+J170/I105</f>
        <v>1.8867924528301886E-2</v>
      </c>
      <c r="K171" s="45">
        <f t="shared" si="278"/>
        <v>1.8518518518518517E-2</v>
      </c>
      <c r="L171" s="45">
        <f t="shared" si="278"/>
        <v>2.5454545454545455E-2</v>
      </c>
      <c r="M171" s="45">
        <f t="shared" si="278"/>
        <v>2.1276595744680851E-2</v>
      </c>
      <c r="N171" s="45">
        <f t="shared" si="278"/>
        <v>5.2083333333333336E-2</v>
      </c>
      <c r="O171" s="45">
        <f t="shared" si="278"/>
        <v>8.9108910891089105E-2</v>
      </c>
      <c r="P171" s="45">
        <f t="shared" si="278"/>
        <v>7.575757575757576E-2</v>
      </c>
      <c r="Q171" s="45"/>
      <c r="R171" s="22">
        <f t="shared" ref="R171:R172" si="279">AVERAGE(L171:P171)</f>
        <v>5.2736192236244907E-2</v>
      </c>
    </row>
    <row r="172" spans="1:39" ht="15.75" x14ac:dyDescent="0.25">
      <c r="A172" s="72" t="s">
        <v>224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45">
        <f t="shared" ref="K172:O172" si="280">+K105/K102</f>
        <v>0.6840796019900498</v>
      </c>
      <c r="L172" s="45">
        <f t="shared" si="280"/>
        <v>0.67788461538461542</v>
      </c>
      <c r="M172" s="45">
        <f t="shared" si="280"/>
        <v>0.6560364464692483</v>
      </c>
      <c r="N172" s="45">
        <f t="shared" si="280"/>
        <v>0.65726681127982645</v>
      </c>
      <c r="O172" s="45">
        <f t="shared" si="280"/>
        <v>0.70063694267515919</v>
      </c>
      <c r="P172" s="45">
        <f>+P105/P102</f>
        <v>0.67234848484848486</v>
      </c>
      <c r="Q172" s="72"/>
      <c r="R172" s="22">
        <f t="shared" si="279"/>
        <v>0.67283466013146687</v>
      </c>
      <c r="S172" s="208"/>
      <c r="AD172" s="203"/>
      <c r="AE172" s="203"/>
      <c r="AH172" s="225"/>
      <c r="AI172" s="225" t="str">
        <f t="shared" ref="AI172" si="281">+AI115</f>
        <v>1st Qrtr</v>
      </c>
      <c r="AJ172" s="226" t="str">
        <f t="shared" ref="AG172:AJ173" si="282">+AJ115</f>
        <v>2009 to 2013</v>
      </c>
    </row>
    <row r="173" spans="1:39" ht="15.75" x14ac:dyDescent="0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43"/>
      <c r="S173" s="117" t="s">
        <v>216</v>
      </c>
      <c r="T173" s="72"/>
      <c r="U173" s="72"/>
      <c r="V173" s="72"/>
      <c r="W173" s="72"/>
      <c r="X173" s="72"/>
      <c r="Y173" s="72"/>
      <c r="Z173" s="72"/>
      <c r="AA173" s="72"/>
      <c r="AB173" s="223">
        <f t="shared" ref="AB173:AD173" si="283">+AB116</f>
        <v>2007</v>
      </c>
      <c r="AC173" s="223">
        <f t="shared" si="283"/>
        <v>2008</v>
      </c>
      <c r="AD173" s="223">
        <f t="shared" si="283"/>
        <v>2009</v>
      </c>
      <c r="AE173" s="223">
        <f>+AE116</f>
        <v>2010</v>
      </c>
      <c r="AF173" s="223">
        <f>+AF116</f>
        <v>2011</v>
      </c>
      <c r="AG173" s="223">
        <f t="shared" si="282"/>
        <v>2012</v>
      </c>
      <c r="AH173" s="223">
        <f t="shared" si="282"/>
        <v>2013</v>
      </c>
      <c r="AI173" s="223">
        <f t="shared" ref="AI173" si="284">+AI116</f>
        <v>2014</v>
      </c>
      <c r="AJ173" s="223" t="str">
        <f t="shared" si="282"/>
        <v>Average</v>
      </c>
    </row>
    <row r="174" spans="1:39" ht="15.75" x14ac:dyDescent="0.25">
      <c r="A174" s="117" t="s">
        <v>194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139"/>
      <c r="P174" s="72"/>
      <c r="Q174" s="72"/>
      <c r="R174" s="43"/>
      <c r="S174" s="72" t="s">
        <v>199</v>
      </c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>
        <v>245.4</v>
      </c>
      <c r="AF174" s="222">
        <v>221.2</v>
      </c>
      <c r="AG174" s="222">
        <v>104.2</v>
      </c>
      <c r="AH174" s="222">
        <v>186.6</v>
      </c>
      <c r="AI174" s="222"/>
      <c r="AJ174" s="166">
        <f t="shared" ref="AJ174:AJ181" si="285">AVERAGE(AC174:AH174)</f>
        <v>189.35000000000002</v>
      </c>
      <c r="AK174" s="222">
        <f>+AH174-AE174</f>
        <v>-58.800000000000011</v>
      </c>
      <c r="AL174" s="158">
        <f t="shared" ref="AL174:AL179" si="286">RATE(3,,-AE174,AH174)</f>
        <v>-8.726292095709115E-2</v>
      </c>
    </row>
    <row r="175" spans="1:39" ht="15" x14ac:dyDescent="0.2">
      <c r="A175" s="72" t="s">
        <v>195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216">
        <f t="shared" ref="K175:M175" si="287">+K91/K49</f>
        <v>0.22756756756756757</v>
      </c>
      <c r="L175" s="216">
        <f t="shared" si="287"/>
        <v>0.23486486486486485</v>
      </c>
      <c r="M175" s="216">
        <f t="shared" si="287"/>
        <v>0.24076086956521739</v>
      </c>
      <c r="N175" s="216">
        <f>+N91/N49</f>
        <v>0.34032549728752259</v>
      </c>
      <c r="O175" s="216">
        <f>+O91/O49</f>
        <v>0.24161248374512354</v>
      </c>
      <c r="P175" s="216">
        <f>+P91/P49</f>
        <v>0.19064546304957905</v>
      </c>
      <c r="Q175" s="216" t="e">
        <f>(P91+Q91)/2/Q49</f>
        <v>#DIV/0!</v>
      </c>
      <c r="R175" s="239">
        <f t="shared" ref="R175:R178" si="288">AVERAGE(L175:P175)</f>
        <v>0.24964183570246151</v>
      </c>
      <c r="S175" s="72" t="s">
        <v>200</v>
      </c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>
        <v>240</v>
      </c>
      <c r="AF175" s="222">
        <v>253.4</v>
      </c>
      <c r="AG175" s="222">
        <v>274</v>
      </c>
      <c r="AH175" s="222">
        <v>294.60000000000002</v>
      </c>
      <c r="AI175" s="222"/>
      <c r="AJ175" s="166">
        <f t="shared" si="285"/>
        <v>265.5</v>
      </c>
      <c r="AK175" s="222">
        <f t="shared" ref="AK175:AK186" si="289">+AH175-AE175</f>
        <v>54.600000000000023</v>
      </c>
      <c r="AL175" s="158">
        <f t="shared" si="286"/>
        <v>7.071486860764449E-2</v>
      </c>
    </row>
    <row r="176" spans="1:39" ht="15" x14ac:dyDescent="0.2">
      <c r="A176" s="72" t="s">
        <v>196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216">
        <f t="shared" ref="K176:N176" si="290">(+K49+K42)/(+K42+K49+K62)</f>
        <v>0.49032600053008218</v>
      </c>
      <c r="L176" s="216">
        <f t="shared" si="290"/>
        <v>0.48114434330299088</v>
      </c>
      <c r="M176" s="216">
        <f t="shared" si="290"/>
        <v>0.47103755569700828</v>
      </c>
      <c r="N176" s="216">
        <f t="shared" si="290"/>
        <v>0.44856167723061918</v>
      </c>
      <c r="O176" s="216">
        <f>(+O49+O42)/(+O42+O49+O62)</f>
        <v>0.47701599373671849</v>
      </c>
      <c r="P176" s="216">
        <f>(+P49+P42)/(+P42+P49+P62)</f>
        <v>0.48118473172488296</v>
      </c>
      <c r="Q176" s="216" t="e">
        <f>(+Q49+Q42)/(+Q42+Q49+Q62)</f>
        <v>#DIV/0!</v>
      </c>
      <c r="R176" s="239">
        <f t="shared" si="288"/>
        <v>0.47178886033844397</v>
      </c>
      <c r="S176" s="72" t="s">
        <v>201</v>
      </c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>
        <v>78.099999999999994</v>
      </c>
      <c r="AF176" s="222">
        <v>78.400000000000006</v>
      </c>
      <c r="AG176" s="222">
        <v>79.599999999999994</v>
      </c>
      <c r="AH176" s="222">
        <v>80.099999999999994</v>
      </c>
      <c r="AI176" s="222"/>
      <c r="AJ176" s="166">
        <f t="shared" si="285"/>
        <v>79.05</v>
      </c>
      <c r="AK176" s="222">
        <f t="shared" si="289"/>
        <v>2</v>
      </c>
      <c r="AL176" s="158">
        <f t="shared" si="286"/>
        <v>8.4642197244879924E-3</v>
      </c>
    </row>
    <row r="177" spans="1:38" ht="15" x14ac:dyDescent="0.2">
      <c r="A177" s="72" t="s">
        <v>197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217">
        <f t="shared" ref="K177:N177" si="291">(+K49+K42)/(K91+K87)</f>
        <v>2.9435163086714398</v>
      </c>
      <c r="L177" s="217">
        <f t="shared" si="291"/>
        <v>2.8309104820198927</v>
      </c>
      <c r="M177" s="217">
        <f t="shared" si="291"/>
        <v>2.796674225245654</v>
      </c>
      <c r="N177" s="217">
        <f t="shared" si="291"/>
        <v>2.6551226551226552</v>
      </c>
      <c r="O177" s="217">
        <f>(+O49+O42)/(O91+O87)</f>
        <v>3.0442541042112778</v>
      </c>
      <c r="P177" s="217">
        <f>(+P49+P42)/(P91+P87)</f>
        <v>3.5257255936675462</v>
      </c>
      <c r="Q177" s="217" t="e">
        <f>(+Q49+Q42)/(Q91+Q87)</f>
        <v>#DIV/0!</v>
      </c>
      <c r="R177" s="240">
        <f t="shared" si="288"/>
        <v>2.9705374120534054</v>
      </c>
      <c r="S177" s="72" t="s">
        <v>202</v>
      </c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>
        <v>23.6</v>
      </c>
      <c r="AF177" s="222">
        <v>25</v>
      </c>
      <c r="AG177" s="222">
        <v>20.5</v>
      </c>
      <c r="AH177" s="222">
        <v>18.8</v>
      </c>
      <c r="AI177" s="222"/>
      <c r="AJ177" s="166">
        <f t="shared" si="285"/>
        <v>21.974999999999998</v>
      </c>
      <c r="AK177" s="222">
        <f t="shared" si="289"/>
        <v>-4.8000000000000007</v>
      </c>
      <c r="AL177" s="158">
        <f t="shared" si="286"/>
        <v>-7.2995272889513255E-2</v>
      </c>
    </row>
    <row r="178" spans="1:38" ht="15" x14ac:dyDescent="0.2">
      <c r="A178" s="72" t="s">
        <v>198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217">
        <f>(O91-O105)/-'Historical CF - Exhibit 1B'!O30</f>
        <v>0.36952498457742133</v>
      </c>
      <c r="P178" s="217">
        <f>(P91-P105)/-'Historical CF - Exhibit 1B'!P30</f>
        <v>0.39951865222623345</v>
      </c>
      <c r="Q178" s="217">
        <f>(Q91-Q105)/-'Historical CF - Exhibit 1B'!R30</f>
        <v>0</v>
      </c>
      <c r="R178" s="240">
        <f t="shared" si="288"/>
        <v>0.38452181840182742</v>
      </c>
      <c r="S178" s="72" t="s">
        <v>203</v>
      </c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>
        <v>37.200000000000003</v>
      </c>
      <c r="AF178" s="222">
        <v>38.9</v>
      </c>
      <c r="AG178" s="222">
        <v>32</v>
      </c>
      <c r="AH178" s="222">
        <v>44.3</v>
      </c>
      <c r="AI178" s="222"/>
      <c r="AJ178" s="166">
        <f t="shared" si="285"/>
        <v>38.099999999999994</v>
      </c>
      <c r="AK178" s="222">
        <f t="shared" si="289"/>
        <v>7.0999999999999943</v>
      </c>
      <c r="AL178" s="158">
        <f t="shared" si="286"/>
        <v>5.9953781973041777E-2</v>
      </c>
    </row>
    <row r="179" spans="1:38" ht="15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43"/>
      <c r="S179" s="72" t="s">
        <v>204</v>
      </c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>
        <v>-0.8</v>
      </c>
      <c r="AF179" s="222">
        <v>3</v>
      </c>
      <c r="AG179" s="222">
        <v>1.9</v>
      </c>
      <c r="AH179" s="222">
        <v>-0.8</v>
      </c>
      <c r="AI179" s="222"/>
      <c r="AJ179" s="166">
        <f t="shared" si="285"/>
        <v>0.82499999999999996</v>
      </c>
      <c r="AK179" s="222">
        <f t="shared" si="289"/>
        <v>0</v>
      </c>
      <c r="AL179" s="158">
        <f t="shared" si="286"/>
        <v>3.9405865189632455E-14</v>
      </c>
    </row>
    <row r="180" spans="1:38" ht="15" x14ac:dyDescent="0.2">
      <c r="A180" s="72" t="s">
        <v>213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43"/>
      <c r="S180" s="72" t="s">
        <v>205</v>
      </c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>
        <v>-36.799999999999997</v>
      </c>
      <c r="AF180" s="222">
        <v>20.6</v>
      </c>
      <c r="AG180" s="222">
        <v>16.100000000000001</v>
      </c>
      <c r="AH180" s="222">
        <v>22</v>
      </c>
      <c r="AI180" s="222"/>
      <c r="AJ180" s="166">
        <f t="shared" si="285"/>
        <v>5.4750000000000014</v>
      </c>
      <c r="AK180" s="222">
        <f t="shared" si="289"/>
        <v>58.8</v>
      </c>
      <c r="AL180" s="158"/>
    </row>
    <row r="181" spans="1:38" ht="15" x14ac:dyDescent="0.2">
      <c r="A181" s="72" t="s">
        <v>214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43"/>
      <c r="S181" s="72" t="s">
        <v>66</v>
      </c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>
        <v>5.5</v>
      </c>
      <c r="AF181" s="149">
        <v>5.2</v>
      </c>
      <c r="AG181" s="149">
        <v>5</v>
      </c>
      <c r="AH181" s="149">
        <v>5</v>
      </c>
      <c r="AI181" s="149"/>
      <c r="AJ181" s="149">
        <f t="shared" si="285"/>
        <v>5.1749999999999998</v>
      </c>
      <c r="AK181" s="149">
        <f t="shared" si="289"/>
        <v>-0.5</v>
      </c>
      <c r="AL181" s="236">
        <f t="shared" ref="AL181:AL186" si="292">RATE(3,,-AE181,AH181)</f>
        <v>-3.1270693846860653E-2</v>
      </c>
    </row>
    <row r="182" spans="1:38" ht="15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43"/>
      <c r="S182" s="72" t="s">
        <v>206</v>
      </c>
      <c r="T182" s="222">
        <f t="shared" ref="T182" si="293">SUM(T174:T181)</f>
        <v>0</v>
      </c>
      <c r="U182" s="222">
        <f t="shared" ref="U182" si="294">SUM(U174:U181)</f>
        <v>0</v>
      </c>
      <c r="V182" s="222">
        <f t="shared" ref="V182" si="295">SUM(V174:V181)</f>
        <v>0</v>
      </c>
      <c r="W182" s="222">
        <f t="shared" ref="W182" si="296">SUM(W174:W181)</f>
        <v>0</v>
      </c>
      <c r="X182" s="222">
        <f t="shared" ref="X182" si="297">SUM(X174:X181)</f>
        <v>0</v>
      </c>
      <c r="Y182" s="222">
        <f t="shared" ref="Y182" si="298">SUM(Y174:Y181)</f>
        <v>0</v>
      </c>
      <c r="Z182" s="222">
        <f t="shared" ref="Z182" si="299">SUM(Z174:Z181)</f>
        <v>0</v>
      </c>
      <c r="AA182" s="222">
        <f t="shared" ref="AA182" si="300">SUM(AA174:AA181)</f>
        <v>0</v>
      </c>
      <c r="AB182" s="222">
        <f t="shared" ref="AB182:AF182" si="301">SUM(AB174:AB181)</f>
        <v>0</v>
      </c>
      <c r="AC182" s="222">
        <f t="shared" si="301"/>
        <v>0</v>
      </c>
      <c r="AD182" s="222">
        <f t="shared" si="301"/>
        <v>0</v>
      </c>
      <c r="AE182" s="222">
        <f t="shared" si="301"/>
        <v>592.20000000000016</v>
      </c>
      <c r="AF182" s="222">
        <f t="shared" si="301"/>
        <v>645.70000000000005</v>
      </c>
      <c r="AG182" s="222">
        <f>SUM(AG174:AG181)</f>
        <v>533.29999999999995</v>
      </c>
      <c r="AH182" s="222">
        <f>SUM(AH174:AH181)</f>
        <v>650.6</v>
      </c>
      <c r="AI182" s="222">
        <f>SUM(AI174:AI181)</f>
        <v>0</v>
      </c>
      <c r="AJ182" s="222">
        <f>SUM(AJ174:AJ181)</f>
        <v>605.45000000000005</v>
      </c>
      <c r="AK182" s="222">
        <f t="shared" si="289"/>
        <v>58.399999999999864</v>
      </c>
      <c r="AL182" s="158">
        <f t="shared" si="292"/>
        <v>3.1846792808048342E-2</v>
      </c>
    </row>
    <row r="183" spans="1:38" ht="15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43"/>
      <c r="S183" s="72" t="s">
        <v>207</v>
      </c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>
        <v>-313.7</v>
      </c>
      <c r="AF183" s="222">
        <v>-327.3</v>
      </c>
      <c r="AG183" s="222">
        <v>-347.7</v>
      </c>
      <c r="AH183" s="222">
        <v>-370.9</v>
      </c>
      <c r="AI183" s="222"/>
      <c r="AJ183" s="166">
        <f>AVERAGE(AC183:AH183)</f>
        <v>-339.9</v>
      </c>
      <c r="AK183" s="222">
        <f t="shared" si="289"/>
        <v>-57.199999999999989</v>
      </c>
      <c r="AL183" s="158">
        <f t="shared" si="292"/>
        <v>5.741979994968837E-2</v>
      </c>
    </row>
    <row r="184" spans="1:38" ht="15.75" x14ac:dyDescent="0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43"/>
      <c r="S184" s="72" t="s">
        <v>208</v>
      </c>
      <c r="T184" s="222">
        <f t="shared" ref="T184" si="302">+T183+T182</f>
        <v>0</v>
      </c>
      <c r="U184" s="222">
        <f t="shared" ref="U184" si="303">+U183+U182</f>
        <v>0</v>
      </c>
      <c r="V184" s="222">
        <f t="shared" ref="V184" si="304">+V183+V182</f>
        <v>0</v>
      </c>
      <c r="W184" s="222">
        <f t="shared" ref="W184" si="305">+W183+W182</f>
        <v>0</v>
      </c>
      <c r="X184" s="222">
        <f t="shared" ref="X184" si="306">+X183+X182</f>
        <v>0</v>
      </c>
      <c r="Y184" s="222">
        <f t="shared" ref="Y184" si="307">+Y183+Y182</f>
        <v>0</v>
      </c>
      <c r="Z184" s="222">
        <f t="shared" ref="Z184" si="308">+Z183+Z182</f>
        <v>0</v>
      </c>
      <c r="AA184" s="222">
        <f t="shared" ref="AA184" si="309">+AA183+AA182</f>
        <v>0</v>
      </c>
      <c r="AB184" s="222">
        <f t="shared" ref="AB184:AF184" si="310">+AB183+AB182</f>
        <v>0</v>
      </c>
      <c r="AC184" s="222">
        <f t="shared" si="310"/>
        <v>0</v>
      </c>
      <c r="AD184" s="222">
        <f t="shared" si="310"/>
        <v>0</v>
      </c>
      <c r="AE184" s="224">
        <f t="shared" si="310"/>
        <v>278.50000000000017</v>
      </c>
      <c r="AF184" s="224">
        <f t="shared" si="310"/>
        <v>318.40000000000003</v>
      </c>
      <c r="AG184" s="224">
        <f>+AG183+AG182</f>
        <v>185.59999999999997</v>
      </c>
      <c r="AH184" s="224">
        <f>+AH183+AH182</f>
        <v>279.70000000000005</v>
      </c>
      <c r="AI184" s="224">
        <f>+AI183+AI182</f>
        <v>0</v>
      </c>
      <c r="AJ184" s="224">
        <f>+AJ183+AJ182</f>
        <v>265.55000000000007</v>
      </c>
      <c r="AK184" s="222">
        <f t="shared" si="289"/>
        <v>1.1999999999998749</v>
      </c>
      <c r="AL184" s="158">
        <f t="shared" si="292"/>
        <v>1.4342077738898474E-3</v>
      </c>
    </row>
    <row r="185" spans="1:38" ht="15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43"/>
      <c r="S185" s="72" t="s">
        <v>217</v>
      </c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>
        <v>2.4</v>
      </c>
      <c r="AF185" s="222">
        <v>3.1</v>
      </c>
      <c r="AG185" s="222">
        <v>6.7</v>
      </c>
      <c r="AH185" s="222">
        <v>6.1</v>
      </c>
      <c r="AI185" s="222"/>
      <c r="AJ185" s="166">
        <f>AVERAGE(AC185:AH185)</f>
        <v>4.5749999999999993</v>
      </c>
      <c r="AK185" s="222">
        <f t="shared" si="289"/>
        <v>3.6999999999999997</v>
      </c>
      <c r="AL185" s="158">
        <f t="shared" si="292"/>
        <v>0.36470735167667845</v>
      </c>
    </row>
    <row r="186" spans="1:38" ht="15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43"/>
      <c r="S186" s="72" t="s">
        <v>209</v>
      </c>
      <c r="T186" s="222">
        <f t="shared" ref="T186" si="311">+T185+T184</f>
        <v>0</v>
      </c>
      <c r="U186" s="222">
        <f t="shared" ref="U186" si="312">+U185+U184</f>
        <v>0</v>
      </c>
      <c r="V186" s="222">
        <f t="shared" ref="V186" si="313">+V185+V184</f>
        <v>0</v>
      </c>
      <c r="W186" s="222">
        <f t="shared" ref="W186" si="314">+W185+W184</f>
        <v>0</v>
      </c>
      <c r="X186" s="222">
        <f t="shared" ref="X186" si="315">+X185+X184</f>
        <v>0</v>
      </c>
      <c r="Y186" s="222">
        <f t="shared" ref="Y186" si="316">+Y185+Y184</f>
        <v>0</v>
      </c>
      <c r="Z186" s="222">
        <f t="shared" ref="Z186" si="317">+Z185+Z184</f>
        <v>0</v>
      </c>
      <c r="AA186" s="222">
        <f t="shared" ref="AA186" si="318">+AA185+AA184</f>
        <v>0</v>
      </c>
      <c r="AB186" s="222">
        <f t="shared" ref="AB186:AF186" si="319">+AB185+AB184</f>
        <v>0</v>
      </c>
      <c r="AC186" s="222">
        <f t="shared" si="319"/>
        <v>0</v>
      </c>
      <c r="AD186" s="222">
        <f t="shared" si="319"/>
        <v>0</v>
      </c>
      <c r="AE186" s="222">
        <f t="shared" si="319"/>
        <v>280.90000000000015</v>
      </c>
      <c r="AF186" s="222">
        <f t="shared" si="319"/>
        <v>321.50000000000006</v>
      </c>
      <c r="AG186" s="222">
        <f>+AG185+AG184</f>
        <v>192.29999999999995</v>
      </c>
      <c r="AH186" s="222">
        <f>+AH185+AH184</f>
        <v>285.80000000000007</v>
      </c>
      <c r="AI186" s="222">
        <f>+AI185+AI184</f>
        <v>0</v>
      </c>
      <c r="AJ186" s="222">
        <f>+AJ185+AJ184</f>
        <v>270.12500000000006</v>
      </c>
      <c r="AK186" s="222">
        <f t="shared" si="289"/>
        <v>4.8999999999999204</v>
      </c>
      <c r="AL186" s="158">
        <f t="shared" si="292"/>
        <v>5.7811572237489502E-3</v>
      </c>
    </row>
    <row r="187" spans="1:38" ht="15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43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</row>
    <row r="188" spans="1:38" ht="15.75" x14ac:dyDescent="0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43"/>
      <c r="S188" s="246" t="s">
        <v>223</v>
      </c>
      <c r="T188" s="232"/>
      <c r="U188" s="232"/>
      <c r="V188" s="232"/>
      <c r="W188" s="232"/>
      <c r="X188" s="232"/>
      <c r="Y188" s="232"/>
      <c r="Z188" s="233">
        <f>(+Z156-Y156)/Y156</f>
        <v>-1.3925152306353425E-2</v>
      </c>
      <c r="AA188" s="233">
        <f>(+AA156-Z156)/Z156</f>
        <v>2.647837599293885E-3</v>
      </c>
      <c r="AB188" s="233">
        <f>(+AB156-AA156)/AA156</f>
        <v>-2.464788732394364E-2</v>
      </c>
      <c r="AC188" s="234"/>
      <c r="AD188" s="234"/>
      <c r="AE188" s="234">
        <v>50.2</v>
      </c>
      <c r="AF188" s="234">
        <v>50.5</v>
      </c>
      <c r="AG188" s="234">
        <v>57.5</v>
      </c>
      <c r="AH188" s="224">
        <v>59.2</v>
      </c>
      <c r="AI188" s="234">
        <f>(+AI156-AH156)/AH156</f>
        <v>-1</v>
      </c>
      <c r="AJ188" s="237">
        <f>AVERAGE(AC188:AH188)</f>
        <v>54.349999999999994</v>
      </c>
      <c r="AK188" s="72"/>
      <c r="AL188" s="158">
        <f>RATE(3,,-AE188,AH188)</f>
        <v>5.6507691689725269E-2</v>
      </c>
    </row>
    <row r="189" spans="1:38" ht="15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43"/>
      <c r="S189" s="247" t="s">
        <v>220</v>
      </c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</row>
    <row r="190" spans="1:38" ht="15.75" x14ac:dyDescent="0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43"/>
      <c r="S190" s="246" t="s">
        <v>219</v>
      </c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235">
        <f>+AE175/AE188</f>
        <v>4.7808764940239037</v>
      </c>
      <c r="AF190" s="235">
        <f>+AF175/AF188</f>
        <v>5.0178217821782178</v>
      </c>
      <c r="AG190" s="235">
        <f>+AG175/AG188</f>
        <v>4.7652173913043478</v>
      </c>
      <c r="AH190" s="235">
        <f>+AH175/AH188</f>
        <v>4.9763513513513518</v>
      </c>
      <c r="AI190" s="222"/>
      <c r="AJ190" s="238">
        <f>AVERAGE(AC190:AH190)</f>
        <v>4.8850667547144546</v>
      </c>
      <c r="AK190" s="72"/>
      <c r="AL190" s="158">
        <f>RATE(3,,-AE190,AH190)</f>
        <v>1.3447300979761472E-2</v>
      </c>
    </row>
    <row r="191" spans="1:38" ht="15" x14ac:dyDescent="0.2">
      <c r="AK191" s="72"/>
      <c r="AL191" s="72"/>
    </row>
    <row r="192" spans="1:38" x14ac:dyDescent="0.2">
      <c r="AE192" s="143"/>
      <c r="AF192" s="143"/>
      <c r="AG192" s="143"/>
      <c r="AH192" s="143"/>
      <c r="AI192" s="143"/>
      <c r="AJ192" s="143"/>
    </row>
  </sheetData>
  <mergeCells count="5">
    <mergeCell ref="S110:AJ110"/>
    <mergeCell ref="S111:AJ111"/>
    <mergeCell ref="S112:AJ112"/>
    <mergeCell ref="S161:AJ161"/>
    <mergeCell ref="S134:AJ134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2" manualBreakCount="2">
    <brk id="66" max="36" man="1"/>
    <brk id="107" max="31" man="1"/>
  </rowBreaks>
  <colBreaks count="1" manualBreakCount="1">
    <brk id="18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view="pageBreakPreview" topLeftCell="A25" zoomScaleNormal="100" zoomScaleSheetLayoutView="100" workbookViewId="0">
      <selection activeCell="R46" sqref="R46"/>
    </sheetView>
  </sheetViews>
  <sheetFormatPr defaultRowHeight="12.75" x14ac:dyDescent="0.2"/>
  <cols>
    <col min="1" max="1" width="52.28515625" style="10" customWidth="1"/>
    <col min="2" max="5" width="10.7109375" style="9" hidden="1" customWidth="1"/>
    <col min="6" max="6" width="10.7109375" style="11" hidden="1" customWidth="1"/>
    <col min="7" max="10" width="10.7109375" style="9" hidden="1" customWidth="1"/>
    <col min="11" max="16" width="10.7109375" style="9" customWidth="1"/>
    <col min="17" max="17" width="10.7109375" style="9" hidden="1" customWidth="1"/>
    <col min="18" max="18" width="11.28515625" style="12" customWidth="1"/>
    <col min="19" max="19" width="52.28515625" style="9" customWidth="1"/>
    <col min="20" max="26" width="11" style="9" hidden="1" customWidth="1"/>
    <col min="27" max="27" width="12.28515625" style="9" hidden="1" customWidth="1"/>
    <col min="28" max="28" width="11" style="9" customWidth="1"/>
    <col min="29" max="29" width="11.28515625" style="9" customWidth="1"/>
    <col min="30" max="33" width="11" style="9" customWidth="1"/>
    <col min="34" max="34" width="11.140625" style="9" customWidth="1"/>
    <col min="35" max="16384" width="9.140625" style="9"/>
  </cols>
  <sheetData>
    <row r="1" spans="1:35" ht="15.75" x14ac:dyDescent="0.25">
      <c r="R1" s="22" t="s">
        <v>114</v>
      </c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3" t="s">
        <v>114</v>
      </c>
      <c r="AI1" s="12"/>
    </row>
    <row r="2" spans="1:35" ht="15.75" x14ac:dyDescent="0.25">
      <c r="R2" s="152" t="s">
        <v>176</v>
      </c>
      <c r="S2" s="1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52" t="s">
        <v>161</v>
      </c>
      <c r="AI2" s="12"/>
    </row>
    <row r="3" spans="1:35" ht="20.25" x14ac:dyDescent="0.3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tr">
        <f>A3</f>
        <v>Questar Gas Company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3"/>
      <c r="AI3" s="12"/>
    </row>
    <row r="4" spans="1:35" ht="15.75" x14ac:dyDescent="0.2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113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3"/>
      <c r="AI4" s="12"/>
    </row>
    <row r="5" spans="1:35" ht="15" customHeight="1" x14ac:dyDescent="0.25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1" t="str">
        <f>A5</f>
        <v>Years Ended December 31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3"/>
      <c r="AI5" s="12"/>
    </row>
    <row r="6" spans="1:35" ht="1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 t="str">
        <f>'Historical - Exhibit 1'!R7</f>
        <v>2008 to 2013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12"/>
    </row>
    <row r="7" spans="1:35" ht="15.75" x14ac:dyDescent="0.25">
      <c r="A7" s="128" t="s">
        <v>130</v>
      </c>
      <c r="B7" s="254"/>
      <c r="C7" s="254"/>
      <c r="D7" s="254"/>
      <c r="E7" s="254"/>
      <c r="F7" s="254"/>
      <c r="G7" s="254"/>
      <c r="H7" s="129"/>
      <c r="I7" s="130"/>
      <c r="J7" s="130"/>
      <c r="K7" s="130"/>
      <c r="L7" s="130"/>
      <c r="M7" s="144"/>
      <c r="N7" s="144"/>
      <c r="O7" s="190"/>
      <c r="P7" s="211"/>
      <c r="Q7" s="211" t="str">
        <f>+'Historical - Exhibit 1'!Q115</f>
        <v>1st Qrtr</v>
      </c>
      <c r="R7" s="131" t="s">
        <v>3</v>
      </c>
      <c r="S7" s="24"/>
      <c r="T7" s="24"/>
      <c r="U7" s="24"/>
      <c r="V7" s="24"/>
      <c r="W7" s="24"/>
      <c r="X7" s="135"/>
      <c r="Y7" s="135"/>
      <c r="Z7" s="89"/>
      <c r="AA7" s="89"/>
      <c r="AB7" s="89"/>
      <c r="AC7" s="89"/>
      <c r="AD7" s="89"/>
      <c r="AE7" s="145"/>
      <c r="AF7" s="145"/>
      <c r="AG7" s="145"/>
      <c r="AH7" s="136" t="str">
        <f>R6</f>
        <v>2008 to 2013</v>
      </c>
      <c r="AI7" s="12"/>
    </row>
    <row r="8" spans="1:35" ht="15.75" x14ac:dyDescent="0.2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2">
        <f>'Historical - Exhibit 1'!P9</f>
        <v>2013</v>
      </c>
      <c r="Q8" s="132">
        <f>'Historical - Exhibit 1'!Q9</f>
        <v>2014</v>
      </c>
      <c r="R8" s="133" t="s">
        <v>24</v>
      </c>
      <c r="S8" s="25"/>
      <c r="T8" s="29">
        <f t="shared" ref="T8:AB8" si="0">B8</f>
        <v>1999</v>
      </c>
      <c r="U8" s="29">
        <f t="shared" si="0"/>
        <v>2000</v>
      </c>
      <c r="V8" s="29">
        <f t="shared" si="0"/>
        <v>2001</v>
      </c>
      <c r="W8" s="29">
        <f t="shared" si="0"/>
        <v>2002</v>
      </c>
      <c r="X8" s="137">
        <f t="shared" si="0"/>
        <v>2003</v>
      </c>
      <c r="Y8" s="137">
        <f t="shared" si="0"/>
        <v>2004</v>
      </c>
      <c r="Z8" s="137">
        <f t="shared" si="0"/>
        <v>2005</v>
      </c>
      <c r="AA8" s="137">
        <f t="shared" si="0"/>
        <v>2006</v>
      </c>
      <c r="AB8" s="137">
        <f t="shared" si="0"/>
        <v>2007</v>
      </c>
      <c r="AC8" s="137">
        <f>K8</f>
        <v>2008</v>
      </c>
      <c r="AD8" s="137">
        <f>+L8</f>
        <v>2009</v>
      </c>
      <c r="AE8" s="137">
        <f>M8</f>
        <v>2010</v>
      </c>
      <c r="AF8" s="137">
        <f t="shared" ref="AF8:AG8" si="1">N8</f>
        <v>2011</v>
      </c>
      <c r="AG8" s="137">
        <f t="shared" si="1"/>
        <v>2012</v>
      </c>
      <c r="AH8" s="138" t="s">
        <v>2</v>
      </c>
      <c r="AI8" s="12"/>
    </row>
    <row r="9" spans="1:35" ht="12.75" customHeight="1" x14ac:dyDescent="0.2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25"/>
      <c r="T9" s="32"/>
      <c r="U9" s="33"/>
      <c r="V9" s="33"/>
      <c r="W9" s="33"/>
      <c r="X9" s="33"/>
      <c r="Y9" s="33"/>
      <c r="Z9" s="34"/>
      <c r="AA9" s="33"/>
      <c r="AB9" s="33"/>
      <c r="AC9" s="33"/>
      <c r="AD9" s="33"/>
      <c r="AE9" s="33"/>
      <c r="AF9" s="33"/>
      <c r="AG9" s="33"/>
      <c r="AH9" s="25"/>
      <c r="AI9" s="12"/>
    </row>
    <row r="10" spans="1:35" ht="15" x14ac:dyDescent="0.2">
      <c r="A10" s="26" t="str">
        <f>+S10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25" t="s">
        <v>54</v>
      </c>
      <c r="T10" s="134">
        <f>'Historical - Exhibit 1'!B80</f>
        <v>449937</v>
      </c>
      <c r="U10" s="134">
        <f>'Historical - Exhibit 1'!C80</f>
        <v>536762</v>
      </c>
      <c r="V10" s="134">
        <f>'Historical - Exhibit 1'!D80</f>
        <v>704113</v>
      </c>
      <c r="W10" s="134">
        <f>'Historical - Exhibit 1'!E80</f>
        <v>595511</v>
      </c>
      <c r="X10" s="134">
        <f>'Historical - Exhibit 1'!F80</f>
        <v>620995</v>
      </c>
      <c r="Y10" s="134">
        <f>'Historical - Exhibit 1'!G80</f>
        <v>764193</v>
      </c>
      <c r="Z10" s="134">
        <f>'Historical - Exhibit 1'!H80</f>
        <v>962547</v>
      </c>
      <c r="AA10" s="134">
        <f>'Historical - Exhibit 1'!I80</f>
        <v>1064600</v>
      </c>
      <c r="AB10" s="134">
        <f>'Historical - Exhibit 1'!J80</f>
        <v>932500</v>
      </c>
      <c r="AC10" s="134">
        <f>'Historical - Exhibit 1'!K80</f>
        <v>1000300</v>
      </c>
      <c r="AD10" s="134">
        <f>'Historical - Exhibit 1'!L80</f>
        <v>919900</v>
      </c>
      <c r="AE10" s="134">
        <f>'Historical - Exhibit 1'!M80</f>
        <v>902900</v>
      </c>
      <c r="AF10" s="134">
        <f>'Historical - Exhibit 1'!N80</f>
        <v>968800</v>
      </c>
      <c r="AG10" s="134">
        <f>'Historical - Exhibit 1'!O80</f>
        <v>862200</v>
      </c>
      <c r="AH10" s="139">
        <f>AVERAGE(AC10:AG10)</f>
        <v>930820</v>
      </c>
      <c r="AI10" s="12"/>
    </row>
    <row r="11" spans="1:35" ht="15" x14ac:dyDescent="0.2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 t="s">
        <v>74</v>
      </c>
      <c r="T11" s="25"/>
      <c r="U11" s="25"/>
      <c r="V11" s="25"/>
      <c r="W11" s="25"/>
      <c r="X11" s="41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5" ht="15" x14ac:dyDescent="0.2">
      <c r="A12" s="42" t="s">
        <v>75</v>
      </c>
      <c r="B12" s="37">
        <f>'Historical - Exhibit 1'!B102</f>
        <v>19219</v>
      </c>
      <c r="C12" s="37">
        <f>'Historical - Exhibit 1'!C102</f>
        <v>24163</v>
      </c>
      <c r="D12" s="37">
        <f>'Historical - Exhibit 1'!D102</f>
        <v>25873</v>
      </c>
      <c r="E12" s="37">
        <f>'Historical - Exhibit 1'!E102</f>
        <v>32399</v>
      </c>
      <c r="F12" s="37">
        <f>'Historical - Exhibit 1'!F102</f>
        <v>20182</v>
      </c>
      <c r="G12" s="37">
        <f>'Historical - Exhibit 1'!G102</f>
        <v>31461</v>
      </c>
      <c r="H12" s="37">
        <f>'Historical - Exhibit 1'!H102</f>
        <v>35975</v>
      </c>
      <c r="I12" s="37">
        <f>'Historical - Exhibit 1'!I102</f>
        <v>37000</v>
      </c>
      <c r="J12" s="37">
        <f>'Historical - Exhibit 1'!J102</f>
        <v>37400</v>
      </c>
      <c r="K12" s="37">
        <f>'Historical - Exhibit 1'!K102</f>
        <v>40200</v>
      </c>
      <c r="L12" s="37">
        <v>41600</v>
      </c>
      <c r="M12" s="37">
        <f>'Historical - Exhibit 1'!M102</f>
        <v>43900</v>
      </c>
      <c r="N12" s="37">
        <f>'Historical - Exhibit 1'!N102</f>
        <v>46100</v>
      </c>
      <c r="O12" s="37">
        <f>'Historical - Exhibit 1'!O102</f>
        <v>47100</v>
      </c>
      <c r="P12" s="37">
        <f>'Historical - Exhibit 1'!P102</f>
        <v>52800</v>
      </c>
      <c r="Q12" s="37">
        <f>'Historical - Exhibit 1'!Q102</f>
        <v>0</v>
      </c>
      <c r="R12" s="43">
        <f>RATE(5,,-K12,P12)</f>
        <v>5.604293121510194E-2</v>
      </c>
      <c r="S12" s="44" t="str">
        <f t="shared" ref="S12:S25" si="2">A12</f>
        <v xml:space="preserve">   Net income</v>
      </c>
      <c r="T12" s="45">
        <f t="shared" ref="T12:AG12" si="3">B12/T$10</f>
        <v>4.2714868970544766E-2</v>
      </c>
      <c r="U12" s="45">
        <f t="shared" si="3"/>
        <v>4.5016226931116586E-2</v>
      </c>
      <c r="V12" s="45">
        <f t="shared" si="3"/>
        <v>3.6745522380640605E-2</v>
      </c>
      <c r="W12" s="45">
        <f t="shared" si="3"/>
        <v>5.4405376223109231E-2</v>
      </c>
      <c r="X12" s="45">
        <f t="shared" si="3"/>
        <v>3.2499456517363266E-2</v>
      </c>
      <c r="Y12" s="45">
        <f t="shared" si="3"/>
        <v>4.1168919369845056E-2</v>
      </c>
      <c r="Z12" s="45">
        <f t="shared" si="3"/>
        <v>3.7374798321536506E-2</v>
      </c>
      <c r="AA12" s="45">
        <f t="shared" si="3"/>
        <v>3.4754837497651701E-2</v>
      </c>
      <c r="AB12" s="45">
        <f t="shared" si="3"/>
        <v>4.0107238605898127E-2</v>
      </c>
      <c r="AC12" s="45">
        <f t="shared" si="3"/>
        <v>4.0187943616914926E-2</v>
      </c>
      <c r="AD12" s="45">
        <f t="shared" si="3"/>
        <v>4.5222306772475268E-2</v>
      </c>
      <c r="AE12" s="45">
        <f t="shared" si="3"/>
        <v>4.8621109757448225E-2</v>
      </c>
      <c r="AF12" s="45">
        <f t="shared" si="3"/>
        <v>4.7584640792733279E-2</v>
      </c>
      <c r="AG12" s="45">
        <f t="shared" si="3"/>
        <v>5.4627696590118305E-2</v>
      </c>
      <c r="AH12" s="45">
        <f>AVERAGE(AC12:AG12)</f>
        <v>4.7248739505937998E-2</v>
      </c>
    </row>
    <row r="13" spans="1:35" ht="15" x14ac:dyDescent="0.2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3"/>
      <c r="S13" s="44" t="str">
        <f t="shared" si="2"/>
        <v xml:space="preserve">   Adjustments to reconcile net income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35"/>
    </row>
    <row r="14" spans="1:35" ht="15" x14ac:dyDescent="0.2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52100</v>
      </c>
      <c r="P14" s="46">
        <v>54700</v>
      </c>
      <c r="Q14" s="46"/>
      <c r="R14" s="43">
        <f t="shared" ref="R14:R15" si="4">RATE(5,,-K14,P14)</f>
        <v>3.8890508054365509E-2</v>
      </c>
      <c r="S14" s="44" t="str">
        <f t="shared" si="2"/>
        <v xml:space="preserve">       Depreciation and amortization</v>
      </c>
      <c r="T14" s="45">
        <f t="shared" ref="T14:AG15" si="5">B14/T$10</f>
        <v>8.7743395186437215E-2</v>
      </c>
      <c r="U14" s="45">
        <f t="shared" si="5"/>
        <v>7.0783699293169036E-2</v>
      </c>
      <c r="V14" s="45">
        <f t="shared" si="5"/>
        <v>5.4408880392777866E-2</v>
      </c>
      <c r="W14" s="45">
        <f t="shared" si="5"/>
        <v>7.1840822419736994E-2</v>
      </c>
      <c r="X14" s="45">
        <f t="shared" si="5"/>
        <v>6.9589932286089257E-2</v>
      </c>
      <c r="Y14" s="45">
        <f t="shared" si="5"/>
        <v>5.980164696614599E-2</v>
      </c>
      <c r="Z14" s="45">
        <f t="shared" si="5"/>
        <v>5.2049406418595665E-2</v>
      </c>
      <c r="AA14" s="45">
        <f t="shared" si="5"/>
        <v>4.2081532970129627E-2</v>
      </c>
      <c r="AB14" s="45">
        <f t="shared" si="5"/>
        <v>4.579088471849866E-2</v>
      </c>
      <c r="AC14" s="45">
        <f t="shared" si="5"/>
        <v>4.5186444066779963E-2</v>
      </c>
      <c r="AD14" s="45">
        <f t="shared" si="5"/>
        <v>5.1962169801065335E-2</v>
      </c>
      <c r="AE14" s="45">
        <f t="shared" si="5"/>
        <v>5.316203344777938E-2</v>
      </c>
      <c r="AF14" s="45">
        <f t="shared" si="5"/>
        <v>5.0784475639966971E-2</v>
      </c>
      <c r="AG14" s="45">
        <f t="shared" si="5"/>
        <v>6.0426815124101134E-2</v>
      </c>
      <c r="AH14" s="45">
        <f t="shared" ref="AH14:AH15" si="6">AVERAGE(AC14:AG14)</f>
        <v>5.2304387615938551E-2</v>
      </c>
    </row>
    <row r="15" spans="1:35" ht="15" x14ac:dyDescent="0.2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45900</v>
      </c>
      <c r="P15" s="38">
        <v>37700</v>
      </c>
      <c r="Q15" s="38"/>
      <c r="R15" s="43">
        <f t="shared" si="4"/>
        <v>4.4671494210009502E-2</v>
      </c>
      <c r="S15" s="44" t="str">
        <f t="shared" si="2"/>
        <v xml:space="preserve">       Deferred income taxes and investment tax credits - net</v>
      </c>
      <c r="T15" s="45">
        <f t="shared" si="5"/>
        <v>1.1823877565081334E-2</v>
      </c>
      <c r="U15" s="45">
        <f t="shared" si="5"/>
        <v>2.5406045882532667E-2</v>
      </c>
      <c r="V15" s="45">
        <f t="shared" si="5"/>
        <v>-1.7573883737411467E-2</v>
      </c>
      <c r="W15" s="45">
        <f t="shared" si="5"/>
        <v>3.7665131290605882E-3</v>
      </c>
      <c r="X15" s="45">
        <f t="shared" si="5"/>
        <v>1.5517033148415044E-2</v>
      </c>
      <c r="Y15" s="45">
        <f t="shared" si="5"/>
        <v>4.2266809562505808E-2</v>
      </c>
      <c r="Z15" s="45">
        <f t="shared" si="5"/>
        <v>3.8439681386986816E-3</v>
      </c>
      <c r="AA15" s="45">
        <f t="shared" si="5"/>
        <v>-1.4277662972008266E-2</v>
      </c>
      <c r="AB15" s="45">
        <f t="shared" si="5"/>
        <v>4.2895442359249334E-3</v>
      </c>
      <c r="AC15" s="45">
        <f t="shared" si="5"/>
        <v>3.0290912726182145E-2</v>
      </c>
      <c r="AD15" s="45">
        <f t="shared" si="5"/>
        <v>3.7069246657245356E-2</v>
      </c>
      <c r="AE15" s="45">
        <f t="shared" si="5"/>
        <v>4.82888470483996E-2</v>
      </c>
      <c r="AF15" s="45">
        <f t="shared" si="5"/>
        <v>2.6011560693641619E-2</v>
      </c>
      <c r="AG15" s="45">
        <f t="shared" si="5"/>
        <v>5.3235908141962419E-2</v>
      </c>
      <c r="AH15" s="45">
        <f t="shared" si="6"/>
        <v>3.8979295053486226E-2</v>
      </c>
    </row>
    <row r="16" spans="1:35" ht="15" x14ac:dyDescent="0.2">
      <c r="A16" s="48" t="s">
        <v>101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38"/>
      <c r="Q16" s="38"/>
      <c r="R16" s="43"/>
      <c r="S16" s="44" t="str">
        <f t="shared" si="2"/>
        <v xml:space="preserve">       (Gain) Loss on sale of assets</v>
      </c>
      <c r="T16" s="45">
        <f t="shared" ref="T16:Y16" si="7">B16/T$10</f>
        <v>0</v>
      </c>
      <c r="U16" s="45">
        <f t="shared" si="7"/>
        <v>-1.9189137830174268E-4</v>
      </c>
      <c r="V16" s="45">
        <f t="shared" si="7"/>
        <v>-1.6971707666241073E-3</v>
      </c>
      <c r="W16" s="45">
        <f t="shared" si="7"/>
        <v>7.0863510497707011E-4</v>
      </c>
      <c r="X16" s="45">
        <f t="shared" si="7"/>
        <v>2.2544464931279639E-5</v>
      </c>
      <c r="Y16" s="45">
        <f t="shared" si="7"/>
        <v>2.6171399109910714E-4</v>
      </c>
      <c r="Z16" s="45"/>
      <c r="AA16" s="45">
        <f>I16/AA$10</f>
        <v>2.8179597971068947E-4</v>
      </c>
      <c r="AB16" s="45"/>
      <c r="AC16" s="45"/>
      <c r="AD16" s="45"/>
      <c r="AE16" s="45"/>
      <c r="AF16" s="45"/>
      <c r="AG16" s="45"/>
      <c r="AH16" s="35"/>
    </row>
    <row r="17" spans="1:34" ht="15" x14ac:dyDescent="0.2">
      <c r="A17" s="48" t="s">
        <v>127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1200</v>
      </c>
      <c r="P17" s="38">
        <v>1400</v>
      </c>
      <c r="Q17" s="38"/>
      <c r="R17" s="43">
        <f>RATE(5,,-K17,P17)</f>
        <v>3.1310306478541626E-2</v>
      </c>
      <c r="S17" s="44" t="str">
        <f t="shared" si="2"/>
        <v xml:space="preserve">       Cumulative Affect of Accounting Chng and Other</v>
      </c>
      <c r="T17" s="45">
        <f>B17/T$10</f>
        <v>0</v>
      </c>
      <c r="U17" s="45">
        <f>C17/U$10</f>
        <v>0</v>
      </c>
      <c r="V17" s="45">
        <f>D17/V$10</f>
        <v>0</v>
      </c>
      <c r="W17" s="45">
        <f>E17/W$10</f>
        <v>0</v>
      </c>
      <c r="X17" s="45">
        <f>F17/X$10</f>
        <v>5.3784652050338565E-4</v>
      </c>
      <c r="Y17" s="45"/>
      <c r="Z17" s="45"/>
      <c r="AA17" s="45">
        <f>I17/AA$10</f>
        <v>6.5752395265827543E-4</v>
      </c>
      <c r="AB17" s="45">
        <f t="shared" ref="AB17:AG17" si="8">J17/AB$10</f>
        <v>7.5067024128686326E-4</v>
      </c>
      <c r="AC17" s="45">
        <f t="shared" si="8"/>
        <v>1.1996401079676098E-3</v>
      </c>
      <c r="AD17" s="45">
        <f t="shared" si="8"/>
        <v>1.0870746820306554E-3</v>
      </c>
      <c r="AE17" s="45">
        <f t="shared" si="8"/>
        <v>1.5505593088935652E-3</v>
      </c>
      <c r="AF17" s="45">
        <f t="shared" si="8"/>
        <v>1.1354252683732453E-3</v>
      </c>
      <c r="AG17" s="45">
        <f t="shared" si="8"/>
        <v>1.3917884481558804E-3</v>
      </c>
      <c r="AH17" s="45">
        <f>AVERAGE(AC17:AG17)</f>
        <v>1.2728975630841911E-3</v>
      </c>
    </row>
    <row r="18" spans="1:34" ht="15" x14ac:dyDescent="0.2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3"/>
      <c r="S18" s="44" t="str">
        <f t="shared" si="2"/>
        <v xml:space="preserve">   Changes in: 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35"/>
    </row>
    <row r="19" spans="1:34" ht="15" x14ac:dyDescent="0.2">
      <c r="A19" s="50" t="s">
        <v>100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>
        <v>-12700</v>
      </c>
      <c r="P19" s="38">
        <v>-43700</v>
      </c>
      <c r="Q19" s="38"/>
      <c r="R19" s="43">
        <f t="shared" ref="R19:R21" si="9">RATE(5,,-K19,P19)</f>
        <v>0.15134515347235084</v>
      </c>
      <c r="S19" s="44" t="str">
        <f t="shared" si="2"/>
        <v xml:space="preserve">      Accounts receivable</v>
      </c>
      <c r="T19" s="45">
        <f t="shared" ref="T19:AA21" si="10">B19/T$10</f>
        <v>-5.7474713126504373E-3</v>
      </c>
      <c r="U19" s="45">
        <f t="shared" si="10"/>
        <v>-5.9622327959132727E-2</v>
      </c>
      <c r="V19" s="45">
        <f t="shared" si="10"/>
        <v>1.0512517166988821E-2</v>
      </c>
      <c r="W19" s="45">
        <f t="shared" si="10"/>
        <v>4.2146996445069862E-2</v>
      </c>
      <c r="X19" s="45">
        <f t="shared" si="10"/>
        <v>-3.6005120814177248E-2</v>
      </c>
      <c r="Y19" s="45">
        <f t="shared" si="10"/>
        <v>-7.5897057418741077E-3</v>
      </c>
      <c r="Z19" s="45">
        <f t="shared" si="10"/>
        <v>-5.5166137341864867E-2</v>
      </c>
      <c r="AA19" s="45">
        <f t="shared" si="10"/>
        <v>3.4379109524704111E-2</v>
      </c>
      <c r="AB19" s="45"/>
      <c r="AC19" s="45">
        <f t="shared" ref="AC19:AG21" si="11">K19/AC$10</f>
        <v>-2.1593521943416974E-2</v>
      </c>
      <c r="AD19" s="45">
        <f t="shared" si="11"/>
        <v>8.3704750516360466E-3</v>
      </c>
      <c r="AE19" s="45">
        <f t="shared" si="11"/>
        <v>-4.8731863993797765E-3</v>
      </c>
      <c r="AF19" s="45">
        <f t="shared" si="11"/>
        <v>5.1610239471511152E-3</v>
      </c>
      <c r="AG19" s="45">
        <f t="shared" si="11"/>
        <v>-1.47297610763164E-2</v>
      </c>
      <c r="AH19" s="45">
        <f t="shared" ref="AH19:AH21" si="12">AVERAGE(AC19:AG19)</f>
        <v>-5.5329940840651969E-3</v>
      </c>
    </row>
    <row r="20" spans="1:34" ht="15" x14ac:dyDescent="0.2">
      <c r="A20" s="50" t="s">
        <v>174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>
        <v>700</v>
      </c>
      <c r="P20" s="38">
        <v>500</v>
      </c>
      <c r="Q20" s="38"/>
      <c r="R20" s="43"/>
      <c r="S20" s="44" t="str">
        <f t="shared" si="2"/>
        <v xml:space="preserve">      Inventories</v>
      </c>
      <c r="T20" s="45">
        <f t="shared" si="10"/>
        <v>1.3690805601673122E-3</v>
      </c>
      <c r="U20" s="45">
        <f t="shared" si="10"/>
        <v>-8.022177426867028E-3</v>
      </c>
      <c r="V20" s="45">
        <f t="shared" si="10"/>
        <v>-1.2455387132463112E-3</v>
      </c>
      <c r="W20" s="45">
        <f t="shared" si="10"/>
        <v>3.4927986216879288E-4</v>
      </c>
      <c r="X20" s="45">
        <f t="shared" si="10"/>
        <v>-1.8872937785328384E-3</v>
      </c>
      <c r="Y20" s="45">
        <f t="shared" si="10"/>
        <v>-2.8788539020901789E-2</v>
      </c>
      <c r="Z20" s="45">
        <f t="shared" si="10"/>
        <v>-1.4752526370140887E-2</v>
      </c>
      <c r="AA20" s="45">
        <f t="shared" si="10"/>
        <v>5.8237835806875821E-3</v>
      </c>
      <c r="AB20" s="45">
        <f>J20/AB$10</f>
        <v>8.5790884718498668E-3</v>
      </c>
      <c r="AC20" s="45">
        <f t="shared" si="11"/>
        <v>-2.3592922123362992E-2</v>
      </c>
      <c r="AD20" s="45">
        <f t="shared" si="11"/>
        <v>2.3045983259049895E-2</v>
      </c>
      <c r="AE20" s="45">
        <f t="shared" si="11"/>
        <v>3.7656440358843726E-3</v>
      </c>
      <c r="AF20" s="45">
        <f t="shared" si="11"/>
        <v>-1.3418662262592899E-3</v>
      </c>
      <c r="AG20" s="45">
        <f t="shared" si="11"/>
        <v>8.118765947575968E-4</v>
      </c>
      <c r="AH20" s="45">
        <f t="shared" si="12"/>
        <v>5.3774310801391642E-4</v>
      </c>
    </row>
    <row r="21" spans="1:34" ht="15" x14ac:dyDescent="0.2">
      <c r="A21" s="50" t="s">
        <v>102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>
        <v>7800</v>
      </c>
      <c r="P21" s="38">
        <v>29500</v>
      </c>
      <c r="Q21" s="38"/>
      <c r="R21" s="43">
        <f t="shared" si="9"/>
        <v>0.46984220005802502</v>
      </c>
      <c r="S21" s="44" t="str">
        <f t="shared" si="2"/>
        <v xml:space="preserve">      Accounts payable and accrued expenses</v>
      </c>
      <c r="T21" s="45">
        <f t="shared" si="10"/>
        <v>-6.7098282648459674E-3</v>
      </c>
      <c r="U21" s="45">
        <f t="shared" si="10"/>
        <v>0.11498019606455002</v>
      </c>
      <c r="V21" s="45">
        <f t="shared" si="10"/>
        <v>-6.7689419169934373E-2</v>
      </c>
      <c r="W21" s="45">
        <f t="shared" si="10"/>
        <v>-6.9923141638021796E-3</v>
      </c>
      <c r="X21" s="45">
        <f t="shared" si="10"/>
        <v>2.2273931352104284E-2</v>
      </c>
      <c r="Y21" s="45">
        <f t="shared" si="10"/>
        <v>5.2604512210920537E-2</v>
      </c>
      <c r="Z21" s="45">
        <f t="shared" si="10"/>
        <v>5.4231118064884107E-2</v>
      </c>
      <c r="AA21" s="45">
        <f t="shared" si="10"/>
        <v>-2.5643434153672741E-2</v>
      </c>
      <c r="AB21" s="45">
        <f>J21/AB$10</f>
        <v>1.1045576407506702E-2</v>
      </c>
      <c r="AC21" s="45">
        <f t="shared" si="11"/>
        <v>4.2987103868839345E-3</v>
      </c>
      <c r="AD21" s="45">
        <f t="shared" si="11"/>
        <v>7.9356451788237855E-3</v>
      </c>
      <c r="AE21" s="45">
        <f t="shared" si="11"/>
        <v>-2.392291505150072E-2</v>
      </c>
      <c r="AF21" s="45">
        <f t="shared" si="11"/>
        <v>-1.8579686209744012E-3</v>
      </c>
      <c r="AG21" s="45">
        <f t="shared" si="11"/>
        <v>9.046624913013222E-3</v>
      </c>
      <c r="AH21" s="45">
        <f t="shared" si="12"/>
        <v>-8.9998063875083617E-4</v>
      </c>
    </row>
    <row r="22" spans="1:34" ht="15" x14ac:dyDescent="0.2">
      <c r="A22" s="50" t="s">
        <v>103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38"/>
      <c r="Q22" s="38"/>
      <c r="R22" s="43"/>
      <c r="S22" s="44" t="str">
        <f t="shared" si="2"/>
        <v xml:space="preserve">      Rate-refund obligation</v>
      </c>
      <c r="T22" s="45">
        <f t="shared" ref="T22:Z24" si="13">B22/T$10</f>
        <v>0</v>
      </c>
      <c r="U22" s="45">
        <f t="shared" si="13"/>
        <v>0</v>
      </c>
      <c r="V22" s="45">
        <f t="shared" si="13"/>
        <v>0</v>
      </c>
      <c r="W22" s="45">
        <f t="shared" si="13"/>
        <v>0</v>
      </c>
      <c r="X22" s="45">
        <f t="shared" si="13"/>
        <v>4.0159743637227352E-2</v>
      </c>
      <c r="Y22" s="45">
        <f t="shared" si="13"/>
        <v>-5.6268508086308039E-3</v>
      </c>
      <c r="Z22" s="45">
        <f t="shared" si="13"/>
        <v>-2.1401552339781849E-2</v>
      </c>
      <c r="AA22" s="45"/>
      <c r="AB22" s="45"/>
      <c r="AC22" s="45"/>
      <c r="AD22" s="45"/>
      <c r="AE22" s="45"/>
      <c r="AF22" s="45"/>
      <c r="AG22" s="45"/>
      <c r="AH22" s="35"/>
    </row>
    <row r="23" spans="1:34" ht="15" x14ac:dyDescent="0.2">
      <c r="A23" s="50" t="s">
        <v>104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38"/>
      <c r="Q23" s="38"/>
      <c r="R23" s="43"/>
      <c r="S23" s="44" t="str">
        <f t="shared" si="2"/>
        <v xml:space="preserve">      Purchased-gas adjustments</v>
      </c>
      <c r="T23" s="45">
        <f t="shared" si="13"/>
        <v>3.6338420712233046E-3</v>
      </c>
      <c r="U23" s="45">
        <f t="shared" si="13"/>
        <v>-6.5453590231797337E-2</v>
      </c>
      <c r="V23" s="45">
        <f t="shared" si="13"/>
        <v>3.8695493479029647E-2</v>
      </c>
      <c r="W23" s="45">
        <f t="shared" si="13"/>
        <v>3.6234427239799097E-2</v>
      </c>
      <c r="X23" s="45">
        <f t="shared" si="13"/>
        <v>-2.2277151989951609E-2</v>
      </c>
      <c r="Y23" s="45">
        <f t="shared" si="13"/>
        <v>-4.6192519428992412E-2</v>
      </c>
      <c r="Z23" s="45">
        <f t="shared" si="13"/>
        <v>-4.1556412310256021E-3</v>
      </c>
      <c r="AA23" s="45">
        <f t="shared" ref="AA23:AD24" si="14">I23/AA$10</f>
        <v>7.6742438474544428E-2</v>
      </c>
      <c r="AB23" s="45">
        <f t="shared" si="14"/>
        <v>1.7372654155495978E-2</v>
      </c>
      <c r="AC23" s="45">
        <f t="shared" si="14"/>
        <v>-1.2296311106668E-2</v>
      </c>
      <c r="AD23" s="45">
        <f t="shared" si="14"/>
        <v>-2.5763669964126535E-2</v>
      </c>
      <c r="AE23" s="45"/>
      <c r="AF23" s="45"/>
      <c r="AG23" s="45"/>
      <c r="AH23" s="45">
        <f t="shared" ref="AH23:AH24" si="15">AVERAGE(AC23:AG23)</f>
        <v>-1.9029990535397268E-2</v>
      </c>
    </row>
    <row r="24" spans="1:34" ht="15" x14ac:dyDescent="0.2">
      <c r="A24" s="50" t="s">
        <v>122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f>1500-100</f>
        <v>1400</v>
      </c>
      <c r="P24" s="38">
        <f>-2800+200</f>
        <v>-2600</v>
      </c>
      <c r="Q24" s="38"/>
      <c r="R24" s="43"/>
      <c r="S24" s="44" t="str">
        <f t="shared" si="2"/>
        <v xml:space="preserve">      Other Assets and Liabilities</v>
      </c>
      <c r="T24" s="45">
        <f t="shared" si="13"/>
        <v>5.6563474441977436E-3</v>
      </c>
      <c r="U24" s="45">
        <f t="shared" si="13"/>
        <v>-8.0538488194022671E-3</v>
      </c>
      <c r="V24" s="45">
        <f t="shared" si="13"/>
        <v>7.8637945897888552E-3</v>
      </c>
      <c r="W24" s="45">
        <f t="shared" si="13"/>
        <v>6.337414422235693E-3</v>
      </c>
      <c r="X24" s="45">
        <f t="shared" si="13"/>
        <v>2.198085330799765E-3</v>
      </c>
      <c r="Y24" s="45">
        <f t="shared" si="13"/>
        <v>-6.4119927819281256E-3</v>
      </c>
      <c r="Z24" s="45">
        <f t="shared" si="13"/>
        <v>1.2570814723852446E-2</v>
      </c>
      <c r="AA24" s="45">
        <f t="shared" si="14"/>
        <v>1.1647567161375164E-2</v>
      </c>
      <c r="AB24" s="45">
        <f t="shared" si="14"/>
        <v>-5.1474530831099197E-3</v>
      </c>
      <c r="AC24" s="45">
        <f t="shared" si="14"/>
        <v>-1.0996700989703088E-2</v>
      </c>
      <c r="AD24" s="45">
        <f t="shared" si="14"/>
        <v>-1.9241221871942601E-2</v>
      </c>
      <c r="AE24" s="45">
        <f>M24/AE$10</f>
        <v>-8.8603389079632295E-3</v>
      </c>
      <c r="AF24" s="45">
        <f>N24/AF$10</f>
        <v>6.1932287365813379E-3</v>
      </c>
      <c r="AG24" s="45">
        <f>O24/AG$10</f>
        <v>1.6237531895151936E-3</v>
      </c>
      <c r="AH24" s="45">
        <f t="shared" si="15"/>
        <v>-6.2562559687024772E-3</v>
      </c>
    </row>
    <row r="25" spans="1:34" ht="15" x14ac:dyDescent="0.2">
      <c r="A25" s="176" t="s">
        <v>175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>
        <f>-24400-6400</f>
        <v>-30800</v>
      </c>
      <c r="P25" s="38">
        <f>17600+5400</f>
        <v>23000</v>
      </c>
      <c r="Q25" s="38"/>
      <c r="R25" s="43"/>
      <c r="S25" s="44" t="str">
        <f t="shared" si="2"/>
        <v xml:space="preserve">      Regulatory Assets, Liabilities &amp; Other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35"/>
    </row>
    <row r="26" spans="1:34" ht="12.75" customHeight="1" x14ac:dyDescent="0.2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51"/>
      <c r="S26" s="4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125"/>
    </row>
    <row r="27" spans="1:34" ht="15" x14ac:dyDescent="0.2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112700</v>
      </c>
      <c r="P27" s="52">
        <f t="shared" ref="P27:Q27" si="19">SUM(P11:P26)</f>
        <v>153300</v>
      </c>
      <c r="Q27" s="52">
        <f t="shared" si="19"/>
        <v>0</v>
      </c>
      <c r="R27" s="43">
        <f>RATE(5,,-K27,P27)</f>
        <v>0.23807315781431904</v>
      </c>
      <c r="S27" s="44" t="s">
        <v>80</v>
      </c>
      <c r="T27" s="53">
        <f t="shared" ref="T27:AG27" si="20">(B27/T$10)</f>
        <v>0.14048411222015528</v>
      </c>
      <c r="U27" s="53">
        <f t="shared" si="20"/>
        <v>0.11484233235586722</v>
      </c>
      <c r="V27" s="53">
        <f t="shared" si="20"/>
        <v>6.0020195622009533E-2</v>
      </c>
      <c r="W27" s="53">
        <f t="shared" si="20"/>
        <v>0.20879715068235516</v>
      </c>
      <c r="X27" s="53">
        <f t="shared" si="20"/>
        <v>0.12262900667477195</v>
      </c>
      <c r="Y27" s="53">
        <f t="shared" si="20"/>
        <v>0.10149399431818926</v>
      </c>
      <c r="Z27" s="53">
        <f t="shared" si="20"/>
        <v>6.4594248384754194E-2</v>
      </c>
      <c r="AA27" s="53">
        <f t="shared" si="20"/>
        <v>0.16644749201578057</v>
      </c>
      <c r="AB27" s="53">
        <f t="shared" si="20"/>
        <v>0.12278820375335121</v>
      </c>
      <c r="AC27" s="53">
        <f t="shared" si="20"/>
        <v>5.2684194741577525E-2</v>
      </c>
      <c r="AD27" s="53">
        <f t="shared" si="20"/>
        <v>0.1296880095662572</v>
      </c>
      <c r="AE27" s="53">
        <f t="shared" si="20"/>
        <v>7.6752685790231479E-2</v>
      </c>
      <c r="AF27" s="53">
        <f t="shared" si="20"/>
        <v>0.15163088356729976</v>
      </c>
      <c r="AG27" s="53">
        <f t="shared" si="20"/>
        <v>0.1307121317559731</v>
      </c>
      <c r="AH27" s="45">
        <f>AVERAGE(AC27:AG27)</f>
        <v>0.10829358108426781</v>
      </c>
    </row>
    <row r="28" spans="1:34" ht="12" customHeight="1" x14ac:dyDescent="0.2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3"/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35"/>
    </row>
    <row r="29" spans="1:34" ht="15" x14ac:dyDescent="0.2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0" t="s">
        <v>81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35"/>
    </row>
    <row r="30" spans="1:34" ht="15" x14ac:dyDescent="0.2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-162100</v>
      </c>
      <c r="P30" s="38">
        <v>-166200</v>
      </c>
      <c r="Q30" s="38"/>
      <c r="R30" s="43">
        <f t="shared" ref="R30:R31" si="21">RATE(5,,-K30,P30)</f>
        <v>5.6441696056300145E-2</v>
      </c>
      <c r="S30" s="40" t="str">
        <f>A30</f>
        <v xml:space="preserve">     Capital expenditures</v>
      </c>
      <c r="T30" s="45">
        <f t="shared" ref="T30:AG31" si="22">(B30/T$10)</f>
        <v>-0.15212574204833121</v>
      </c>
      <c r="U30" s="45">
        <f t="shared" si="22"/>
        <v>-0.12252543958029816</v>
      </c>
      <c r="V30" s="45">
        <f t="shared" si="22"/>
        <v>-0.1119010726971381</v>
      </c>
      <c r="W30" s="45">
        <f t="shared" si="22"/>
        <v>-0.12093647304583795</v>
      </c>
      <c r="X30" s="45">
        <f t="shared" si="22"/>
        <v>-0.11494939572782389</v>
      </c>
      <c r="Y30" s="45">
        <f t="shared" si="22"/>
        <v>-0.10075988657315625</v>
      </c>
      <c r="Z30" s="45">
        <f t="shared" si="22"/>
        <v>-7.0542009896659597E-2</v>
      </c>
      <c r="AA30" s="45">
        <f t="shared" si="22"/>
        <v>-8.1439038136389252E-2</v>
      </c>
      <c r="AB30" s="45">
        <f t="shared" si="22"/>
        <v>-0.1457372654155496</v>
      </c>
      <c r="AC30" s="45">
        <f t="shared" si="22"/>
        <v>-0.12626212136359091</v>
      </c>
      <c r="AD30" s="45">
        <f t="shared" si="22"/>
        <v>-8.9792368735732139E-2</v>
      </c>
      <c r="AE30" s="45">
        <f t="shared" si="22"/>
        <v>-0.12027910067560084</v>
      </c>
      <c r="AF30" s="45">
        <f t="shared" si="22"/>
        <v>-0.1254128819157721</v>
      </c>
      <c r="AG30" s="45">
        <f t="shared" si="22"/>
        <v>-0.18800742287172351</v>
      </c>
      <c r="AH30" s="45">
        <f t="shared" ref="AH30:AH32" si="23">AVERAGE(AC30:AG30)</f>
        <v>-0.1299507791124839</v>
      </c>
    </row>
    <row r="31" spans="1:34" ht="15" x14ac:dyDescent="0.2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-2300+400</f>
        <v>-1900</v>
      </c>
      <c r="P31" s="38">
        <f>300-3900</f>
        <v>-3600</v>
      </c>
      <c r="Q31" s="38"/>
      <c r="R31" s="43">
        <f t="shared" si="21"/>
        <v>3.0358033102810131E-2</v>
      </c>
      <c r="S31" s="40" t="str">
        <f>A31</f>
        <v xml:space="preserve">     Proceeds from sales of assets</v>
      </c>
      <c r="T31" s="45">
        <f t="shared" si="22"/>
        <v>4.673987691610159E-3</v>
      </c>
      <c r="U31" s="45">
        <f t="shared" si="22"/>
        <v>9.2778549897347428E-4</v>
      </c>
      <c r="V31" s="45">
        <f t="shared" si="22"/>
        <v>4.2805629210084179E-3</v>
      </c>
      <c r="W31" s="45">
        <f t="shared" si="22"/>
        <v>1.6876262571136386E-3</v>
      </c>
      <c r="X31" s="45">
        <f t="shared" si="22"/>
        <v>1.0177215597549094E-3</v>
      </c>
      <c r="Y31" s="45">
        <f t="shared" si="22"/>
        <v>-4.1874238575857143E-3</v>
      </c>
      <c r="Z31" s="45">
        <f t="shared" si="22"/>
        <v>6.2334618465384028E-4</v>
      </c>
      <c r="AA31" s="45">
        <f t="shared" si="22"/>
        <v>5.6359195942137894E-4</v>
      </c>
      <c r="AB31" s="45">
        <f t="shared" si="22"/>
        <v>-3.002680965147453E-3</v>
      </c>
      <c r="AC31" s="45">
        <f t="shared" si="22"/>
        <v>-3.0990702789163251E-3</v>
      </c>
      <c r="AD31" s="45">
        <f t="shared" si="22"/>
        <v>-1.4131970866398521E-3</v>
      </c>
      <c r="AE31" s="45">
        <f t="shared" si="22"/>
        <v>-1.1075423634954037E-3</v>
      </c>
      <c r="AF31" s="45">
        <f t="shared" si="22"/>
        <v>-2.0644095788604458E-3</v>
      </c>
      <c r="AG31" s="45">
        <f t="shared" si="22"/>
        <v>-2.2036650429134771E-3</v>
      </c>
      <c r="AH31" s="45">
        <f t="shared" si="23"/>
        <v>-1.9775768701651006E-3</v>
      </c>
    </row>
    <row r="32" spans="1:34" ht="15" x14ac:dyDescent="0.2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38">
        <v>10800</v>
      </c>
      <c r="Q32" s="38"/>
      <c r="R32" s="43"/>
      <c r="S32" s="40" t="str">
        <f>A32</f>
        <v xml:space="preserve">     Other</v>
      </c>
      <c r="T32" s="45">
        <f>(B32/T$10)</f>
        <v>0</v>
      </c>
      <c r="U32" s="45">
        <f>(C32/U$10)</f>
        <v>0</v>
      </c>
      <c r="V32" s="45">
        <f>(D32/V$10)</f>
        <v>0</v>
      </c>
      <c r="W32" s="45">
        <f>(E32/W$10)</f>
        <v>0</v>
      </c>
      <c r="X32" s="45">
        <f>(F32/X$10)</f>
        <v>0</v>
      </c>
      <c r="Y32" s="45"/>
      <c r="Z32" s="45"/>
      <c r="AA32" s="45"/>
      <c r="AB32" s="45">
        <f t="shared" ref="AB32:AG32" si="24">(J32/AB$10)</f>
        <v>2.1447721179624667E-3</v>
      </c>
      <c r="AC32" s="45">
        <f t="shared" si="24"/>
        <v>4.9985004498650403E-4</v>
      </c>
      <c r="AD32" s="45">
        <f t="shared" si="24"/>
        <v>1.0870746820306555E-4</v>
      </c>
      <c r="AE32" s="45">
        <f t="shared" si="24"/>
        <v>0</v>
      </c>
      <c r="AF32" s="45">
        <f t="shared" si="24"/>
        <v>1.0322047894302229E-4</v>
      </c>
      <c r="AG32" s="45">
        <f t="shared" si="24"/>
        <v>0</v>
      </c>
      <c r="AH32" s="45">
        <f t="shared" si="23"/>
        <v>1.423555984265184E-4</v>
      </c>
    </row>
    <row r="33" spans="1:34" ht="12.75" customHeight="1" x14ac:dyDescent="0.2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124"/>
      <c r="Q33" s="124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25"/>
    </row>
    <row r="34" spans="1:34" ht="15" x14ac:dyDescent="0.2">
      <c r="A34" s="42" t="s">
        <v>85</v>
      </c>
      <c r="B34" s="52">
        <f t="shared" ref="B34:J34" si="25">SUM(B29:B33)</f>
        <v>-66344</v>
      </c>
      <c r="C34" s="52">
        <f t="shared" si="25"/>
        <v>-65269</v>
      </c>
      <c r="D34" s="52">
        <f t="shared" si="25"/>
        <v>-75777</v>
      </c>
      <c r="E34" s="52">
        <f t="shared" si="25"/>
        <v>-71014</v>
      </c>
      <c r="F34" s="52">
        <f t="shared" si="25"/>
        <v>-70751</v>
      </c>
      <c r="G34" s="52">
        <f t="shared" si="25"/>
        <v>-80200</v>
      </c>
      <c r="H34" s="52">
        <f t="shared" si="25"/>
        <v>-67300</v>
      </c>
      <c r="I34" s="52">
        <f t="shared" si="25"/>
        <v>-86100</v>
      </c>
      <c r="J34" s="52">
        <f t="shared" si="25"/>
        <v>-136700</v>
      </c>
      <c r="K34" s="37">
        <f t="shared" ref="K34:O34" si="26">SUM(K29:K33)</f>
        <v>-128900</v>
      </c>
      <c r="L34" s="37">
        <f t="shared" si="26"/>
        <v>-83800</v>
      </c>
      <c r="M34" s="37">
        <f t="shared" si="26"/>
        <v>-109600</v>
      </c>
      <c r="N34" s="37">
        <f t="shared" ref="N34" si="27">SUM(N29:N33)</f>
        <v>-123400</v>
      </c>
      <c r="O34" s="37">
        <f t="shared" si="26"/>
        <v>-164000</v>
      </c>
      <c r="P34" s="37">
        <f t="shared" ref="P34:Q34" si="28">SUM(P29:P33)</f>
        <v>-159000</v>
      </c>
      <c r="Q34" s="37">
        <f t="shared" si="28"/>
        <v>0</v>
      </c>
      <c r="R34" s="43">
        <f>RATE(5,,-K34,P34)</f>
        <v>4.2866799087449219E-2</v>
      </c>
      <c r="S34" s="44" t="s">
        <v>85</v>
      </c>
      <c r="T34" s="53">
        <f t="shared" ref="T34:AG34" si="29">B34/T$10</f>
        <v>-0.14745175435672106</v>
      </c>
      <c r="U34" s="53">
        <f t="shared" si="29"/>
        <v>-0.12159765408132468</v>
      </c>
      <c r="V34" s="53">
        <f t="shared" si="29"/>
        <v>-0.10762050977612968</v>
      </c>
      <c r="W34" s="53">
        <f t="shared" si="29"/>
        <v>-0.1192488467887243</v>
      </c>
      <c r="X34" s="53">
        <f t="shared" si="29"/>
        <v>-0.11393167416806899</v>
      </c>
      <c r="Y34" s="53">
        <f t="shared" si="29"/>
        <v>-0.10494731043074197</v>
      </c>
      <c r="Z34" s="53">
        <f t="shared" si="29"/>
        <v>-6.9918663712005752E-2</v>
      </c>
      <c r="AA34" s="53">
        <f t="shared" si="29"/>
        <v>-8.0875446176967875E-2</v>
      </c>
      <c r="AB34" s="53">
        <f t="shared" si="29"/>
        <v>-0.14659517426273458</v>
      </c>
      <c r="AC34" s="53">
        <f t="shared" si="29"/>
        <v>-0.12886134159752075</v>
      </c>
      <c r="AD34" s="53">
        <f t="shared" si="29"/>
        <v>-9.1096858354168933E-2</v>
      </c>
      <c r="AE34" s="53">
        <f t="shared" si="29"/>
        <v>-0.12138664303909624</v>
      </c>
      <c r="AF34" s="53">
        <f t="shared" si="29"/>
        <v>-0.12737407101568951</v>
      </c>
      <c r="AG34" s="53">
        <f t="shared" si="29"/>
        <v>-0.19021108791463698</v>
      </c>
      <c r="AH34" s="45">
        <f>AVERAGE(AC34:AG34)</f>
        <v>-0.13178600038422247</v>
      </c>
    </row>
    <row r="35" spans="1:34" ht="13.5" customHeight="1" x14ac:dyDescent="0.2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3"/>
      <c r="S35" s="44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35"/>
    </row>
    <row r="36" spans="1:34" ht="15" x14ac:dyDescent="0.2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3"/>
      <c r="S36" s="40" t="s">
        <v>86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35"/>
    </row>
    <row r="37" spans="1:34" ht="15" x14ac:dyDescent="0.2">
      <c r="A37" s="50" t="s">
        <v>109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38"/>
      <c r="Q37" s="38"/>
      <c r="R37" s="43"/>
      <c r="S37" s="40" t="str">
        <f t="shared" ref="S37:S42" si="30">A37</f>
        <v xml:space="preserve">     Issuance of Common Stock</v>
      </c>
      <c r="T37" s="45">
        <f t="shared" ref="T37:X42" si="31">B37/T$10</f>
        <v>8.8901335075799504E-2</v>
      </c>
      <c r="U37" s="45">
        <f t="shared" si="31"/>
        <v>0</v>
      </c>
      <c r="V37" s="45">
        <f t="shared" si="31"/>
        <v>5.6809063317961747E-2</v>
      </c>
      <c r="W37" s="45">
        <f t="shared" si="31"/>
        <v>0</v>
      </c>
      <c r="X37" s="45">
        <f t="shared" si="31"/>
        <v>0</v>
      </c>
      <c r="Y37" s="45"/>
      <c r="Z37" s="45"/>
      <c r="AA37" s="45"/>
      <c r="AB37" s="45"/>
      <c r="AC37" s="45">
        <f>K37/AC$10</f>
        <v>2.9991002699190243E-2</v>
      </c>
      <c r="AD37" s="45"/>
      <c r="AE37" s="45"/>
      <c r="AF37" s="45">
        <f>N37/AF$10</f>
        <v>2.0644095788604461E-2</v>
      </c>
      <c r="AG37" s="45">
        <f>O37/AG$10</f>
        <v>0</v>
      </c>
      <c r="AH37" s="45">
        <f t="shared" ref="AH37:AH41" si="32">AVERAGE(AC37:AG37)</f>
        <v>1.6878366162598236E-2</v>
      </c>
    </row>
    <row r="38" spans="1:34" ht="15" x14ac:dyDescent="0.2">
      <c r="A38" s="50" t="s">
        <v>105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>
        <v>148800</v>
      </c>
      <c r="P38" s="38">
        <v>149000</v>
      </c>
      <c r="Q38" s="38"/>
      <c r="R38" s="43"/>
      <c r="S38" s="44" t="str">
        <f t="shared" si="30"/>
        <v xml:space="preserve">     Proceeds from long-term debt</v>
      </c>
      <c r="T38" s="45">
        <f t="shared" si="31"/>
        <v>0</v>
      </c>
      <c r="U38" s="45">
        <f t="shared" si="31"/>
        <v>0</v>
      </c>
      <c r="V38" s="45">
        <f t="shared" si="31"/>
        <v>8.5213594976942628E-2</v>
      </c>
      <c r="W38" s="45">
        <f t="shared" si="31"/>
        <v>0</v>
      </c>
      <c r="X38" s="45">
        <f t="shared" si="31"/>
        <v>0.17713508160291144</v>
      </c>
      <c r="Y38" s="45"/>
      <c r="Z38" s="45">
        <f>H38/Z$10</f>
        <v>5.1945515387820024E-2</v>
      </c>
      <c r="AA38" s="45"/>
      <c r="AB38" s="45"/>
      <c r="AC38" s="45">
        <f>K38/AC$10</f>
        <v>0.14835549335199441</v>
      </c>
      <c r="AD38" s="45"/>
      <c r="AE38" s="45"/>
      <c r="AF38" s="45"/>
      <c r="AG38" s="45"/>
      <c r="AH38" s="45">
        <f t="shared" si="32"/>
        <v>0.14835549335199441</v>
      </c>
    </row>
    <row r="39" spans="1:34" ht="15" x14ac:dyDescent="0.2">
      <c r="A39" s="50" t="s">
        <v>106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-91500</v>
      </c>
      <c r="P39" s="38">
        <v>-42000</v>
      </c>
      <c r="Q39" s="38"/>
      <c r="R39" s="43">
        <f t="shared" ref="R39:R41" si="33">RATE(5,,-K39,P39)</f>
        <v>-0.14699167765067048</v>
      </c>
      <c r="S39" s="44" t="str">
        <f t="shared" si="30"/>
        <v xml:space="preserve">     Long-term debt repaid</v>
      </c>
      <c r="T39" s="45">
        <f t="shared" si="31"/>
        <v>0</v>
      </c>
      <c r="U39" s="45">
        <f t="shared" si="31"/>
        <v>0</v>
      </c>
      <c r="V39" s="45">
        <f t="shared" si="31"/>
        <v>0</v>
      </c>
      <c r="W39" s="45">
        <f t="shared" si="31"/>
        <v>0</v>
      </c>
      <c r="X39" s="45">
        <f t="shared" si="31"/>
        <v>-0.1690834869845973</v>
      </c>
      <c r="Y39" s="45">
        <f>G39/Y$10</f>
        <v>-2.224568924342411E-2</v>
      </c>
      <c r="Z39" s="45"/>
      <c r="AA39" s="45"/>
      <c r="AB39" s="45">
        <f>J39/AB$10</f>
        <v>-1.0723860589812333E-2</v>
      </c>
      <c r="AC39" s="45">
        <f>K39/AC$10</f>
        <v>-9.2972108367489759E-2</v>
      </c>
      <c r="AD39" s="45"/>
      <c r="AE39" s="45"/>
      <c r="AF39" s="45">
        <f t="shared" ref="AF39:AG41" si="34">N39/AF$10</f>
        <v>-2.0644095788604458E-3</v>
      </c>
      <c r="AG39" s="45">
        <f t="shared" si="34"/>
        <v>-0.10612386917188588</v>
      </c>
      <c r="AH39" s="45">
        <f t="shared" si="32"/>
        <v>-6.7053462372745357E-2</v>
      </c>
    </row>
    <row r="40" spans="1:34" ht="15" x14ac:dyDescent="0.2">
      <c r="A40" s="50" t="s">
        <v>107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-10900</v>
      </c>
      <c r="O40" s="38">
        <v>23400</v>
      </c>
      <c r="P40" s="38">
        <v>-58400</v>
      </c>
      <c r="Q40" s="38"/>
      <c r="R40" s="43"/>
      <c r="S40" s="44" t="str">
        <f t="shared" si="30"/>
        <v xml:space="preserve">     Change in note payable to Questar</v>
      </c>
      <c r="T40" s="45">
        <f t="shared" si="31"/>
        <v>-3.8672080757972786E-2</v>
      </c>
      <c r="U40" s="45">
        <f t="shared" si="31"/>
        <v>4.899750727510517E-2</v>
      </c>
      <c r="V40" s="45">
        <f t="shared" si="31"/>
        <v>-5.5388836735012707E-2</v>
      </c>
      <c r="W40" s="45">
        <f t="shared" si="31"/>
        <v>-5.0712749218738196E-2</v>
      </c>
      <c r="X40" s="45">
        <f t="shared" si="31"/>
        <v>2.4959943316773887E-2</v>
      </c>
      <c r="Y40" s="45">
        <f>G40/Y$10</f>
        <v>5.6661079072956699E-2</v>
      </c>
      <c r="Z40" s="45">
        <f>H40/Z$10</f>
        <v>-1.8492603478063929E-2</v>
      </c>
      <c r="AA40" s="45">
        <f>I40/AA$10</f>
        <v>-6.0304339658087541E-2</v>
      </c>
      <c r="AB40" s="45">
        <f>J40/AB$10</f>
        <v>6.4021447721179625E-2</v>
      </c>
      <c r="AC40" s="45">
        <f>K40/AC$10</f>
        <v>1.5395381385584325E-2</v>
      </c>
      <c r="AD40" s="45">
        <f>L40/AD$10</f>
        <v>-1.4131970866398521E-3</v>
      </c>
      <c r="AE40" s="45">
        <f>M40/AE$10</f>
        <v>7.3762321408793879E-2</v>
      </c>
      <c r="AF40" s="45">
        <f t="shared" si="34"/>
        <v>-1.125103220478943E-2</v>
      </c>
      <c r="AG40" s="45">
        <f t="shared" si="34"/>
        <v>2.7139874739039668E-2</v>
      </c>
      <c r="AH40" s="45">
        <f t="shared" si="32"/>
        <v>2.0726669648397721E-2</v>
      </c>
    </row>
    <row r="41" spans="1:34" ht="12.75" customHeight="1" x14ac:dyDescent="0.2">
      <c r="A41" s="42" t="s">
        <v>87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-30300</v>
      </c>
      <c r="O41" s="38">
        <v>-33000</v>
      </c>
      <c r="P41" s="38">
        <v>-35500</v>
      </c>
      <c r="Q41" s="38"/>
      <c r="R41" s="43">
        <f t="shared" si="33"/>
        <v>5.2395862158424567E-2</v>
      </c>
      <c r="S41" s="44" t="str">
        <f t="shared" si="30"/>
        <v xml:space="preserve">     Dividends paid</v>
      </c>
      <c r="T41" s="45">
        <f t="shared" si="31"/>
        <v>-5.111826766858471E-2</v>
      </c>
      <c r="U41" s="45">
        <f t="shared" si="31"/>
        <v>-4.3781042622242257E-2</v>
      </c>
      <c r="V41" s="45">
        <f t="shared" si="31"/>
        <v>-3.4085437990777047E-2</v>
      </c>
      <c r="W41" s="45">
        <f t="shared" si="31"/>
        <v>-4.1141137611228007E-2</v>
      </c>
      <c r="X41" s="45">
        <f t="shared" si="31"/>
        <v>-4.0257973091570788E-2</v>
      </c>
      <c r="Y41" s="45">
        <f>G41/Y$10</f>
        <v>-3.3368533865136163E-2</v>
      </c>
      <c r="Z41" s="45">
        <f>H41/Z$10</f>
        <v>-2.7011668001666413E-2</v>
      </c>
      <c r="AA41" s="45">
        <f>I41/AA$10</f>
        <v>-2.4891978207777568E-2</v>
      </c>
      <c r="AB41" s="45">
        <f>J41/AB$10</f>
        <v>-2.8954423592493297E-2</v>
      </c>
      <c r="AC41" s="45">
        <f>K41/AC$10</f>
        <v>-2.7491752474257721E-2</v>
      </c>
      <c r="AD41" s="45">
        <f>L41/AD$10</f>
        <v>-3.0655506033264484E-2</v>
      </c>
      <c r="AE41" s="45">
        <f>M41/AE$10</f>
        <v>-3.1897220068667624E-2</v>
      </c>
      <c r="AF41" s="45">
        <f t="shared" si="34"/>
        <v>-3.1275805119735753E-2</v>
      </c>
      <c r="AG41" s="45">
        <f t="shared" si="34"/>
        <v>-3.8274182324286705E-2</v>
      </c>
      <c r="AH41" s="45">
        <f t="shared" si="32"/>
        <v>-3.191889320404246E-2</v>
      </c>
    </row>
    <row r="42" spans="1:34" ht="12.75" customHeight="1" x14ac:dyDescent="0.2">
      <c r="A42" s="42" t="s">
        <v>84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/>
      <c r="J42" s="38"/>
      <c r="K42" s="38"/>
      <c r="L42" s="38"/>
      <c r="M42" s="38"/>
      <c r="N42" s="38"/>
      <c r="O42" s="38"/>
      <c r="P42" s="38"/>
      <c r="Q42" s="38"/>
      <c r="R42" s="43"/>
      <c r="S42" s="44" t="str">
        <f t="shared" si="30"/>
        <v xml:space="preserve">     Other</v>
      </c>
      <c r="T42" s="45">
        <f t="shared" si="31"/>
        <v>0</v>
      </c>
      <c r="U42" s="45">
        <f t="shared" si="31"/>
        <v>0</v>
      </c>
      <c r="V42" s="45">
        <f t="shared" si="31"/>
        <v>0</v>
      </c>
      <c r="W42" s="45">
        <f t="shared" si="31"/>
        <v>0</v>
      </c>
      <c r="X42" s="45">
        <f t="shared" si="31"/>
        <v>0</v>
      </c>
      <c r="Y42" s="45"/>
      <c r="Z42" s="45"/>
      <c r="AA42" s="45"/>
      <c r="AB42" s="45"/>
      <c r="AC42" s="45"/>
      <c r="AD42" s="45"/>
      <c r="AE42" s="45"/>
      <c r="AF42" s="45"/>
      <c r="AG42" s="45">
        <f>O42/AG$10</f>
        <v>0</v>
      </c>
      <c r="AH42" s="35"/>
    </row>
    <row r="43" spans="1:34" ht="12.75" customHeight="1" x14ac:dyDescent="0.2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51"/>
      <c r="S43" s="44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125"/>
    </row>
    <row r="44" spans="1:34" ht="12.75" customHeight="1" x14ac:dyDescent="0.2">
      <c r="A44" s="42" t="s">
        <v>88</v>
      </c>
      <c r="B44" s="54">
        <f t="shared" ref="B44:J44" si="35">SUM(B36:B43)</f>
        <v>-400</v>
      </c>
      <c r="C44" s="54">
        <f t="shared" si="35"/>
        <v>2800</v>
      </c>
      <c r="D44" s="54">
        <f t="shared" si="35"/>
        <v>37000</v>
      </c>
      <c r="E44" s="54">
        <f t="shared" si="35"/>
        <v>-54700</v>
      </c>
      <c r="F44" s="54">
        <f t="shared" si="35"/>
        <v>-4500</v>
      </c>
      <c r="G44" s="54">
        <f t="shared" si="35"/>
        <v>800</v>
      </c>
      <c r="H44" s="54">
        <f t="shared" si="35"/>
        <v>6200</v>
      </c>
      <c r="I44" s="54">
        <f t="shared" si="35"/>
        <v>-90700</v>
      </c>
      <c r="J44" s="54">
        <f t="shared" si="35"/>
        <v>22700</v>
      </c>
      <c r="K44" s="54">
        <f t="shared" ref="K44:M44" si="36">SUM(K36:K43)</f>
        <v>73300</v>
      </c>
      <c r="L44" s="54">
        <f t="shared" si="36"/>
        <v>-29500</v>
      </c>
      <c r="M44" s="54">
        <f t="shared" si="36"/>
        <v>37800</v>
      </c>
      <c r="N44" s="54">
        <f t="shared" ref="N44" si="37">SUM(N36:N43)</f>
        <v>-23200</v>
      </c>
      <c r="O44" s="54">
        <f t="shared" ref="O44:P44" si="38">SUM(O36:O43)</f>
        <v>47700</v>
      </c>
      <c r="P44" s="54">
        <f t="shared" si="38"/>
        <v>13100</v>
      </c>
      <c r="Q44" s="54">
        <f t="shared" ref="Q44" si="39">SUM(Q36:Q43)</f>
        <v>0</v>
      </c>
      <c r="R44" s="43">
        <f>RATE(5,,-K44,P44)</f>
        <v>-0.2913472705356398</v>
      </c>
      <c r="S44" s="44" t="s">
        <v>88</v>
      </c>
      <c r="T44" s="53">
        <f t="shared" ref="T44:AG44" si="40">B44/T$10</f>
        <v>-8.8901335075799504E-4</v>
      </c>
      <c r="U44" s="53">
        <f t="shared" si="40"/>
        <v>5.2164646528629075E-3</v>
      </c>
      <c r="V44" s="53">
        <f t="shared" si="40"/>
        <v>5.2548383569114614E-2</v>
      </c>
      <c r="W44" s="53">
        <f t="shared" si="40"/>
        <v>-9.1853886829966203E-2</v>
      </c>
      <c r="X44" s="53">
        <f t="shared" si="40"/>
        <v>-7.2464351564827416E-3</v>
      </c>
      <c r="Y44" s="53">
        <f t="shared" si="40"/>
        <v>1.0468559643964286E-3</v>
      </c>
      <c r="Z44" s="53">
        <f t="shared" si="40"/>
        <v>6.4412439080896826E-3</v>
      </c>
      <c r="AA44" s="53">
        <f t="shared" si="40"/>
        <v>-8.5196317865865109E-2</v>
      </c>
      <c r="AB44" s="53">
        <f t="shared" si="40"/>
        <v>2.4343163538873995E-2</v>
      </c>
      <c r="AC44" s="53">
        <f t="shared" si="40"/>
        <v>7.3278016595021492E-2</v>
      </c>
      <c r="AD44" s="53">
        <f t="shared" si="40"/>
        <v>-3.206870311990434E-2</v>
      </c>
      <c r="AE44" s="53">
        <f t="shared" si="40"/>
        <v>4.1865101340126262E-2</v>
      </c>
      <c r="AF44" s="53">
        <f t="shared" si="40"/>
        <v>-2.3947151114781174E-2</v>
      </c>
      <c r="AG44" s="53">
        <f t="shared" si="40"/>
        <v>5.5323590814196244E-2</v>
      </c>
      <c r="AH44" s="45">
        <f>AVERAGE(AC44:AG44)</f>
        <v>2.2890170902931696E-2</v>
      </c>
    </row>
    <row r="45" spans="1:34" ht="12.75" customHeight="1" x14ac:dyDescent="0.2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51"/>
      <c r="S45" s="44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125"/>
    </row>
    <row r="46" spans="1:34" ht="12.75" customHeight="1" x14ac:dyDescent="0.2">
      <c r="A46" s="42" t="s">
        <v>89</v>
      </c>
      <c r="B46" s="55">
        <f t="shared" ref="B46:J46" si="41">B27+B34+B44</f>
        <v>-3535</v>
      </c>
      <c r="C46" s="55">
        <f t="shared" si="41"/>
        <v>-826</v>
      </c>
      <c r="D46" s="55">
        <f t="shared" si="41"/>
        <v>3484</v>
      </c>
      <c r="E46" s="55">
        <f t="shared" si="41"/>
        <v>-1373</v>
      </c>
      <c r="F46" s="55">
        <f t="shared" si="41"/>
        <v>901</v>
      </c>
      <c r="G46" s="55">
        <f t="shared" si="41"/>
        <v>-1839</v>
      </c>
      <c r="H46" s="55">
        <f t="shared" si="41"/>
        <v>1075</v>
      </c>
      <c r="I46" s="55">
        <f t="shared" si="41"/>
        <v>400</v>
      </c>
      <c r="J46" s="55">
        <f t="shared" si="41"/>
        <v>500</v>
      </c>
      <c r="K46" s="55">
        <f>K27+K34+K44</f>
        <v>-2900</v>
      </c>
      <c r="L46" s="55">
        <f>L27+L34+L44</f>
        <v>6000</v>
      </c>
      <c r="M46" s="55">
        <f t="shared" ref="M46:O46" si="42">M27+M34+M44</f>
        <v>-2500</v>
      </c>
      <c r="N46" s="55">
        <f t="shared" ref="N46" si="43">N27+N34+N44</f>
        <v>300</v>
      </c>
      <c r="O46" s="55">
        <f t="shared" si="42"/>
        <v>-3600</v>
      </c>
      <c r="P46" s="55">
        <f t="shared" ref="P46:Q46" si="44">P27+P34+P44</f>
        <v>7400</v>
      </c>
      <c r="Q46" s="55">
        <f t="shared" si="44"/>
        <v>0</v>
      </c>
      <c r="R46" s="43"/>
      <c r="S46" s="44" t="s">
        <v>89</v>
      </c>
      <c r="T46" s="53">
        <f t="shared" ref="T46:AG46" si="45">B46/T$10</f>
        <v>-7.8566554873237809E-3</v>
      </c>
      <c r="U46" s="53">
        <f t="shared" si="45"/>
        <v>-1.5388570725945578E-3</v>
      </c>
      <c r="V46" s="53">
        <f t="shared" si="45"/>
        <v>4.9480694149944679E-3</v>
      </c>
      <c r="W46" s="53">
        <f t="shared" si="45"/>
        <v>-2.3055829363353491E-3</v>
      </c>
      <c r="X46" s="53">
        <f t="shared" si="45"/>
        <v>1.4508973502202112E-3</v>
      </c>
      <c r="Y46" s="53">
        <f t="shared" si="45"/>
        <v>-2.4064601481562902E-3</v>
      </c>
      <c r="Z46" s="53">
        <f t="shared" si="45"/>
        <v>1.1168285808381305E-3</v>
      </c>
      <c r="AA46" s="53">
        <f t="shared" si="45"/>
        <v>3.7572797294758596E-4</v>
      </c>
      <c r="AB46" s="53">
        <f t="shared" si="45"/>
        <v>5.3619302949061668E-4</v>
      </c>
      <c r="AC46" s="53">
        <f t="shared" si="45"/>
        <v>-2.8991302609217237E-3</v>
      </c>
      <c r="AD46" s="53">
        <f t="shared" si="45"/>
        <v>6.5224480921839334E-3</v>
      </c>
      <c r="AE46" s="53">
        <f t="shared" si="45"/>
        <v>-2.7688559087385091E-3</v>
      </c>
      <c r="AF46" s="53">
        <f t="shared" si="45"/>
        <v>3.0966143682906687E-4</v>
      </c>
      <c r="AG46" s="53">
        <f t="shared" si="45"/>
        <v>-4.1753653444676405E-3</v>
      </c>
      <c r="AH46" s="45">
        <f>AVERAGE(AC46:AG46)</f>
        <v>-6.0224839702297461E-4</v>
      </c>
    </row>
    <row r="47" spans="1:34" ht="12" customHeight="1" x14ac:dyDescent="0.2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51"/>
      <c r="S47" s="44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125"/>
    </row>
    <row r="48" spans="1:34" ht="12.75" customHeight="1" x14ac:dyDescent="0.2">
      <c r="A48" s="42" t="s">
        <v>90</v>
      </c>
      <c r="B48" s="52">
        <v>3326</v>
      </c>
      <c r="C48" s="55">
        <v>1708</v>
      </c>
      <c r="D48" s="55">
        <f t="shared" ref="D48:J48" si="46">C50</f>
        <v>882</v>
      </c>
      <c r="E48" s="55">
        <f t="shared" si="46"/>
        <v>4366</v>
      </c>
      <c r="F48" s="55">
        <f t="shared" si="46"/>
        <v>2993</v>
      </c>
      <c r="G48" s="55">
        <f t="shared" si="46"/>
        <v>3894</v>
      </c>
      <c r="H48" s="55">
        <f t="shared" si="46"/>
        <v>2131</v>
      </c>
      <c r="I48" s="55">
        <f t="shared" si="46"/>
        <v>3206</v>
      </c>
      <c r="J48" s="55">
        <f t="shared" si="46"/>
        <v>3606</v>
      </c>
      <c r="K48" s="55">
        <f t="shared" ref="K48:L48" si="47">J50</f>
        <v>4106</v>
      </c>
      <c r="L48" s="55">
        <f t="shared" si="47"/>
        <v>1206</v>
      </c>
      <c r="M48" s="55">
        <f>L50</f>
        <v>7206</v>
      </c>
      <c r="N48" s="55">
        <f>M50</f>
        <v>4700</v>
      </c>
      <c r="O48" s="55">
        <f>N50</f>
        <v>5000</v>
      </c>
      <c r="P48" s="55">
        <f>O50</f>
        <v>1400</v>
      </c>
      <c r="Q48" s="55">
        <f>P50</f>
        <v>8800</v>
      </c>
      <c r="R48" s="43">
        <f>RATE(5,,-K48,P48)</f>
        <v>-0.19361615584449121</v>
      </c>
      <c r="S48" s="44" t="s">
        <v>90</v>
      </c>
      <c r="T48" s="53">
        <f t="shared" ref="T48:AG48" si="48">B48/T$10</f>
        <v>7.3921460115527289E-3</v>
      </c>
      <c r="U48" s="53">
        <f t="shared" si="48"/>
        <v>3.1820434382463735E-3</v>
      </c>
      <c r="V48" s="53">
        <f t="shared" si="48"/>
        <v>1.2526398461610566E-3</v>
      </c>
      <c r="W48" s="53">
        <f t="shared" si="48"/>
        <v>7.3315186453314883E-3</v>
      </c>
      <c r="X48" s="53">
        <f t="shared" si="48"/>
        <v>4.8196845385228542E-3</v>
      </c>
      <c r="Y48" s="53">
        <f t="shared" si="48"/>
        <v>5.0955714066996168E-3</v>
      </c>
      <c r="Z48" s="53">
        <f t="shared" si="48"/>
        <v>2.2139178658288892E-3</v>
      </c>
      <c r="AA48" s="53">
        <f t="shared" si="48"/>
        <v>3.0114597031749013E-3</v>
      </c>
      <c r="AB48" s="53">
        <f t="shared" si="48"/>
        <v>3.8670241286863269E-3</v>
      </c>
      <c r="AC48" s="53">
        <f t="shared" si="48"/>
        <v>4.1047685694291713E-3</v>
      </c>
      <c r="AD48" s="53">
        <f t="shared" si="48"/>
        <v>1.3110120665289706E-3</v>
      </c>
      <c r="AE48" s="53">
        <f t="shared" si="48"/>
        <v>7.9809502713478787E-3</v>
      </c>
      <c r="AF48" s="53">
        <f t="shared" si="48"/>
        <v>4.8513625103220482E-3</v>
      </c>
      <c r="AG48" s="53">
        <f t="shared" si="48"/>
        <v>5.7991185339828343E-3</v>
      </c>
      <c r="AH48" s="45">
        <f>AVERAGE(AC48:AG48)</f>
        <v>4.8094423903221814E-3</v>
      </c>
    </row>
    <row r="49" spans="1:34" ht="12" customHeight="1" x14ac:dyDescent="0.2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51"/>
      <c r="S49" s="44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125"/>
    </row>
    <row r="50" spans="1:34" ht="12.75" customHeight="1" thickBot="1" x14ac:dyDescent="0.25">
      <c r="A50" s="42" t="s">
        <v>91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L50" si="49">K46+K48</f>
        <v>1206</v>
      </c>
      <c r="L50" s="55">
        <f t="shared" si="49"/>
        <v>7206</v>
      </c>
      <c r="M50" s="55">
        <f>M46+M48-6</f>
        <v>4700</v>
      </c>
      <c r="N50" s="55">
        <f>N46+N48</f>
        <v>5000</v>
      </c>
      <c r="O50" s="55">
        <f t="shared" ref="O50:P50" si="50">O46+O48</f>
        <v>1400</v>
      </c>
      <c r="P50" s="55">
        <f t="shared" si="50"/>
        <v>8800</v>
      </c>
      <c r="Q50" s="55">
        <f t="shared" ref="Q50" si="51">Q46+Q48</f>
        <v>8800</v>
      </c>
      <c r="R50" s="43">
        <f>RATE(5,,-K50,P50)</f>
        <v>0.48808271757774097</v>
      </c>
      <c r="S50" s="44" t="s">
        <v>91</v>
      </c>
      <c r="T50" s="53">
        <f t="shared" ref="T50:AG50" si="52">B50/T$10</f>
        <v>-4.6450947577105238E-4</v>
      </c>
      <c r="U50" s="53">
        <f t="shared" si="52"/>
        <v>1.6431863656518159E-3</v>
      </c>
      <c r="V50" s="53">
        <f t="shared" si="52"/>
        <v>6.2007092611555247E-3</v>
      </c>
      <c r="W50" s="53">
        <f t="shared" si="52"/>
        <v>5.0259357089961392E-3</v>
      </c>
      <c r="X50" s="53">
        <f t="shared" si="52"/>
        <v>6.2705818887430652E-3</v>
      </c>
      <c r="Y50" s="53">
        <f t="shared" si="52"/>
        <v>2.7885625751609866E-3</v>
      </c>
      <c r="Z50" s="53">
        <f t="shared" si="52"/>
        <v>3.3307464466670201E-3</v>
      </c>
      <c r="AA50" s="53">
        <f t="shared" si="52"/>
        <v>3.3871876761224873E-3</v>
      </c>
      <c r="AB50" s="53">
        <f t="shared" si="52"/>
        <v>4.4032171581769438E-3</v>
      </c>
      <c r="AC50" s="53">
        <f t="shared" si="52"/>
        <v>1.2056383085074479E-3</v>
      </c>
      <c r="AD50" s="53">
        <f t="shared" si="52"/>
        <v>7.8334601587129044E-3</v>
      </c>
      <c r="AE50" s="53">
        <f t="shared" si="52"/>
        <v>5.2054491084283974E-3</v>
      </c>
      <c r="AF50" s="53">
        <f t="shared" si="52"/>
        <v>5.1610239471511152E-3</v>
      </c>
      <c r="AG50" s="53">
        <f t="shared" si="52"/>
        <v>1.6237531895151936E-3</v>
      </c>
      <c r="AH50" s="45">
        <f>AVERAGE(AC50:AG50)</f>
        <v>4.2058649424630114E-3</v>
      </c>
    </row>
    <row r="51" spans="1:34" ht="12.75" customHeight="1" thickTop="1" x14ac:dyDescent="0.2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60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2014-02-26T17:24:16Z</cp:lastPrinted>
  <dcterms:created xsi:type="dcterms:W3CDTF">2005-09-19T14:11:29Z</dcterms:created>
  <dcterms:modified xsi:type="dcterms:W3CDTF">2014-03-03T23:31:32Z</dcterms:modified>
</cp:coreProperties>
</file>