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misc\14docs\1499902\"/>
    </mc:Choice>
  </mc:AlternateContent>
  <bookViews>
    <workbookView xWindow="0" yWindow="0" windowWidth="19200" windowHeight="12180"/>
  </bookViews>
  <sheets>
    <sheet name="Historical - Exhibit 1" sheetId="5" r:id="rId1"/>
    <sheet name="Historical CF - Exhibit 1B" sheetId="6" r:id="rId2"/>
  </sheets>
  <definedNames>
    <definedName name="_xlnm.Print_Area" localSheetId="0">'Historical - Exhibit 1'!$A$1:$AJ$164</definedName>
    <definedName name="_xlnm.Print_Area" localSheetId="1">'Historical CF - Exhibit 1B'!$A$1:$R$54</definedName>
  </definedNames>
  <calcPr calcId="152511"/>
</workbook>
</file>

<file path=xl/calcChain.xml><?xml version="1.0" encoding="utf-8"?>
<calcChain xmlns="http://schemas.openxmlformats.org/spreadsheetml/2006/main">
  <c r="S52" i="5" l="1"/>
  <c r="AK156" i="5"/>
  <c r="AK157" i="5" s="1"/>
  <c r="AK154" i="5"/>
  <c r="S40" i="6" l="1"/>
  <c r="AJ186" i="5" l="1"/>
  <c r="Q84" i="5"/>
  <c r="Q167" i="5" s="1"/>
  <c r="AJ184" i="5"/>
  <c r="AJ182" i="5"/>
  <c r="AJ181" i="5"/>
  <c r="AJ180" i="5"/>
  <c r="AJ179" i="5"/>
  <c r="AJ178" i="5"/>
  <c r="AJ177" i="5"/>
  <c r="AJ176" i="5"/>
  <c r="AJ175" i="5"/>
  <c r="Q61" i="5"/>
  <c r="Q53" i="5"/>
  <c r="Q20" i="5"/>
  <c r="Q14" i="5"/>
  <c r="S13" i="5"/>
  <c r="Q81" i="5"/>
  <c r="AI10" i="6" s="1"/>
  <c r="P79" i="5"/>
  <c r="AI17" i="6" l="1"/>
  <c r="AI30" i="6"/>
  <c r="AI42" i="6"/>
  <c r="AI15" i="6"/>
  <c r="AI21" i="6"/>
  <c r="AI41" i="6"/>
  <c r="AI14" i="6"/>
  <c r="AI24" i="6"/>
  <c r="AI40" i="6"/>
  <c r="AI19" i="6"/>
  <c r="AI31" i="6"/>
  <c r="AI39" i="6"/>
  <c r="AI43" i="6"/>
  <c r="AI20" i="6"/>
  <c r="AK175" i="5"/>
  <c r="O167" i="5"/>
  <c r="AJ189" i="5"/>
  <c r="AK186" i="5"/>
  <c r="AK184" i="5"/>
  <c r="AK182" i="5"/>
  <c r="AK181" i="5"/>
  <c r="AK180" i="5"/>
  <c r="AK179" i="5"/>
  <c r="AK178" i="5"/>
  <c r="AK177" i="5"/>
  <c r="AK176" i="5"/>
  <c r="AL189" i="5"/>
  <c r="AL186" i="5"/>
  <c r="AL184" i="5"/>
  <c r="AL182" i="5"/>
  <c r="AL180" i="5"/>
  <c r="AL179" i="5"/>
  <c r="AL178" i="5"/>
  <c r="AL177" i="5"/>
  <c r="AL176" i="5"/>
  <c r="AL175" i="5"/>
  <c r="AE191" i="5"/>
  <c r="AH191" i="5"/>
  <c r="AH140" i="5"/>
  <c r="P31" i="6"/>
  <c r="P25" i="6"/>
  <c r="P24" i="6"/>
  <c r="P61" i="5"/>
  <c r="P53" i="5"/>
  <c r="O53" i="5"/>
  <c r="P47" i="5"/>
  <c r="P24" i="5"/>
  <c r="P20" i="5"/>
  <c r="P14" i="5"/>
  <c r="P84" i="5"/>
  <c r="P91" i="5" s="1"/>
  <c r="AG191" i="5"/>
  <c r="AF191" i="5"/>
  <c r="AJ119" i="5"/>
  <c r="R12" i="5"/>
  <c r="AJ191" i="5" l="1"/>
  <c r="AL191" i="5"/>
  <c r="R42" i="6"/>
  <c r="R39" i="6"/>
  <c r="R30" i="6"/>
  <c r="R21" i="6"/>
  <c r="R19" i="6"/>
  <c r="R17" i="6"/>
  <c r="R15" i="6"/>
  <c r="R14" i="6"/>
  <c r="Q45" i="6"/>
  <c r="AI45" i="6" s="1"/>
  <c r="Q34" i="6"/>
  <c r="AI34" i="6" s="1"/>
  <c r="Q8" i="6"/>
  <c r="AI8" i="6" s="1"/>
  <c r="AJ163" i="5"/>
  <c r="AJ156" i="5"/>
  <c r="AJ157" i="5"/>
  <c r="AJ154" i="5"/>
  <c r="AJ152" i="5"/>
  <c r="AJ151" i="5"/>
  <c r="AJ150" i="5"/>
  <c r="AJ139" i="5"/>
  <c r="AJ138" i="5"/>
  <c r="AJ137" i="5"/>
  <c r="AJ123" i="5"/>
  <c r="AJ122" i="5"/>
  <c r="AJ121" i="5"/>
  <c r="AJ120" i="5"/>
  <c r="AJ75" i="5"/>
  <c r="AJ116" i="5" s="1"/>
  <c r="P153" i="5"/>
  <c r="P171" i="5"/>
  <c r="R136" i="5"/>
  <c r="R106" i="5"/>
  <c r="R102" i="5"/>
  <c r="R95" i="5"/>
  <c r="R94" i="5"/>
  <c r="R90" i="5"/>
  <c r="R88" i="5"/>
  <c r="R87" i="5"/>
  <c r="R85" i="5"/>
  <c r="R84" i="5"/>
  <c r="R80" i="5"/>
  <c r="R79" i="5"/>
  <c r="R62" i="5"/>
  <c r="R51" i="5"/>
  <c r="R50" i="5"/>
  <c r="R46" i="5"/>
  <c r="R45" i="5"/>
  <c r="R44" i="5"/>
  <c r="R42" i="5"/>
  <c r="R36" i="5"/>
  <c r="R34" i="5"/>
  <c r="R29" i="5"/>
  <c r="R25" i="5"/>
  <c r="R20" i="5"/>
  <c r="R19" i="5"/>
  <c r="R17" i="5"/>
  <c r="AI189" i="5"/>
  <c r="AI166" i="5"/>
  <c r="AI165" i="5"/>
  <c r="AI183" i="5"/>
  <c r="AI185" i="5" s="1"/>
  <c r="AI187" i="5" s="1"/>
  <c r="AH169" i="5"/>
  <c r="AH166" i="5"/>
  <c r="AH165" i="5"/>
  <c r="AH164" i="5"/>
  <c r="AI160" i="5"/>
  <c r="AI140" i="5"/>
  <c r="AI147" i="5" s="1"/>
  <c r="AI124" i="5"/>
  <c r="AI133" i="5" s="1"/>
  <c r="AI9" i="5"/>
  <c r="AI76" i="5" s="1"/>
  <c r="AI8" i="5"/>
  <c r="Q166" i="5"/>
  <c r="Q153" i="5"/>
  <c r="Q98" i="5"/>
  <c r="Q91" i="5"/>
  <c r="AI91" i="5" s="1"/>
  <c r="AI95" i="5"/>
  <c r="Q63" i="5"/>
  <c r="Q54" i="5"/>
  <c r="Q48" i="5"/>
  <c r="Q37" i="5"/>
  <c r="Q27" i="5"/>
  <c r="Q31" i="5" s="1"/>
  <c r="Q21" i="5"/>
  <c r="Q76" i="5"/>
  <c r="Q117" i="5" s="1"/>
  <c r="AI117" i="5" s="1"/>
  <c r="AI174" i="5" s="1"/>
  <c r="Q75" i="5"/>
  <c r="AI75" i="5" s="1"/>
  <c r="AA183" i="5"/>
  <c r="AA185" i="5" s="1"/>
  <c r="AA187" i="5" s="1"/>
  <c r="Z183" i="5"/>
  <c r="Z185" i="5" s="1"/>
  <c r="Z187" i="5" s="1"/>
  <c r="Y183" i="5"/>
  <c r="Y185" i="5" s="1"/>
  <c r="Y187" i="5" s="1"/>
  <c r="X183" i="5"/>
  <c r="X185" i="5" s="1"/>
  <c r="X187" i="5" s="1"/>
  <c r="W183" i="5"/>
  <c r="W185" i="5" s="1"/>
  <c r="W187" i="5" s="1"/>
  <c r="V183" i="5"/>
  <c r="V185" i="5" s="1"/>
  <c r="V187" i="5" s="1"/>
  <c r="U183" i="5"/>
  <c r="U185" i="5" s="1"/>
  <c r="U187" i="5" s="1"/>
  <c r="T183" i="5"/>
  <c r="T185" i="5" s="1"/>
  <c r="T187" i="5" s="1"/>
  <c r="AJ183" i="5"/>
  <c r="AJ185" i="5" s="1"/>
  <c r="AJ187" i="5" s="1"/>
  <c r="AH183" i="5"/>
  <c r="AF183" i="5"/>
  <c r="AF185" i="5" s="1"/>
  <c r="AF187" i="5" s="1"/>
  <c r="AE183" i="5"/>
  <c r="AD183" i="5"/>
  <c r="AD185" i="5" s="1"/>
  <c r="AD187" i="5" s="1"/>
  <c r="AC183" i="5"/>
  <c r="AC185" i="5" s="1"/>
  <c r="AC187" i="5" s="1"/>
  <c r="AB183" i="5"/>
  <c r="AB185" i="5" s="1"/>
  <c r="AB187" i="5" s="1"/>
  <c r="AG183" i="5"/>
  <c r="AG185" i="5" s="1"/>
  <c r="AG187" i="5" s="1"/>
  <c r="Q116" i="5" l="1"/>
  <c r="AI116" i="5" s="1"/>
  <c r="AI173" i="5" s="1"/>
  <c r="AI128" i="5"/>
  <c r="AI167" i="5"/>
  <c r="Q38" i="5"/>
  <c r="AI98" i="5"/>
  <c r="Q131" i="5"/>
  <c r="Q168" i="5" s="1"/>
  <c r="AE185" i="5"/>
  <c r="AL183" i="5"/>
  <c r="Q120" i="5"/>
  <c r="Q127" i="5"/>
  <c r="Q156" i="5"/>
  <c r="Q161" i="5"/>
  <c r="Q163" i="5"/>
  <c r="AI80" i="5"/>
  <c r="AI84" i="5"/>
  <c r="AI86" i="5"/>
  <c r="AI88" i="5"/>
  <c r="AI94" i="5"/>
  <c r="AI102" i="5"/>
  <c r="Q7" i="6"/>
  <c r="AH185" i="5"/>
  <c r="AK183" i="5"/>
  <c r="Q121" i="5"/>
  <c r="Q126" i="5"/>
  <c r="Q150" i="5"/>
  <c r="Q157" i="5"/>
  <c r="Q162" i="5"/>
  <c r="Q177" i="5"/>
  <c r="AI79" i="5"/>
  <c r="AI81" i="5"/>
  <c r="AI85" i="5"/>
  <c r="AI87" i="5"/>
  <c r="AI90" i="5"/>
  <c r="AI132" i="5"/>
  <c r="AH167" i="5"/>
  <c r="P172" i="5"/>
  <c r="AI130" i="5"/>
  <c r="AI144" i="5"/>
  <c r="AI146" i="5"/>
  <c r="AI145" i="5"/>
  <c r="AI129" i="5"/>
  <c r="AI131" i="5"/>
  <c r="Q92" i="5"/>
  <c r="Q56" i="5"/>
  <c r="Q39" i="5"/>
  <c r="AI52" i="5" s="1"/>
  <c r="AG165" i="5"/>
  <c r="Q158" i="5" l="1"/>
  <c r="Q164" i="5"/>
  <c r="AI48" i="5"/>
  <c r="AI12" i="5"/>
  <c r="AI13" i="5"/>
  <c r="Q100" i="5"/>
  <c r="Q149" i="5" s="1"/>
  <c r="AI92" i="5"/>
  <c r="Q179" i="5"/>
  <c r="Q178" i="5"/>
  <c r="AH187" i="5"/>
  <c r="AK185" i="5"/>
  <c r="Q64" i="5"/>
  <c r="AI64" i="5" s="1"/>
  <c r="AI56" i="5"/>
  <c r="AE187" i="5"/>
  <c r="AL187" i="5" s="1"/>
  <c r="AL185" i="5"/>
  <c r="AI31" i="5"/>
  <c r="AI27" i="5"/>
  <c r="AI54" i="5"/>
  <c r="AI21" i="5"/>
  <c r="AI61" i="5"/>
  <c r="AI51" i="5"/>
  <c r="AI46" i="5"/>
  <c r="AI44" i="5"/>
  <c r="AI42" i="5"/>
  <c r="AI36" i="5"/>
  <c r="AI34" i="5"/>
  <c r="AI29" i="5"/>
  <c r="AI25" i="5"/>
  <c r="AI19" i="5"/>
  <c r="AI14" i="5"/>
  <c r="AI62" i="5"/>
  <c r="AI53" i="5"/>
  <c r="AI50" i="5"/>
  <c r="AI47" i="5"/>
  <c r="AI45" i="5"/>
  <c r="AI43" i="5"/>
  <c r="AI39" i="5"/>
  <c r="AI35" i="5"/>
  <c r="AI24" i="5"/>
  <c r="AI20" i="5"/>
  <c r="AI16" i="5"/>
  <c r="Q125" i="5"/>
  <c r="AI38" i="5"/>
  <c r="AI37" i="5"/>
  <c r="AI63" i="5"/>
  <c r="Q65" i="5" l="1"/>
  <c r="Q103" i="5"/>
  <c r="AI100" i="5"/>
  <c r="Q128" i="5"/>
  <c r="AK187" i="5"/>
  <c r="AK141" i="5"/>
  <c r="AK142" i="5" s="1"/>
  <c r="AM141" i="5"/>
  <c r="AM142" i="5" s="1"/>
  <c r="AL141" i="5"/>
  <c r="AL142" i="5" s="1"/>
  <c r="AN141" i="5"/>
  <c r="AN142" i="5" s="1"/>
  <c r="AI103" i="5" l="1"/>
  <c r="Q132" i="5"/>
  <c r="Q12" i="6"/>
  <c r="AI106" i="5"/>
  <c r="Q152" i="5"/>
  <c r="Z189" i="5"/>
  <c r="AB189" i="5"/>
  <c r="AA189" i="5"/>
  <c r="Q27" i="6" l="1"/>
  <c r="AI12" i="6"/>
  <c r="P45" i="6"/>
  <c r="P34" i="6"/>
  <c r="AH160" i="5"/>
  <c r="AH147" i="5"/>
  <c r="AH124" i="5"/>
  <c r="P167" i="5"/>
  <c r="P166" i="5"/>
  <c r="P98" i="5"/>
  <c r="P81" i="5"/>
  <c r="AH10" i="6" s="1"/>
  <c r="P63" i="5"/>
  <c r="P54" i="5"/>
  <c r="P48" i="5"/>
  <c r="P37" i="5"/>
  <c r="P27" i="5"/>
  <c r="AB164" i="5"/>
  <c r="AC164" i="5"/>
  <c r="AD164" i="5"/>
  <c r="AF164" i="5"/>
  <c r="AE164" i="5"/>
  <c r="AG164" i="5"/>
  <c r="AH34" i="6" l="1"/>
  <c r="AH45" i="6"/>
  <c r="AH14" i="6"/>
  <c r="AH42" i="6"/>
  <c r="AH19" i="6"/>
  <c r="AH39" i="6"/>
  <c r="AH43" i="6"/>
  <c r="AH30" i="6"/>
  <c r="AH20" i="6"/>
  <c r="AH32" i="6"/>
  <c r="AH15" i="6"/>
  <c r="AH21" i="6"/>
  <c r="AH41" i="6"/>
  <c r="AH17" i="6"/>
  <c r="AH24" i="6"/>
  <c r="AH31" i="6"/>
  <c r="Q47" i="6"/>
  <c r="AI47" i="6" s="1"/>
  <c r="AI27" i="6"/>
  <c r="AJ164" i="5"/>
  <c r="AH132" i="5"/>
  <c r="P177" i="5"/>
  <c r="Q134" i="5"/>
  <c r="Q135" i="5"/>
  <c r="P121" i="5"/>
  <c r="P31" i="5"/>
  <c r="Q165" i="5"/>
  <c r="Q122" i="5"/>
  <c r="P139" i="5"/>
  <c r="P150" i="5"/>
  <c r="P38" i="5"/>
  <c r="AH102" i="5"/>
  <c r="AH144" i="5"/>
  <c r="AH146" i="5"/>
  <c r="P56" i="5"/>
  <c r="AH81" i="5"/>
  <c r="AH87" i="5"/>
  <c r="AH95" i="5"/>
  <c r="AH79" i="5"/>
  <c r="AH85" i="5"/>
  <c r="AH90" i="5"/>
  <c r="AH80" i="5"/>
  <c r="AH84" i="5"/>
  <c r="AH86" i="5"/>
  <c r="AH88" i="5"/>
  <c r="AH91" i="5"/>
  <c r="AH94" i="5"/>
  <c r="AH98" i="5"/>
  <c r="AH145" i="5"/>
  <c r="AH129" i="5"/>
  <c r="AH131" i="5"/>
  <c r="AH133" i="5"/>
  <c r="AH128" i="5"/>
  <c r="AH130" i="5"/>
  <c r="P131" i="5"/>
  <c r="P92" i="5"/>
  <c r="P162" i="5"/>
  <c r="P156" i="5"/>
  <c r="P126" i="5"/>
  <c r="P163" i="5"/>
  <c r="P161" i="5"/>
  <c r="P157" i="5"/>
  <c r="P127" i="5"/>
  <c r="P21" i="5"/>
  <c r="AG169" i="5"/>
  <c r="AK83" i="5"/>
  <c r="AK82" i="5"/>
  <c r="AK85" i="5"/>
  <c r="AK84" i="5"/>
  <c r="AG140" i="5"/>
  <c r="O31" i="6"/>
  <c r="O25" i="6"/>
  <c r="O24" i="6"/>
  <c r="O61" i="5"/>
  <c r="O47" i="5"/>
  <c r="O24" i="5"/>
  <c r="O20" i="5"/>
  <c r="O14" i="5"/>
  <c r="P140" i="5" s="1"/>
  <c r="O79" i="5"/>
  <c r="AF166" i="5"/>
  <c r="AF165" i="5"/>
  <c r="AH141" i="5" l="1"/>
  <c r="AK140" i="5"/>
  <c r="AL83" i="5"/>
  <c r="AL85" i="5" s="1"/>
  <c r="P64" i="5"/>
  <c r="P120" i="5"/>
  <c r="P168" i="5"/>
  <c r="P179" i="5"/>
  <c r="Q176" i="5"/>
  <c r="P178" i="5"/>
  <c r="P176" i="5"/>
  <c r="P125" i="5"/>
  <c r="P100" i="5"/>
  <c r="AH92" i="5"/>
  <c r="P39" i="5"/>
  <c r="P158" i="5"/>
  <c r="P164" i="5"/>
  <c r="O171" i="5"/>
  <c r="O166" i="5"/>
  <c r="K24" i="5"/>
  <c r="R24" i="5" s="1"/>
  <c r="K61" i="5"/>
  <c r="R61" i="5" s="1"/>
  <c r="N50" i="5"/>
  <c r="N153" i="5" s="1"/>
  <c r="N61" i="5"/>
  <c r="M153" i="5"/>
  <c r="L153" i="5"/>
  <c r="AG160" i="5"/>
  <c r="S169" i="5"/>
  <c r="AE169" i="5"/>
  <c r="AD169" i="5"/>
  <c r="AC169" i="5"/>
  <c r="AB169" i="5"/>
  <c r="AF169" i="5"/>
  <c r="N79" i="5"/>
  <c r="N80" i="5"/>
  <c r="N53" i="5"/>
  <c r="N47" i="5"/>
  <c r="N24" i="5"/>
  <c r="P65" i="5" l="1"/>
  <c r="Q133" i="5"/>
  <c r="AH25" i="5"/>
  <c r="AH43" i="5"/>
  <c r="AH100" i="5"/>
  <c r="P128" i="5"/>
  <c r="P149" i="5"/>
  <c r="O153" i="5"/>
  <c r="R153" i="5" s="1"/>
  <c r="O172" i="5"/>
  <c r="AH63" i="5"/>
  <c r="AH61" i="5"/>
  <c r="AH54" i="5"/>
  <c r="AH51" i="5"/>
  <c r="AH48" i="5"/>
  <c r="AH46" i="5"/>
  <c r="AH44" i="5"/>
  <c r="AH39" i="5"/>
  <c r="AH37" i="5"/>
  <c r="AH31" i="5"/>
  <c r="AH14" i="5"/>
  <c r="AH64" i="5"/>
  <c r="AH62" i="5"/>
  <c r="AH56" i="5"/>
  <c r="AH53" i="5"/>
  <c r="AH50" i="5"/>
  <c r="AH47" i="5"/>
  <c r="AH45" i="5"/>
  <c r="AH42" i="5"/>
  <c r="AH38" i="5"/>
  <c r="AH36" i="5"/>
  <c r="AH34" i="5"/>
  <c r="AH29" i="5"/>
  <c r="AH24" i="5"/>
  <c r="AH20" i="5"/>
  <c r="AH16" i="5"/>
  <c r="AH12" i="5"/>
  <c r="AH35" i="5"/>
  <c r="AH27" i="5"/>
  <c r="AH19" i="5"/>
  <c r="AH21" i="5"/>
  <c r="P103" i="5"/>
  <c r="P173" i="5" s="1"/>
  <c r="N20" i="5"/>
  <c r="N14" i="5"/>
  <c r="N45" i="6"/>
  <c r="N34" i="6"/>
  <c r="AF160" i="5"/>
  <c r="AF140" i="5"/>
  <c r="AF124" i="5"/>
  <c r="N171" i="5"/>
  <c r="N172" i="5" s="1"/>
  <c r="N167" i="5"/>
  <c r="N166" i="5"/>
  <c r="N98" i="5"/>
  <c r="N91" i="5"/>
  <c r="N81" i="5"/>
  <c r="N63" i="5"/>
  <c r="N177" i="5" s="1"/>
  <c r="N54" i="5"/>
  <c r="N48" i="5"/>
  <c r="N37" i="5"/>
  <c r="N27" i="5"/>
  <c r="N31" i="5" s="1"/>
  <c r="M171" i="5"/>
  <c r="M172" i="5" s="1"/>
  <c r="L171" i="5"/>
  <c r="K171" i="5"/>
  <c r="K172" i="5" s="1"/>
  <c r="J171" i="5"/>
  <c r="J172" i="5" s="1"/>
  <c r="O27" i="5"/>
  <c r="O63" i="5"/>
  <c r="O81" i="5"/>
  <c r="O45" i="6"/>
  <c r="O34" i="6"/>
  <c r="AG147" i="5"/>
  <c r="AG124" i="5"/>
  <c r="O98" i="5"/>
  <c r="O91" i="5"/>
  <c r="O54" i="5"/>
  <c r="O48" i="5"/>
  <c r="O37" i="5"/>
  <c r="AF147" i="5" l="1"/>
  <c r="AG141" i="5"/>
  <c r="AG125" i="5"/>
  <c r="AH125" i="5"/>
  <c r="AF132" i="5"/>
  <c r="L172" i="5"/>
  <c r="R172" i="5" s="1"/>
  <c r="R171" i="5"/>
  <c r="P152" i="5"/>
  <c r="P134" i="5"/>
  <c r="Q169" i="5"/>
  <c r="P135" i="5"/>
  <c r="O177" i="5"/>
  <c r="O156" i="5"/>
  <c r="O139" i="5"/>
  <c r="O131" i="5"/>
  <c r="P165" i="5"/>
  <c r="O140" i="5"/>
  <c r="AK81" i="5"/>
  <c r="P122" i="5"/>
  <c r="N139" i="5"/>
  <c r="N131" i="5"/>
  <c r="AF10" i="6"/>
  <c r="N121" i="5"/>
  <c r="AH106" i="5"/>
  <c r="P12" i="6"/>
  <c r="AH103" i="5"/>
  <c r="P132" i="5"/>
  <c r="O126" i="5"/>
  <c r="O121" i="5"/>
  <c r="O31" i="5"/>
  <c r="O165" i="5"/>
  <c r="AG132" i="5"/>
  <c r="O163" i="5"/>
  <c r="O161" i="5"/>
  <c r="O150" i="5"/>
  <c r="O162" i="5"/>
  <c r="O157" i="5"/>
  <c r="N163" i="5"/>
  <c r="N162" i="5"/>
  <c r="N161" i="5"/>
  <c r="N157" i="5"/>
  <c r="N156" i="5"/>
  <c r="N150" i="5"/>
  <c r="N127" i="5"/>
  <c r="N126" i="5"/>
  <c r="AG10" i="6"/>
  <c r="O122" i="5"/>
  <c r="AF167" i="5"/>
  <c r="AF144" i="5"/>
  <c r="AF146" i="5"/>
  <c r="AF80" i="5"/>
  <c r="AF84" i="5"/>
  <c r="AF86" i="5"/>
  <c r="AF88" i="5"/>
  <c r="AF91" i="5"/>
  <c r="AF94" i="5"/>
  <c r="AF98" i="5"/>
  <c r="AF102" i="5"/>
  <c r="AF79" i="5"/>
  <c r="AF81" i="5"/>
  <c r="AF85" i="5"/>
  <c r="AF87" i="5"/>
  <c r="AF90" i="5"/>
  <c r="AF95" i="5"/>
  <c r="N56" i="5"/>
  <c r="N38" i="5"/>
  <c r="AF145" i="5"/>
  <c r="AF129" i="5"/>
  <c r="AF131" i="5"/>
  <c r="AF133" i="5"/>
  <c r="AF128" i="5"/>
  <c r="AF130" i="5"/>
  <c r="N21" i="5"/>
  <c r="N120" i="5" s="1"/>
  <c r="N92" i="5"/>
  <c r="N168" i="5"/>
  <c r="AG144" i="5"/>
  <c r="O92" i="5"/>
  <c r="AG146" i="5"/>
  <c r="O56" i="5"/>
  <c r="O21" i="5"/>
  <c r="P141" i="5" s="1"/>
  <c r="AG80" i="5"/>
  <c r="AG84" i="5"/>
  <c r="AG86" i="5"/>
  <c r="AG88" i="5"/>
  <c r="AG91" i="5"/>
  <c r="AG94" i="5"/>
  <c r="AG98" i="5"/>
  <c r="AG102" i="5"/>
  <c r="AG79" i="5"/>
  <c r="AG81" i="5"/>
  <c r="AG85" i="5"/>
  <c r="AG87" i="5"/>
  <c r="AG90" i="5"/>
  <c r="AG95" i="5"/>
  <c r="AG145" i="5"/>
  <c r="AG129" i="5"/>
  <c r="AG131" i="5"/>
  <c r="AG133" i="5"/>
  <c r="AG128" i="5"/>
  <c r="AG130" i="5"/>
  <c r="M24" i="6"/>
  <c r="S25" i="6"/>
  <c r="M61" i="5"/>
  <c r="M53" i="5"/>
  <c r="L47" i="5"/>
  <c r="M47" i="5"/>
  <c r="M24" i="5"/>
  <c r="M20" i="5"/>
  <c r="M14" i="5"/>
  <c r="P27" i="6" l="1"/>
  <c r="AH12" i="6"/>
  <c r="P142" i="5"/>
  <c r="O38" i="5"/>
  <c r="N176" i="5"/>
  <c r="N178" i="5"/>
  <c r="O142" i="5"/>
  <c r="O141" i="5"/>
  <c r="O176" i="5"/>
  <c r="O178" i="5"/>
  <c r="O179" i="5"/>
  <c r="R179" i="5" s="1"/>
  <c r="AK92" i="5"/>
  <c r="AL92" i="5" s="1"/>
  <c r="AF39" i="6"/>
  <c r="AF14" i="6"/>
  <c r="AF31" i="6"/>
  <c r="AF42" i="6"/>
  <c r="AF19" i="6"/>
  <c r="AF37" i="6"/>
  <c r="AJ37" i="6" s="1"/>
  <c r="AF24" i="6"/>
  <c r="AF32" i="6"/>
  <c r="AF20" i="6"/>
  <c r="AF17" i="6"/>
  <c r="AF34" i="6"/>
  <c r="AF45" i="6"/>
  <c r="AF21" i="6"/>
  <c r="AF15" i="6"/>
  <c r="AF30" i="6"/>
  <c r="AF41" i="6"/>
  <c r="N140" i="5"/>
  <c r="O125" i="5"/>
  <c r="O164" i="5"/>
  <c r="O127" i="5"/>
  <c r="O120" i="5"/>
  <c r="O100" i="5"/>
  <c r="O149" i="5" s="1"/>
  <c r="O168" i="5"/>
  <c r="O158" i="5"/>
  <c r="N158" i="5"/>
  <c r="N164" i="5"/>
  <c r="N64" i="5"/>
  <c r="N125" i="5"/>
  <c r="AG42" i="6"/>
  <c r="AG34" i="6"/>
  <c r="AG15" i="6"/>
  <c r="AG19" i="6"/>
  <c r="AG45" i="6"/>
  <c r="AG39" i="6"/>
  <c r="AG31" i="6"/>
  <c r="AG21" i="6"/>
  <c r="AG14" i="6"/>
  <c r="AG20" i="6"/>
  <c r="AG30" i="6"/>
  <c r="AG43" i="6"/>
  <c r="AG17" i="6"/>
  <c r="AG24" i="6"/>
  <c r="AG41" i="6"/>
  <c r="AG92" i="5"/>
  <c r="N100" i="5"/>
  <c r="AF92" i="5"/>
  <c r="N103" i="5"/>
  <c r="N173" i="5" s="1"/>
  <c r="N39" i="5"/>
  <c r="AG166" i="5"/>
  <c r="O39" i="5"/>
  <c r="O64" i="5"/>
  <c r="M166" i="5"/>
  <c r="AE165" i="5"/>
  <c r="M167" i="5"/>
  <c r="AE166" i="5"/>
  <c r="AJ39" i="6" l="1"/>
  <c r="P151" i="5"/>
  <c r="AH27" i="6"/>
  <c r="P47" i="6"/>
  <c r="AH47" i="6" s="1"/>
  <c r="AF25" i="5"/>
  <c r="AF43" i="5"/>
  <c r="O128" i="5"/>
  <c r="AG100" i="5"/>
  <c r="AG43" i="5"/>
  <c r="AG25" i="5"/>
  <c r="P143" i="5"/>
  <c r="P133" i="5"/>
  <c r="O65" i="5"/>
  <c r="N12" i="6"/>
  <c r="AF12" i="6" s="1"/>
  <c r="N132" i="5"/>
  <c r="N152" i="5"/>
  <c r="AF100" i="5"/>
  <c r="N149" i="5"/>
  <c r="N128" i="5"/>
  <c r="O143" i="5"/>
  <c r="AG167" i="5"/>
  <c r="AG14" i="5"/>
  <c r="O103" i="5"/>
  <c r="AG44" i="5"/>
  <c r="AG46" i="5"/>
  <c r="AG38" i="5"/>
  <c r="AG21" i="5"/>
  <c r="AG19" i="5"/>
  <c r="AG20" i="5"/>
  <c r="AG53" i="5"/>
  <c r="AG24" i="5"/>
  <c r="AG50" i="5"/>
  <c r="AG35" i="5"/>
  <c r="AG61" i="5"/>
  <c r="AG47" i="5"/>
  <c r="AG48" i="5"/>
  <c r="AG54" i="5"/>
  <c r="AG16" i="5"/>
  <c r="AG34" i="5"/>
  <c r="AG45" i="5"/>
  <c r="AG56" i="5"/>
  <c r="AG27" i="5"/>
  <c r="AG39" i="5"/>
  <c r="AG51" i="5"/>
  <c r="AG36" i="5"/>
  <c r="AG62" i="5"/>
  <c r="AG37" i="5"/>
  <c r="AG29" i="5"/>
  <c r="AG31" i="5"/>
  <c r="AG42" i="5"/>
  <c r="AG64" i="5"/>
  <c r="AF103" i="5"/>
  <c r="AF106" i="5"/>
  <c r="AF63" i="5"/>
  <c r="AF61" i="5"/>
  <c r="AF54" i="5"/>
  <c r="AF51" i="5"/>
  <c r="AF48" i="5"/>
  <c r="AF46" i="5"/>
  <c r="AF44" i="5"/>
  <c r="AF39" i="5"/>
  <c r="AF37" i="5"/>
  <c r="AF35" i="5"/>
  <c r="AF31" i="5"/>
  <c r="AF27" i="5"/>
  <c r="AF19" i="5"/>
  <c r="AF14" i="5"/>
  <c r="AF64" i="5"/>
  <c r="AF62" i="5"/>
  <c r="AF56" i="5"/>
  <c r="AF53" i="5"/>
  <c r="AF50" i="5"/>
  <c r="AF47" i="5"/>
  <c r="AF45" i="5"/>
  <c r="AF42" i="5"/>
  <c r="AF38" i="5"/>
  <c r="AF36" i="5"/>
  <c r="AF34" i="5"/>
  <c r="AF29" i="5"/>
  <c r="AF24" i="5"/>
  <c r="AF20" i="5"/>
  <c r="AF16" i="5"/>
  <c r="AF12" i="5"/>
  <c r="AF21" i="5"/>
  <c r="AG63" i="5"/>
  <c r="AG12" i="5"/>
  <c r="O12" i="6"/>
  <c r="O173" i="5" l="1"/>
  <c r="N27" i="6"/>
  <c r="N47" i="6" s="1"/>
  <c r="AF47" i="6" s="1"/>
  <c r="O152" i="5"/>
  <c r="AK103" i="5"/>
  <c r="AL103" i="5" s="1"/>
  <c r="O133" i="5"/>
  <c r="O134" i="5"/>
  <c r="O135" i="5"/>
  <c r="O132" i="5"/>
  <c r="P169" i="5"/>
  <c r="AG103" i="5"/>
  <c r="O169" i="5"/>
  <c r="AG106" i="5"/>
  <c r="O27" i="6"/>
  <c r="AG12" i="6"/>
  <c r="L167" i="5"/>
  <c r="R167" i="5" s="1"/>
  <c r="K167" i="5"/>
  <c r="J167" i="5"/>
  <c r="I167" i="5"/>
  <c r="L166" i="5"/>
  <c r="R166" i="5" s="1"/>
  <c r="K166" i="5"/>
  <c r="J166" i="5"/>
  <c r="I166" i="5"/>
  <c r="G167" i="5"/>
  <c r="G166" i="5"/>
  <c r="H167" i="5"/>
  <c r="H166" i="5"/>
  <c r="AE167" i="5"/>
  <c r="AJ117" i="5"/>
  <c r="AJ174" i="5" s="1"/>
  <c r="H86" i="5"/>
  <c r="I86" i="5"/>
  <c r="K86" i="5"/>
  <c r="R86" i="5" s="1"/>
  <c r="L86" i="5"/>
  <c r="S18" i="5"/>
  <c r="S15" i="5"/>
  <c r="S87" i="5"/>
  <c r="AD166" i="5"/>
  <c r="AJ166" i="5" s="1"/>
  <c r="AC166" i="5"/>
  <c r="AB166" i="5"/>
  <c r="AA166" i="5"/>
  <c r="Z166" i="5"/>
  <c r="AD165" i="5"/>
  <c r="AJ165" i="5" s="1"/>
  <c r="AC165" i="5"/>
  <c r="AB165" i="5"/>
  <c r="AA165" i="5"/>
  <c r="Z165" i="5"/>
  <c r="Y166" i="5"/>
  <c r="Y165" i="5"/>
  <c r="A10" i="6"/>
  <c r="AJ109" i="5"/>
  <c r="AA160" i="5"/>
  <c r="Z160" i="5"/>
  <c r="AB160" i="5"/>
  <c r="AE160" i="5"/>
  <c r="AD160" i="5"/>
  <c r="AC160" i="5"/>
  <c r="S147" i="5"/>
  <c r="AD140" i="5"/>
  <c r="AC140" i="5"/>
  <c r="AB140" i="5"/>
  <c r="AB147" i="5" s="1"/>
  <c r="AA140" i="5"/>
  <c r="AA147" i="5" s="1"/>
  <c r="Z140" i="5"/>
  <c r="Z147" i="5" s="1"/>
  <c r="Y140" i="5"/>
  <c r="Y147" i="5" s="1"/>
  <c r="AE140" i="5"/>
  <c r="S133" i="5"/>
  <c r="S132" i="5"/>
  <c r="S131" i="5"/>
  <c r="S130" i="5"/>
  <c r="S139" i="5" s="1"/>
  <c r="S146" i="5" s="1"/>
  <c r="S152" i="5" s="1"/>
  <c r="S129" i="5"/>
  <c r="S138" i="5" s="1"/>
  <c r="S145" i="5" s="1"/>
  <c r="S151" i="5" s="1"/>
  <c r="S128" i="5"/>
  <c r="S137" i="5" s="1"/>
  <c r="S144" i="5" s="1"/>
  <c r="S150" i="5" s="1"/>
  <c r="AD124" i="5"/>
  <c r="AC124" i="5"/>
  <c r="AB124" i="5"/>
  <c r="AB133" i="5" s="1"/>
  <c r="AA124" i="5"/>
  <c r="AA133" i="5" s="1"/>
  <c r="Z124" i="5"/>
  <c r="Y124" i="5"/>
  <c r="Y133" i="5" s="1"/>
  <c r="AE124" i="5"/>
  <c r="AF125" i="5" s="1"/>
  <c r="AJ160" i="5" l="1"/>
  <c r="AC141" i="5"/>
  <c r="AD133" i="5"/>
  <c r="AD125" i="5"/>
  <c r="AJ124" i="5"/>
  <c r="AE147" i="5"/>
  <c r="AE141" i="5"/>
  <c r="AF141" i="5"/>
  <c r="AD141" i="5"/>
  <c r="AD147" i="5"/>
  <c r="AJ140" i="5"/>
  <c r="N151" i="5"/>
  <c r="AF27" i="6"/>
  <c r="AC133" i="5"/>
  <c r="AE125" i="5"/>
  <c r="Z133" i="5"/>
  <c r="Z125" i="5"/>
  <c r="AA125" i="5"/>
  <c r="AC125" i="5"/>
  <c r="AB125" i="5"/>
  <c r="AC147" i="5"/>
  <c r="Y167" i="5"/>
  <c r="Z167" i="5"/>
  <c r="AB167" i="5"/>
  <c r="AD167" i="5"/>
  <c r="AJ167" i="5" s="1"/>
  <c r="AC167" i="5"/>
  <c r="AA167" i="5"/>
  <c r="O47" i="6"/>
  <c r="O151" i="5"/>
  <c r="AG27" i="6"/>
  <c r="AE133" i="5"/>
  <c r="AE130" i="5"/>
  <c r="AE128" i="5"/>
  <c r="AE132" i="5"/>
  <c r="AE129" i="5"/>
  <c r="AE131" i="5"/>
  <c r="Z128" i="5"/>
  <c r="AB128" i="5"/>
  <c r="AD128" i="5"/>
  <c r="Z129" i="5"/>
  <c r="AB129" i="5"/>
  <c r="AD129" i="5"/>
  <c r="Z130" i="5"/>
  <c r="AB130" i="5"/>
  <c r="AD130" i="5"/>
  <c r="Z131" i="5"/>
  <c r="AB131" i="5"/>
  <c r="AD131" i="5"/>
  <c r="AJ131" i="5" s="1"/>
  <c r="Z132" i="5"/>
  <c r="AB132" i="5"/>
  <c r="AD132" i="5"/>
  <c r="AJ132" i="5" s="1"/>
  <c r="AE144" i="5"/>
  <c r="AE146" i="5"/>
  <c r="Y144" i="5"/>
  <c r="AA144" i="5"/>
  <c r="AC144" i="5"/>
  <c r="Y145" i="5"/>
  <c r="AA145" i="5"/>
  <c r="AC145" i="5"/>
  <c r="Y146" i="5"/>
  <c r="AA146" i="5"/>
  <c r="AC146" i="5"/>
  <c r="Y128" i="5"/>
  <c r="AA128" i="5"/>
  <c r="AC128" i="5"/>
  <c r="Y129" i="5"/>
  <c r="AA129" i="5"/>
  <c r="AC129" i="5"/>
  <c r="Y130" i="5"/>
  <c r="AA130" i="5"/>
  <c r="AC130" i="5"/>
  <c r="Y131" i="5"/>
  <c r="AA131" i="5"/>
  <c r="AC131" i="5"/>
  <c r="Y132" i="5"/>
  <c r="AA132" i="5"/>
  <c r="AC132" i="5"/>
  <c r="AE145" i="5"/>
  <c r="Z144" i="5"/>
  <c r="AB144" i="5"/>
  <c r="AD144" i="5"/>
  <c r="Z145" i="5"/>
  <c r="AB145" i="5"/>
  <c r="AD145" i="5"/>
  <c r="AJ145" i="5" s="1"/>
  <c r="Z146" i="5"/>
  <c r="AB146" i="5"/>
  <c r="AD146" i="5"/>
  <c r="AJ130" i="5" l="1"/>
  <c r="AJ128" i="5"/>
  <c r="AJ146" i="5"/>
  <c r="AJ129" i="5"/>
  <c r="AJ147" i="5"/>
  <c r="AJ141" i="5"/>
  <c r="AJ133" i="5"/>
  <c r="AJ125" i="5"/>
  <c r="AJ144" i="5"/>
  <c r="AG47" i="6"/>
  <c r="A3" i="6"/>
  <c r="L30" i="6"/>
  <c r="L21" i="6"/>
  <c r="L79" i="5"/>
  <c r="L80" i="5"/>
  <c r="L61" i="5"/>
  <c r="L53" i="5"/>
  <c r="L24" i="5"/>
  <c r="L20" i="5"/>
  <c r="L14" i="5"/>
  <c r="S19" i="5"/>
  <c r="S17" i="5"/>
  <c r="F153" i="5" l="1"/>
  <c r="E153" i="5"/>
  <c r="D153" i="5"/>
  <c r="C153" i="5"/>
  <c r="G153" i="5"/>
  <c r="H153" i="5"/>
  <c r="I153" i="5"/>
  <c r="L45" i="6" l="1"/>
  <c r="L34" i="6"/>
  <c r="L98" i="5"/>
  <c r="L91" i="5"/>
  <c r="L81" i="5"/>
  <c r="L63" i="5"/>
  <c r="L54" i="5"/>
  <c r="L48" i="5"/>
  <c r="L37" i="5"/>
  <c r="L27" i="5"/>
  <c r="L21" i="5"/>
  <c r="K31" i="6"/>
  <c r="R31" i="6" s="1"/>
  <c r="K24" i="6"/>
  <c r="K53" i="5"/>
  <c r="R53" i="5" s="1"/>
  <c r="K47" i="5"/>
  <c r="R47" i="5" s="1"/>
  <c r="K16" i="5"/>
  <c r="R16" i="5" s="1"/>
  <c r="K14" i="5"/>
  <c r="R14" i="5" s="1"/>
  <c r="M45" i="6"/>
  <c r="K45" i="6"/>
  <c r="R45" i="6" s="1"/>
  <c r="M34" i="6"/>
  <c r="M98" i="5"/>
  <c r="M91" i="5"/>
  <c r="M81" i="5"/>
  <c r="M63" i="5"/>
  <c r="M54" i="5"/>
  <c r="M48" i="5"/>
  <c r="M121" i="5" s="1"/>
  <c r="M37" i="5"/>
  <c r="M27" i="5"/>
  <c r="M31" i="5" s="1"/>
  <c r="N142" i="5" s="1"/>
  <c r="M21" i="5"/>
  <c r="J81" i="5"/>
  <c r="I81" i="5"/>
  <c r="AA95" i="5" s="1"/>
  <c r="H81" i="5"/>
  <c r="G81" i="5"/>
  <c r="F81" i="5"/>
  <c r="F131" i="5" s="1"/>
  <c r="E80" i="5"/>
  <c r="E79" i="5" s="1"/>
  <c r="E81" i="5" s="1"/>
  <c r="W102" i="5" s="1"/>
  <c r="D80" i="5"/>
  <c r="D79" i="5" s="1"/>
  <c r="D81" i="5" s="1"/>
  <c r="D139" i="5" s="1"/>
  <c r="C80" i="5"/>
  <c r="C79" i="5" s="1"/>
  <c r="C81" i="5" s="1"/>
  <c r="B80" i="5"/>
  <c r="B79" i="5" s="1"/>
  <c r="D91" i="5"/>
  <c r="D98" i="5"/>
  <c r="V98" i="5" s="1"/>
  <c r="E91" i="5"/>
  <c r="E98" i="5"/>
  <c r="F91" i="5"/>
  <c r="X91" i="5" s="1"/>
  <c r="F98" i="5"/>
  <c r="G86" i="5"/>
  <c r="G98" i="5"/>
  <c r="H91" i="5"/>
  <c r="H98" i="5"/>
  <c r="I91" i="5"/>
  <c r="I98" i="5"/>
  <c r="C91" i="5"/>
  <c r="U91" i="5" s="1"/>
  <c r="C98" i="5"/>
  <c r="D24" i="6"/>
  <c r="E24" i="6"/>
  <c r="F24" i="6"/>
  <c r="G24" i="6"/>
  <c r="H24" i="6"/>
  <c r="I24" i="6"/>
  <c r="J14" i="6"/>
  <c r="J15" i="6"/>
  <c r="J20" i="6"/>
  <c r="J21" i="6"/>
  <c r="J23" i="6"/>
  <c r="J24" i="6"/>
  <c r="C24" i="6"/>
  <c r="R6" i="6"/>
  <c r="I34" i="6"/>
  <c r="I45" i="6"/>
  <c r="H34" i="6"/>
  <c r="H45" i="6"/>
  <c r="H49" i="6"/>
  <c r="J30" i="6"/>
  <c r="J31" i="6"/>
  <c r="J34" i="6"/>
  <c r="J45" i="6"/>
  <c r="C9" i="5"/>
  <c r="D9" i="5" s="1"/>
  <c r="B91" i="5"/>
  <c r="B98" i="5"/>
  <c r="B24" i="6"/>
  <c r="B34" i="6"/>
  <c r="B45" i="6"/>
  <c r="D49" i="6"/>
  <c r="E49" i="6"/>
  <c r="F49" i="6"/>
  <c r="G49" i="6"/>
  <c r="C34" i="6"/>
  <c r="C45" i="6"/>
  <c r="D34" i="6"/>
  <c r="D45" i="6"/>
  <c r="E34" i="6"/>
  <c r="E45" i="6"/>
  <c r="F34" i="6"/>
  <c r="F45" i="6"/>
  <c r="G34" i="6"/>
  <c r="G45" i="6"/>
  <c r="B8" i="6"/>
  <c r="T8" i="6" s="1"/>
  <c r="A5" i="6"/>
  <c r="S3" i="6"/>
  <c r="J24" i="5"/>
  <c r="C24" i="5"/>
  <c r="C27" i="5" s="1"/>
  <c r="C31" i="5" s="1"/>
  <c r="H24" i="5"/>
  <c r="I24" i="5"/>
  <c r="D24" i="5"/>
  <c r="E24" i="5"/>
  <c r="E27" i="5" s="1"/>
  <c r="E31" i="5" s="1"/>
  <c r="F24" i="5"/>
  <c r="G24" i="5"/>
  <c r="G27" i="5" s="1"/>
  <c r="G31" i="5" s="1"/>
  <c r="J51" i="5"/>
  <c r="F14" i="5"/>
  <c r="F16" i="5"/>
  <c r="F20" i="5"/>
  <c r="F27" i="5"/>
  <c r="F37" i="5"/>
  <c r="G14" i="5"/>
  <c r="G16" i="5"/>
  <c r="G20" i="5"/>
  <c r="G37" i="5"/>
  <c r="H14" i="5"/>
  <c r="H16" i="5"/>
  <c r="H20" i="5"/>
  <c r="H27" i="5"/>
  <c r="H31" i="5" s="1"/>
  <c r="H37" i="5"/>
  <c r="I14" i="5"/>
  <c r="I16" i="5"/>
  <c r="I20" i="5"/>
  <c r="I27" i="5"/>
  <c r="I31" i="5" s="1"/>
  <c r="I37" i="5"/>
  <c r="J46" i="5"/>
  <c r="J14" i="5"/>
  <c r="J16" i="5"/>
  <c r="J20" i="5"/>
  <c r="J25" i="5"/>
  <c r="J29" i="5"/>
  <c r="J34" i="5"/>
  <c r="J35" i="5"/>
  <c r="J36" i="5"/>
  <c r="J44" i="5"/>
  <c r="K27" i="5"/>
  <c r="R27" i="5" s="1"/>
  <c r="K35" i="5"/>
  <c r="R35" i="5" s="1"/>
  <c r="C14" i="5"/>
  <c r="C61" i="5"/>
  <c r="C63" i="5" s="1"/>
  <c r="C150" i="5" s="1"/>
  <c r="B61" i="5"/>
  <c r="B63" i="5" s="1"/>
  <c r="D61" i="5"/>
  <c r="D63" i="5" s="1"/>
  <c r="D150" i="5" s="1"/>
  <c r="E61" i="5"/>
  <c r="E63" i="5" s="1"/>
  <c r="F61" i="5"/>
  <c r="F63" i="5" s="1"/>
  <c r="F150" i="5" s="1"/>
  <c r="G61" i="5"/>
  <c r="H61" i="5"/>
  <c r="H63" i="5" s="1"/>
  <c r="I61" i="5"/>
  <c r="I63" i="5" s="1"/>
  <c r="J91" i="5"/>
  <c r="J98" i="5"/>
  <c r="J61" i="5"/>
  <c r="J62" i="5"/>
  <c r="J63" i="5"/>
  <c r="J42" i="5"/>
  <c r="J50" i="5"/>
  <c r="K63" i="5"/>
  <c r="R63" i="5" s="1"/>
  <c r="K81" i="5"/>
  <c r="J53" i="5"/>
  <c r="J47" i="5"/>
  <c r="J45" i="5"/>
  <c r="K91" i="5"/>
  <c r="R91" i="5" s="1"/>
  <c r="K98" i="5"/>
  <c r="R98" i="5" s="1"/>
  <c r="C106" i="5"/>
  <c r="D106" i="5"/>
  <c r="E106" i="5"/>
  <c r="F106" i="5"/>
  <c r="G106" i="5"/>
  <c r="H106" i="5"/>
  <c r="C53" i="5"/>
  <c r="C54" i="5" s="1"/>
  <c r="C47" i="5"/>
  <c r="C48" i="5" s="1"/>
  <c r="D53" i="5"/>
  <c r="D54" i="5" s="1"/>
  <c r="D47" i="5"/>
  <c r="D48" i="5" s="1"/>
  <c r="E53" i="5"/>
  <c r="E54" i="5" s="1"/>
  <c r="E47" i="5"/>
  <c r="E48" i="5" s="1"/>
  <c r="F53" i="5"/>
  <c r="F54" i="5" s="1"/>
  <c r="F47" i="5"/>
  <c r="F48" i="5" s="1"/>
  <c r="G53" i="5"/>
  <c r="G47" i="5"/>
  <c r="H53" i="5"/>
  <c r="H54" i="5" s="1"/>
  <c r="H47" i="5"/>
  <c r="H48" i="5" s="1"/>
  <c r="I53" i="5"/>
  <c r="I54" i="5" s="1"/>
  <c r="I126" i="5" s="1"/>
  <c r="I47" i="5"/>
  <c r="I48" i="5" s="1"/>
  <c r="C16" i="5"/>
  <c r="C20" i="5"/>
  <c r="C37" i="5"/>
  <c r="D14" i="5"/>
  <c r="D16" i="5"/>
  <c r="D20" i="5"/>
  <c r="D27" i="5"/>
  <c r="D31" i="5" s="1"/>
  <c r="D37" i="5"/>
  <c r="E14" i="5"/>
  <c r="E16" i="5"/>
  <c r="E20" i="5"/>
  <c r="E37" i="5"/>
  <c r="K54" i="5"/>
  <c r="R54" i="5" s="1"/>
  <c r="K48" i="5"/>
  <c r="R48" i="5" s="1"/>
  <c r="S33" i="5"/>
  <c r="T9" i="5"/>
  <c r="U9" i="5" s="1"/>
  <c r="AC95" i="5"/>
  <c r="AC88" i="5"/>
  <c r="AC81" i="5"/>
  <c r="B76" i="5"/>
  <c r="C76" i="5" s="1"/>
  <c r="AB85" i="5"/>
  <c r="AB88" i="5"/>
  <c r="C121" i="5"/>
  <c r="B14" i="5"/>
  <c r="G122" i="5"/>
  <c r="B16" i="5"/>
  <c r="B20" i="5"/>
  <c r="B24" i="5"/>
  <c r="B27" i="5" s="1"/>
  <c r="B31" i="5" s="1"/>
  <c r="B37" i="5"/>
  <c r="F139" i="5"/>
  <c r="B47" i="5"/>
  <c r="B48" i="5" s="1"/>
  <c r="U90" i="5"/>
  <c r="V90" i="5"/>
  <c r="X90" i="5"/>
  <c r="Y90" i="5"/>
  <c r="AB79" i="5"/>
  <c r="Y79" i="5"/>
  <c r="AA79" i="5"/>
  <c r="U79" i="5"/>
  <c r="S43" i="5"/>
  <c r="AB102" i="5"/>
  <c r="AB95" i="5"/>
  <c r="AB84" i="5"/>
  <c r="AB80" i="5"/>
  <c r="S80" i="5"/>
  <c r="S81" i="5"/>
  <c r="S79" i="5"/>
  <c r="AA96" i="5"/>
  <c r="AA90" i="5"/>
  <c r="AA81" i="5"/>
  <c r="Z85" i="5"/>
  <c r="B53" i="5"/>
  <c r="B54" i="5" s="1"/>
  <c r="B106" i="5"/>
  <c r="S31" i="5"/>
  <c r="S5" i="6"/>
  <c r="S95" i="5"/>
  <c r="S96" i="5"/>
  <c r="S97" i="5"/>
  <c r="S98" i="5"/>
  <c r="S100" i="5"/>
  <c r="S101" i="5"/>
  <c r="S102" i="5"/>
  <c r="S103" i="5"/>
  <c r="S105" i="5"/>
  <c r="S106" i="5"/>
  <c r="S94" i="5"/>
  <c r="S85" i="5"/>
  <c r="S86" i="5"/>
  <c r="S88" i="5"/>
  <c r="S89" i="5"/>
  <c r="S90" i="5"/>
  <c r="S84" i="5"/>
  <c r="Z98" i="5"/>
  <c r="Z94" i="5"/>
  <c r="Z88" i="5"/>
  <c r="Z80" i="5"/>
  <c r="A113" i="5"/>
  <c r="S113" i="5" s="1"/>
  <c r="A72" i="5"/>
  <c r="R74" i="5"/>
  <c r="R116" i="5"/>
  <c r="AJ173" i="5" s="1"/>
  <c r="S37" i="6"/>
  <c r="S64" i="5"/>
  <c r="S63" i="5"/>
  <c r="S62" i="5"/>
  <c r="S61" i="5"/>
  <c r="S60" i="5"/>
  <c r="S58" i="5"/>
  <c r="S56" i="5"/>
  <c r="S51" i="5"/>
  <c r="S53" i="5"/>
  <c r="S54" i="5"/>
  <c r="S50" i="5"/>
  <c r="S35" i="5"/>
  <c r="S36" i="5"/>
  <c r="S34" i="5"/>
  <c r="S29" i="5"/>
  <c r="S25" i="5"/>
  <c r="S26" i="5"/>
  <c r="S27" i="5"/>
  <c r="S24" i="5"/>
  <c r="S43" i="6"/>
  <c r="S42" i="6"/>
  <c r="S41" i="6"/>
  <c r="S39" i="6"/>
  <c r="S38" i="6"/>
  <c r="S32" i="6"/>
  <c r="S31" i="6"/>
  <c r="S30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Y102" i="5"/>
  <c r="U102" i="5"/>
  <c r="X101" i="5"/>
  <c r="V101" i="5"/>
  <c r="U101" i="5"/>
  <c r="Y98" i="5"/>
  <c r="U98" i="5"/>
  <c r="U97" i="5"/>
  <c r="Y96" i="5"/>
  <c r="X96" i="5"/>
  <c r="V96" i="5"/>
  <c r="U96" i="5"/>
  <c r="Y95" i="5"/>
  <c r="U95" i="5"/>
  <c r="Y94" i="5"/>
  <c r="X94" i="5"/>
  <c r="V94" i="5"/>
  <c r="U94" i="5"/>
  <c r="V91" i="5"/>
  <c r="X89" i="5"/>
  <c r="V89" i="5"/>
  <c r="U89" i="5"/>
  <c r="Y88" i="5"/>
  <c r="U88" i="5"/>
  <c r="Y86" i="5"/>
  <c r="X86" i="5"/>
  <c r="V86" i="5"/>
  <c r="U86" i="5"/>
  <c r="Y85" i="5"/>
  <c r="U85" i="5"/>
  <c r="Y84" i="5"/>
  <c r="X84" i="5"/>
  <c r="V84" i="5"/>
  <c r="U84" i="5"/>
  <c r="Y81" i="5"/>
  <c r="U81" i="5"/>
  <c r="Y80" i="5"/>
  <c r="X80" i="5"/>
  <c r="V80" i="5"/>
  <c r="U80" i="5"/>
  <c r="S44" i="5"/>
  <c r="S45" i="5"/>
  <c r="S46" i="5"/>
  <c r="S47" i="5"/>
  <c r="S42" i="5"/>
  <c r="S14" i="5"/>
  <c r="S16" i="5"/>
  <c r="S20" i="5"/>
  <c r="S21" i="5"/>
  <c r="S12" i="5"/>
  <c r="A111" i="5"/>
  <c r="S111" i="5" s="1"/>
  <c r="I121" i="5" l="1"/>
  <c r="B38" i="5"/>
  <c r="J54" i="5"/>
  <c r="W81" i="5"/>
  <c r="W95" i="5"/>
  <c r="AA84" i="5"/>
  <c r="AA91" i="5"/>
  <c r="AA102" i="5"/>
  <c r="AA85" i="5"/>
  <c r="K21" i="5"/>
  <c r="R21" i="5" s="1"/>
  <c r="W85" i="5"/>
  <c r="W91" i="5"/>
  <c r="AA86" i="5"/>
  <c r="AA94" i="5"/>
  <c r="W79" i="5"/>
  <c r="W90" i="5"/>
  <c r="J122" i="5"/>
  <c r="F122" i="5"/>
  <c r="W80" i="5"/>
  <c r="W84" i="5"/>
  <c r="W86" i="5"/>
  <c r="W88" i="5"/>
  <c r="W89" i="5"/>
  <c r="W94" i="5"/>
  <c r="W96" i="5"/>
  <c r="W97" i="5"/>
  <c r="W98" i="5"/>
  <c r="W101" i="5"/>
  <c r="AA80" i="5"/>
  <c r="AA88" i="5"/>
  <c r="I122" i="5"/>
  <c r="X98" i="5"/>
  <c r="K34" i="6"/>
  <c r="R34" i="6" s="1"/>
  <c r="K131" i="5"/>
  <c r="R81" i="5"/>
  <c r="L120" i="5"/>
  <c r="AJ90" i="5"/>
  <c r="AJ85" i="5"/>
  <c r="AJ88" i="5"/>
  <c r="AJ84" i="5"/>
  <c r="AJ102" i="5"/>
  <c r="AJ95" i="5"/>
  <c r="AJ87" i="5"/>
  <c r="AJ81" i="5"/>
  <c r="AJ94" i="5"/>
  <c r="AJ86" i="5"/>
  <c r="AJ80" i="5"/>
  <c r="AJ79" i="5"/>
  <c r="B21" i="5"/>
  <c r="B39" i="5" s="1"/>
  <c r="T54" i="5" s="1"/>
  <c r="H56" i="5"/>
  <c r="H64" i="5" s="1"/>
  <c r="H122" i="5"/>
  <c r="AA98" i="5"/>
  <c r="AJ98" i="5"/>
  <c r="L121" i="5"/>
  <c r="R121" i="5" s="1"/>
  <c r="AJ91" i="5"/>
  <c r="J126" i="5"/>
  <c r="K139" i="5"/>
  <c r="K140" i="5"/>
  <c r="K165" i="5"/>
  <c r="AC87" i="5"/>
  <c r="J161" i="5"/>
  <c r="J92" i="5"/>
  <c r="J100" i="5" s="1"/>
  <c r="K37" i="5"/>
  <c r="R37" i="5" s="1"/>
  <c r="H131" i="5"/>
  <c r="H168" i="5" s="1"/>
  <c r="H140" i="5"/>
  <c r="H142" i="5"/>
  <c r="H139" i="5"/>
  <c r="Z87" i="5"/>
  <c r="H165" i="5"/>
  <c r="Z86" i="5"/>
  <c r="J131" i="5"/>
  <c r="J168" i="5" s="1"/>
  <c r="J140" i="5"/>
  <c r="J139" i="5"/>
  <c r="AB87" i="5"/>
  <c r="J165" i="5"/>
  <c r="M177" i="5"/>
  <c r="M163" i="5"/>
  <c r="M162" i="5"/>
  <c r="M161" i="5"/>
  <c r="M157" i="5"/>
  <c r="M156" i="5"/>
  <c r="M150" i="5"/>
  <c r="M127" i="5"/>
  <c r="M126" i="5"/>
  <c r="N134" i="5"/>
  <c r="N135" i="5"/>
  <c r="L122" i="5"/>
  <c r="L140" i="5"/>
  <c r="L139" i="5"/>
  <c r="L131" i="5"/>
  <c r="AD87" i="5"/>
  <c r="L165" i="5"/>
  <c r="M122" i="5"/>
  <c r="K177" i="5"/>
  <c r="G131" i="5"/>
  <c r="G168" i="5" s="1"/>
  <c r="G139" i="5"/>
  <c r="G140" i="5"/>
  <c r="Y89" i="5"/>
  <c r="I131" i="5"/>
  <c r="I168" i="5" s="1"/>
  <c r="I139" i="5"/>
  <c r="I140" i="5"/>
  <c r="I142" i="5"/>
  <c r="I165" i="5"/>
  <c r="AA87" i="5"/>
  <c r="M120" i="5"/>
  <c r="N141" i="5"/>
  <c r="M165" i="5"/>
  <c r="M141" i="5"/>
  <c r="M139" i="5"/>
  <c r="M131" i="5"/>
  <c r="M168" i="5" s="1"/>
  <c r="M140" i="5"/>
  <c r="N165" i="5"/>
  <c r="N122" i="5"/>
  <c r="L177" i="5"/>
  <c r="L126" i="5"/>
  <c r="R126" i="5" s="1"/>
  <c r="L163" i="5"/>
  <c r="R163" i="5" s="1"/>
  <c r="L162" i="5"/>
  <c r="R162" i="5" s="1"/>
  <c r="L161" i="5"/>
  <c r="R161" i="5" s="1"/>
  <c r="L157" i="5"/>
  <c r="R157" i="5" s="1"/>
  <c r="L156" i="5"/>
  <c r="R156" i="5" s="1"/>
  <c r="L150" i="5"/>
  <c r="R150" i="5" s="1"/>
  <c r="V81" i="5"/>
  <c r="X81" i="5"/>
  <c r="V85" i="5"/>
  <c r="X85" i="5"/>
  <c r="V88" i="5"/>
  <c r="X88" i="5"/>
  <c r="V95" i="5"/>
  <c r="X95" i="5"/>
  <c r="V97" i="5"/>
  <c r="X97" i="5"/>
  <c r="X102" i="5"/>
  <c r="V102" i="5"/>
  <c r="Z81" i="5"/>
  <c r="Z90" i="5"/>
  <c r="Z95" i="5"/>
  <c r="Z102" i="5"/>
  <c r="T76" i="5"/>
  <c r="B117" i="5"/>
  <c r="Z84" i="5"/>
  <c r="AB81" i="5"/>
  <c r="AB94" i="5"/>
  <c r="AB98" i="5"/>
  <c r="Z79" i="5"/>
  <c r="X79" i="5"/>
  <c r="V79" i="5"/>
  <c r="F140" i="5"/>
  <c r="AB90" i="5"/>
  <c r="AB86" i="5"/>
  <c r="AB91" i="5"/>
  <c r="AC79" i="5"/>
  <c r="AC85" i="5"/>
  <c r="AC90" i="5"/>
  <c r="AC102" i="5"/>
  <c r="H121" i="5"/>
  <c r="F121" i="5"/>
  <c r="K150" i="5"/>
  <c r="K31" i="5"/>
  <c r="R31" i="5" s="1"/>
  <c r="AE87" i="5"/>
  <c r="E161" i="5"/>
  <c r="E150" i="5"/>
  <c r="E126" i="5"/>
  <c r="H92" i="5"/>
  <c r="Z92" i="5" s="1"/>
  <c r="Z91" i="5"/>
  <c r="D21" i="5"/>
  <c r="D120" i="5" s="1"/>
  <c r="K157" i="5"/>
  <c r="J21" i="5"/>
  <c r="I92" i="5"/>
  <c r="AA92" i="5" s="1"/>
  <c r="B163" i="5"/>
  <c r="B161" i="5"/>
  <c r="B162" i="5"/>
  <c r="B157" i="5"/>
  <c r="B156" i="5"/>
  <c r="B158" i="5" s="1"/>
  <c r="B150" i="5"/>
  <c r="E21" i="5"/>
  <c r="E39" i="5" s="1"/>
  <c r="J157" i="5"/>
  <c r="J37" i="5"/>
  <c r="U76" i="5"/>
  <c r="B126" i="5"/>
  <c r="B56" i="5"/>
  <c r="B125" i="5" s="1"/>
  <c r="V9" i="5"/>
  <c r="C117" i="5"/>
  <c r="E38" i="5"/>
  <c r="E127" i="5"/>
  <c r="D39" i="5"/>
  <c r="V31" i="5" s="1"/>
  <c r="C38" i="5"/>
  <c r="C142" i="5"/>
  <c r="C162" i="5"/>
  <c r="C161" i="5"/>
  <c r="C157" i="5"/>
  <c r="C126" i="5"/>
  <c r="C163" i="5"/>
  <c r="C127" i="5"/>
  <c r="B121" i="5"/>
  <c r="B120" i="5"/>
  <c r="E142" i="5"/>
  <c r="D38" i="5"/>
  <c r="B127" i="5"/>
  <c r="B64" i="5"/>
  <c r="I21" i="5"/>
  <c r="I120" i="5" s="1"/>
  <c r="D140" i="5"/>
  <c r="D122" i="5"/>
  <c r="E121" i="5"/>
  <c r="C21" i="5"/>
  <c r="C120" i="5" s="1"/>
  <c r="G48" i="5"/>
  <c r="G54" i="5"/>
  <c r="D121" i="5"/>
  <c r="J156" i="5"/>
  <c r="J158" i="5" s="1"/>
  <c r="E157" i="5"/>
  <c r="J163" i="5"/>
  <c r="E162" i="5"/>
  <c r="G63" i="5"/>
  <c r="J27" i="5"/>
  <c r="H21" i="5"/>
  <c r="H120" i="5" s="1"/>
  <c r="F21" i="5"/>
  <c r="F120" i="5" s="1"/>
  <c r="AE10" i="6"/>
  <c r="H150" i="5"/>
  <c r="H162" i="5"/>
  <c r="H156" i="5"/>
  <c r="H126" i="5"/>
  <c r="H161" i="5"/>
  <c r="H163" i="5"/>
  <c r="H157" i="5"/>
  <c r="D161" i="5"/>
  <c r="D163" i="5"/>
  <c r="D157" i="5"/>
  <c r="D126" i="5"/>
  <c r="D127" i="5"/>
  <c r="D162" i="5"/>
  <c r="D156" i="5"/>
  <c r="D158" i="5" s="1"/>
  <c r="B81" i="5"/>
  <c r="T79" i="5" s="1"/>
  <c r="D131" i="5"/>
  <c r="V10" i="6"/>
  <c r="D92" i="5"/>
  <c r="E122" i="5"/>
  <c r="D142" i="5"/>
  <c r="I56" i="5"/>
  <c r="I125" i="5" s="1"/>
  <c r="F56" i="5"/>
  <c r="E56" i="5"/>
  <c r="E64" i="5" s="1"/>
  <c r="D56" i="5"/>
  <c r="C56" i="5"/>
  <c r="C64" i="5" s="1"/>
  <c r="I150" i="5"/>
  <c r="I162" i="5"/>
  <c r="I156" i="5"/>
  <c r="I161" i="5"/>
  <c r="I163" i="5"/>
  <c r="I157" i="5"/>
  <c r="F161" i="5"/>
  <c r="F163" i="5"/>
  <c r="F157" i="5"/>
  <c r="F126" i="5"/>
  <c r="F162" i="5"/>
  <c r="F156" i="5"/>
  <c r="C131" i="5"/>
  <c r="U10" i="6"/>
  <c r="C139" i="5"/>
  <c r="C140" i="5"/>
  <c r="C141" i="5"/>
  <c r="C92" i="5"/>
  <c r="E131" i="5"/>
  <c r="W10" i="6"/>
  <c r="E92" i="5"/>
  <c r="E139" i="5"/>
  <c r="E140" i="5"/>
  <c r="I141" i="5"/>
  <c r="J150" i="5"/>
  <c r="K153" i="5"/>
  <c r="J153" i="5"/>
  <c r="AD10" i="6"/>
  <c r="D76" i="5"/>
  <c r="AC80" i="5"/>
  <c r="AC84" i="5"/>
  <c r="AC86" i="5"/>
  <c r="AC94" i="5"/>
  <c r="K122" i="5"/>
  <c r="J48" i="5"/>
  <c r="AC98" i="5"/>
  <c r="C156" i="5"/>
  <c r="K156" i="5"/>
  <c r="G156" i="5"/>
  <c r="E156" i="5"/>
  <c r="K162" i="5"/>
  <c r="J162" i="5"/>
  <c r="G162" i="5"/>
  <c r="E163" i="5"/>
  <c r="E164" i="5" s="1"/>
  <c r="G21" i="5"/>
  <c r="G39" i="5" s="1"/>
  <c r="G91" i="5"/>
  <c r="F92" i="5"/>
  <c r="X10" i="6"/>
  <c r="Y10" i="6"/>
  <c r="Z10" i="6"/>
  <c r="AA10" i="6"/>
  <c r="AB10" i="6"/>
  <c r="L31" i="5"/>
  <c r="AD80" i="5"/>
  <c r="AD84" i="5"/>
  <c r="AD86" i="5"/>
  <c r="AD91" i="5"/>
  <c r="AD94" i="5"/>
  <c r="AD98" i="5"/>
  <c r="L92" i="5"/>
  <c r="AD79" i="5"/>
  <c r="AD81" i="5"/>
  <c r="AD85" i="5"/>
  <c r="AD88" i="5"/>
  <c r="AD90" i="5"/>
  <c r="AD95" i="5"/>
  <c r="AD102" i="5"/>
  <c r="L56" i="5"/>
  <c r="L38" i="5"/>
  <c r="D8" i="6"/>
  <c r="V8" i="6" s="1"/>
  <c r="E9" i="5"/>
  <c r="C8" i="6"/>
  <c r="U8" i="6" s="1"/>
  <c r="K163" i="5"/>
  <c r="K161" i="5"/>
  <c r="K126" i="5"/>
  <c r="K121" i="5"/>
  <c r="K120" i="5"/>
  <c r="AC91" i="5"/>
  <c r="K92" i="5"/>
  <c r="R92" i="5" s="1"/>
  <c r="AC10" i="6"/>
  <c r="M56" i="5"/>
  <c r="M125" i="5" s="1"/>
  <c r="K56" i="5"/>
  <c r="R56" i="5" s="1"/>
  <c r="K127" i="5"/>
  <c r="I38" i="5"/>
  <c r="I127" i="5"/>
  <c r="H39" i="5"/>
  <c r="Z31" i="5" s="1"/>
  <c r="H38" i="5"/>
  <c r="H127" i="5"/>
  <c r="G38" i="5"/>
  <c r="G127" i="5"/>
  <c r="F31" i="5"/>
  <c r="G142" i="5" s="1"/>
  <c r="H100" i="5"/>
  <c r="H149" i="5" s="1"/>
  <c r="I100" i="5"/>
  <c r="I149" i="5" s="1"/>
  <c r="AB92" i="5"/>
  <c r="M92" i="5"/>
  <c r="AE79" i="5"/>
  <c r="AE81" i="5"/>
  <c r="AE85" i="5"/>
  <c r="AE88" i="5"/>
  <c r="AE90" i="5"/>
  <c r="AE95" i="5"/>
  <c r="AE102" i="5"/>
  <c r="AE80" i="5"/>
  <c r="AE84" i="5"/>
  <c r="AE86" i="5"/>
  <c r="AE91" i="5"/>
  <c r="AE94" i="5"/>
  <c r="AE98" i="5"/>
  <c r="S3" i="5"/>
  <c r="S70" i="5"/>
  <c r="A70" i="5"/>
  <c r="M38" i="5"/>
  <c r="M39" i="5"/>
  <c r="AD41" i="6" l="1"/>
  <c r="AJ10" i="6"/>
  <c r="J164" i="5"/>
  <c r="R177" i="5"/>
  <c r="R122" i="5"/>
  <c r="K39" i="5"/>
  <c r="AC43" i="5" s="1"/>
  <c r="E158" i="5"/>
  <c r="H125" i="5"/>
  <c r="L141" i="5"/>
  <c r="R141" i="5" s="1"/>
  <c r="B164" i="5"/>
  <c r="H143" i="5"/>
  <c r="Y31" i="5"/>
  <c r="AE43" i="5"/>
  <c r="AE25" i="5"/>
  <c r="R39" i="5"/>
  <c r="L64" i="5"/>
  <c r="Y38" i="5"/>
  <c r="AJ92" i="5"/>
  <c r="L125" i="5"/>
  <c r="R125" i="5" s="1"/>
  <c r="L127" i="5"/>
  <c r="R127" i="5" s="1"/>
  <c r="M142" i="5"/>
  <c r="R139" i="5"/>
  <c r="R140" i="5"/>
  <c r="R120" i="5"/>
  <c r="L168" i="5"/>
  <c r="R168" i="5" s="1"/>
  <c r="R131" i="5"/>
  <c r="R165" i="5"/>
  <c r="AD34" i="6"/>
  <c r="N143" i="5"/>
  <c r="N133" i="5"/>
  <c r="M178" i="5"/>
  <c r="M176" i="5"/>
  <c r="J149" i="5"/>
  <c r="K168" i="5"/>
  <c r="K178" i="5"/>
  <c r="K176" i="5"/>
  <c r="L178" i="5"/>
  <c r="L176" i="5"/>
  <c r="R176" i="5" s="1"/>
  <c r="I39" i="5"/>
  <c r="AA38" i="5" s="1"/>
  <c r="K38" i="5"/>
  <c r="R38" i="5" s="1"/>
  <c r="K158" i="5"/>
  <c r="K141" i="5"/>
  <c r="C158" i="5"/>
  <c r="E141" i="5"/>
  <c r="E120" i="5"/>
  <c r="V38" i="5"/>
  <c r="V21" i="5"/>
  <c r="L158" i="5"/>
  <c r="L164" i="5"/>
  <c r="M158" i="5"/>
  <c r="M164" i="5"/>
  <c r="AD31" i="6"/>
  <c r="AD15" i="6"/>
  <c r="AD19" i="6"/>
  <c r="AJ19" i="6" s="1"/>
  <c r="AD20" i="6"/>
  <c r="AD45" i="6"/>
  <c r="AD23" i="6"/>
  <c r="AJ23" i="6" s="1"/>
  <c r="AC31" i="6"/>
  <c r="AD17" i="6"/>
  <c r="AD24" i="6"/>
  <c r="AD42" i="6"/>
  <c r="AD14" i="6"/>
  <c r="AJ14" i="6" s="1"/>
  <c r="AD21" i="6"/>
  <c r="AD32" i="6"/>
  <c r="AJ32" i="6" s="1"/>
  <c r="L142" i="5"/>
  <c r="R142" i="5" s="1"/>
  <c r="AE21" i="6"/>
  <c r="AE19" i="6"/>
  <c r="AE20" i="6"/>
  <c r="M100" i="5"/>
  <c r="AD30" i="6"/>
  <c r="AE47" i="5"/>
  <c r="W21" i="5"/>
  <c r="E143" i="5"/>
  <c r="AC31" i="5"/>
  <c r="AC17" i="5"/>
  <c r="AC19" i="5"/>
  <c r="F158" i="5"/>
  <c r="F164" i="5"/>
  <c r="I164" i="5"/>
  <c r="C122" i="5"/>
  <c r="W64" i="5"/>
  <c r="T64" i="5"/>
  <c r="M64" i="5"/>
  <c r="AE19" i="5"/>
  <c r="AE42" i="6"/>
  <c r="AE24" i="6"/>
  <c r="AE15" i="6"/>
  <c r="AE31" i="6"/>
  <c r="AE17" i="6"/>
  <c r="AE45" i="6"/>
  <c r="AE41" i="6"/>
  <c r="AE30" i="6"/>
  <c r="AE14" i="6"/>
  <c r="AE34" i="6"/>
  <c r="G56" i="5"/>
  <c r="G121" i="5"/>
  <c r="W43" i="5"/>
  <c r="W37" i="5"/>
  <c r="W24" i="5"/>
  <c r="W63" i="5"/>
  <c r="W61" i="5"/>
  <c r="W54" i="5"/>
  <c r="W51" i="5"/>
  <c r="W48" i="5"/>
  <c r="W46" i="5"/>
  <c r="W44" i="5"/>
  <c r="W39" i="5"/>
  <c r="W34" i="5"/>
  <c r="W27" i="5"/>
  <c r="W25" i="5"/>
  <c r="W20" i="5"/>
  <c r="W14" i="5"/>
  <c r="W58" i="5"/>
  <c r="W50" i="5"/>
  <c r="W47" i="5"/>
  <c r="W45" i="5"/>
  <c r="W42" i="5"/>
  <c r="W35" i="5"/>
  <c r="W26" i="5"/>
  <c r="W16" i="5"/>
  <c r="W12" i="5"/>
  <c r="W29" i="5"/>
  <c r="W36" i="5"/>
  <c r="W62" i="5"/>
  <c r="W53" i="5"/>
  <c r="W9" i="5"/>
  <c r="D117" i="5"/>
  <c r="K164" i="5"/>
  <c r="I64" i="5"/>
  <c r="H158" i="5"/>
  <c r="H164" i="5"/>
  <c r="C164" i="5"/>
  <c r="W31" i="5"/>
  <c r="W38" i="5"/>
  <c r="J31" i="5"/>
  <c r="K142" i="5" s="1"/>
  <c r="G150" i="5"/>
  <c r="G163" i="5"/>
  <c r="G126" i="5"/>
  <c r="G161" i="5"/>
  <c r="G164" i="5" s="1"/>
  <c r="G157" i="5"/>
  <c r="G158" i="5" s="1"/>
  <c r="C39" i="5"/>
  <c r="U64" i="5" s="1"/>
  <c r="D141" i="5"/>
  <c r="V29" i="5"/>
  <c r="V36" i="5"/>
  <c r="V62" i="5"/>
  <c r="V58" i="5"/>
  <c r="V53" i="5"/>
  <c r="V50" i="5"/>
  <c r="V47" i="5"/>
  <c r="V45" i="5"/>
  <c r="V42" i="5"/>
  <c r="V35" i="5"/>
  <c r="V26" i="5"/>
  <c r="V16" i="5"/>
  <c r="V12" i="5"/>
  <c r="V54" i="5"/>
  <c r="V44" i="5"/>
  <c r="V34" i="5"/>
  <c r="V25" i="5"/>
  <c r="V43" i="5"/>
  <c r="V37" i="5"/>
  <c r="V24" i="5"/>
  <c r="V63" i="5"/>
  <c r="V61" i="5"/>
  <c r="V51" i="5"/>
  <c r="V48" i="5"/>
  <c r="V46" i="5"/>
  <c r="V39" i="5"/>
  <c r="V27" i="5"/>
  <c r="V20" i="5"/>
  <c r="V14" i="5"/>
  <c r="F141" i="5"/>
  <c r="AA14" i="6"/>
  <c r="AA15" i="6"/>
  <c r="AA16" i="6"/>
  <c r="AA17" i="6"/>
  <c r="AA19" i="6"/>
  <c r="AA20" i="6"/>
  <c r="AA21" i="6"/>
  <c r="AA23" i="6"/>
  <c r="AA24" i="6"/>
  <c r="AA30" i="6"/>
  <c r="AA31" i="6"/>
  <c r="AA34" i="6"/>
  <c r="AA41" i="6"/>
  <c r="AA42" i="6"/>
  <c r="AA45" i="6"/>
  <c r="Y49" i="6"/>
  <c r="Y51" i="6"/>
  <c r="Y14" i="6"/>
  <c r="Y15" i="6"/>
  <c r="Y16" i="6"/>
  <c r="Y19" i="6"/>
  <c r="Y20" i="6"/>
  <c r="Y21" i="6"/>
  <c r="Y22" i="6"/>
  <c r="Y23" i="6"/>
  <c r="Y24" i="6"/>
  <c r="Y30" i="6"/>
  <c r="Y31" i="6"/>
  <c r="Y34" i="6"/>
  <c r="Y39" i="6"/>
  <c r="Y41" i="6"/>
  <c r="Y42" i="6"/>
  <c r="Y45" i="6"/>
  <c r="F100" i="5"/>
  <c r="F149" i="5" s="1"/>
  <c r="X92" i="5"/>
  <c r="G120" i="5"/>
  <c r="H141" i="5"/>
  <c r="J121" i="5"/>
  <c r="J56" i="5"/>
  <c r="J120" i="5"/>
  <c r="J141" i="5"/>
  <c r="E76" i="5"/>
  <c r="V76" i="5"/>
  <c r="W49" i="6"/>
  <c r="W51" i="6"/>
  <c r="W14" i="6"/>
  <c r="W15" i="6"/>
  <c r="W16" i="6"/>
  <c r="W17" i="6"/>
  <c r="W19" i="6"/>
  <c r="W20" i="6"/>
  <c r="W21" i="6"/>
  <c r="W22" i="6"/>
  <c r="W23" i="6"/>
  <c r="W24" i="6"/>
  <c r="W30" i="6"/>
  <c r="W31" i="6"/>
  <c r="W32" i="6"/>
  <c r="W34" i="6"/>
  <c r="W37" i="6"/>
  <c r="W38" i="6"/>
  <c r="W39" i="6"/>
  <c r="W41" i="6"/>
  <c r="W42" i="6"/>
  <c r="W43" i="6"/>
  <c r="W45" i="6"/>
  <c r="C100" i="5"/>
  <c r="C149" i="5" s="1"/>
  <c r="U92" i="5"/>
  <c r="C125" i="5"/>
  <c r="E125" i="5"/>
  <c r="W56" i="5"/>
  <c r="T63" i="5"/>
  <c r="T61" i="5"/>
  <c r="T56" i="5"/>
  <c r="T53" i="5"/>
  <c r="T50" i="5"/>
  <c r="T47" i="5"/>
  <c r="T45" i="5"/>
  <c r="T42" i="5"/>
  <c r="T37" i="5"/>
  <c r="T35" i="5"/>
  <c r="T31" i="5"/>
  <c r="T24" i="5"/>
  <c r="T26" i="5"/>
  <c r="T21" i="5"/>
  <c r="T16" i="5"/>
  <c r="T12" i="5"/>
  <c r="T62" i="5"/>
  <c r="T58" i="5"/>
  <c r="T51" i="5"/>
  <c r="T48" i="5"/>
  <c r="T46" i="5"/>
  <c r="T44" i="5"/>
  <c r="T39" i="5"/>
  <c r="T36" i="5"/>
  <c r="T34" i="5"/>
  <c r="T29" i="5"/>
  <c r="T27" i="5"/>
  <c r="T25" i="5"/>
  <c r="T20" i="5"/>
  <c r="T14" i="5"/>
  <c r="D100" i="5"/>
  <c r="D149" i="5" s="1"/>
  <c r="V92" i="5"/>
  <c r="Z38" i="5"/>
  <c r="G141" i="5"/>
  <c r="D164" i="5"/>
  <c r="T38" i="5"/>
  <c r="AB14" i="6"/>
  <c r="AB15" i="6"/>
  <c r="AB17" i="6"/>
  <c r="AB20" i="6"/>
  <c r="AB21" i="6"/>
  <c r="AB23" i="6"/>
  <c r="AB24" i="6"/>
  <c r="AB30" i="6"/>
  <c r="AB31" i="6"/>
  <c r="AB32" i="6"/>
  <c r="AB34" i="6"/>
  <c r="AB39" i="6"/>
  <c r="AB41" i="6"/>
  <c r="AB42" i="6"/>
  <c r="AB45" i="6"/>
  <c r="Z14" i="6"/>
  <c r="Z15" i="6"/>
  <c r="Z19" i="6"/>
  <c r="Z20" i="6"/>
  <c r="Z21" i="6"/>
  <c r="Z22" i="6"/>
  <c r="Z23" i="6"/>
  <c r="Z24" i="6"/>
  <c r="Z30" i="6"/>
  <c r="Z31" i="6"/>
  <c r="Z34" i="6"/>
  <c r="Z38" i="6"/>
  <c r="Z41" i="6"/>
  <c r="Z42" i="6"/>
  <c r="Z45" i="6"/>
  <c r="Z49" i="6"/>
  <c r="X14" i="6"/>
  <c r="X15" i="6"/>
  <c r="X16" i="6"/>
  <c r="X17" i="6"/>
  <c r="X19" i="6"/>
  <c r="X20" i="6"/>
  <c r="X21" i="6"/>
  <c r="X22" i="6"/>
  <c r="X23" i="6"/>
  <c r="X24" i="6"/>
  <c r="X30" i="6"/>
  <c r="X31" i="6"/>
  <c r="X32" i="6"/>
  <c r="X34" i="6"/>
  <c r="X37" i="6"/>
  <c r="X38" i="6"/>
  <c r="X39" i="6"/>
  <c r="X41" i="6"/>
  <c r="X42" i="6"/>
  <c r="X43" i="6"/>
  <c r="X45" i="6"/>
  <c r="X49" i="6"/>
  <c r="X51" i="6"/>
  <c r="G92" i="5"/>
  <c r="Y91" i="5"/>
  <c r="E100" i="5"/>
  <c r="E149" i="5" s="1"/>
  <c r="W92" i="5"/>
  <c r="U49" i="6"/>
  <c r="U51" i="6"/>
  <c r="U14" i="6"/>
  <c r="U15" i="6"/>
  <c r="U16" i="6"/>
  <c r="U17" i="6"/>
  <c r="U19" i="6"/>
  <c r="U20" i="6"/>
  <c r="U21" i="6"/>
  <c r="U22" i="6"/>
  <c r="U23" i="6"/>
  <c r="U24" i="6"/>
  <c r="U30" i="6"/>
  <c r="U31" i="6"/>
  <c r="U32" i="6"/>
  <c r="U34" i="6"/>
  <c r="U37" i="6"/>
  <c r="U38" i="6"/>
  <c r="U39" i="6"/>
  <c r="U41" i="6"/>
  <c r="U42" i="6"/>
  <c r="U43" i="6"/>
  <c r="U45" i="6"/>
  <c r="D125" i="5"/>
  <c r="V56" i="5"/>
  <c r="F64" i="5"/>
  <c r="F125" i="5"/>
  <c r="V14" i="6"/>
  <c r="V15" i="6"/>
  <c r="V16" i="6"/>
  <c r="V17" i="6"/>
  <c r="V19" i="6"/>
  <c r="V20" i="6"/>
  <c r="V21" i="6"/>
  <c r="V22" i="6"/>
  <c r="V23" i="6"/>
  <c r="V24" i="6"/>
  <c r="V30" i="6"/>
  <c r="V31" i="6"/>
  <c r="V32" i="6"/>
  <c r="V34" i="6"/>
  <c r="V37" i="6"/>
  <c r="V38" i="6"/>
  <c r="V39" i="6"/>
  <c r="V41" i="6"/>
  <c r="V42" i="6"/>
  <c r="V43" i="6"/>
  <c r="V45" i="6"/>
  <c r="V51" i="6"/>
  <c r="V49" i="6"/>
  <c r="B131" i="5"/>
  <c r="T10" i="6"/>
  <c r="B92" i="5"/>
  <c r="B142" i="5"/>
  <c r="B140" i="5"/>
  <c r="B122" i="5"/>
  <c r="T102" i="5"/>
  <c r="T98" i="5"/>
  <c r="T96" i="5"/>
  <c r="T94" i="5"/>
  <c r="T91" i="5"/>
  <c r="T89" i="5"/>
  <c r="T86" i="5"/>
  <c r="T84" i="5"/>
  <c r="T80" i="5"/>
  <c r="B143" i="5"/>
  <c r="B141" i="5"/>
  <c r="B139" i="5"/>
  <c r="T101" i="5"/>
  <c r="T97" i="5"/>
  <c r="T95" i="5"/>
  <c r="T90" i="5"/>
  <c r="T88" i="5"/>
  <c r="T85" i="5"/>
  <c r="T81" i="5"/>
  <c r="I158" i="5"/>
  <c r="D64" i="5"/>
  <c r="V64" i="5" s="1"/>
  <c r="L39" i="5"/>
  <c r="AD92" i="5"/>
  <c r="L100" i="5"/>
  <c r="AJ100" i="5" s="1"/>
  <c r="F9" i="5"/>
  <c r="E8" i="6"/>
  <c r="W8" i="6" s="1"/>
  <c r="AE92" i="5"/>
  <c r="AC42" i="6"/>
  <c r="AC41" i="6"/>
  <c r="AC39" i="6"/>
  <c r="AC38" i="6"/>
  <c r="AC37" i="6"/>
  <c r="AC32" i="6"/>
  <c r="AC30" i="6"/>
  <c r="AC23" i="6"/>
  <c r="AC21" i="6"/>
  <c r="AC20" i="6"/>
  <c r="AC19" i="6"/>
  <c r="AC17" i="6"/>
  <c r="AC15" i="6"/>
  <c r="AC14" i="6"/>
  <c r="AC34" i="6"/>
  <c r="AC45" i="6"/>
  <c r="AC24" i="6"/>
  <c r="AC92" i="5"/>
  <c r="K100" i="5"/>
  <c r="K125" i="5"/>
  <c r="K64" i="5"/>
  <c r="R64" i="5" s="1"/>
  <c r="AC45" i="5"/>
  <c r="AC63" i="5"/>
  <c r="AC61" i="5"/>
  <c r="AC56" i="5"/>
  <c r="AC53" i="5"/>
  <c r="AC50" i="5"/>
  <c r="AC47" i="5"/>
  <c r="AC44" i="5"/>
  <c r="AC42" i="5"/>
  <c r="AC37" i="5"/>
  <c r="AC35" i="5"/>
  <c r="AC27" i="5"/>
  <c r="AC25" i="5"/>
  <c r="AC21" i="5"/>
  <c r="AC16" i="5"/>
  <c r="AC12" i="5"/>
  <c r="AC62" i="5"/>
  <c r="AC54" i="5"/>
  <c r="AC51" i="5"/>
  <c r="AC48" i="5"/>
  <c r="AC46" i="5"/>
  <c r="AC39" i="5"/>
  <c r="AC36" i="5"/>
  <c r="AC34" i="5"/>
  <c r="AC29" i="5"/>
  <c r="AC24" i="5"/>
  <c r="AC20" i="5"/>
  <c r="AC14" i="5"/>
  <c r="AC38" i="5"/>
  <c r="AA25" i="5"/>
  <c r="AA35" i="5"/>
  <c r="AA64" i="5"/>
  <c r="AA62" i="5"/>
  <c r="AA54" i="5"/>
  <c r="AA51" i="5"/>
  <c r="AA48" i="5"/>
  <c r="AA45" i="5"/>
  <c r="AA42" i="5"/>
  <c r="AA36" i="5"/>
  <c r="AA27" i="5"/>
  <c r="AA21" i="5"/>
  <c r="AA16" i="5"/>
  <c r="AA12" i="5"/>
  <c r="AA46" i="5"/>
  <c r="AA43" i="5"/>
  <c r="AA63" i="5"/>
  <c r="AA61" i="5"/>
  <c r="AA56" i="5"/>
  <c r="AA53" i="5"/>
  <c r="AA50" i="5"/>
  <c r="AA47" i="5"/>
  <c r="AA44" i="5"/>
  <c r="AA39" i="5"/>
  <c r="AA37" i="5"/>
  <c r="AA34" i="5"/>
  <c r="AA29" i="5"/>
  <c r="AA24" i="5"/>
  <c r="AA20" i="5"/>
  <c r="AA14" i="5"/>
  <c r="Z25" i="5"/>
  <c r="Z35" i="5"/>
  <c r="Z29" i="5"/>
  <c r="Z64" i="5"/>
  <c r="Z62" i="5"/>
  <c r="Z54" i="5"/>
  <c r="Z51" i="5"/>
  <c r="Z48" i="5"/>
  <c r="Z45" i="5"/>
  <c r="Z42" i="5"/>
  <c r="Z36" i="5"/>
  <c r="Z24" i="5"/>
  <c r="Z20" i="5"/>
  <c r="Z14" i="5"/>
  <c r="Z46" i="5"/>
  <c r="Z63" i="5"/>
  <c r="Z61" i="5"/>
  <c r="Z56" i="5"/>
  <c r="Z53" i="5"/>
  <c r="Z50" i="5"/>
  <c r="Z47" i="5"/>
  <c r="Z44" i="5"/>
  <c r="Z39" i="5"/>
  <c r="Z37" i="5"/>
  <c r="Z34" i="5"/>
  <c r="Z27" i="5"/>
  <c r="Z21" i="5"/>
  <c r="Z16" i="5"/>
  <c r="Z12" i="5"/>
  <c r="Y29" i="5"/>
  <c r="Y45" i="5"/>
  <c r="Y44" i="5"/>
  <c r="Y42" i="5"/>
  <c r="Y39" i="5"/>
  <c r="Y35" i="5"/>
  <c r="Y34" i="5"/>
  <c r="Y27" i="5"/>
  <c r="Y25" i="5"/>
  <c r="Y21" i="5"/>
  <c r="Y20" i="5"/>
  <c r="Y16" i="5"/>
  <c r="Y14" i="5"/>
  <c r="Y12" i="5"/>
  <c r="Y46" i="5"/>
  <c r="Y36" i="5"/>
  <c r="Y37" i="5"/>
  <c r="Y24" i="5"/>
  <c r="Y63" i="5"/>
  <c r="Y62" i="5"/>
  <c r="Y61" i="5"/>
  <c r="Y56" i="5"/>
  <c r="Y54" i="5"/>
  <c r="Y53" i="5"/>
  <c r="Y51" i="5"/>
  <c r="Y50" i="5"/>
  <c r="Y48" i="5"/>
  <c r="Y47" i="5"/>
  <c r="F38" i="5"/>
  <c r="F142" i="5"/>
  <c r="F39" i="5"/>
  <c r="G143" i="5" s="1"/>
  <c r="F127" i="5"/>
  <c r="AE63" i="5"/>
  <c r="AE61" i="5"/>
  <c r="AE56" i="5"/>
  <c r="AE53" i="5"/>
  <c r="AE50" i="5"/>
  <c r="AE45" i="5"/>
  <c r="AE39" i="5"/>
  <c r="AE37" i="5"/>
  <c r="AE35" i="5"/>
  <c r="AE31" i="5"/>
  <c r="AE27" i="5"/>
  <c r="AE16" i="5"/>
  <c r="AE12" i="5"/>
  <c r="AE64" i="5"/>
  <c r="AE62" i="5"/>
  <c r="AE54" i="5"/>
  <c r="AE51" i="5"/>
  <c r="AE48" i="5"/>
  <c r="AE46" i="5"/>
  <c r="AE44" i="5"/>
  <c r="AE42" i="5"/>
  <c r="AE38" i="5"/>
  <c r="AE36" i="5"/>
  <c r="AE34" i="5"/>
  <c r="AE29" i="5"/>
  <c r="AE24" i="5"/>
  <c r="AE20" i="5"/>
  <c r="AE14" i="5"/>
  <c r="AE21" i="5"/>
  <c r="H128" i="5"/>
  <c r="H103" i="5"/>
  <c r="Z100" i="5"/>
  <c r="I103" i="5"/>
  <c r="I128" i="5"/>
  <c r="AA100" i="5"/>
  <c r="J103" i="5"/>
  <c r="AB106" i="5" s="1"/>
  <c r="J128" i="5"/>
  <c r="AB100" i="5"/>
  <c r="I143" i="5" l="1"/>
  <c r="R158" i="5"/>
  <c r="AJ30" i="6"/>
  <c r="AJ41" i="6"/>
  <c r="AJ24" i="6"/>
  <c r="AJ45" i="6"/>
  <c r="AJ31" i="6"/>
  <c r="AJ34" i="6"/>
  <c r="AJ21" i="6"/>
  <c r="AJ42" i="6"/>
  <c r="AJ17" i="6"/>
  <c r="AJ20" i="6"/>
  <c r="AJ15" i="6"/>
  <c r="R178" i="5"/>
  <c r="K149" i="5"/>
  <c r="R100" i="5"/>
  <c r="M143" i="5"/>
  <c r="AD43" i="5"/>
  <c r="AJ46" i="5"/>
  <c r="AJ12" i="5"/>
  <c r="AJ43" i="5"/>
  <c r="AJ29" i="5"/>
  <c r="AJ44" i="5"/>
  <c r="AJ16" i="5"/>
  <c r="AJ62" i="5"/>
  <c r="AJ39" i="5"/>
  <c r="AJ25" i="5"/>
  <c r="AJ42" i="5"/>
  <c r="AJ45" i="5"/>
  <c r="AJ34" i="5"/>
  <c r="AJ47" i="5"/>
  <c r="AJ19" i="5"/>
  <c r="AJ50" i="5"/>
  <c r="AJ35" i="5"/>
  <c r="AJ51" i="5"/>
  <c r="AJ36" i="5"/>
  <c r="AJ20" i="5"/>
  <c r="AJ24" i="5"/>
  <c r="AJ53" i="5"/>
  <c r="AJ14" i="5"/>
  <c r="AJ61" i="5"/>
  <c r="AJ21" i="5"/>
  <c r="AJ54" i="5"/>
  <c r="AJ27" i="5"/>
  <c r="AJ37" i="5"/>
  <c r="AJ48" i="5"/>
  <c r="AJ63" i="5"/>
  <c r="U56" i="5"/>
  <c r="L143" i="5"/>
  <c r="R143" i="5" s="1"/>
  <c r="R164" i="5"/>
  <c r="AJ38" i="5"/>
  <c r="AJ31" i="5"/>
  <c r="AJ64" i="5"/>
  <c r="X31" i="5"/>
  <c r="AJ56" i="5"/>
  <c r="M149" i="5"/>
  <c r="M128" i="5"/>
  <c r="L149" i="5"/>
  <c r="L128" i="5"/>
  <c r="J142" i="5"/>
  <c r="AA31" i="5"/>
  <c r="AE100" i="5"/>
  <c r="M103" i="5"/>
  <c r="M173" i="5" s="1"/>
  <c r="AD19" i="5"/>
  <c r="J169" i="5"/>
  <c r="I169" i="5"/>
  <c r="G125" i="5"/>
  <c r="G64" i="5"/>
  <c r="U21" i="5"/>
  <c r="U43" i="5"/>
  <c r="U37" i="5"/>
  <c r="U24" i="5"/>
  <c r="U61" i="5"/>
  <c r="U54" i="5"/>
  <c r="U51" i="5"/>
  <c r="U48" i="5"/>
  <c r="U46" i="5"/>
  <c r="U44" i="5"/>
  <c r="U39" i="5"/>
  <c r="U34" i="5"/>
  <c r="U27" i="5"/>
  <c r="U25" i="5"/>
  <c r="U20" i="5"/>
  <c r="U14" i="5"/>
  <c r="U62" i="5"/>
  <c r="U53" i="5"/>
  <c r="U47" i="5"/>
  <c r="U16" i="5"/>
  <c r="D143" i="5"/>
  <c r="U36" i="5"/>
  <c r="U29" i="5"/>
  <c r="U58" i="5"/>
  <c r="U50" i="5"/>
  <c r="U45" i="5"/>
  <c r="U42" i="5"/>
  <c r="U35" i="5"/>
  <c r="U26" i="5"/>
  <c r="U12" i="5"/>
  <c r="U31" i="5"/>
  <c r="U63" i="5"/>
  <c r="C143" i="5"/>
  <c r="J38" i="5"/>
  <c r="J127" i="5"/>
  <c r="J39" i="5"/>
  <c r="J143" i="5" s="1"/>
  <c r="X9" i="5"/>
  <c r="E117" i="5"/>
  <c r="U38" i="5"/>
  <c r="I132" i="5"/>
  <c r="I152" i="5"/>
  <c r="H132" i="5"/>
  <c r="H152" i="5"/>
  <c r="T17" i="6"/>
  <c r="T49" i="6"/>
  <c r="T43" i="6"/>
  <c r="T41" i="6"/>
  <c r="T38" i="6"/>
  <c r="T32" i="6"/>
  <c r="T30" i="6"/>
  <c r="T24" i="6"/>
  <c r="T22" i="6"/>
  <c r="T20" i="6"/>
  <c r="T16" i="6"/>
  <c r="T14" i="6"/>
  <c r="T37" i="6"/>
  <c r="T45" i="6"/>
  <c r="T42" i="6"/>
  <c r="T39" i="6"/>
  <c r="T34" i="6"/>
  <c r="T31" i="6"/>
  <c r="T23" i="6"/>
  <c r="T21" i="6"/>
  <c r="T19" i="6"/>
  <c r="T15" i="6"/>
  <c r="D103" i="5"/>
  <c r="D152" i="5" s="1"/>
  <c r="V100" i="5"/>
  <c r="D128" i="5"/>
  <c r="C103" i="5"/>
  <c r="C152" i="5" s="1"/>
  <c r="C128" i="5"/>
  <c r="U100" i="5"/>
  <c r="F103" i="5"/>
  <c r="F152" i="5" s="1"/>
  <c r="F128" i="5"/>
  <c r="X100" i="5"/>
  <c r="J132" i="5"/>
  <c r="J152" i="5"/>
  <c r="B100" i="5"/>
  <c r="B149" i="5" s="1"/>
  <c r="T92" i="5"/>
  <c r="E128" i="5"/>
  <c r="E103" i="5"/>
  <c r="E152" i="5" s="1"/>
  <c r="W100" i="5"/>
  <c r="G100" i="5"/>
  <c r="Y92" i="5"/>
  <c r="F76" i="5"/>
  <c r="W76" i="5"/>
  <c r="J125" i="5"/>
  <c r="J64" i="5"/>
  <c r="AD16" i="5"/>
  <c r="AD63" i="5"/>
  <c r="AD45" i="5"/>
  <c r="AD38" i="5"/>
  <c r="AD35" i="5"/>
  <c r="AD56" i="5"/>
  <c r="AD48" i="5"/>
  <c r="AD27" i="5"/>
  <c r="AD39" i="5"/>
  <c r="AD50" i="5"/>
  <c r="AD64" i="5"/>
  <c r="AD20" i="5"/>
  <c r="AD34" i="5"/>
  <c r="AD44" i="5"/>
  <c r="AD54" i="5"/>
  <c r="AD21" i="5"/>
  <c r="AD12" i="5"/>
  <c r="AD25" i="5"/>
  <c r="AD31" i="5"/>
  <c r="AD37" i="5"/>
  <c r="AD47" i="5"/>
  <c r="AD53" i="5"/>
  <c r="AD62" i="5"/>
  <c r="AD14" i="5"/>
  <c r="AD24" i="5"/>
  <c r="AD29" i="5"/>
  <c r="AD36" i="5"/>
  <c r="AD42" i="5"/>
  <c r="AD46" i="5"/>
  <c r="AD51" i="5"/>
  <c r="AD61" i="5"/>
  <c r="L103" i="5"/>
  <c r="AD100" i="5"/>
  <c r="F8" i="6"/>
  <c r="X8" i="6" s="1"/>
  <c r="G9" i="5"/>
  <c r="AC64" i="5"/>
  <c r="AC100" i="5"/>
  <c r="K128" i="5"/>
  <c r="K103" i="5"/>
  <c r="X46" i="5"/>
  <c r="F143" i="5"/>
  <c r="X43" i="5"/>
  <c r="X36" i="5"/>
  <c r="X64" i="5"/>
  <c r="X62" i="5"/>
  <c r="X54" i="5"/>
  <c r="X51" i="5"/>
  <c r="X48" i="5"/>
  <c r="X44" i="5"/>
  <c r="X39" i="5"/>
  <c r="X34" i="5"/>
  <c r="X27" i="5"/>
  <c r="X25" i="5"/>
  <c r="X20" i="5"/>
  <c r="X14" i="5"/>
  <c r="X29" i="5"/>
  <c r="X37" i="5"/>
  <c r="X24" i="5"/>
  <c r="X63" i="5"/>
  <c r="X61" i="5"/>
  <c r="X56" i="5"/>
  <c r="X53" i="5"/>
  <c r="X50" i="5"/>
  <c r="X47" i="5"/>
  <c r="X45" i="5"/>
  <c r="X42" i="5"/>
  <c r="X35" i="5"/>
  <c r="X26" i="5"/>
  <c r="X21" i="5"/>
  <c r="X16" i="5"/>
  <c r="X12" i="5"/>
  <c r="X38" i="5"/>
  <c r="H12" i="6"/>
  <c r="H133" i="5"/>
  <c r="H134" i="5"/>
  <c r="Z103" i="5"/>
  <c r="Z106" i="5"/>
  <c r="H135" i="5"/>
  <c r="I133" i="5"/>
  <c r="AA103" i="5"/>
  <c r="I12" i="6"/>
  <c r="I135" i="5"/>
  <c r="I134" i="5"/>
  <c r="AA106" i="5"/>
  <c r="AB103" i="5"/>
  <c r="J12" i="6"/>
  <c r="J135" i="5"/>
  <c r="J134" i="5"/>
  <c r="R149" i="5" l="1"/>
  <c r="M12" i="6"/>
  <c r="AE12" i="6" s="1"/>
  <c r="N169" i="5"/>
  <c r="R128" i="5"/>
  <c r="K169" i="5"/>
  <c r="K173" i="5"/>
  <c r="R103" i="5"/>
  <c r="L173" i="5"/>
  <c r="R173" i="5" s="1"/>
  <c r="L135" i="5"/>
  <c r="AJ106" i="5"/>
  <c r="AJ103" i="5"/>
  <c r="M135" i="5"/>
  <c r="M152" i="5"/>
  <c r="M134" i="5"/>
  <c r="M133" i="5"/>
  <c r="M132" i="5"/>
  <c r="AE106" i="5"/>
  <c r="AE103" i="5"/>
  <c r="AB64" i="5"/>
  <c r="K143" i="5"/>
  <c r="M169" i="5"/>
  <c r="L152" i="5"/>
  <c r="L132" i="5"/>
  <c r="R132" i="5" s="1"/>
  <c r="L134" i="5"/>
  <c r="L133" i="5"/>
  <c r="J133" i="5"/>
  <c r="F133" i="5"/>
  <c r="AB56" i="5"/>
  <c r="L169" i="5"/>
  <c r="Y9" i="5"/>
  <c r="F117" i="5"/>
  <c r="AB31" i="5"/>
  <c r="AB62" i="5"/>
  <c r="AB45" i="5"/>
  <c r="AB34" i="5"/>
  <c r="AB20" i="5"/>
  <c r="AB61" i="5"/>
  <c r="AB44" i="5"/>
  <c r="AB16" i="5"/>
  <c r="AB43" i="5"/>
  <c r="AB54" i="5"/>
  <c r="AB48" i="5"/>
  <c r="AB42" i="5"/>
  <c r="AB36" i="5"/>
  <c r="AB29" i="5"/>
  <c r="AB24" i="5"/>
  <c r="AB14" i="5"/>
  <c r="AB63" i="5"/>
  <c r="AB53" i="5"/>
  <c r="AB47" i="5"/>
  <c r="AB39" i="5"/>
  <c r="AB35" i="5"/>
  <c r="AB27" i="5"/>
  <c r="AB21" i="5"/>
  <c r="AB12" i="5"/>
  <c r="AB51" i="5"/>
  <c r="AB46" i="5"/>
  <c r="AB50" i="5"/>
  <c r="AB37" i="5"/>
  <c r="AB25" i="5"/>
  <c r="Y64" i="5"/>
  <c r="AB38" i="5"/>
  <c r="K132" i="5"/>
  <c r="AC106" i="5"/>
  <c r="K152" i="5"/>
  <c r="G76" i="5"/>
  <c r="X76" i="5"/>
  <c r="B103" i="5"/>
  <c r="B152" i="5" s="1"/>
  <c r="T100" i="5"/>
  <c r="B128" i="5"/>
  <c r="F132" i="5"/>
  <c r="F12" i="6"/>
  <c r="F135" i="5"/>
  <c r="F134" i="5"/>
  <c r="X105" i="5"/>
  <c r="X103" i="5"/>
  <c r="X106" i="5"/>
  <c r="D132" i="5"/>
  <c r="D12" i="6"/>
  <c r="D133" i="5"/>
  <c r="D135" i="5"/>
  <c r="V105" i="5"/>
  <c r="D134" i="5"/>
  <c r="V103" i="5"/>
  <c r="V106" i="5"/>
  <c r="G149" i="5"/>
  <c r="G103" i="5"/>
  <c r="G128" i="5"/>
  <c r="Y100" i="5"/>
  <c r="E132" i="5"/>
  <c r="E12" i="6"/>
  <c r="E135" i="5"/>
  <c r="E134" i="5"/>
  <c r="E133" i="5"/>
  <c r="W103" i="5"/>
  <c r="W106" i="5"/>
  <c r="W105" i="5"/>
  <c r="M27" i="6"/>
  <c r="M151" i="5" s="1"/>
  <c r="C132" i="5"/>
  <c r="C135" i="5"/>
  <c r="C134" i="5"/>
  <c r="C12" i="6"/>
  <c r="U106" i="5"/>
  <c r="C133" i="5"/>
  <c r="U103" i="5"/>
  <c r="U105" i="5"/>
  <c r="AD106" i="5"/>
  <c r="AD103" i="5"/>
  <c r="H9" i="5"/>
  <c r="G8" i="6"/>
  <c r="Y8" i="6" s="1"/>
  <c r="K135" i="5"/>
  <c r="K134" i="5"/>
  <c r="K12" i="6"/>
  <c r="R12" i="6" s="1"/>
  <c r="AC103" i="5"/>
  <c r="K133" i="5"/>
  <c r="H27" i="6"/>
  <c r="Z12" i="6"/>
  <c r="I27" i="6"/>
  <c r="AA12" i="6"/>
  <c r="J27" i="6"/>
  <c r="AB12" i="6"/>
  <c r="R134" i="5" l="1"/>
  <c r="R169" i="5"/>
  <c r="R133" i="5"/>
  <c r="R152" i="5"/>
  <c r="R135" i="5"/>
  <c r="J151" i="5"/>
  <c r="I151" i="5"/>
  <c r="H151" i="5"/>
  <c r="H169" i="5"/>
  <c r="Z9" i="5"/>
  <c r="G117" i="5"/>
  <c r="Y117" i="5" s="1"/>
  <c r="E27" i="6"/>
  <c r="E151" i="5" s="1"/>
  <c r="W12" i="6"/>
  <c r="D27" i="6"/>
  <c r="D151" i="5" s="1"/>
  <c r="V12" i="6"/>
  <c r="F27" i="6"/>
  <c r="F151" i="5" s="1"/>
  <c r="X12" i="6"/>
  <c r="C27" i="6"/>
  <c r="C151" i="5" s="1"/>
  <c r="U12" i="6"/>
  <c r="AE27" i="6"/>
  <c r="M47" i="6"/>
  <c r="AE47" i="6" s="1"/>
  <c r="G132" i="5"/>
  <c r="G152" i="5"/>
  <c r="G135" i="5"/>
  <c r="G134" i="5"/>
  <c r="G12" i="6"/>
  <c r="Y103" i="5"/>
  <c r="Y106" i="5"/>
  <c r="G133" i="5"/>
  <c r="B132" i="5"/>
  <c r="B12" i="6"/>
  <c r="T103" i="5"/>
  <c r="B135" i="5"/>
  <c r="B133" i="5"/>
  <c r="B134" i="5"/>
  <c r="T105" i="5"/>
  <c r="T106" i="5"/>
  <c r="H76" i="5"/>
  <c r="Y76" i="5"/>
  <c r="L27" i="6"/>
  <c r="L151" i="5" s="1"/>
  <c r="R151" i="5" s="1"/>
  <c r="AD12" i="6"/>
  <c r="AJ12" i="6" s="1"/>
  <c r="H8" i="6"/>
  <c r="Z8" i="6" s="1"/>
  <c r="I9" i="5"/>
  <c r="K27" i="6"/>
  <c r="AC12" i="6"/>
  <c r="H47" i="6"/>
  <c r="Z27" i="6"/>
  <c r="I47" i="6"/>
  <c r="AA27" i="6"/>
  <c r="J47" i="6"/>
  <c r="AB27" i="6"/>
  <c r="K151" i="5" l="1"/>
  <c r="R27" i="6"/>
  <c r="Q151" i="5" s="1"/>
  <c r="AA9" i="5"/>
  <c r="H117" i="5"/>
  <c r="Z117" i="5" s="1"/>
  <c r="I76" i="5"/>
  <c r="Z76" i="5"/>
  <c r="B27" i="6"/>
  <c r="B151" i="5" s="1"/>
  <c r="T12" i="6"/>
  <c r="G27" i="6"/>
  <c r="Y12" i="6"/>
  <c r="C47" i="6"/>
  <c r="U47" i="6" s="1"/>
  <c r="U27" i="6"/>
  <c r="X27" i="6"/>
  <c r="F47" i="6"/>
  <c r="X47" i="6" s="1"/>
  <c r="V27" i="6"/>
  <c r="D47" i="6"/>
  <c r="V47" i="6" s="1"/>
  <c r="W27" i="6"/>
  <c r="E47" i="6"/>
  <c r="W47" i="6" s="1"/>
  <c r="AD27" i="6"/>
  <c r="AJ27" i="6" s="1"/>
  <c r="L47" i="6"/>
  <c r="J9" i="5"/>
  <c r="I8" i="6"/>
  <c r="AA8" i="6" s="1"/>
  <c r="AC27" i="6"/>
  <c r="K47" i="6"/>
  <c r="H51" i="6"/>
  <c r="Z47" i="6"/>
  <c r="AA47" i="6"/>
  <c r="AB47" i="6"/>
  <c r="AC47" i="6" l="1"/>
  <c r="AB9" i="5"/>
  <c r="I117" i="5"/>
  <c r="AA117" i="5" s="1"/>
  <c r="G151" i="5"/>
  <c r="G47" i="6"/>
  <c r="Y47" i="6" s="1"/>
  <c r="Y27" i="6"/>
  <c r="T27" i="6"/>
  <c r="B47" i="6"/>
  <c r="J76" i="5"/>
  <c r="AA76" i="5"/>
  <c r="AD47" i="6"/>
  <c r="AJ47" i="6" s="1"/>
  <c r="K9" i="5"/>
  <c r="L9" i="5" s="1"/>
  <c r="J8" i="6"/>
  <c r="AB8" i="6" s="1"/>
  <c r="I49" i="6"/>
  <c r="Z51" i="6"/>
  <c r="AC9" i="5" l="1"/>
  <c r="K117" i="5" s="1"/>
  <c r="AC117" i="5" s="1"/>
  <c r="AC174" i="5" s="1"/>
  <c r="J117" i="5"/>
  <c r="AB117" i="5" s="1"/>
  <c r="AB174" i="5" s="1"/>
  <c r="M9" i="5"/>
  <c r="L8" i="6"/>
  <c r="AD8" i="6" s="1"/>
  <c r="AD9" i="5"/>
  <c r="L76" i="5"/>
  <c r="K76" i="5"/>
  <c r="AB76" i="5"/>
  <c r="T47" i="6"/>
  <c r="B51" i="6"/>
  <c r="T51" i="6" s="1"/>
  <c r="K8" i="6"/>
  <c r="AC8" i="6" s="1"/>
  <c r="AA49" i="6"/>
  <c r="I51" i="6"/>
  <c r="AE9" i="5" l="1"/>
  <c r="AE76" i="5" s="1"/>
  <c r="N9" i="5"/>
  <c r="AC76" i="5"/>
  <c r="AD76" i="5"/>
  <c r="L117" i="5"/>
  <c r="AD117" i="5" s="1"/>
  <c r="AD174" i="5" s="1"/>
  <c r="M117" i="5"/>
  <c r="AE117" i="5" s="1"/>
  <c r="AE174" i="5" s="1"/>
  <c r="M8" i="6"/>
  <c r="AE8" i="6" s="1"/>
  <c r="M76" i="5"/>
  <c r="AA51" i="6"/>
  <c r="J49" i="6"/>
  <c r="N76" i="5" l="1"/>
  <c r="AF9" i="5"/>
  <c r="AF76" i="5" s="1"/>
  <c r="N8" i="6"/>
  <c r="AF8" i="6" s="1"/>
  <c r="N117" i="5"/>
  <c r="AF117" i="5" s="1"/>
  <c r="AF174" i="5" s="1"/>
  <c r="O9" i="5"/>
  <c r="AB49" i="6"/>
  <c r="J51" i="6"/>
  <c r="K49" i="6" s="1"/>
  <c r="P9" i="5" l="1"/>
  <c r="O8" i="6"/>
  <c r="AG8" i="6" s="1"/>
  <c r="O117" i="5"/>
  <c r="AG117" i="5" s="1"/>
  <c r="AG174" i="5" s="1"/>
  <c r="AG9" i="5"/>
  <c r="AG76" i="5" s="1"/>
  <c r="O76" i="5"/>
  <c r="AC49" i="6"/>
  <c r="K51" i="6"/>
  <c r="AB51" i="6"/>
  <c r="L49" i="6" l="1"/>
  <c r="AD49" i="6" s="1"/>
  <c r="P117" i="5"/>
  <c r="AH117" i="5" s="1"/>
  <c r="AH174" i="5" s="1"/>
  <c r="P8" i="6"/>
  <c r="AH8" i="6" s="1"/>
  <c r="AH9" i="5"/>
  <c r="AH76" i="5" s="1"/>
  <c r="P76" i="5"/>
  <c r="AC51" i="6"/>
  <c r="L51" i="6" l="1"/>
  <c r="M49" i="6" s="1"/>
  <c r="M51" i="6" s="1"/>
  <c r="AE49" i="6" l="1"/>
  <c r="AD51" i="6"/>
  <c r="N49" i="6"/>
  <c r="AE51" i="6"/>
  <c r="N51" i="6" l="1"/>
  <c r="AF49" i="6"/>
  <c r="AF51" i="6" l="1"/>
  <c r="O49" i="6"/>
  <c r="O51" i="6" l="1"/>
  <c r="P49" i="6" s="1"/>
  <c r="AH49" i="6" s="1"/>
  <c r="AG49" i="6"/>
  <c r="AJ49" i="6" l="1"/>
  <c r="P51" i="6"/>
  <c r="AH51" i="6" s="1"/>
  <c r="R49" i="6"/>
  <c r="AG51" i="6"/>
  <c r="AJ51" i="6" l="1"/>
  <c r="Q49" i="6"/>
  <c r="R51" i="6"/>
  <c r="Q51" i="6" l="1"/>
  <c r="AI51" i="6" s="1"/>
  <c r="AI49" i="6"/>
</calcChain>
</file>

<file path=xl/sharedStrings.xml><?xml version="1.0" encoding="utf-8"?>
<sst xmlns="http://schemas.openxmlformats.org/spreadsheetml/2006/main" count="296" uniqueCount="229">
  <si>
    <t>Account Name</t>
  </si>
  <si>
    <t>Asset-utilization Ratios:</t>
  </si>
  <si>
    <t>Average</t>
  </si>
  <si>
    <t>Avg. Annual</t>
  </si>
  <si>
    <t>Cash &amp; Equivalents</t>
  </si>
  <si>
    <t>Common Stock</t>
  </si>
  <si>
    <t>Current</t>
  </si>
  <si>
    <t>Current Assets:</t>
  </si>
  <si>
    <t>Current Liabilities:</t>
  </si>
  <si>
    <t>Days Revenues Receivable</t>
  </si>
  <si>
    <t>Deferred Income Taxes</t>
  </si>
  <si>
    <t>Earnings Before Taxes</t>
  </si>
  <si>
    <t>Earnings From Operations</t>
  </si>
  <si>
    <t>Historical Income Statements</t>
  </si>
  <si>
    <t>Income Taxes</t>
  </si>
  <si>
    <t>Long-term Solvency Ratios:</t>
  </si>
  <si>
    <t>Net Income</t>
  </si>
  <si>
    <t>Net Worth/Fixed Assets</t>
  </si>
  <si>
    <t>Net Worth/Non Current Debt</t>
  </si>
  <si>
    <t>Net Worth/Total Debt</t>
  </si>
  <si>
    <t>Operating Expenses:</t>
  </si>
  <si>
    <t>Operating Revenues:</t>
  </si>
  <si>
    <t>Operating Sales and Revenues:</t>
  </si>
  <si>
    <t>Other Current Assets</t>
  </si>
  <si>
    <t>Pct. Change</t>
  </si>
  <si>
    <t>Plant &amp; Equipment:</t>
  </si>
  <si>
    <t>Quick</t>
  </si>
  <si>
    <t>Ratio Group And Name</t>
  </si>
  <si>
    <t>Retained Earnings</t>
  </si>
  <si>
    <t>Return On Total Assets</t>
  </si>
  <si>
    <t>Sales/Accounts Receivable</t>
  </si>
  <si>
    <t>Sales/Cash</t>
  </si>
  <si>
    <t>Sales/Fixed Assets</t>
  </si>
  <si>
    <t>Sales/Total Assets</t>
  </si>
  <si>
    <t>Sales/Working Capital</t>
  </si>
  <si>
    <t>Short-term Liquidity Ratios:</t>
  </si>
  <si>
    <t>Times Interest Earned</t>
  </si>
  <si>
    <t>Total Assets</t>
  </si>
  <si>
    <t>Total Current Assets</t>
  </si>
  <si>
    <t>Total Current Liabilities</t>
  </si>
  <si>
    <t>Total Liabilities</t>
  </si>
  <si>
    <t>Total Liabilities &amp; Equity</t>
  </si>
  <si>
    <t>Total Non-Current Assets</t>
  </si>
  <si>
    <t>Total Operating Expenses</t>
  </si>
  <si>
    <t>Wt. Average</t>
  </si>
  <si>
    <t>Common Size</t>
  </si>
  <si>
    <t>Historical Balance Sheets</t>
  </si>
  <si>
    <t>Historical Financial Ratios</t>
  </si>
  <si>
    <t xml:space="preserve">   Depreciation and amortization</t>
  </si>
  <si>
    <t xml:space="preserve">   Taxes, other than income taxes</t>
  </si>
  <si>
    <t xml:space="preserve">   Interest expense (net)</t>
  </si>
  <si>
    <t xml:space="preserve">   Other Income (Expense)</t>
  </si>
  <si>
    <t>Total Other Income/Expense</t>
  </si>
  <si>
    <t>Extraordinary Items</t>
  </si>
  <si>
    <t>Total Revenues</t>
  </si>
  <si>
    <t xml:space="preserve">   Loss (Gain) on Sale of Assets</t>
  </si>
  <si>
    <t>Preferred Stock Dividends</t>
  </si>
  <si>
    <t>Common Stock Dividends</t>
  </si>
  <si>
    <t>Other PP&amp;E</t>
  </si>
  <si>
    <t>Net Plant &amp; Equipment</t>
  </si>
  <si>
    <t>Regulatory Assets</t>
  </si>
  <si>
    <t>Long-Term Debt</t>
  </si>
  <si>
    <t>Other Deferred Credits</t>
  </si>
  <si>
    <t>Total LTD &amp; Deferrals</t>
  </si>
  <si>
    <t>Preferred Stock</t>
  </si>
  <si>
    <t>Total Plant &amp; Equipment:</t>
  </si>
  <si>
    <t xml:space="preserve">Other </t>
  </si>
  <si>
    <t>Common Equity:</t>
  </si>
  <si>
    <t>Total Common Equity</t>
  </si>
  <si>
    <t>Return On Total Capital</t>
  </si>
  <si>
    <t>Profitability Ratios:</t>
  </si>
  <si>
    <t>Other Financial Indicators:</t>
  </si>
  <si>
    <t>Other Assets:</t>
  </si>
  <si>
    <t>Total Other Assets</t>
  </si>
  <si>
    <t>Cash flows from operating activities:</t>
  </si>
  <si>
    <t xml:space="preserve">   Net income</t>
  </si>
  <si>
    <t xml:space="preserve">   Adjustments to reconcile net income</t>
  </si>
  <si>
    <t xml:space="preserve">       Depreciation and amortization</t>
  </si>
  <si>
    <t xml:space="preserve">       Deferred income taxes and investment tax credits - net</t>
  </si>
  <si>
    <t xml:space="preserve">   Changes in: </t>
  </si>
  <si>
    <t>Net cash provided by operating activities</t>
  </si>
  <si>
    <t>Cash flows from investing activities:</t>
  </si>
  <si>
    <t xml:space="preserve">     Capital expenditures</t>
  </si>
  <si>
    <t xml:space="preserve">     Proceeds from sales of assets</t>
  </si>
  <si>
    <t xml:space="preserve">     Other</t>
  </si>
  <si>
    <t>Net cash used in investing activities</t>
  </si>
  <si>
    <t>Cash flows from financing activities:</t>
  </si>
  <si>
    <t xml:space="preserve">     Dividends paid</t>
  </si>
  <si>
    <t>Net cash provided by (used in) financing activities</t>
  </si>
  <si>
    <t>Change in cash and cash equivalents</t>
  </si>
  <si>
    <t>Cash and cash equivalents at beginning of period</t>
  </si>
  <si>
    <t>Cash and cash equivalents at end of period</t>
  </si>
  <si>
    <t>Historical Cash Flow Statements</t>
  </si>
  <si>
    <t>Questar Gas Company</t>
  </si>
  <si>
    <t>Material and Supplies</t>
  </si>
  <si>
    <t>Goodwill</t>
  </si>
  <si>
    <t>Other Non-Current Assets</t>
  </si>
  <si>
    <t>Notes Payable to Questar</t>
  </si>
  <si>
    <t xml:space="preserve">   Cost of Natural Gas Sold</t>
  </si>
  <si>
    <t xml:space="preserve">   Operating and Maintenance</t>
  </si>
  <si>
    <t xml:space="preserve">      Accounts receivable</t>
  </si>
  <si>
    <t xml:space="preserve">       (Gain) Loss on sale of assets</t>
  </si>
  <si>
    <t xml:space="preserve">      Accounts payable and accrued expenses</t>
  </si>
  <si>
    <t xml:space="preserve">      Rate-refund obligation</t>
  </si>
  <si>
    <t xml:space="preserve">      Purchased-gas adjustments</t>
  </si>
  <si>
    <t xml:space="preserve">     Proceeds from long-term debt</t>
  </si>
  <si>
    <t xml:space="preserve">     Long-term debt repaid</t>
  </si>
  <si>
    <t xml:space="preserve">     Change in note payable to Questar</t>
  </si>
  <si>
    <t>Accounts Receivable, net</t>
  </si>
  <si>
    <t xml:space="preserve">     Issuance of Common Stock</t>
  </si>
  <si>
    <t>Years Ended December 31</t>
  </si>
  <si>
    <t>A-</t>
  </si>
  <si>
    <t>Note: the Profitability and Asset-utilization ratios for the 9-months ended Dec. 2005 have been annualized.</t>
  </si>
  <si>
    <t>Cash Flow as a Percent of Revenues</t>
  </si>
  <si>
    <t>Exhibit 1</t>
  </si>
  <si>
    <t xml:space="preserve">   Interest and Other Income</t>
  </si>
  <si>
    <t>Plant in Service</t>
  </si>
  <si>
    <t>Capital Structure (Regulatory):</t>
  </si>
  <si>
    <t>Common Equity</t>
  </si>
  <si>
    <t>Capital Structure:</t>
  </si>
  <si>
    <t>Short-Term Debt</t>
  </si>
  <si>
    <t>Current Portion, LTD</t>
  </si>
  <si>
    <t xml:space="preserve">      Other Assets and Liabilities</t>
  </si>
  <si>
    <t xml:space="preserve">   Miscellaneous</t>
  </si>
  <si>
    <t>Construction Work in Progress</t>
  </si>
  <si>
    <t>Revenues</t>
  </si>
  <si>
    <t>Commodity Pass Through</t>
  </si>
  <si>
    <t xml:space="preserve">       Cumulative Affect of Accounting Chng and Other</t>
  </si>
  <si>
    <t>Accumulated Dep &amp; Amort</t>
  </si>
  <si>
    <t xml:space="preserve">   Cost of Natural Gas Sold - Affiliates</t>
  </si>
  <si>
    <t>(Thousands of dollars)</t>
  </si>
  <si>
    <t>Outlook</t>
  </si>
  <si>
    <t>Stable</t>
  </si>
  <si>
    <t>A2</t>
  </si>
  <si>
    <t>A3</t>
  </si>
  <si>
    <t>Bond Rating - Moody's</t>
  </si>
  <si>
    <t>Bond Rating - Standard &amp; Poors</t>
  </si>
  <si>
    <t>BBB+</t>
  </si>
  <si>
    <t>Estimated Interest Rate</t>
  </si>
  <si>
    <t>Retained Cash Flow / Debt &gt; 10.0%</t>
  </si>
  <si>
    <t>Debt / Book Capitalization &lt; 60.0%</t>
  </si>
  <si>
    <t>EBIT / Interest  &gt; 3.0</t>
  </si>
  <si>
    <t>Simple Return on Equity &gt; 10.0%</t>
  </si>
  <si>
    <t>Gross Margin</t>
  </si>
  <si>
    <t>Net Margin</t>
  </si>
  <si>
    <t>Income Tax Receivable</t>
  </si>
  <si>
    <t>Supplemental Information</t>
  </si>
  <si>
    <t xml:space="preserve">   Residential &amp; Commercial Sales</t>
  </si>
  <si>
    <t xml:space="preserve">   Industrial Sales</t>
  </si>
  <si>
    <t xml:space="preserve">   Service</t>
  </si>
  <si>
    <t xml:space="preserve">   Other</t>
  </si>
  <si>
    <t xml:space="preserve">      Total Revenue</t>
  </si>
  <si>
    <t>Revenue Dollars</t>
  </si>
  <si>
    <t>Revenue Percent</t>
  </si>
  <si>
    <t>Operating Statistics</t>
  </si>
  <si>
    <t xml:space="preserve">   Transportation for Industrial </t>
  </si>
  <si>
    <t xml:space="preserve">      Total Deliveries</t>
  </si>
  <si>
    <t>Natural Gas Volumes (Percent)</t>
  </si>
  <si>
    <t>Customers (Thousands)</t>
  </si>
  <si>
    <t>Colder (Warmer) than normal Temp</t>
  </si>
  <si>
    <t xml:space="preserve">   Percentage Change</t>
  </si>
  <si>
    <t>page 8 of 8</t>
  </si>
  <si>
    <t xml:space="preserve">   General and Administrative</t>
  </si>
  <si>
    <t>Purchased-Gas Adjustment</t>
  </si>
  <si>
    <t>A</t>
  </si>
  <si>
    <t>Gross Margin - Residential</t>
  </si>
  <si>
    <t>Gross Margin - Industrial</t>
  </si>
  <si>
    <t>Annual Revenue Growth</t>
  </si>
  <si>
    <t>Total Revenue Growth</t>
  </si>
  <si>
    <t>Purchased Gas</t>
  </si>
  <si>
    <t>Wexpro Gas</t>
  </si>
  <si>
    <t>Net Income Growth</t>
  </si>
  <si>
    <t xml:space="preserve">    Spread between Segments</t>
  </si>
  <si>
    <t>Gas Stored Underground</t>
  </si>
  <si>
    <t xml:space="preserve">      Inventories</t>
  </si>
  <si>
    <t xml:space="preserve">      Regulatory Assets, Liabilities &amp; Other</t>
  </si>
  <si>
    <t>page 3 of 7</t>
  </si>
  <si>
    <t>page 2 of 7</t>
  </si>
  <si>
    <t>page 1 of 7</t>
  </si>
  <si>
    <t>page 4 of 7</t>
  </si>
  <si>
    <t>page 7 of 7</t>
  </si>
  <si>
    <t>page 6 of 7</t>
  </si>
  <si>
    <t>page 5 of 7</t>
  </si>
  <si>
    <t>Dividend Increase</t>
  </si>
  <si>
    <t>Percent Increase</t>
  </si>
  <si>
    <t>Temp Adjusted Usage / Cust (Dth)</t>
  </si>
  <si>
    <t xml:space="preserve">   System Natural Gas Cost (per Dth)</t>
  </si>
  <si>
    <t>Natural Gas Volumes (MMDth)</t>
  </si>
  <si>
    <t>Natural Gas Revenue (per Dth)</t>
  </si>
  <si>
    <t>Accounts Payable</t>
  </si>
  <si>
    <t>Accounts Payable, Affiliates</t>
  </si>
  <si>
    <t>Customer-Credit Balances</t>
  </si>
  <si>
    <t>WEXPRO Gas</t>
  </si>
  <si>
    <t xml:space="preserve">Natural Gas Supply </t>
  </si>
  <si>
    <t xml:space="preserve">STANDARD &amp; POOR CREDIT RATING </t>
  </si>
  <si>
    <t>FFO / Total Debt</t>
  </si>
  <si>
    <t>Total Debt / Total Capital</t>
  </si>
  <si>
    <t>Debt to EBITDA</t>
  </si>
  <si>
    <t>FFO less Dividend / Capital Spending</t>
  </si>
  <si>
    <t>Gas Purchases</t>
  </si>
  <si>
    <t>Operator Service Fee</t>
  </si>
  <si>
    <t>Transportation and Storage</t>
  </si>
  <si>
    <t>Gathering</t>
  </si>
  <si>
    <t>Royalties</t>
  </si>
  <si>
    <t>Storage (Injection) Withdrawal, Net</t>
  </si>
  <si>
    <t xml:space="preserve">Purchased Gas Account Adjustment </t>
  </si>
  <si>
    <t xml:space="preserve">   TOTAL QUESTAR COST OF GAS SOLD</t>
  </si>
  <si>
    <t>Elimination of Gas From Affiliated Parties</t>
  </si>
  <si>
    <t xml:space="preserve">   Total Gas From Unaffilated Parties</t>
  </si>
  <si>
    <t>Total Cost of Sales</t>
  </si>
  <si>
    <t>1st Qrtr</t>
  </si>
  <si>
    <t>2008 to 2013</t>
  </si>
  <si>
    <t>2009 to 2013</t>
  </si>
  <si>
    <t>MOODY'S FINANCIAL RATIOS</t>
  </si>
  <si>
    <t>Debt / EBITDA</t>
  </si>
  <si>
    <t>Annual Volume Growth</t>
  </si>
  <si>
    <t>From 10-K and 10-Q (Note 1-F)</t>
  </si>
  <si>
    <t>Questar Pipeline Cost of Sales</t>
  </si>
  <si>
    <t>Noncurrent Regulatory Liabilities</t>
  </si>
  <si>
    <t>Operator Service Fee per DTh</t>
  </si>
  <si>
    <t>Cost of Service Gas Production (Item 2 Page 21)</t>
  </si>
  <si>
    <t>Return On Equity (Regulatory)</t>
  </si>
  <si>
    <t xml:space="preserve">Return On Equity (SEC) </t>
  </si>
  <si>
    <t>Natural Gas Cost-of-service deliveries (Bcf)</t>
  </si>
  <si>
    <t>Dividend Payout Ratio</t>
  </si>
  <si>
    <t>Notes Receivable from Questar</t>
  </si>
  <si>
    <t xml:space="preserve">     Change in note receivable from Questar</t>
  </si>
  <si>
    <t>My Calculation</t>
  </si>
  <si>
    <t xml:space="preserve">5 year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</si>
</sst>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_);\(#,##0.000\)"/>
    <numFmt numFmtId="166" formatCode="0.0000%"/>
    <numFmt numFmtId="167" formatCode="0_);\(0\)"/>
    <numFmt numFmtId="168" formatCode="[$-409]mmmm\ d\,\ yyyy;@"/>
    <numFmt numFmtId="169" formatCode="_(* #,##0_);_(* \(#,##0\);_(* &quot;-&quot;??_);_(@_)"/>
    <numFmt numFmtId="170" formatCode="_(* #,##0.0_);_(* \(#,##0.0\);_(* &quot;-&quot;??_);_(@_)"/>
    <numFmt numFmtId="171" formatCode="0.0%"/>
    <numFmt numFmtId="172" formatCode="0.0%;\(0.0%\)"/>
    <numFmt numFmtId="173" formatCode="0.00%;\(0.00%\)"/>
  </numFmts>
  <fonts count="22" x14ac:knownFonts="1">
    <font>
      <sz val="10"/>
      <name val="Arial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u/>
      <sz val="10"/>
      <name val="Times New Roman"/>
      <family val="1"/>
    </font>
    <font>
      <u/>
      <sz val="12"/>
      <name val="Arial"/>
      <family val="2"/>
    </font>
    <font>
      <b/>
      <sz val="12"/>
      <color rgb="FFFF0000"/>
      <name val="Times New Roman"/>
      <family val="1"/>
    </font>
    <font>
      <sz val="11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9"/>
      </patternFill>
    </fill>
  </fills>
  <borders count="17">
    <border>
      <left/>
      <right/>
      <top/>
      <bottom/>
      <diagonal/>
    </border>
    <border>
      <left/>
      <right/>
      <top style="double">
        <color indexed="0"/>
      </top>
      <bottom/>
      <diagonal/>
    </border>
    <border>
      <left/>
      <right/>
      <top/>
      <bottom style="thin">
        <color indexed="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3" fontId="7" fillId="2" borderId="0"/>
    <xf numFmtId="7" fontId="7" fillId="2" borderId="0"/>
    <xf numFmtId="5" fontId="7" fillId="2" borderId="0"/>
    <xf numFmtId="0" fontId="7" fillId="2" borderId="0"/>
    <xf numFmtId="2" fontId="7" fillId="2" borderId="0"/>
    <xf numFmtId="0" fontId="1" fillId="2" borderId="0"/>
    <xf numFmtId="0" fontId="2" fillId="2" borderId="0"/>
    <xf numFmtId="0" fontId="7" fillId="0" borderId="0" applyFill="0" applyBorder="0"/>
    <xf numFmtId="10" fontId="6" fillId="2" borderId="0"/>
    <xf numFmtId="0" fontId="7" fillId="2" borderId="1"/>
    <xf numFmtId="43" fontId="16" fillId="0" borderId="0" applyFont="0" applyFill="0" applyBorder="0" applyAlignment="0" applyProtection="0"/>
  </cellStyleXfs>
  <cellXfs count="256">
    <xf numFmtId="5" fontId="0" fillId="2" borderId="0" xfId="0" applyNumberFormat="1" applyFill="1"/>
    <xf numFmtId="10" fontId="0" fillId="2" borderId="0" xfId="0" applyNumberFormat="1" applyFill="1"/>
    <xf numFmtId="5" fontId="3" fillId="2" borderId="0" xfId="0" applyNumberFormat="1" applyFont="1" applyFill="1"/>
    <xf numFmtId="10" fontId="3" fillId="2" borderId="0" xfId="0" applyNumberFormat="1" applyFont="1" applyFill="1"/>
    <xf numFmtId="5" fontId="0" fillId="2" borderId="0" xfId="0" applyNumberFormat="1" applyFill="1" applyAlignment="1">
      <alignment horizontal="centerContinuous"/>
    </xf>
    <xf numFmtId="5" fontId="3" fillId="2" borderId="0" xfId="0" applyNumberFormat="1" applyFont="1" applyFill="1" applyAlignment="1">
      <alignment horizontal="centerContinuous"/>
    </xf>
    <xf numFmtId="10" fontId="3" fillId="2" borderId="0" xfId="0" applyNumberFormat="1" applyFont="1" applyFill="1" applyAlignment="1">
      <alignment horizontal="centerContinuous"/>
    </xf>
    <xf numFmtId="5" fontId="3" fillId="2" borderId="0" xfId="0" applyNumberFormat="1" applyFont="1" applyFill="1" applyBorder="1"/>
    <xf numFmtId="5" fontId="0" fillId="2" borderId="0" xfId="0" applyNumberFormat="1" applyFill="1" applyBorder="1"/>
    <xf numFmtId="0" fontId="7" fillId="2" borderId="0" xfId="8" applyFill="1"/>
    <xf numFmtId="0" fontId="7" fillId="2" borderId="0" xfId="8" applyFont="1" applyFill="1"/>
    <xf numFmtId="164" fontId="7" fillId="2" borderId="0" xfId="8" applyNumberFormat="1" applyFill="1"/>
    <xf numFmtId="0" fontId="6" fillId="2" borderId="0" xfId="8" applyFont="1" applyFill="1"/>
    <xf numFmtId="0" fontId="6" fillId="2" borderId="0" xfId="8" applyFont="1" applyFill="1" applyAlignment="1">
      <alignment horizontal="centerContinuous"/>
    </xf>
    <xf numFmtId="164" fontId="6" fillId="2" borderId="0" xfId="8" applyNumberFormat="1" applyFont="1" applyFill="1" applyAlignment="1">
      <alignment horizontal="centerContinuous"/>
    </xf>
    <xf numFmtId="0" fontId="6" fillId="2" borderId="0" xfId="8" applyFont="1" applyFill="1" applyBorder="1"/>
    <xf numFmtId="37" fontId="6" fillId="2" borderId="0" xfId="8" applyNumberFormat="1" applyFont="1" applyFill="1"/>
    <xf numFmtId="167" fontId="6" fillId="2" borderId="0" xfId="8" applyNumberFormat="1" applyFont="1" applyFill="1"/>
    <xf numFmtId="5" fontId="5" fillId="3" borderId="0" xfId="2" applyNumberFormat="1" applyFont="1" applyFill="1" applyBorder="1"/>
    <xf numFmtId="167" fontId="6" fillId="2" borderId="0" xfId="8" applyNumberFormat="1" applyFont="1" applyFill="1" applyAlignment="1">
      <alignment horizontal="centerContinuous"/>
    </xf>
    <xf numFmtId="165" fontId="8" fillId="0" borderId="0" xfId="0" applyNumberFormat="1" applyFont="1" applyFill="1" applyBorder="1" applyAlignment="1">
      <alignment horizontal="center"/>
    </xf>
    <xf numFmtId="0" fontId="10" fillId="2" borderId="0" xfId="8" applyFont="1" applyFill="1" applyAlignment="1">
      <alignment horizontal="centerContinuous"/>
    </xf>
    <xf numFmtId="10" fontId="2" fillId="2" borderId="0" xfId="0" applyNumberFormat="1" applyFont="1" applyFill="1"/>
    <xf numFmtId="10" fontId="2" fillId="2" borderId="0" xfId="0" applyNumberFormat="1" applyFont="1" applyFill="1" applyAlignment="1">
      <alignment horizontal="right"/>
    </xf>
    <xf numFmtId="0" fontId="11" fillId="2" borderId="0" xfId="8" applyFont="1" applyFill="1" applyAlignment="1">
      <alignment horizontal="center"/>
    </xf>
    <xf numFmtId="0" fontId="11" fillId="2" borderId="0" xfId="8" applyFont="1" applyFill="1"/>
    <xf numFmtId="37" fontId="11" fillId="0" borderId="0" xfId="8" applyNumberFormat="1" applyFont="1" applyBorder="1" applyAlignment="1"/>
    <xf numFmtId="37" fontId="11" fillId="2" borderId="0" xfId="0" applyNumberFormat="1" applyFont="1" applyFill="1" applyAlignment="1">
      <alignment horizontal="right"/>
    </xf>
    <xf numFmtId="5" fontId="11" fillId="2" borderId="0" xfId="0" applyNumberFormat="1" applyFont="1" applyFill="1" applyAlignment="1">
      <alignment horizontal="right"/>
    </xf>
    <xf numFmtId="0" fontId="11" fillId="0" borderId="3" xfId="8" applyFont="1" applyFill="1" applyBorder="1" applyAlignment="1">
      <alignment horizontal="right"/>
    </xf>
    <xf numFmtId="37" fontId="11" fillId="0" borderId="0" xfId="8" applyNumberFormat="1" applyFont="1" applyFill="1" applyBorder="1" applyAlignment="1">
      <alignment horizontal="right"/>
    </xf>
    <xf numFmtId="37" fontId="11" fillId="2" borderId="0" xfId="0" applyNumberFormat="1" applyFont="1" applyFill="1" applyBorder="1" applyAlignment="1">
      <alignment horizontal="right"/>
    </xf>
    <xf numFmtId="0" fontId="11" fillId="0" borderId="0" xfId="8" applyFont="1" applyFill="1" applyBorder="1" applyAlignment="1">
      <alignment horizontal="right"/>
    </xf>
    <xf numFmtId="0" fontId="11" fillId="2" borderId="0" xfId="8" applyNumberFormat="1" applyFont="1" applyFill="1" applyBorder="1" applyAlignment="1">
      <alignment horizontal="right"/>
    </xf>
    <xf numFmtId="0" fontId="11" fillId="2" borderId="4" xfId="8" applyNumberFormat="1" applyFont="1" applyFill="1" applyBorder="1" applyAlignment="1">
      <alignment horizontal="right"/>
    </xf>
    <xf numFmtId="10" fontId="11" fillId="2" borderId="0" xfId="8" applyNumberFormat="1" applyFont="1" applyFill="1"/>
    <xf numFmtId="37" fontId="11" fillId="0" borderId="0" xfId="8" applyNumberFormat="1" applyFont="1" applyFill="1" applyBorder="1" applyAlignment="1">
      <alignment vertical="center"/>
    </xf>
    <xf numFmtId="37" fontId="11" fillId="0" borderId="0" xfId="8" applyNumberFormat="1" applyFont="1" applyBorder="1" applyAlignment="1">
      <alignment horizontal="right"/>
    </xf>
    <xf numFmtId="37" fontId="11" fillId="2" borderId="0" xfId="8" applyNumberFormat="1" applyFont="1" applyFill="1" applyBorder="1" applyAlignment="1">
      <alignment horizontal="right"/>
    </xf>
    <xf numFmtId="10" fontId="11" fillId="2" borderId="0" xfId="8" applyNumberFormat="1" applyFont="1" applyFill="1" applyBorder="1"/>
    <xf numFmtId="0" fontId="11" fillId="0" borderId="0" xfId="8" applyFont="1" applyFill="1" applyBorder="1" applyAlignment="1">
      <alignment vertical="center"/>
    </xf>
    <xf numFmtId="164" fontId="11" fillId="2" borderId="0" xfId="8" applyNumberFormat="1" applyFont="1" applyFill="1"/>
    <xf numFmtId="37" fontId="11" fillId="0" borderId="0" xfId="8" applyNumberFormat="1" applyFont="1" applyBorder="1" applyAlignment="1">
      <alignment vertical="center"/>
    </xf>
    <xf numFmtId="10" fontId="11" fillId="2" borderId="0" xfId="0" applyNumberFormat="1" applyFont="1" applyFill="1"/>
    <xf numFmtId="0" fontId="11" fillId="0" borderId="0" xfId="8" applyFont="1" applyBorder="1" applyAlignment="1">
      <alignment vertical="center"/>
    </xf>
    <xf numFmtId="10" fontId="11" fillId="2" borderId="0" xfId="9" applyFont="1"/>
    <xf numFmtId="37" fontId="11" fillId="2" borderId="0" xfId="8" applyNumberFormat="1" applyFont="1" applyFill="1" applyBorder="1" applyAlignment="1"/>
    <xf numFmtId="37" fontId="11" fillId="3" borderId="0" xfId="8" applyNumberFormat="1" applyFont="1" applyFill="1" applyBorder="1" applyAlignment="1">
      <alignment horizontal="right"/>
    </xf>
    <xf numFmtId="37" fontId="11" fillId="3" borderId="0" xfId="8" quotePrefix="1" applyNumberFormat="1" applyFont="1" applyFill="1" applyBorder="1" applyAlignment="1">
      <alignment horizontal="left"/>
    </xf>
    <xf numFmtId="37" fontId="11" fillId="2" borderId="0" xfId="8" applyNumberFormat="1" applyFont="1" applyFill="1"/>
    <xf numFmtId="37" fontId="11" fillId="0" borderId="0" xfId="8" quotePrefix="1" applyNumberFormat="1" applyFont="1" applyBorder="1" applyAlignment="1">
      <alignment horizontal="left" vertical="center"/>
    </xf>
    <xf numFmtId="10" fontId="11" fillId="2" borderId="3" xfId="0" applyNumberFormat="1" applyFont="1" applyFill="1" applyBorder="1"/>
    <xf numFmtId="37" fontId="11" fillId="0" borderId="4" xfId="8" applyNumberFormat="1" applyFont="1" applyBorder="1" applyAlignment="1">
      <alignment horizontal="right"/>
    </xf>
    <xf numFmtId="10" fontId="11" fillId="2" borderId="4" xfId="9" applyFont="1" applyBorder="1"/>
    <xf numFmtId="37" fontId="11" fillId="3" borderId="4" xfId="8" applyNumberFormat="1" applyFont="1" applyFill="1" applyBorder="1" applyAlignment="1">
      <alignment horizontal="right"/>
    </xf>
    <xf numFmtId="37" fontId="11" fillId="2" borderId="4" xfId="8" applyNumberFormat="1" applyFont="1" applyFill="1" applyBorder="1" applyAlignment="1">
      <alignment horizontal="right"/>
    </xf>
    <xf numFmtId="37" fontId="11" fillId="3" borderId="4" xfId="2" applyNumberFormat="1" applyFont="1" applyFill="1" applyBorder="1" applyAlignment="1">
      <alignment horizontal="right"/>
    </xf>
    <xf numFmtId="2" fontId="11" fillId="2" borderId="0" xfId="8" applyNumberFormat="1" applyFont="1" applyFill="1" applyBorder="1"/>
    <xf numFmtId="2" fontId="11" fillId="2" borderId="5" xfId="8" applyNumberFormat="1" applyFont="1" applyFill="1" applyBorder="1"/>
    <xf numFmtId="2" fontId="11" fillId="3" borderId="5" xfId="2" applyNumberFormat="1" applyFont="1" applyFill="1" applyBorder="1"/>
    <xf numFmtId="0" fontId="11" fillId="2" borderId="0" xfId="8" applyFont="1" applyFill="1" applyBorder="1"/>
    <xf numFmtId="10" fontId="11" fillId="2" borderId="5" xfId="9" applyFont="1" applyBorder="1"/>
    <xf numFmtId="0" fontId="11" fillId="2" borderId="5" xfId="8" applyFont="1" applyFill="1" applyBorder="1"/>
    <xf numFmtId="5" fontId="12" fillId="2" borderId="0" xfId="8" applyNumberFormat="1" applyFont="1" applyFill="1" applyAlignment="1">
      <alignment horizontal="centerContinuous"/>
    </xf>
    <xf numFmtId="5" fontId="12" fillId="2" borderId="0" xfId="0" applyNumberFormat="1" applyFont="1" applyFill="1" applyAlignment="1">
      <alignment horizontal="centerContinuous"/>
    </xf>
    <xf numFmtId="5" fontId="10" fillId="2" borderId="0" xfId="0" applyNumberFormat="1" applyFont="1" applyFill="1" applyAlignment="1">
      <alignment horizontal="centerContinuous"/>
    </xf>
    <xf numFmtId="5" fontId="9" fillId="2" borderId="0" xfId="0" applyNumberFormat="1" applyFont="1" applyFill="1" applyAlignment="1">
      <alignment horizontal="centerContinuous"/>
    </xf>
    <xf numFmtId="10" fontId="9" fillId="2" borderId="0" xfId="0" applyNumberFormat="1" applyFont="1" applyFill="1" applyAlignment="1">
      <alignment horizontal="centerContinuous"/>
    </xf>
    <xf numFmtId="168" fontId="10" fillId="2" borderId="0" xfId="0" applyNumberFormat="1" applyFont="1" applyFill="1" applyAlignment="1">
      <alignment horizontal="centerContinuous"/>
    </xf>
    <xf numFmtId="168" fontId="10" fillId="2" borderId="0" xfId="0" quotePrefix="1" applyNumberFormat="1" applyFont="1" applyFill="1" applyAlignment="1">
      <alignment horizontal="centerContinuous"/>
    </xf>
    <xf numFmtId="5" fontId="11" fillId="2" borderId="0" xfId="0" applyNumberFormat="1" applyFont="1" applyFill="1" applyAlignment="1">
      <alignment horizontal="centerContinuous"/>
    </xf>
    <xf numFmtId="10" fontId="11" fillId="2" borderId="0" xfId="0" applyNumberFormat="1" applyFont="1" applyFill="1" applyAlignment="1">
      <alignment horizontal="centerContinuous"/>
    </xf>
    <xf numFmtId="5" fontId="11" fillId="2" borderId="0" xfId="0" applyNumberFormat="1" applyFont="1" applyFill="1"/>
    <xf numFmtId="5" fontId="11" fillId="2" borderId="0" xfId="0" applyNumberFormat="1" applyFont="1" applyFill="1" applyBorder="1"/>
    <xf numFmtId="0" fontId="11" fillId="2" borderId="0" xfId="0" applyFont="1" applyFill="1" applyBorder="1"/>
    <xf numFmtId="10" fontId="11" fillId="2" borderId="0" xfId="0" applyNumberFormat="1" applyFont="1" applyFill="1" applyBorder="1" applyAlignment="1">
      <alignment horizontal="right"/>
    </xf>
    <xf numFmtId="5" fontId="11" fillId="2" borderId="0" xfId="0" quotePrefix="1" applyNumberFormat="1" applyFont="1" applyFill="1" applyAlignment="1">
      <alignment horizontal="left"/>
    </xf>
    <xf numFmtId="10" fontId="11" fillId="2" borderId="2" xfId="0" applyNumberFormat="1" applyFont="1" applyFill="1" applyBorder="1"/>
    <xf numFmtId="5" fontId="11" fillId="2" borderId="4" xfId="0" applyNumberFormat="1" applyFont="1" applyFill="1" applyBorder="1"/>
    <xf numFmtId="10" fontId="11" fillId="2" borderId="0" xfId="0" applyNumberFormat="1" applyFont="1" applyFill="1" applyBorder="1"/>
    <xf numFmtId="10" fontId="11" fillId="2" borderId="4" xfId="0" applyNumberFormat="1" applyFont="1" applyFill="1" applyBorder="1"/>
    <xf numFmtId="10" fontId="11" fillId="2" borderId="6" xfId="0" applyNumberFormat="1" applyFont="1" applyFill="1" applyBorder="1"/>
    <xf numFmtId="5" fontId="11" fillId="2" borderId="5" xfId="0" applyNumberFormat="1" applyFont="1" applyFill="1" applyBorder="1"/>
    <xf numFmtId="5" fontId="11" fillId="2" borderId="0" xfId="0" applyNumberFormat="1" applyFont="1" applyFill="1" applyAlignment="1">
      <alignment horizontal="left"/>
    </xf>
    <xf numFmtId="5" fontId="11" fillId="2" borderId="6" xfId="0" applyNumberFormat="1" applyFont="1" applyFill="1" applyBorder="1"/>
    <xf numFmtId="10" fontId="11" fillId="2" borderId="7" xfId="0" applyNumberFormat="1" applyFont="1" applyFill="1" applyBorder="1"/>
    <xf numFmtId="10" fontId="10" fillId="2" borderId="0" xfId="0" applyNumberFormat="1" applyFont="1" applyFill="1" applyAlignment="1">
      <alignment horizontal="centerContinuous"/>
    </xf>
    <xf numFmtId="5" fontId="10" fillId="2" borderId="0" xfId="0" applyNumberFormat="1" applyFont="1" applyFill="1"/>
    <xf numFmtId="10" fontId="10" fillId="2" borderId="0" xfId="0" applyNumberFormat="1" applyFont="1" applyFill="1"/>
    <xf numFmtId="5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 applyAlignment="1">
      <alignment horizontal="right"/>
    </xf>
    <xf numFmtId="10" fontId="10" fillId="2" borderId="0" xfId="0" applyNumberFormat="1" applyFont="1" applyFill="1" applyAlignment="1">
      <alignment horizontal="right"/>
    </xf>
    <xf numFmtId="16" fontId="10" fillId="2" borderId="0" xfId="0" applyNumberFormat="1" applyFont="1" applyFill="1"/>
    <xf numFmtId="0" fontId="10" fillId="2" borderId="2" xfId="0" applyFont="1" applyFill="1" applyBorder="1"/>
    <xf numFmtId="5" fontId="10" fillId="2" borderId="2" xfId="0" applyNumberFormat="1" applyFont="1" applyFill="1" applyBorder="1"/>
    <xf numFmtId="37" fontId="11" fillId="2" borderId="0" xfId="0" applyNumberFormat="1" applyFont="1" applyFill="1"/>
    <xf numFmtId="37" fontId="11" fillId="2" borderId="4" xfId="0" applyNumberFormat="1" applyFont="1" applyFill="1" applyBorder="1"/>
    <xf numFmtId="37" fontId="11" fillId="2" borderId="5" xfId="0" applyNumberFormat="1" applyFont="1" applyFill="1" applyBorder="1"/>
    <xf numFmtId="37" fontId="11" fillId="2" borderId="0" xfId="9" applyNumberFormat="1" applyFont="1"/>
    <xf numFmtId="37" fontId="11" fillId="2" borderId="0" xfId="0" applyNumberFormat="1" applyFont="1" applyFill="1" applyBorder="1"/>
    <xf numFmtId="37" fontId="11" fillId="2" borderId="6" xfId="0" applyNumberFormat="1" applyFont="1" applyFill="1" applyBorder="1"/>
    <xf numFmtId="5" fontId="11" fillId="3" borderId="0" xfId="2" applyNumberFormat="1" applyFont="1" applyFill="1" applyBorder="1"/>
    <xf numFmtId="5" fontId="11" fillId="0" borderId="0" xfId="0" applyNumberFormat="1" applyFont="1" applyFill="1" applyBorder="1"/>
    <xf numFmtId="5" fontId="11" fillId="3" borderId="4" xfId="2" applyNumberFormat="1" applyFont="1" applyFill="1" applyBorder="1"/>
    <xf numFmtId="0" fontId="11" fillId="3" borderId="0" xfId="0" quotePrefix="1" applyFont="1" applyFill="1" applyBorder="1" applyAlignment="1">
      <alignment horizontal="left"/>
    </xf>
    <xf numFmtId="0" fontId="11" fillId="3" borderId="0" xfId="0" applyFont="1" applyFill="1" applyBorder="1"/>
    <xf numFmtId="5" fontId="10" fillId="2" borderId="0" xfId="0" quotePrefix="1" applyNumberFormat="1" applyFont="1" applyFill="1" applyAlignment="1">
      <alignment horizontal="right"/>
    </xf>
    <xf numFmtId="37" fontId="11" fillId="3" borderId="0" xfId="2" applyNumberFormat="1" applyFont="1" applyFill="1" applyBorder="1"/>
    <xf numFmtId="37" fontId="11" fillId="0" borderId="0" xfId="2" applyNumberFormat="1" applyFont="1" applyFill="1" applyBorder="1"/>
    <xf numFmtId="37" fontId="11" fillId="0" borderId="0" xfId="0" applyNumberFormat="1" applyFont="1" applyFill="1" applyBorder="1"/>
    <xf numFmtId="37" fontId="11" fillId="3" borderId="4" xfId="2" applyNumberFormat="1" applyFont="1" applyFill="1" applyBorder="1"/>
    <xf numFmtId="37" fontId="11" fillId="0" borderId="4" xfId="2" applyNumberFormat="1" applyFont="1" applyFill="1" applyBorder="1"/>
    <xf numFmtId="37" fontId="11" fillId="3" borderId="0" xfId="2" applyNumberFormat="1" applyFont="1" applyFill="1" applyBorder="1" applyAlignment="1">
      <alignment horizontal="right"/>
    </xf>
    <xf numFmtId="37" fontId="11" fillId="0" borderId="0" xfId="2" applyNumberFormat="1" applyFont="1" applyFill="1" applyBorder="1" applyAlignment="1">
      <alignment horizontal="right"/>
    </xf>
    <xf numFmtId="37" fontId="11" fillId="3" borderId="5" xfId="2" applyNumberFormat="1" applyFont="1" applyFill="1" applyBorder="1"/>
    <xf numFmtId="37" fontId="11" fillId="0" borderId="5" xfId="2" applyNumberFormat="1" applyFont="1" applyFill="1" applyBorder="1"/>
    <xf numFmtId="2" fontId="11" fillId="2" borderId="0" xfId="0" applyNumberFormat="1" applyFont="1" applyFill="1"/>
    <xf numFmtId="5" fontId="14" fillId="2" borderId="0" xfId="0" applyNumberFormat="1" applyFont="1" applyFill="1"/>
    <xf numFmtId="0" fontId="11" fillId="3" borderId="0" xfId="0" applyFont="1" applyFill="1"/>
    <xf numFmtId="10" fontId="13" fillId="2" borderId="0" xfId="0" quotePrefix="1" applyNumberFormat="1" applyFont="1" applyFill="1" applyAlignment="1">
      <alignment horizontal="right"/>
    </xf>
    <xf numFmtId="10" fontId="13" fillId="2" borderId="2" xfId="0" applyNumberFormat="1" applyFont="1" applyFill="1" applyBorder="1" applyAlignment="1">
      <alignment horizontal="right"/>
    </xf>
    <xf numFmtId="5" fontId="13" fillId="2" borderId="0" xfId="0" applyNumberFormat="1" applyFont="1" applyFill="1" applyAlignment="1">
      <alignment horizontal="right"/>
    </xf>
    <xf numFmtId="10" fontId="13" fillId="2" borderId="0" xfId="0" applyNumberFormat="1" applyFont="1" applyFill="1" applyAlignment="1">
      <alignment horizontal="right"/>
    </xf>
    <xf numFmtId="5" fontId="15" fillId="2" borderId="0" xfId="0" applyNumberFormat="1" applyFont="1" applyFill="1"/>
    <xf numFmtId="37" fontId="11" fillId="0" borderId="3" xfId="8" applyNumberFormat="1" applyFont="1" applyBorder="1" applyAlignment="1">
      <alignment horizontal="right"/>
    </xf>
    <xf numFmtId="10" fontId="11" fillId="2" borderId="3" xfId="8" applyNumberFormat="1" applyFont="1" applyFill="1" applyBorder="1"/>
    <xf numFmtId="37" fontId="10" fillId="2" borderId="0" xfId="8" applyNumberFormat="1" applyFont="1" applyFill="1" applyAlignment="1">
      <alignment horizontal="centerContinuous"/>
    </xf>
    <xf numFmtId="37" fontId="13" fillId="2" borderId="0" xfId="8" applyNumberFormat="1" applyFont="1" applyFill="1" applyAlignment="1">
      <alignment horizontal="right"/>
    </xf>
    <xf numFmtId="37" fontId="10" fillId="0" borderId="0" xfId="8" applyNumberFormat="1" applyFont="1" applyBorder="1" applyAlignment="1"/>
    <xf numFmtId="37" fontId="10" fillId="2" borderId="0" xfId="0" applyNumberFormat="1" applyFont="1" applyFill="1" applyAlignment="1">
      <alignment horizontal="right"/>
    </xf>
    <xf numFmtId="37" fontId="10" fillId="2" borderId="0" xfId="0" quotePrefix="1" applyNumberFormat="1" applyFont="1" applyFill="1" applyAlignment="1">
      <alignment horizontal="right"/>
    </xf>
    <xf numFmtId="37" fontId="13" fillId="2" borderId="0" xfId="0" applyNumberFormat="1" applyFont="1" applyFill="1" applyAlignment="1">
      <alignment horizontal="right"/>
    </xf>
    <xf numFmtId="0" fontId="10" fillId="0" borderId="3" xfId="8" applyNumberFormat="1" applyFont="1" applyFill="1" applyBorder="1" applyAlignment="1">
      <alignment horizontal="right"/>
    </xf>
    <xf numFmtId="37" fontId="13" fillId="2" borderId="2" xfId="0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10" fillId="2" borderId="0" xfId="8" applyFont="1" applyFill="1" applyAlignment="1">
      <alignment horizontal="center"/>
    </xf>
    <xf numFmtId="10" fontId="13" fillId="2" borderId="0" xfId="8" applyNumberFormat="1" applyFont="1" applyFill="1" applyAlignment="1">
      <alignment horizontal="right"/>
    </xf>
    <xf numFmtId="0" fontId="10" fillId="0" borderId="3" xfId="8" applyFont="1" applyFill="1" applyBorder="1" applyAlignment="1">
      <alignment horizontal="right"/>
    </xf>
    <xf numFmtId="10" fontId="13" fillId="2" borderId="2" xfId="0" quotePrefix="1" applyNumberFormat="1" applyFont="1" applyFill="1" applyBorder="1" applyAlignment="1">
      <alignment horizontal="right"/>
    </xf>
    <xf numFmtId="169" fontId="11" fillId="2" borderId="0" xfId="11" applyNumberFormat="1" applyFont="1" applyFill="1"/>
    <xf numFmtId="10" fontId="15" fillId="2" borderId="0" xfId="0" applyNumberFormat="1" applyFont="1" applyFill="1"/>
    <xf numFmtId="3" fontId="11" fillId="2" borderId="0" xfId="0" applyNumberFormat="1" applyFont="1" applyFill="1"/>
    <xf numFmtId="16" fontId="2" fillId="2" borderId="0" xfId="0" applyNumberFormat="1" applyFont="1" applyFill="1" applyAlignment="1">
      <alignment horizontal="right"/>
    </xf>
    <xf numFmtId="10" fontId="3" fillId="2" borderId="0" xfId="9" applyFont="1"/>
    <xf numFmtId="0" fontId="2" fillId="0" borderId="0" xfId="8" applyNumberFormat="1" applyFont="1" applyFill="1" applyBorder="1" applyAlignment="1">
      <alignment horizontal="right"/>
    </xf>
    <xf numFmtId="0" fontId="2" fillId="0" borderId="0" xfId="8" applyFont="1" applyFill="1" applyBorder="1" applyAlignment="1">
      <alignment horizontal="right"/>
    </xf>
    <xf numFmtId="166" fontId="3" fillId="2" borderId="0" xfId="0" applyNumberFormat="1" applyFont="1" applyFill="1"/>
    <xf numFmtId="0" fontId="2" fillId="2" borderId="0" xfId="11" applyNumberFormat="1" applyFont="1" applyFill="1" applyBorder="1" applyAlignment="1">
      <alignment horizontal="right"/>
    </xf>
    <xf numFmtId="5" fontId="0" fillId="2" borderId="3" xfId="0" applyNumberFormat="1" applyFill="1" applyBorder="1"/>
    <xf numFmtId="170" fontId="11" fillId="2" borderId="3" xfId="11" applyNumberFormat="1" applyFont="1" applyFill="1" applyBorder="1"/>
    <xf numFmtId="171" fontId="11" fillId="2" borderId="0" xfId="9" applyNumberFormat="1" applyFont="1"/>
    <xf numFmtId="171" fontId="11" fillId="2" borderId="3" xfId="9" applyNumberFormat="1" applyFont="1" applyBorder="1"/>
    <xf numFmtId="10" fontId="2" fillId="2" borderId="0" xfId="0" quotePrefix="1" applyNumberFormat="1" applyFont="1" applyFill="1" applyAlignment="1">
      <alignment horizontal="right"/>
    </xf>
    <xf numFmtId="5" fontId="14" fillId="2" borderId="0" xfId="0" applyNumberFormat="1" applyFont="1" applyFill="1" applyBorder="1"/>
    <xf numFmtId="0" fontId="14" fillId="3" borderId="0" xfId="0" applyFont="1" applyFill="1"/>
    <xf numFmtId="0" fontId="11" fillId="3" borderId="0" xfId="0" applyFont="1" applyFill="1" applyBorder="1" applyAlignment="1">
      <alignment horizontal="left"/>
    </xf>
    <xf numFmtId="43" fontId="11" fillId="2" borderId="0" xfId="11" applyFont="1" applyFill="1"/>
    <xf numFmtId="43" fontId="11" fillId="2" borderId="0" xfId="0" applyNumberFormat="1" applyFont="1" applyFill="1"/>
    <xf numFmtId="171" fontId="11" fillId="2" borderId="0" xfId="0" applyNumberFormat="1" applyFont="1" applyFill="1"/>
    <xf numFmtId="10" fontId="13" fillId="2" borderId="0" xfId="0" applyNumberFormat="1" applyFont="1" applyFill="1"/>
    <xf numFmtId="10" fontId="11" fillId="0" borderId="0" xfId="0" applyNumberFormat="1" applyFont="1" applyFill="1"/>
    <xf numFmtId="10" fontId="13" fillId="2" borderId="0" xfId="0" applyNumberFormat="1" applyFont="1" applyFill="1" applyBorder="1" applyAlignment="1">
      <alignment horizontal="right"/>
    </xf>
    <xf numFmtId="5" fontId="14" fillId="2" borderId="8" xfId="0" applyNumberFormat="1" applyFont="1" applyFill="1" applyBorder="1"/>
    <xf numFmtId="5" fontId="0" fillId="2" borderId="4" xfId="0" applyNumberFormat="1" applyFill="1" applyBorder="1"/>
    <xf numFmtId="5" fontId="0" fillId="2" borderId="9" xfId="0" applyNumberFormat="1" applyFill="1" applyBorder="1"/>
    <xf numFmtId="5" fontId="11" fillId="2" borderId="10" xfId="0" applyNumberFormat="1" applyFont="1" applyFill="1" applyBorder="1"/>
    <xf numFmtId="170" fontId="11" fillId="2" borderId="0" xfId="11" applyNumberFormat="1" applyFont="1" applyFill="1" applyBorder="1"/>
    <xf numFmtId="170" fontId="11" fillId="2" borderId="11" xfId="0" applyNumberFormat="1" applyFont="1" applyFill="1" applyBorder="1"/>
    <xf numFmtId="5" fontId="0" fillId="2" borderId="10" xfId="0" applyNumberFormat="1" applyFill="1" applyBorder="1"/>
    <xf numFmtId="5" fontId="0" fillId="2" borderId="11" xfId="0" applyNumberFormat="1" applyFill="1" applyBorder="1"/>
    <xf numFmtId="5" fontId="2" fillId="2" borderId="10" xfId="0" applyNumberFormat="1" applyFont="1" applyFill="1" applyBorder="1"/>
    <xf numFmtId="171" fontId="11" fillId="2" borderId="0" xfId="9" applyNumberFormat="1" applyFont="1" applyBorder="1"/>
    <xf numFmtId="5" fontId="14" fillId="2" borderId="10" xfId="0" applyNumberFormat="1" applyFont="1" applyFill="1" applyBorder="1"/>
    <xf numFmtId="5" fontId="11" fillId="2" borderId="12" xfId="0" applyNumberFormat="1" applyFont="1" applyFill="1" applyBorder="1"/>
    <xf numFmtId="7" fontId="11" fillId="2" borderId="0" xfId="0" applyNumberFormat="1" applyFont="1" applyFill="1" applyBorder="1"/>
    <xf numFmtId="172" fontId="11" fillId="2" borderId="0" xfId="9" applyNumberFormat="1" applyFont="1" applyBorder="1"/>
    <xf numFmtId="37" fontId="11" fillId="0" borderId="0" xfId="8" applyNumberFormat="1" applyFont="1" applyBorder="1" applyAlignment="1">
      <alignment horizontal="left" vertical="center"/>
    </xf>
    <xf numFmtId="10" fontId="11" fillId="2" borderId="13" xfId="0" applyNumberFormat="1" applyFont="1" applyFill="1" applyBorder="1"/>
    <xf numFmtId="10" fontId="11" fillId="2" borderId="14" xfId="0" applyNumberFormat="1" applyFont="1" applyFill="1" applyBorder="1"/>
    <xf numFmtId="170" fontId="11" fillId="2" borderId="15" xfId="0" applyNumberFormat="1" applyFont="1" applyFill="1" applyBorder="1"/>
    <xf numFmtId="4" fontId="11" fillId="2" borderId="0" xfId="0" applyNumberFormat="1" applyFont="1" applyFill="1" applyBorder="1"/>
    <xf numFmtId="10" fontId="11" fillId="2" borderId="0" xfId="9" applyFont="1" applyBorder="1"/>
    <xf numFmtId="10" fontId="11" fillId="2" borderId="3" xfId="9" applyNumberFormat="1" applyFont="1" applyBorder="1"/>
    <xf numFmtId="10" fontId="11" fillId="2" borderId="0" xfId="9" applyNumberFormat="1" applyFont="1" applyBorder="1"/>
    <xf numFmtId="173" fontId="11" fillId="2" borderId="0" xfId="9" applyNumberFormat="1" applyFont="1" applyBorder="1"/>
    <xf numFmtId="5" fontId="10" fillId="2" borderId="0" xfId="0" applyNumberFormat="1" applyFont="1" applyFill="1" applyBorder="1"/>
    <xf numFmtId="0" fontId="10" fillId="2" borderId="0" xfId="0" applyFont="1" applyFill="1" applyBorder="1" applyAlignment="1">
      <alignment horizontal="right"/>
    </xf>
    <xf numFmtId="0" fontId="10" fillId="2" borderId="3" xfId="0" applyFont="1" applyFill="1" applyBorder="1"/>
    <xf numFmtId="5" fontId="13" fillId="2" borderId="0" xfId="0" applyNumberFormat="1" applyFont="1" applyFill="1" applyBorder="1" applyAlignment="1">
      <alignment horizontal="right"/>
    </xf>
    <xf numFmtId="43" fontId="0" fillId="2" borderId="0" xfId="11" applyFont="1" applyFill="1" applyBorder="1"/>
    <xf numFmtId="0" fontId="10" fillId="0" borderId="0" xfId="8" applyNumberFormat="1" applyFont="1" applyFill="1" applyBorder="1" applyAlignment="1">
      <alignment horizontal="right"/>
    </xf>
    <xf numFmtId="10" fontId="11" fillId="2" borderId="11" xfId="9" applyFont="1" applyBorder="1"/>
    <xf numFmtId="10" fontId="11" fillId="2" borderId="15" xfId="9" applyFont="1" applyBorder="1"/>
    <xf numFmtId="7" fontId="11" fillId="2" borderId="0" xfId="2" applyNumberFormat="1" applyFont="1" applyBorder="1"/>
    <xf numFmtId="5" fontId="17" fillId="2" borderId="0" xfId="0" applyNumberFormat="1" applyFont="1" applyFill="1"/>
    <xf numFmtId="37" fontId="18" fillId="2" borderId="5" xfId="0" applyNumberFormat="1" applyFont="1" applyFill="1" applyBorder="1"/>
    <xf numFmtId="37" fontId="18" fillId="2" borderId="0" xfId="9" applyNumberFormat="1" applyFont="1"/>
    <xf numFmtId="5" fontId="2" fillId="4" borderId="0" xfId="0" applyNumberFormat="1" applyFont="1" applyFill="1"/>
    <xf numFmtId="5" fontId="2" fillId="2" borderId="0" xfId="0" applyNumberFormat="1" applyFont="1" applyFill="1"/>
    <xf numFmtId="171" fontId="2" fillId="2" borderId="0" xfId="9" applyNumberFormat="1" applyFont="1"/>
    <xf numFmtId="5" fontId="11" fillId="2" borderId="0" xfId="2" applyNumberFormat="1" applyFont="1"/>
    <xf numFmtId="10" fontId="3" fillId="2" borderId="0" xfId="9" applyNumberFormat="1" applyFont="1"/>
    <xf numFmtId="171" fontId="3" fillId="2" borderId="0" xfId="9" applyNumberFormat="1" applyFont="1"/>
    <xf numFmtId="43" fontId="0" fillId="2" borderId="0" xfId="11" applyFont="1" applyFill="1"/>
    <xf numFmtId="44" fontId="11" fillId="2" borderId="0" xfId="2" applyNumberFormat="1" applyFont="1" applyBorder="1"/>
    <xf numFmtId="44" fontId="11" fillId="2" borderId="0" xfId="0" applyNumberFormat="1" applyFont="1" applyFill="1" applyBorder="1"/>
    <xf numFmtId="44" fontId="11" fillId="2" borderId="11" xfId="0" applyNumberFormat="1" applyFont="1" applyFill="1" applyBorder="1"/>
    <xf numFmtId="43" fontId="11" fillId="2" borderId="0" xfId="11" applyFont="1" applyFill="1" applyBorder="1"/>
    <xf numFmtId="5" fontId="7" fillId="2" borderId="0" xfId="0" applyNumberFormat="1" applyFont="1" applyFill="1"/>
    <xf numFmtId="16" fontId="10" fillId="2" borderId="0" xfId="0" applyNumberFormat="1" applyFont="1" applyFill="1" applyBorder="1" applyAlignment="1">
      <alignment horizontal="right"/>
    </xf>
    <xf numFmtId="16" fontId="2" fillId="2" borderId="0" xfId="11" applyNumberFormat="1" applyFont="1" applyFill="1" applyBorder="1" applyAlignment="1">
      <alignment horizontal="right"/>
    </xf>
    <xf numFmtId="16" fontId="10" fillId="0" borderId="0" xfId="8" applyNumberFormat="1" applyFont="1" applyFill="1" applyBorder="1" applyAlignment="1">
      <alignment horizontal="right"/>
    </xf>
    <xf numFmtId="2" fontId="0" fillId="2" borderId="0" xfId="0" applyNumberFormat="1" applyFill="1"/>
    <xf numFmtId="10" fontId="19" fillId="4" borderId="0" xfId="9" applyFont="1" applyFill="1"/>
    <xf numFmtId="0" fontId="0" fillId="2" borderId="0" xfId="0" applyNumberFormat="1" applyFill="1"/>
    <xf numFmtId="43" fontId="3" fillId="2" borderId="0" xfId="11" applyFont="1" applyFill="1"/>
    <xf numFmtId="10" fontId="20" fillId="2" borderId="0" xfId="9" applyFont="1"/>
    <xf numFmtId="43" fontId="20" fillId="2" borderId="0" xfId="11" applyFont="1" applyFill="1"/>
    <xf numFmtId="5" fontId="11" fillId="0" borderId="0" xfId="0" applyNumberFormat="1" applyFont="1" applyFill="1"/>
    <xf numFmtId="5" fontId="0" fillId="0" borderId="0" xfId="0" applyNumberFormat="1" applyFill="1"/>
    <xf numFmtId="10" fontId="11" fillId="0" borderId="0" xfId="9" applyFont="1" applyFill="1"/>
    <xf numFmtId="5" fontId="2" fillId="2" borderId="12" xfId="0" applyNumberFormat="1" applyFont="1" applyFill="1" applyBorder="1"/>
    <xf numFmtId="170" fontId="11" fillId="2" borderId="0" xfId="11" applyNumberFormat="1" applyFont="1" applyFill="1"/>
    <xf numFmtId="0" fontId="2" fillId="2" borderId="3" xfId="9" applyNumberFormat="1" applyFont="1" applyBorder="1" applyAlignment="1">
      <alignment horizontal="center"/>
    </xf>
    <xf numFmtId="170" fontId="2" fillId="2" borderId="0" xfId="11" applyNumberFormat="1" applyFont="1" applyFill="1"/>
    <xf numFmtId="0" fontId="2" fillId="2" borderId="0" xfId="9" applyNumberFormat="1" applyFont="1" applyBorder="1" applyAlignment="1">
      <alignment horizontal="center"/>
    </xf>
    <xf numFmtId="0" fontId="13" fillId="2" borderId="0" xfId="9" applyNumberFormat="1" applyFont="1" applyBorder="1" applyAlignment="1">
      <alignment horizontal="center"/>
    </xf>
    <xf numFmtId="171" fontId="11" fillId="2" borderId="11" xfId="9" applyNumberFormat="1" applyFont="1" applyBorder="1"/>
    <xf numFmtId="10" fontId="11" fillId="2" borderId="15" xfId="0" applyNumberFormat="1" applyFont="1" applyFill="1" applyBorder="1"/>
    <xf numFmtId="43" fontId="11" fillId="2" borderId="11" xfId="0" applyNumberFormat="1" applyFont="1" applyFill="1" applyBorder="1"/>
    <xf numFmtId="10" fontId="11" fillId="2" borderId="16" xfId="9" applyFont="1" applyBorder="1"/>
    <xf numFmtId="43" fontId="11" fillId="2" borderId="11" xfId="11" applyFont="1" applyFill="1" applyBorder="1"/>
    <xf numFmtId="43" fontId="7" fillId="2" borderId="0" xfId="11" applyFont="1" applyFill="1"/>
    <xf numFmtId="43" fontId="21" fillId="4" borderId="0" xfId="11" applyFont="1" applyFill="1"/>
    <xf numFmtId="170" fontId="2" fillId="4" borderId="0" xfId="11" applyNumberFormat="1" applyFont="1" applyFill="1"/>
    <xf numFmtId="44" fontId="2" fillId="2" borderId="0" xfId="2" applyNumberFormat="1" applyFont="1"/>
    <xf numFmtId="171" fontId="11" fillId="2" borderId="3" xfId="0" applyNumberFormat="1" applyFont="1" applyFill="1" applyBorder="1"/>
    <xf numFmtId="170" fontId="2" fillId="2" borderId="0" xfId="11" applyNumberFormat="1" applyFont="1" applyFill="1" applyBorder="1"/>
    <xf numFmtId="44" fontId="2" fillId="2" borderId="0" xfId="11" applyNumberFormat="1" applyFont="1" applyFill="1" applyBorder="1"/>
    <xf numFmtId="10" fontId="20" fillId="2" borderId="0" xfId="0" applyNumberFormat="1" applyFont="1" applyFill="1"/>
    <xf numFmtId="2" fontId="20" fillId="2" borderId="0" xfId="0" applyNumberFormat="1" applyFont="1" applyFill="1"/>
    <xf numFmtId="5" fontId="0" fillId="2" borderId="8" xfId="0" applyNumberFormat="1" applyFill="1" applyBorder="1"/>
    <xf numFmtId="5" fontId="2" fillId="2" borderId="8" xfId="0" applyNumberFormat="1" applyFont="1" applyFill="1" applyBorder="1"/>
    <xf numFmtId="171" fontId="11" fillId="2" borderId="4" xfId="9" applyNumberFormat="1" applyFont="1" applyBorder="1"/>
    <xf numFmtId="171" fontId="11" fillId="2" borderId="9" xfId="9" applyNumberFormat="1" applyFont="1" applyBorder="1"/>
    <xf numFmtId="171" fontId="11" fillId="2" borderId="15" xfId="9" applyNumberFormat="1" applyFont="1" applyBorder="1"/>
    <xf numFmtId="0" fontId="2" fillId="2" borderId="0" xfId="0" applyNumberFormat="1" applyFont="1" applyFill="1"/>
    <xf numFmtId="0" fontId="11" fillId="2" borderId="0" xfId="11" applyNumberFormat="1" applyFont="1" applyFill="1"/>
    <xf numFmtId="0" fontId="3" fillId="2" borderId="0" xfId="9" applyNumberFormat="1" applyFont="1"/>
    <xf numFmtId="5" fontId="12" fillId="2" borderId="0" xfId="0" applyNumberFormat="1" applyFont="1" applyFill="1" applyAlignment="1">
      <alignment horizontal="center"/>
    </xf>
    <xf numFmtId="5" fontId="2" fillId="2" borderId="0" xfId="0" applyNumberFormat="1" applyFont="1" applyFill="1" applyAlignment="1">
      <alignment horizontal="center"/>
    </xf>
    <xf numFmtId="168" fontId="2" fillId="2" borderId="0" xfId="0" applyNumberFormat="1" applyFont="1" applyFill="1" applyAlignment="1">
      <alignment horizontal="center"/>
    </xf>
    <xf numFmtId="5" fontId="2" fillId="2" borderId="12" xfId="0" applyNumberFormat="1" applyFont="1" applyFill="1" applyBorder="1" applyAlignment="1">
      <alignment horizontal="center"/>
    </xf>
    <xf numFmtId="5" fontId="2" fillId="2" borderId="3" xfId="0" applyNumberFormat="1" applyFont="1" applyFill="1" applyBorder="1" applyAlignment="1">
      <alignment horizontal="center"/>
    </xf>
    <xf numFmtId="5" fontId="2" fillId="2" borderId="15" xfId="0" applyNumberFormat="1" applyFont="1" applyFill="1" applyBorder="1" applyAlignment="1">
      <alignment horizontal="center"/>
    </xf>
    <xf numFmtId="37" fontId="10" fillId="0" borderId="0" xfId="8" applyNumberFormat="1" applyFont="1" applyBorder="1" applyAlignment="1">
      <alignment horizontal="center"/>
    </xf>
  </cellXfs>
  <cellStyles count="12">
    <cellStyle name="Comma" xfId="11" builtinId="3"/>
    <cellStyle name="Comma0" xfId="1"/>
    <cellStyle name="Currency" xfId="2" builtinId="4"/>
    <cellStyle name="Currency0" xfId="3"/>
    <cellStyle name="Date" xfId="4"/>
    <cellStyle name="Fixed" xfId="5"/>
    <cellStyle name="Heading 1" xfId="6" builtinId="16" customBuiltin="1"/>
    <cellStyle name="Heading 2" xfId="7" builtinId="17" customBuiltin="1"/>
    <cellStyle name="Normal" xfId="0" builtinId="0"/>
    <cellStyle name="Normal_Financial Cash flow" xfId="8"/>
    <cellStyle name="Percent" xfId="9" builtinId="5"/>
    <cellStyle name="Total" xfId="1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93"/>
  <sheetViews>
    <sheetView showGridLines="0" tabSelected="1" view="pageBreakPreview" topLeftCell="A63" zoomScaleNormal="100" zoomScaleSheetLayoutView="100" workbookViewId="0">
      <selection activeCell="Q168" sqref="Q168"/>
    </sheetView>
  </sheetViews>
  <sheetFormatPr defaultColWidth="13.7109375" defaultRowHeight="12.75" x14ac:dyDescent="0.2"/>
  <cols>
    <col min="1" max="1" width="36.28515625" customWidth="1"/>
    <col min="2" max="2" width="12.5703125" hidden="1" customWidth="1"/>
    <col min="3" max="5" width="11.140625" hidden="1" customWidth="1"/>
    <col min="6" max="10" width="11.85546875" hidden="1" customWidth="1"/>
    <col min="11" max="17" width="11.85546875" customWidth="1"/>
    <col min="18" max="18" width="11.140625" style="1" customWidth="1"/>
    <col min="19" max="19" width="36.85546875" customWidth="1"/>
    <col min="20" max="28" width="10.7109375" hidden="1" customWidth="1"/>
    <col min="29" max="35" width="10.7109375" customWidth="1"/>
    <col min="36" max="36" width="11.42578125" customWidth="1"/>
    <col min="37" max="38" width="12.7109375" customWidth="1"/>
  </cols>
  <sheetData>
    <row r="1" spans="1:37" ht="15.75" x14ac:dyDescent="0.25">
      <c r="A1" s="123"/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91" t="s">
        <v>114</v>
      </c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91" t="s">
        <v>114</v>
      </c>
      <c r="AK1" s="20"/>
    </row>
    <row r="2" spans="1:37" ht="15.75" x14ac:dyDescent="0.25">
      <c r="A2" s="123"/>
      <c r="B2" s="123"/>
      <c r="C2" s="123"/>
      <c r="D2" s="123"/>
      <c r="E2" s="123"/>
      <c r="F2" s="140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52" t="s">
        <v>177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152" t="s">
        <v>180</v>
      </c>
      <c r="AK2" s="2"/>
    </row>
    <row r="3" spans="1:37" ht="20.25" x14ac:dyDescent="0.3">
      <c r="A3" s="64" t="s">
        <v>93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4" t="str">
        <f>A3</f>
        <v>Questar Gas Company</v>
      </c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6"/>
      <c r="AK3" s="2"/>
    </row>
    <row r="4" spans="1:37" ht="15.75" x14ac:dyDescent="0.25">
      <c r="A4" s="65" t="s">
        <v>46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86"/>
      <c r="S4" s="65" t="s">
        <v>45</v>
      </c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86"/>
      <c r="AK4" s="2"/>
    </row>
    <row r="5" spans="1:37" ht="15.75" x14ac:dyDescent="0.25">
      <c r="A5" s="68" t="s">
        <v>110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86"/>
      <c r="S5" s="65" t="s">
        <v>46</v>
      </c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86"/>
      <c r="AK5" s="7"/>
    </row>
    <row r="6" spans="1:37" ht="15.75" x14ac:dyDescent="0.25">
      <c r="A6" s="69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86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86"/>
      <c r="AK6" s="2"/>
    </row>
    <row r="7" spans="1:37" ht="15.75" x14ac:dyDescent="0.25">
      <c r="A7" s="128" t="s">
        <v>130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119" t="s">
        <v>211</v>
      </c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185"/>
      <c r="AH7" s="185"/>
      <c r="AI7" s="185"/>
      <c r="AJ7" s="88"/>
      <c r="AK7" s="2"/>
    </row>
    <row r="8" spans="1:37" ht="15.75" x14ac:dyDescent="0.25">
      <c r="A8" s="87"/>
      <c r="B8" s="87"/>
      <c r="C8" s="87"/>
      <c r="D8" s="87"/>
      <c r="E8" s="87"/>
      <c r="F8" s="87"/>
      <c r="G8" s="87"/>
      <c r="H8" s="89"/>
      <c r="I8" s="89"/>
      <c r="J8" s="89"/>
      <c r="K8" s="90"/>
      <c r="L8" s="142"/>
      <c r="M8" s="142"/>
      <c r="N8" s="142"/>
      <c r="O8" s="142"/>
      <c r="P8" s="142"/>
      <c r="Q8" s="142" t="s">
        <v>210</v>
      </c>
      <c r="R8" s="122" t="s">
        <v>3</v>
      </c>
      <c r="S8" s="87"/>
      <c r="T8" s="87"/>
      <c r="U8" s="87"/>
      <c r="V8" s="87"/>
      <c r="W8" s="87"/>
      <c r="X8" s="87"/>
      <c r="Y8" s="87"/>
      <c r="Z8" s="89"/>
      <c r="AA8" s="89"/>
      <c r="AB8" s="89"/>
      <c r="AC8" s="92"/>
      <c r="AD8" s="92"/>
      <c r="AE8" s="90"/>
      <c r="AF8" s="90"/>
      <c r="AG8" s="186"/>
      <c r="AH8" s="209"/>
      <c r="AI8" s="209" t="str">
        <f>+Q8</f>
        <v>1st Qrtr</v>
      </c>
      <c r="AJ8" s="122" t="s">
        <v>212</v>
      </c>
      <c r="AK8" s="2"/>
    </row>
    <row r="9" spans="1:37" ht="15.75" x14ac:dyDescent="0.25">
      <c r="A9" s="93" t="s">
        <v>0</v>
      </c>
      <c r="B9" s="93">
        <v>1999</v>
      </c>
      <c r="C9" s="93">
        <f t="shared" ref="C9:L9" si="0">B9+1</f>
        <v>2000</v>
      </c>
      <c r="D9" s="93">
        <f t="shared" si="0"/>
        <v>2001</v>
      </c>
      <c r="E9" s="93">
        <f t="shared" si="0"/>
        <v>2002</v>
      </c>
      <c r="F9" s="93">
        <f t="shared" si="0"/>
        <v>2003</v>
      </c>
      <c r="G9" s="93">
        <f t="shared" si="0"/>
        <v>2004</v>
      </c>
      <c r="H9" s="93">
        <f t="shared" si="0"/>
        <v>2005</v>
      </c>
      <c r="I9" s="93">
        <f t="shared" si="0"/>
        <v>2006</v>
      </c>
      <c r="J9" s="93">
        <f t="shared" si="0"/>
        <v>2007</v>
      </c>
      <c r="K9" s="93">
        <f t="shared" si="0"/>
        <v>2008</v>
      </c>
      <c r="L9" s="93">
        <f t="shared" si="0"/>
        <v>2009</v>
      </c>
      <c r="M9" s="93">
        <f>L9+1</f>
        <v>2010</v>
      </c>
      <c r="N9" s="93">
        <f>M9+1</f>
        <v>2011</v>
      </c>
      <c r="O9" s="93">
        <f>N9+1</f>
        <v>2012</v>
      </c>
      <c r="P9" s="93">
        <f>O9+1</f>
        <v>2013</v>
      </c>
      <c r="Q9" s="93">
        <v>2014</v>
      </c>
      <c r="R9" s="120" t="s">
        <v>24</v>
      </c>
      <c r="S9" s="94" t="s">
        <v>0</v>
      </c>
      <c r="T9" s="93">
        <f>B9</f>
        <v>1999</v>
      </c>
      <c r="U9" s="93">
        <f t="shared" ref="U9:AB9" si="1">T9+1</f>
        <v>2000</v>
      </c>
      <c r="V9" s="93">
        <f t="shared" si="1"/>
        <v>2001</v>
      </c>
      <c r="W9" s="93">
        <f t="shared" si="1"/>
        <v>2002</v>
      </c>
      <c r="X9" s="93">
        <f t="shared" si="1"/>
        <v>2003</v>
      </c>
      <c r="Y9" s="93">
        <f t="shared" si="1"/>
        <v>2004</v>
      </c>
      <c r="Z9" s="93">
        <f t="shared" si="1"/>
        <v>2005</v>
      </c>
      <c r="AA9" s="93">
        <f t="shared" si="1"/>
        <v>2006</v>
      </c>
      <c r="AB9" s="93">
        <f t="shared" si="1"/>
        <v>2007</v>
      </c>
      <c r="AC9" s="93">
        <f>AB9+1</f>
        <v>2008</v>
      </c>
      <c r="AD9" s="93">
        <f>+L9</f>
        <v>2009</v>
      </c>
      <c r="AE9" s="93">
        <f>+M9</f>
        <v>2010</v>
      </c>
      <c r="AF9" s="93">
        <f>+N9</f>
        <v>2011</v>
      </c>
      <c r="AG9" s="187">
        <f t="shared" ref="AG9:AI9" si="2">+O9</f>
        <v>2012</v>
      </c>
      <c r="AH9" s="187">
        <f t="shared" si="2"/>
        <v>2013</v>
      </c>
      <c r="AI9" s="187">
        <f t="shared" si="2"/>
        <v>2014</v>
      </c>
      <c r="AJ9" s="120" t="s">
        <v>44</v>
      </c>
      <c r="AK9" s="2"/>
    </row>
    <row r="10" spans="1:37" ht="12" customHeight="1" x14ac:dyDescent="0.2">
      <c r="A10" s="70"/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1"/>
      <c r="S10" s="73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5"/>
      <c r="AK10" s="2"/>
    </row>
    <row r="11" spans="1:37" ht="15.75" x14ac:dyDescent="0.25">
      <c r="A11" s="117" t="s">
        <v>7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43"/>
      <c r="S11" s="153" t="s">
        <v>7</v>
      </c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43"/>
      <c r="AK11" s="2"/>
    </row>
    <row r="12" spans="1:37" ht="15" x14ac:dyDescent="0.2">
      <c r="A12" s="72" t="s">
        <v>4</v>
      </c>
      <c r="B12" s="72">
        <v>1708</v>
      </c>
      <c r="C12" s="95">
        <v>882</v>
      </c>
      <c r="D12" s="95">
        <v>4366</v>
      </c>
      <c r="E12" s="95">
        <v>2993</v>
      </c>
      <c r="F12" s="95">
        <v>3894</v>
      </c>
      <c r="G12" s="95">
        <v>2131</v>
      </c>
      <c r="H12" s="95">
        <v>3206</v>
      </c>
      <c r="I12" s="95">
        <v>3600</v>
      </c>
      <c r="J12" s="95">
        <v>4100</v>
      </c>
      <c r="K12" s="95">
        <v>1200</v>
      </c>
      <c r="L12" s="95">
        <v>7200</v>
      </c>
      <c r="M12" s="95">
        <v>4700</v>
      </c>
      <c r="N12" s="95">
        <v>5000</v>
      </c>
      <c r="O12" s="95">
        <v>1400</v>
      </c>
      <c r="P12" s="95">
        <v>8800</v>
      </c>
      <c r="Q12" s="95">
        <v>1400</v>
      </c>
      <c r="R12" s="43">
        <f>RATE(5,,-K12,P12)</f>
        <v>0.48956783302724854</v>
      </c>
      <c r="S12" s="72" t="str">
        <f>A12</f>
        <v>Cash &amp; Equivalents</v>
      </c>
      <c r="T12" s="43">
        <f t="shared" ref="T12:AD21" si="3">B12/B$39</f>
        <v>2.3605767104506654E-3</v>
      </c>
      <c r="U12" s="43">
        <f t="shared" si="3"/>
        <v>1.0622333878500733E-3</v>
      </c>
      <c r="V12" s="43">
        <f t="shared" si="3"/>
        <v>5.2359913844795911E-3</v>
      </c>
      <c r="W12" s="43">
        <f t="shared" si="3"/>
        <v>3.5982596589768344E-3</v>
      </c>
      <c r="X12" s="43">
        <f t="shared" si="3"/>
        <v>4.2800050999547163E-3</v>
      </c>
      <c r="Y12" s="43">
        <f t="shared" si="3"/>
        <v>2.1065055534247768E-3</v>
      </c>
      <c r="Z12" s="43">
        <f t="shared" si="3"/>
        <v>2.8971127370847598E-3</v>
      </c>
      <c r="AA12" s="43">
        <f t="shared" si="3"/>
        <v>3.3541414329637566E-3</v>
      </c>
      <c r="AB12" s="43">
        <f t="shared" si="3"/>
        <v>3.5111758157060891E-3</v>
      </c>
      <c r="AC12" s="43">
        <f t="shared" si="3"/>
        <v>9.1954022988505744E-4</v>
      </c>
      <c r="AD12" s="43">
        <f t="shared" si="3"/>
        <v>5.3767455753864534E-3</v>
      </c>
      <c r="AE12" s="43">
        <f>M12/M$39</f>
        <v>3.3302628781974068E-3</v>
      </c>
      <c r="AF12" s="43">
        <f>N12/N$39</f>
        <v>3.4537542308489327E-3</v>
      </c>
      <c r="AG12" s="43">
        <f t="shared" ref="AG12:AI21" si="4">O12/O$39</f>
        <v>8.6137943764228147E-4</v>
      </c>
      <c r="AH12" s="43">
        <f t="shared" si="4"/>
        <v>4.9096183887525104E-3</v>
      </c>
      <c r="AI12" s="43">
        <f>Q12/Q$39</f>
        <v>7.9029071408410947E-4</v>
      </c>
      <c r="AJ12" s="43">
        <f>SUM(L12:P12)/SUM(L$39:P$39)</f>
        <v>3.5583917644896137E-3</v>
      </c>
      <c r="AK12" s="146"/>
    </row>
    <row r="13" spans="1:37" ht="15" x14ac:dyDescent="0.2">
      <c r="A13" s="72" t="s">
        <v>225</v>
      </c>
      <c r="B13" s="72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>
        <v>30600</v>
      </c>
      <c r="R13" s="43"/>
      <c r="S13" s="72" t="str">
        <f>+A13</f>
        <v>Notes Receivable from Questar</v>
      </c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>
        <f>Q13/Q$39</f>
        <v>1.7273497036409822E-2</v>
      </c>
      <c r="AJ13" s="43"/>
      <c r="AK13" s="146"/>
    </row>
    <row r="14" spans="1:37" ht="15" x14ac:dyDescent="0.2">
      <c r="A14" s="76" t="s">
        <v>108</v>
      </c>
      <c r="B14" s="72">
        <f>44549+37287+1262</f>
        <v>83098</v>
      </c>
      <c r="C14" s="95">
        <f>69808+45293</f>
        <v>115101</v>
      </c>
      <c r="D14" s="95">
        <f>53697+53613+576</f>
        <v>107886</v>
      </c>
      <c r="E14" s="95">
        <f>50570+39788+380</f>
        <v>90738</v>
      </c>
      <c r="F14" s="95">
        <f>80227+49722+281</f>
        <v>130230</v>
      </c>
      <c r="G14" s="95">
        <f>76352+59160+544</f>
        <v>136056</v>
      </c>
      <c r="H14" s="95">
        <f>101188+86161+2102</f>
        <v>189451</v>
      </c>
      <c r="I14" s="95">
        <f>83300+67500+2100</f>
        <v>152900</v>
      </c>
      <c r="J14" s="95">
        <f>72100+78200+2700</f>
        <v>153000</v>
      </c>
      <c r="K14" s="95">
        <f>76600+95800+2200</f>
        <v>174600</v>
      </c>
      <c r="L14" s="95">
        <f>77000+86600+3300</f>
        <v>166900</v>
      </c>
      <c r="M14" s="95">
        <f>85300+81500+4500</f>
        <v>171300</v>
      </c>
      <c r="N14" s="95">
        <f>76100+75200+1800</f>
        <v>153100</v>
      </c>
      <c r="O14" s="95">
        <f>67000+78200+31800</f>
        <v>177000</v>
      </c>
      <c r="P14" s="95">
        <f>86100+93400+30400</f>
        <v>209900</v>
      </c>
      <c r="Q14" s="95">
        <f>102600+56300+31300</f>
        <v>190200</v>
      </c>
      <c r="R14" s="43">
        <f t="shared" ref="R14:R17" si="5">RATE(5,,-K14,P14)</f>
        <v>3.751322152930165E-2</v>
      </c>
      <c r="S14" s="72" t="str">
        <f>A14</f>
        <v>Accounts Receivable, net</v>
      </c>
      <c r="T14" s="43">
        <f t="shared" si="3"/>
        <v>0.11484730883198443</v>
      </c>
      <c r="U14" s="43">
        <f t="shared" si="3"/>
        <v>0.13862145711443458</v>
      </c>
      <c r="V14" s="43">
        <f t="shared" si="3"/>
        <v>0.12938391353778406</v>
      </c>
      <c r="W14" s="43">
        <f t="shared" si="3"/>
        <v>0.10908749914341463</v>
      </c>
      <c r="X14" s="43">
        <f t="shared" si="3"/>
        <v>0.14313946177891695</v>
      </c>
      <c r="Y14" s="43">
        <f t="shared" si="3"/>
        <v>0.13449212556394247</v>
      </c>
      <c r="Z14" s="43">
        <f t="shared" si="3"/>
        <v>0.17119803654193538</v>
      </c>
      <c r="AA14" s="43">
        <f t="shared" si="3"/>
        <v>0.14245784030559955</v>
      </c>
      <c r="AB14" s="43">
        <f t="shared" si="3"/>
        <v>0.1310268048300077</v>
      </c>
      <c r="AC14" s="43">
        <f t="shared" si="3"/>
        <v>0.13379310344827586</v>
      </c>
      <c r="AD14" s="43">
        <f t="shared" si="3"/>
        <v>0.12463594951833321</v>
      </c>
      <c r="AE14" s="43">
        <f>M14/M$39</f>
        <v>0.12137745341174803</v>
      </c>
      <c r="AF14" s="43">
        <f>N14/N$39</f>
        <v>0.10575395454859432</v>
      </c>
      <c r="AG14" s="43">
        <f t="shared" si="4"/>
        <v>0.10890297175905987</v>
      </c>
      <c r="AH14" s="43">
        <f t="shared" si="4"/>
        <v>0.11710555679535818</v>
      </c>
      <c r="AI14" s="43">
        <f t="shared" si="4"/>
        <v>0.10736663844199831</v>
      </c>
      <c r="AJ14" s="43">
        <f>SUM(L14:P14)/SUM(L$39:P$39)</f>
        <v>0.11531290212453058</v>
      </c>
      <c r="AK14" s="2"/>
    </row>
    <row r="15" spans="1:37" ht="15" x14ac:dyDescent="0.2">
      <c r="A15" s="83" t="s">
        <v>173</v>
      </c>
      <c r="B15" s="72"/>
      <c r="C15" s="95"/>
      <c r="D15" s="95"/>
      <c r="E15" s="95"/>
      <c r="F15" s="95"/>
      <c r="G15" s="95"/>
      <c r="H15" s="95"/>
      <c r="I15" s="95"/>
      <c r="J15" s="95"/>
      <c r="K15" s="95"/>
      <c r="L15" s="95">
        <v>42500</v>
      </c>
      <c r="M15" s="95">
        <v>43300</v>
      </c>
      <c r="N15" s="95">
        <v>40300</v>
      </c>
      <c r="O15" s="95">
        <v>38300</v>
      </c>
      <c r="P15" s="95">
        <v>39200</v>
      </c>
      <c r="Q15" s="95">
        <v>6200</v>
      </c>
      <c r="R15" s="43"/>
      <c r="S15" s="72" t="str">
        <f>+A15</f>
        <v>Gas Stored Underground</v>
      </c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2"/>
    </row>
    <row r="16" spans="1:37" ht="15" x14ac:dyDescent="0.2">
      <c r="A16" s="76" t="s">
        <v>94</v>
      </c>
      <c r="B16" s="72">
        <f>18497+3183</f>
        <v>21680</v>
      </c>
      <c r="C16" s="95">
        <f>22444+3542</f>
        <v>25986</v>
      </c>
      <c r="D16" s="95">
        <f>22810+4213</f>
        <v>27023</v>
      </c>
      <c r="E16" s="95">
        <f>22742+4073</f>
        <v>26815</v>
      </c>
      <c r="F16" s="95">
        <f>23126+4861</f>
        <v>27987</v>
      </c>
      <c r="G16" s="95">
        <f>44340+5660</f>
        <v>50000</v>
      </c>
      <c r="H16" s="95">
        <f>57526+6649</f>
        <v>64175</v>
      </c>
      <c r="I16" s="95">
        <f>50200+7800</f>
        <v>58000</v>
      </c>
      <c r="J16" s="95">
        <f>42900+9300</f>
        <v>52200</v>
      </c>
      <c r="K16" s="95">
        <f>61900+13900</f>
        <v>75800</v>
      </c>
      <c r="L16" s="95">
        <v>12100</v>
      </c>
      <c r="M16" s="95">
        <v>7900</v>
      </c>
      <c r="N16" s="95">
        <v>12200</v>
      </c>
      <c r="O16" s="95">
        <v>13500</v>
      </c>
      <c r="P16" s="95">
        <v>12100</v>
      </c>
      <c r="Q16" s="95">
        <v>13200</v>
      </c>
      <c r="R16" s="43">
        <f t="shared" si="5"/>
        <v>-0.30717550650650294</v>
      </c>
      <c r="S16" s="72" t="str">
        <f>A16</f>
        <v>Material and Supplies</v>
      </c>
      <c r="T16" s="43">
        <f t="shared" si="3"/>
        <v>2.9963292202910087E-2</v>
      </c>
      <c r="U16" s="43">
        <f t="shared" si="3"/>
        <v>3.1296141515501141E-2</v>
      </c>
      <c r="V16" s="43">
        <f t="shared" si="3"/>
        <v>3.2407740536599172E-2</v>
      </c>
      <c r="W16" s="43">
        <f t="shared" si="3"/>
        <v>3.2237665471254194E-2</v>
      </c>
      <c r="X16" s="43">
        <f t="shared" si="3"/>
        <v>3.0761300136731545E-2</v>
      </c>
      <c r="Y16" s="43">
        <f t="shared" si="3"/>
        <v>4.9425282811468248E-2</v>
      </c>
      <c r="Z16" s="43">
        <f t="shared" si="3"/>
        <v>5.7991955677609008E-2</v>
      </c>
      <c r="AA16" s="43">
        <f t="shared" si="3"/>
        <v>5.4038945308860525E-2</v>
      </c>
      <c r="AB16" s="43">
        <f t="shared" si="3"/>
        <v>4.470326282435557E-2</v>
      </c>
      <c r="AC16" s="43">
        <f t="shared" si="3"/>
        <v>5.8084291187739466E-2</v>
      </c>
      <c r="AD16" s="43">
        <f t="shared" si="3"/>
        <v>9.0359196475244576E-3</v>
      </c>
      <c r="AE16" s="43">
        <f>M16/M$39</f>
        <v>5.5976759016509604E-3</v>
      </c>
      <c r="AF16" s="43">
        <f>N16/N$39</f>
        <v>8.4271603232713953E-3</v>
      </c>
      <c r="AG16" s="43">
        <f t="shared" si="4"/>
        <v>8.3061588629791423E-3</v>
      </c>
      <c r="AH16" s="43">
        <f t="shared" si="4"/>
        <v>6.7507252845347022E-3</v>
      </c>
      <c r="AI16" s="43">
        <f t="shared" si="4"/>
        <v>7.4513124470787472E-3</v>
      </c>
      <c r="AJ16" s="43">
        <f>SUM(L16:P16)/SUM(L$39:P$39)</f>
        <v>7.5894850179889176E-3</v>
      </c>
      <c r="AK16" s="2"/>
    </row>
    <row r="17" spans="1:39" ht="15" x14ac:dyDescent="0.2">
      <c r="A17" s="83" t="s">
        <v>145</v>
      </c>
      <c r="B17" s="72"/>
      <c r="C17" s="95"/>
      <c r="D17" s="95"/>
      <c r="E17" s="95"/>
      <c r="F17" s="95"/>
      <c r="G17" s="95"/>
      <c r="H17" s="95"/>
      <c r="I17" s="95"/>
      <c r="J17" s="95"/>
      <c r="K17" s="95">
        <v>7100</v>
      </c>
      <c r="L17" s="95"/>
      <c r="M17" s="95">
        <v>7700</v>
      </c>
      <c r="N17" s="95">
        <v>1500</v>
      </c>
      <c r="O17" s="95"/>
      <c r="P17" s="95">
        <v>2800</v>
      </c>
      <c r="Q17" s="95"/>
      <c r="R17" s="43">
        <f t="shared" si="5"/>
        <v>-0.16980533817418719</v>
      </c>
      <c r="S17" s="72" t="str">
        <f>+A17</f>
        <v>Income Tax Receivable</v>
      </c>
      <c r="T17" s="43"/>
      <c r="U17" s="43"/>
      <c r="V17" s="43"/>
      <c r="W17" s="43"/>
      <c r="X17" s="43"/>
      <c r="Y17" s="43"/>
      <c r="Z17" s="43"/>
      <c r="AA17" s="43"/>
      <c r="AB17" s="43"/>
      <c r="AC17" s="43">
        <f t="shared" si="3"/>
        <v>5.4406130268199234E-3</v>
      </c>
      <c r="AD17" s="43"/>
      <c r="AE17" s="43"/>
      <c r="AF17" s="43"/>
      <c r="AG17" s="43"/>
      <c r="AH17" s="43"/>
      <c r="AI17" s="43"/>
      <c r="AJ17" s="43"/>
      <c r="AK17" s="2"/>
    </row>
    <row r="18" spans="1:39" ht="15" x14ac:dyDescent="0.2">
      <c r="A18" s="83" t="s">
        <v>163</v>
      </c>
      <c r="B18" s="72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43"/>
      <c r="S18" s="72" t="str">
        <f>+A18</f>
        <v>Purchased-Gas Adjustment</v>
      </c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2"/>
    </row>
    <row r="19" spans="1:39" ht="15" x14ac:dyDescent="0.2">
      <c r="A19" s="83" t="s">
        <v>60</v>
      </c>
      <c r="B19" s="72"/>
      <c r="C19" s="95"/>
      <c r="D19" s="95"/>
      <c r="E19" s="95"/>
      <c r="F19" s="95"/>
      <c r="G19" s="95"/>
      <c r="H19" s="95"/>
      <c r="I19" s="95"/>
      <c r="J19" s="95"/>
      <c r="K19" s="95">
        <v>20600</v>
      </c>
      <c r="L19" s="95">
        <v>43300</v>
      </c>
      <c r="M19" s="95">
        <v>52700</v>
      </c>
      <c r="N19" s="95">
        <v>26500</v>
      </c>
      <c r="O19" s="95">
        <v>41000</v>
      </c>
      <c r="P19" s="95">
        <v>30200</v>
      </c>
      <c r="Q19" s="95">
        <v>24000</v>
      </c>
      <c r="R19" s="43">
        <f t="shared" ref="R19:R20" si="6">RATE(5,,-K19,P19)</f>
        <v>7.9513168624827255E-2</v>
      </c>
      <c r="S19" s="72" t="str">
        <f>+A19</f>
        <v>Regulatory Assets</v>
      </c>
      <c r="T19" s="43"/>
      <c r="U19" s="43"/>
      <c r="V19" s="43"/>
      <c r="W19" s="43"/>
      <c r="X19" s="43"/>
      <c r="Y19" s="43"/>
      <c r="Z19" s="43"/>
      <c r="AA19" s="43"/>
      <c r="AB19" s="43"/>
      <c r="AC19" s="43">
        <f t="shared" si="3"/>
        <v>1.5785440613026822E-2</v>
      </c>
      <c r="AD19" s="43">
        <f t="shared" si="3"/>
        <v>3.233515047419909E-2</v>
      </c>
      <c r="AE19" s="43">
        <f t="shared" ref="AE19:AF21" si="7">M19/M$39</f>
        <v>3.7341458230000707E-2</v>
      </c>
      <c r="AF19" s="43">
        <f t="shared" si="7"/>
        <v>1.8304897423499344E-2</v>
      </c>
      <c r="AG19" s="43">
        <f t="shared" si="4"/>
        <v>2.5226112102381099E-2</v>
      </c>
      <c r="AH19" s="43">
        <f t="shared" si="4"/>
        <v>1.6848917652309753E-2</v>
      </c>
      <c r="AI19" s="43">
        <f t="shared" si="4"/>
        <v>1.3547840812870448E-2</v>
      </c>
      <c r="AJ19" s="43">
        <f t="shared" ref="AJ19:AJ21" si="8">SUM(L19:P19)/SUM(L$39:P$39)</f>
        <v>2.5433966228104728E-2</v>
      </c>
      <c r="AK19" s="2"/>
    </row>
    <row r="20" spans="1:39" ht="15" x14ac:dyDescent="0.2">
      <c r="A20" s="72" t="s">
        <v>23</v>
      </c>
      <c r="B20" s="72">
        <f>432+3168</f>
        <v>3600</v>
      </c>
      <c r="C20" s="95">
        <f>5019+35565+773</f>
        <v>41357</v>
      </c>
      <c r="D20" s="95">
        <f>363+8296+1097</f>
        <v>9756</v>
      </c>
      <c r="E20" s="95">
        <f>1474+5047</f>
        <v>6521</v>
      </c>
      <c r="F20" s="95">
        <f>1780+552</f>
        <v>2332</v>
      </c>
      <c r="G20" s="95">
        <f>6701+2188+35853</f>
        <v>44742</v>
      </c>
      <c r="H20" s="95">
        <f>5508+2857+39852</f>
        <v>48217</v>
      </c>
      <c r="I20" s="95">
        <f>2100+1700</f>
        <v>3800</v>
      </c>
      <c r="J20" s="95">
        <f>11900+2000+4000</f>
        <v>17900</v>
      </c>
      <c r="K20" s="95">
        <v>4700</v>
      </c>
      <c r="L20" s="95">
        <f>3600+3400</f>
        <v>7000</v>
      </c>
      <c r="M20" s="95">
        <f>2900+1300</f>
        <v>4200</v>
      </c>
      <c r="N20" s="95">
        <f>3100+5600</f>
        <v>8700</v>
      </c>
      <c r="O20" s="95">
        <f>3200+1500</f>
        <v>4700</v>
      </c>
      <c r="P20" s="95">
        <f>3000+2900</f>
        <v>5900</v>
      </c>
      <c r="Q20" s="95">
        <f>2400+2900</f>
        <v>5300</v>
      </c>
      <c r="R20" s="51">
        <f t="shared" si="6"/>
        <v>4.6527947715820951E-2</v>
      </c>
      <c r="S20" s="72" t="str">
        <f>A20</f>
        <v>Other Current Assets</v>
      </c>
      <c r="T20" s="77">
        <f t="shared" si="3"/>
        <v>4.9754544248374688E-3</v>
      </c>
      <c r="U20" s="77">
        <f t="shared" si="3"/>
        <v>4.9808147643214833E-2</v>
      </c>
      <c r="V20" s="77">
        <f t="shared" si="3"/>
        <v>1.1700030221480277E-2</v>
      </c>
      <c r="W20" s="77">
        <f t="shared" si="3"/>
        <v>7.8397097347771248E-3</v>
      </c>
      <c r="X20" s="77">
        <f t="shared" si="3"/>
        <v>2.5631668960180783E-3</v>
      </c>
      <c r="Y20" s="77">
        <f t="shared" si="3"/>
        <v>4.4227720071014248E-2</v>
      </c>
      <c r="Z20" s="77">
        <f t="shared" si="3"/>
        <v>4.3571455035563277E-2</v>
      </c>
      <c r="AA20" s="77">
        <f t="shared" si="3"/>
        <v>3.5404826236839653E-3</v>
      </c>
      <c r="AB20" s="77">
        <f t="shared" si="3"/>
        <v>1.5329279780765608E-2</v>
      </c>
      <c r="AC20" s="77">
        <f t="shared" si="3"/>
        <v>3.6015325670498083E-3</v>
      </c>
      <c r="AD20" s="77">
        <f t="shared" si="3"/>
        <v>5.2273915316257188E-3</v>
      </c>
      <c r="AE20" s="77">
        <f t="shared" si="7"/>
        <v>2.9759795932827889E-3</v>
      </c>
      <c r="AF20" s="77">
        <f t="shared" si="7"/>
        <v>6.0095323616771428E-3</v>
      </c>
      <c r="AG20" s="77">
        <f t="shared" si="4"/>
        <v>2.8917738263705161E-3</v>
      </c>
      <c r="AH20" s="77">
        <f t="shared" si="4"/>
        <v>3.2916759651863423E-3</v>
      </c>
      <c r="AI20" s="77">
        <f t="shared" si="4"/>
        <v>2.9918148461755573E-3</v>
      </c>
      <c r="AJ20" s="51">
        <f t="shared" si="8"/>
        <v>4.0048320596654322E-3</v>
      </c>
      <c r="AK20" s="2"/>
    </row>
    <row r="21" spans="1:39" ht="15" x14ac:dyDescent="0.2">
      <c r="A21" s="72" t="s">
        <v>38</v>
      </c>
      <c r="B21" s="78">
        <f t="shared" ref="B21:M21" si="9">SUM(B11:B20)</f>
        <v>110086</v>
      </c>
      <c r="C21" s="96">
        <f t="shared" si="9"/>
        <v>183326</v>
      </c>
      <c r="D21" s="96">
        <f t="shared" si="9"/>
        <v>149031</v>
      </c>
      <c r="E21" s="96">
        <f t="shared" si="9"/>
        <v>127067</v>
      </c>
      <c r="F21" s="96">
        <f t="shared" si="9"/>
        <v>164443</v>
      </c>
      <c r="G21" s="96">
        <f t="shared" si="9"/>
        <v>232929</v>
      </c>
      <c r="H21" s="96">
        <f t="shared" si="9"/>
        <v>305049</v>
      </c>
      <c r="I21" s="96">
        <f t="shared" si="9"/>
        <v>218300</v>
      </c>
      <c r="J21" s="96">
        <f t="shared" si="9"/>
        <v>227200</v>
      </c>
      <c r="K21" s="96">
        <f t="shared" si="9"/>
        <v>284000</v>
      </c>
      <c r="L21" s="96">
        <f t="shared" si="9"/>
        <v>279000</v>
      </c>
      <c r="M21" s="96">
        <f t="shared" si="9"/>
        <v>291800</v>
      </c>
      <c r="N21" s="96">
        <f t="shared" ref="N21" si="10">SUM(N11:N20)</f>
        <v>247300</v>
      </c>
      <c r="O21" s="96">
        <f t="shared" ref="O21:P21" si="11">SUM(O11:O20)</f>
        <v>275900</v>
      </c>
      <c r="P21" s="96">
        <f t="shared" si="11"/>
        <v>308900</v>
      </c>
      <c r="Q21" s="96">
        <f t="shared" ref="Q21" si="12">SUM(Q11:Q20)</f>
        <v>270900</v>
      </c>
      <c r="R21" s="43">
        <f>RATE(5,,-K21,P21)</f>
        <v>1.6950732919483708E-2</v>
      </c>
      <c r="S21" s="72" t="str">
        <f>A21</f>
        <v>Total Current Assets</v>
      </c>
      <c r="T21" s="43">
        <f t="shared" si="3"/>
        <v>0.15214663217018265</v>
      </c>
      <c r="U21" s="43">
        <f t="shared" si="3"/>
        <v>0.22078797966100061</v>
      </c>
      <c r="V21" s="43">
        <f t="shared" si="3"/>
        <v>0.17872767568034309</v>
      </c>
      <c r="W21" s="43">
        <f t="shared" si="3"/>
        <v>0.15276313400842279</v>
      </c>
      <c r="X21" s="43">
        <f t="shared" si="3"/>
        <v>0.1807439339116213</v>
      </c>
      <c r="Y21" s="43">
        <f t="shared" si="3"/>
        <v>0.23025163399984974</v>
      </c>
      <c r="Z21" s="43">
        <f t="shared" si="3"/>
        <v>0.27565855999219241</v>
      </c>
      <c r="AA21" s="43">
        <f t="shared" si="3"/>
        <v>0.2033914096711078</v>
      </c>
      <c r="AB21" s="43">
        <f t="shared" si="3"/>
        <v>0.19457052325083499</v>
      </c>
      <c r="AC21" s="43">
        <f t="shared" si="3"/>
        <v>0.21762452107279692</v>
      </c>
      <c r="AD21" s="43">
        <f t="shared" si="3"/>
        <v>0.20834889104622509</v>
      </c>
      <c r="AE21" s="43">
        <f t="shared" si="7"/>
        <v>0.20675972507617091</v>
      </c>
      <c r="AF21" s="43">
        <f t="shared" si="7"/>
        <v>0.17082268425778821</v>
      </c>
      <c r="AG21" s="43">
        <f t="shared" si="4"/>
        <v>0.16975327631821818</v>
      </c>
      <c r="AH21" s="43">
        <f t="shared" si="4"/>
        <v>0.17233876366882392</v>
      </c>
      <c r="AI21" s="43">
        <f t="shared" si="4"/>
        <v>0.15292125317527519</v>
      </c>
      <c r="AJ21" s="43">
        <f t="shared" si="8"/>
        <v>0.18420914414769296</v>
      </c>
      <c r="AK21" s="2"/>
    </row>
    <row r="22" spans="1:39" ht="15" x14ac:dyDescent="0.2">
      <c r="A22" s="72"/>
      <c r="B22" s="72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43"/>
      <c r="S22" s="72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7"/>
    </row>
    <row r="23" spans="1:39" ht="15.75" x14ac:dyDescent="0.25">
      <c r="A23" s="117" t="s">
        <v>25</v>
      </c>
      <c r="B23" s="72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41"/>
      <c r="S23" s="117" t="s">
        <v>25</v>
      </c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7"/>
    </row>
    <row r="24" spans="1:39" ht="15" x14ac:dyDescent="0.2">
      <c r="A24" s="72" t="s">
        <v>116</v>
      </c>
      <c r="B24" s="72">
        <f>725874+97870+121421</f>
        <v>945165</v>
      </c>
      <c r="C24" s="95">
        <f>818802+97870+125970</f>
        <v>1042642</v>
      </c>
      <c r="D24" s="95">
        <f>875415+97870+139299</f>
        <v>1112584</v>
      </c>
      <c r="E24" s="95">
        <f>941645+92594+143734</f>
        <v>1177973</v>
      </c>
      <c r="F24" s="95">
        <f>990984+91343+137972</f>
        <v>1220299</v>
      </c>
      <c r="G24" s="95">
        <f>1047365+91032+162246</f>
        <v>1300643</v>
      </c>
      <c r="H24" s="95">
        <f>1104430+90038+169814</f>
        <v>1364282</v>
      </c>
      <c r="I24" s="95">
        <f>1174100+89500+123400</f>
        <v>1387000</v>
      </c>
      <c r="J24" s="95">
        <f>1293800+211900</f>
        <v>1505700</v>
      </c>
      <c r="K24" s="95">
        <f>1646800-23900</f>
        <v>1622900</v>
      </c>
      <c r="L24" s="95">
        <f>1414100+267500</f>
        <v>1681600</v>
      </c>
      <c r="M24" s="95">
        <f>1490100+272400</f>
        <v>1762500</v>
      </c>
      <c r="N24" s="95">
        <f>1583100+284400</f>
        <v>1867500</v>
      </c>
      <c r="O24" s="95">
        <f>1690500+281600</f>
        <v>1972100</v>
      </c>
      <c r="P24" s="95">
        <f>1839800+289800</f>
        <v>2129600</v>
      </c>
      <c r="Q24" s="95">
        <v>2230000</v>
      </c>
      <c r="R24" s="43">
        <f t="shared" ref="R24:R25" si="13">RATE(5,,-K24,P24)</f>
        <v>5.5847644954217027E-2</v>
      </c>
      <c r="S24" s="72" t="str">
        <f>A24</f>
        <v>Plant in Service</v>
      </c>
      <c r="T24" s="43">
        <f t="shared" ref="T24:AD27" si="14">B24/B$39</f>
        <v>1.3062848281809738</v>
      </c>
      <c r="U24" s="43">
        <f t="shared" si="14"/>
        <v>1.2557019772956646</v>
      </c>
      <c r="V24" s="43">
        <f t="shared" si="14"/>
        <v>1.3342831512848927</v>
      </c>
      <c r="W24" s="43">
        <f t="shared" si="14"/>
        <v>1.416188682012669</v>
      </c>
      <c r="X24" s="43">
        <f t="shared" si="14"/>
        <v>1.3412650085951823</v>
      </c>
      <c r="Y24" s="43">
        <f t="shared" si="14"/>
        <v>1.2856929622351299</v>
      </c>
      <c r="Z24" s="43">
        <f t="shared" si="14"/>
        <v>1.2328380409156177</v>
      </c>
      <c r="AA24" s="43">
        <f t="shared" si="14"/>
        <v>1.2922761576446473</v>
      </c>
      <c r="AB24" s="43">
        <f t="shared" si="14"/>
        <v>1.2894579087094289</v>
      </c>
      <c r="AC24" s="43">
        <f t="shared" si="14"/>
        <v>1.2436015325670497</v>
      </c>
      <c r="AD24" s="43">
        <f t="shared" si="14"/>
        <v>1.2557687999402585</v>
      </c>
      <c r="AE24" s="43">
        <f>M24/M$39</f>
        <v>1.2488485793240276</v>
      </c>
      <c r="AF24" s="43">
        <f>N24/N$39</f>
        <v>1.2899772052220764</v>
      </c>
      <c r="AG24" s="43">
        <f t="shared" ref="AG24:AI27" si="15">O24/O$39</f>
        <v>1.2133759921245308</v>
      </c>
      <c r="AH24" s="43">
        <f t="shared" si="15"/>
        <v>1.1881276500781075</v>
      </c>
      <c r="AI24" s="43">
        <f t="shared" si="15"/>
        <v>1.258820208862546</v>
      </c>
      <c r="AJ24" s="43">
        <f t="shared" ref="AJ24:AJ25" si="16">SUM(L24:P24)/SUM(L$39:P$39)</f>
        <v>1.2360224795819217</v>
      </c>
      <c r="AK24" s="7"/>
      <c r="AM24" s="1"/>
    </row>
    <row r="25" spans="1:39" ht="15" x14ac:dyDescent="0.2">
      <c r="A25" s="76" t="s">
        <v>124</v>
      </c>
      <c r="B25" s="72">
        <v>68434</v>
      </c>
      <c r="C25" s="95">
        <v>24720</v>
      </c>
      <c r="D25" s="95">
        <v>31871</v>
      </c>
      <c r="E25" s="95">
        <v>15580</v>
      </c>
      <c r="F25" s="95">
        <v>20254</v>
      </c>
      <c r="G25" s="95">
        <v>14894</v>
      </c>
      <c r="H25" s="27">
        <v>19080</v>
      </c>
      <c r="I25" s="27">
        <v>31100</v>
      </c>
      <c r="J25" s="27">
        <f>33500</f>
        <v>33500</v>
      </c>
      <c r="K25" s="27">
        <v>23900</v>
      </c>
      <c r="L25" s="27">
        <v>40300</v>
      </c>
      <c r="M25" s="27">
        <v>55100</v>
      </c>
      <c r="N25" s="27">
        <v>59500</v>
      </c>
      <c r="O25" s="27">
        <v>68800</v>
      </c>
      <c r="P25" s="27">
        <v>73400</v>
      </c>
      <c r="Q25" s="27"/>
      <c r="R25" s="43">
        <f t="shared" si="13"/>
        <v>0.25158293145143823</v>
      </c>
      <c r="S25" s="72" t="str">
        <f>A25</f>
        <v>Construction Work in Progress</v>
      </c>
      <c r="T25" s="43">
        <f t="shared" si="14"/>
        <v>9.4580624474813149E-2</v>
      </c>
      <c r="U25" s="43">
        <f t="shared" si="14"/>
        <v>2.9771439169675524E-2</v>
      </c>
      <c r="V25" s="43">
        <f t="shared" si="14"/>
        <v>3.8221777694628735E-2</v>
      </c>
      <c r="W25" s="43">
        <f t="shared" si="14"/>
        <v>1.8730666717961603E-2</v>
      </c>
      <c r="X25" s="43">
        <f t="shared" si="14"/>
        <v>2.2261741986256502E-2</v>
      </c>
      <c r="Y25" s="43">
        <f t="shared" si="14"/>
        <v>1.4722803243880162E-2</v>
      </c>
      <c r="Z25" s="43">
        <f t="shared" si="14"/>
        <v>1.7241706495189402E-2</v>
      </c>
      <c r="AA25" s="43">
        <f t="shared" si="14"/>
        <v>2.8976055156992454E-2</v>
      </c>
      <c r="AB25" s="43">
        <f t="shared" si="14"/>
        <v>2.8688875567354628E-2</v>
      </c>
      <c r="AC25" s="43">
        <f t="shared" si="14"/>
        <v>1.8314176245210728E-2</v>
      </c>
      <c r="AD25" s="43">
        <f t="shared" si="14"/>
        <v>3.0094839817788068E-2</v>
      </c>
      <c r="AE25" s="160">
        <f t="shared" ref="AE25" si="17">M25/M$39</f>
        <v>3.9042017997590876E-2</v>
      </c>
      <c r="AF25" s="160">
        <f t="shared" ref="AF25" si="18">N25/N$39</f>
        <v>4.10996753471023E-2</v>
      </c>
      <c r="AG25" s="160">
        <f t="shared" si="15"/>
        <v>4.2330646649849257E-2</v>
      </c>
      <c r="AH25" s="160">
        <f t="shared" si="15"/>
        <v>4.0950680651640259E-2</v>
      </c>
      <c r="AI25" s="160">
        <f t="shared" si="15"/>
        <v>0</v>
      </c>
      <c r="AJ25" s="43">
        <f t="shared" si="16"/>
        <v>3.9011003440216394E-2</v>
      </c>
      <c r="AK25" s="7"/>
    </row>
    <row r="26" spans="1:39" ht="15" x14ac:dyDescent="0.2">
      <c r="A26" s="72" t="s">
        <v>58</v>
      </c>
      <c r="B26" s="72">
        <v>0</v>
      </c>
      <c r="C26" s="95">
        <v>0</v>
      </c>
      <c r="D26" s="95">
        <v>0</v>
      </c>
      <c r="E26" s="95">
        <v>0</v>
      </c>
      <c r="F26" s="95"/>
      <c r="G26" s="95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51"/>
      <c r="S26" s="72" t="str">
        <f>A26</f>
        <v>Other PP&amp;E</v>
      </c>
      <c r="T26" s="79">
        <f t="shared" si="14"/>
        <v>0</v>
      </c>
      <c r="U26" s="79">
        <f t="shared" si="14"/>
        <v>0</v>
      </c>
      <c r="V26" s="79">
        <f t="shared" si="14"/>
        <v>0</v>
      </c>
      <c r="W26" s="79">
        <f t="shared" si="14"/>
        <v>0</v>
      </c>
      <c r="X26" s="79">
        <f t="shared" si="14"/>
        <v>0</v>
      </c>
      <c r="Y26" s="79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51"/>
      <c r="AK26" s="2"/>
    </row>
    <row r="27" spans="1:39" ht="12.75" customHeight="1" x14ac:dyDescent="0.2">
      <c r="A27" s="72" t="s">
        <v>65</v>
      </c>
      <c r="B27" s="78">
        <f t="shared" ref="B27:M27" si="19">SUM(B24:B26)</f>
        <v>1013599</v>
      </c>
      <c r="C27" s="96">
        <f t="shared" si="19"/>
        <v>1067362</v>
      </c>
      <c r="D27" s="96">
        <f t="shared" si="19"/>
        <v>1144455</v>
      </c>
      <c r="E27" s="96">
        <f t="shared" si="19"/>
        <v>1193553</v>
      </c>
      <c r="F27" s="96">
        <f t="shared" si="19"/>
        <v>1240553</v>
      </c>
      <c r="G27" s="96">
        <f t="shared" si="19"/>
        <v>1315537</v>
      </c>
      <c r="H27" s="96">
        <f t="shared" si="19"/>
        <v>1383362</v>
      </c>
      <c r="I27" s="96">
        <f t="shared" si="19"/>
        <v>1418100</v>
      </c>
      <c r="J27" s="96">
        <f t="shared" si="19"/>
        <v>1539200</v>
      </c>
      <c r="K27" s="96">
        <f t="shared" si="19"/>
        <v>1646800</v>
      </c>
      <c r="L27" s="96">
        <f t="shared" si="19"/>
        <v>1721900</v>
      </c>
      <c r="M27" s="96">
        <f t="shared" si="19"/>
        <v>1817600</v>
      </c>
      <c r="N27" s="96">
        <f t="shared" ref="N27" si="20">SUM(N24:N26)</f>
        <v>1927000</v>
      </c>
      <c r="O27" s="96">
        <f t="shared" ref="O27:P27" si="21">SUM(O24:O26)</f>
        <v>2040900</v>
      </c>
      <c r="P27" s="96">
        <f t="shared" si="21"/>
        <v>2203000</v>
      </c>
      <c r="Q27" s="96">
        <f t="shared" ref="Q27" si="22">SUM(Q24:Q26)</f>
        <v>2230000</v>
      </c>
      <c r="R27" s="43">
        <f>RATE(5,,-K27,P27)</f>
        <v>5.9924004177143692E-2</v>
      </c>
      <c r="S27" s="72" t="str">
        <f>A27</f>
        <v>Total Plant &amp; Equipment:</v>
      </c>
      <c r="T27" s="80">
        <f t="shared" si="14"/>
        <v>1.4008654526557871</v>
      </c>
      <c r="U27" s="80">
        <f t="shared" si="14"/>
        <v>1.2854734164653401</v>
      </c>
      <c r="V27" s="80">
        <f t="shared" si="14"/>
        <v>1.3725049289795213</v>
      </c>
      <c r="W27" s="80">
        <f t="shared" si="14"/>
        <v>1.4349193487306307</v>
      </c>
      <c r="X27" s="80">
        <f t="shared" si="14"/>
        <v>1.3635267505814388</v>
      </c>
      <c r="Y27" s="80">
        <f t="shared" si="14"/>
        <v>1.3004157654790101</v>
      </c>
      <c r="Z27" s="80">
        <f t="shared" si="14"/>
        <v>1.2500797474108072</v>
      </c>
      <c r="AA27" s="80">
        <f t="shared" si="14"/>
        <v>1.3212522128016397</v>
      </c>
      <c r="AB27" s="80">
        <f t="shared" si="14"/>
        <v>1.3181467842767833</v>
      </c>
      <c r="AC27" s="80">
        <f t="shared" si="14"/>
        <v>1.2619157088122606</v>
      </c>
      <c r="AD27" s="80">
        <f t="shared" si="14"/>
        <v>1.2858636397580465</v>
      </c>
      <c r="AE27" s="80">
        <f>M27/M$39</f>
        <v>1.2878905973216184</v>
      </c>
      <c r="AF27" s="80">
        <f>N27/N$39</f>
        <v>1.3310768805691786</v>
      </c>
      <c r="AG27" s="80">
        <f t="shared" si="15"/>
        <v>1.25570663877438</v>
      </c>
      <c r="AH27" s="80">
        <f t="shared" si="15"/>
        <v>1.2290783307297479</v>
      </c>
      <c r="AI27" s="80">
        <f t="shared" si="15"/>
        <v>1.258820208862546</v>
      </c>
      <c r="AJ27" s="43">
        <f>SUM(L27:P27)/SUM(L$39:P$39)</f>
        <v>1.2750334830221381</v>
      </c>
      <c r="AK27" s="2"/>
    </row>
    <row r="28" spans="1:39" ht="12" customHeight="1" x14ac:dyDescent="0.2">
      <c r="A28" s="72"/>
      <c r="B28" s="72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43"/>
      <c r="S28" s="73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43"/>
      <c r="AK28" s="2"/>
    </row>
    <row r="29" spans="1:39" ht="12.75" customHeight="1" x14ac:dyDescent="0.2">
      <c r="A29" s="72" t="s">
        <v>128</v>
      </c>
      <c r="B29" s="72">
        <v>421111</v>
      </c>
      <c r="C29" s="95">
        <v>447496</v>
      </c>
      <c r="D29" s="95">
        <v>489583</v>
      </c>
      <c r="E29" s="95">
        <v>513485</v>
      </c>
      <c r="F29" s="95">
        <v>532747</v>
      </c>
      <c r="G29" s="95">
        <v>572290</v>
      </c>
      <c r="H29" s="95">
        <v>615934</v>
      </c>
      <c r="I29" s="95">
        <v>598000</v>
      </c>
      <c r="J29" s="95">
        <f>630300</f>
        <v>630300</v>
      </c>
      <c r="K29" s="95">
        <v>657300</v>
      </c>
      <c r="L29" s="95">
        <v>690400</v>
      </c>
      <c r="M29" s="95">
        <v>721300</v>
      </c>
      <c r="N29" s="95">
        <v>749600</v>
      </c>
      <c r="O29" s="95">
        <v>716600</v>
      </c>
      <c r="P29" s="95">
        <v>745200</v>
      </c>
      <c r="Q29" s="95">
        <v>754300</v>
      </c>
      <c r="R29" s="43">
        <f>RATE(5,,-K29,P29)</f>
        <v>2.5420139386121355E-2</v>
      </c>
      <c r="S29" s="72" t="str">
        <f>A29</f>
        <v>Accumulated Dep &amp; Amort</v>
      </c>
      <c r="T29" s="43">
        <f t="shared" ref="T29:AD29" si="23">B29/B$39</f>
        <v>0.58200516341603648</v>
      </c>
      <c r="U29" s="43">
        <f t="shared" si="23"/>
        <v>0.53894012713078965</v>
      </c>
      <c r="V29" s="43">
        <f t="shared" si="23"/>
        <v>0.58713980073011263</v>
      </c>
      <c r="W29" s="43">
        <f t="shared" si="23"/>
        <v>0.6173245442665285</v>
      </c>
      <c r="X29" s="43">
        <f t="shared" si="23"/>
        <v>0.58555723600040444</v>
      </c>
      <c r="Y29" s="43">
        <f t="shared" si="23"/>
        <v>0.5657119020035033</v>
      </c>
      <c r="Z29" s="43">
        <f t="shared" si="23"/>
        <v>0.55659084111152979</v>
      </c>
      <c r="AA29" s="43">
        <f t="shared" si="23"/>
        <v>0.55716016025342396</v>
      </c>
      <c r="AB29" s="43">
        <f t="shared" si="23"/>
        <v>0.53977905283891414</v>
      </c>
      <c r="AC29" s="43">
        <f t="shared" si="23"/>
        <v>0.50367816091954021</v>
      </c>
      <c r="AD29" s="43">
        <f t="shared" si="23"/>
        <v>0.51557015906205661</v>
      </c>
      <c r="AE29" s="43">
        <f>M29/M$39</f>
        <v>0.51108906681782751</v>
      </c>
      <c r="AF29" s="43">
        <f>N29/N$39</f>
        <v>0.51778683428887196</v>
      </c>
      <c r="AG29" s="43">
        <f t="shared" ref="AG29:AI29" si="24">O29/O$39</f>
        <v>0.44090321786747061</v>
      </c>
      <c r="AH29" s="43">
        <f t="shared" si="24"/>
        <v>0.41575541173845126</v>
      </c>
      <c r="AI29" s="43">
        <f t="shared" si="24"/>
        <v>0.42579734688117415</v>
      </c>
      <c r="AJ29" s="43">
        <f>SUM(L29:P29)/SUM(L$39:P$39)</f>
        <v>0.47573465689750255</v>
      </c>
      <c r="AK29" s="2"/>
    </row>
    <row r="30" spans="1:39" ht="12" customHeight="1" x14ac:dyDescent="0.2">
      <c r="A30" s="72"/>
      <c r="B30" s="72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43"/>
      <c r="S30" s="72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43"/>
      <c r="AK30" s="2"/>
    </row>
    <row r="31" spans="1:39" ht="15" x14ac:dyDescent="0.2">
      <c r="A31" s="72" t="s">
        <v>59</v>
      </c>
      <c r="B31" s="72">
        <f t="shared" ref="B31:H31" si="25">B27-B29</f>
        <v>592488</v>
      </c>
      <c r="C31" s="95">
        <f t="shared" si="25"/>
        <v>619866</v>
      </c>
      <c r="D31" s="95">
        <f t="shared" si="25"/>
        <v>654872</v>
      </c>
      <c r="E31" s="95">
        <f t="shared" si="25"/>
        <v>680068</v>
      </c>
      <c r="F31" s="95">
        <f t="shared" si="25"/>
        <v>707806</v>
      </c>
      <c r="G31" s="95">
        <f t="shared" si="25"/>
        <v>743247</v>
      </c>
      <c r="H31" s="95">
        <f t="shared" si="25"/>
        <v>767428</v>
      </c>
      <c r="I31" s="95">
        <f t="shared" ref="I31:O31" si="26">I27-I29</f>
        <v>820100</v>
      </c>
      <c r="J31" s="95">
        <f t="shared" si="26"/>
        <v>908900</v>
      </c>
      <c r="K31" s="95">
        <f t="shared" si="26"/>
        <v>989500</v>
      </c>
      <c r="L31" s="95">
        <f t="shared" si="26"/>
        <v>1031500</v>
      </c>
      <c r="M31" s="95">
        <f t="shared" si="26"/>
        <v>1096300</v>
      </c>
      <c r="N31" s="95">
        <f t="shared" ref="N31" si="27">N27-N29</f>
        <v>1177400</v>
      </c>
      <c r="O31" s="95">
        <f t="shared" si="26"/>
        <v>1324300</v>
      </c>
      <c r="P31" s="95">
        <f t="shared" ref="P31:Q31" si="28">P27-P29</f>
        <v>1457800</v>
      </c>
      <c r="Q31" s="95">
        <f t="shared" si="28"/>
        <v>1475700</v>
      </c>
      <c r="R31" s="43">
        <f>RATE(5,,-K31,P31)</f>
        <v>8.0578766800356721E-2</v>
      </c>
      <c r="S31" s="72" t="str">
        <f>A31</f>
        <v>Net Plant &amp; Equipment</v>
      </c>
      <c r="T31" s="43">
        <f t="shared" ref="T31:AD31" si="29">B31/B$39</f>
        <v>0.81886028923975052</v>
      </c>
      <c r="U31" s="43">
        <f t="shared" si="29"/>
        <v>0.74653328933455054</v>
      </c>
      <c r="V31" s="43">
        <f t="shared" si="29"/>
        <v>0.78536512824940874</v>
      </c>
      <c r="W31" s="43">
        <f t="shared" si="29"/>
        <v>0.81759480446410215</v>
      </c>
      <c r="X31" s="43">
        <f t="shared" si="29"/>
        <v>0.77796951458103436</v>
      </c>
      <c r="Y31" s="43">
        <f t="shared" si="29"/>
        <v>0.73470386347550676</v>
      </c>
      <c r="Z31" s="43">
        <f t="shared" si="29"/>
        <v>0.6934889062992774</v>
      </c>
      <c r="AA31" s="43">
        <f t="shared" si="29"/>
        <v>0.76409205254821577</v>
      </c>
      <c r="AB31" s="43">
        <f t="shared" si="29"/>
        <v>0.7783677314378693</v>
      </c>
      <c r="AC31" s="43">
        <f t="shared" si="29"/>
        <v>0.75823754789272035</v>
      </c>
      <c r="AD31" s="43">
        <f t="shared" si="29"/>
        <v>0.7702934806959898</v>
      </c>
      <c r="AE31" s="43">
        <f>M31/M$39</f>
        <v>0.77680153050379086</v>
      </c>
      <c r="AF31" s="43">
        <f>N31/N$39</f>
        <v>0.81329004628030666</v>
      </c>
      <c r="AG31" s="43">
        <f t="shared" ref="AG31:AI31" si="30">O31/O$39</f>
        <v>0.81480342090690949</v>
      </c>
      <c r="AH31" s="43">
        <f t="shared" si="30"/>
        <v>0.81332291899129661</v>
      </c>
      <c r="AI31" s="43">
        <f t="shared" si="30"/>
        <v>0.83302286198137176</v>
      </c>
      <c r="AJ31" s="43">
        <f>SUM(L31:P31)/SUM(L$39:P$39)</f>
        <v>0.79929882612463565</v>
      </c>
      <c r="AK31" s="2"/>
    </row>
    <row r="32" spans="1:39" ht="12" customHeight="1" x14ac:dyDescent="0.2">
      <c r="A32" s="72"/>
      <c r="B32" s="72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43"/>
      <c r="S32" s="72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2"/>
    </row>
    <row r="33" spans="1:37" ht="15.75" x14ac:dyDescent="0.25">
      <c r="A33" s="117" t="s">
        <v>72</v>
      </c>
      <c r="B33" s="72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43"/>
      <c r="S33" s="117" t="str">
        <f>A33</f>
        <v>Other Assets:</v>
      </c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2"/>
    </row>
    <row r="34" spans="1:37" ht="15" x14ac:dyDescent="0.2">
      <c r="A34" s="72" t="s">
        <v>60</v>
      </c>
      <c r="B34" s="72">
        <v>16353</v>
      </c>
      <c r="C34" s="95">
        <v>22359</v>
      </c>
      <c r="D34" s="95">
        <v>19211</v>
      </c>
      <c r="E34" s="95">
        <v>13942</v>
      </c>
      <c r="F34" s="95">
        <v>24635</v>
      </c>
      <c r="G34" s="95">
        <v>21843</v>
      </c>
      <c r="H34" s="95">
        <v>22052</v>
      </c>
      <c r="I34" s="95">
        <v>23000</v>
      </c>
      <c r="J34" s="95">
        <f>19100</f>
        <v>19100</v>
      </c>
      <c r="K34" s="95">
        <v>18100</v>
      </c>
      <c r="L34" s="95">
        <v>16000</v>
      </c>
      <c r="M34" s="95">
        <v>15000</v>
      </c>
      <c r="N34" s="95">
        <v>15100</v>
      </c>
      <c r="O34" s="95">
        <v>16400</v>
      </c>
      <c r="P34" s="95">
        <v>16100</v>
      </c>
      <c r="Q34" s="95">
        <v>15400</v>
      </c>
      <c r="R34" s="43">
        <f t="shared" ref="R34:R36" si="31">RATE(5,,-K34,P34)</f>
        <v>-2.3146447494642623E-2</v>
      </c>
      <c r="S34" s="72" t="str">
        <f>A34</f>
        <v>Regulatory Assets</v>
      </c>
      <c r="T34" s="43">
        <f t="shared" ref="T34:AD39" si="32">B34/B$39</f>
        <v>2.26010017248242E-2</v>
      </c>
      <c r="U34" s="43">
        <f t="shared" si="32"/>
        <v>2.6927977685872777E-2</v>
      </c>
      <c r="V34" s="43">
        <f t="shared" si="32"/>
        <v>2.3039081650764411E-2</v>
      </c>
      <c r="W34" s="43">
        <f t="shared" si="32"/>
        <v>1.6761422039911468E-2</v>
      </c>
      <c r="X34" s="43">
        <f t="shared" si="32"/>
        <v>2.7077022505748439E-2</v>
      </c>
      <c r="Y34" s="43">
        <f t="shared" si="32"/>
        <v>2.1591929049018018E-2</v>
      </c>
      <c r="Z34" s="43">
        <f t="shared" si="32"/>
        <v>1.9927364341295422E-2</v>
      </c>
      <c r="AA34" s="43">
        <f t="shared" si="32"/>
        <v>2.1429236932823999E-2</v>
      </c>
      <c r="AB34" s="43">
        <f t="shared" si="32"/>
        <v>1.6356940995118609E-2</v>
      </c>
      <c r="AC34" s="43">
        <f t="shared" si="32"/>
        <v>1.3869731800766283E-2</v>
      </c>
      <c r="AD34" s="43">
        <f t="shared" si="32"/>
        <v>1.1948323500858785E-2</v>
      </c>
      <c r="AE34" s="43">
        <f t="shared" ref="AE34:AF39" si="33">M34/M$39</f>
        <v>1.0628498547438532E-2</v>
      </c>
      <c r="AF34" s="43">
        <f t="shared" si="33"/>
        <v>1.0430337777163777E-2</v>
      </c>
      <c r="AG34" s="43">
        <f t="shared" ref="AG34:AI39" si="34">O34/O$39</f>
        <v>1.009044484095244E-2</v>
      </c>
      <c r="AH34" s="43">
        <f t="shared" si="34"/>
        <v>8.9823700066949345E-3</v>
      </c>
      <c r="AI34" s="43">
        <f t="shared" si="34"/>
        <v>8.693197854925205E-3</v>
      </c>
      <c r="AJ34" s="43">
        <f>SUM(L34:P34)/SUM(L$39:P$39)</f>
        <v>1.0320649176711574E-2</v>
      </c>
      <c r="AK34" s="2"/>
    </row>
    <row r="35" spans="1:37" ht="15" x14ac:dyDescent="0.2">
      <c r="A35" s="72" t="s">
        <v>95</v>
      </c>
      <c r="B35" s="72">
        <v>0</v>
      </c>
      <c r="C35" s="95">
        <v>0</v>
      </c>
      <c r="D35" s="95">
        <v>5876</v>
      </c>
      <c r="E35" s="95">
        <v>5652</v>
      </c>
      <c r="F35" s="95">
        <v>5652</v>
      </c>
      <c r="G35" s="95">
        <v>5652</v>
      </c>
      <c r="H35" s="27">
        <v>5652</v>
      </c>
      <c r="I35" s="27">
        <v>5600</v>
      </c>
      <c r="J35" s="27">
        <f>5600</f>
        <v>5600</v>
      </c>
      <c r="K35" s="27">
        <f>5600</f>
        <v>5600</v>
      </c>
      <c r="L35" s="27">
        <v>5600</v>
      </c>
      <c r="M35" s="27">
        <v>5600</v>
      </c>
      <c r="N35" s="27">
        <v>5600</v>
      </c>
      <c r="O35" s="27">
        <v>5600</v>
      </c>
      <c r="P35" s="27">
        <v>5600</v>
      </c>
      <c r="Q35" s="27">
        <v>5600</v>
      </c>
      <c r="R35" s="43">
        <f t="shared" si="31"/>
        <v>1.2661654631550869E-16</v>
      </c>
      <c r="S35" s="72" t="str">
        <f>A35</f>
        <v>Goodwill</v>
      </c>
      <c r="T35" s="43">
        <f t="shared" si="32"/>
        <v>0</v>
      </c>
      <c r="U35" s="43">
        <f t="shared" si="32"/>
        <v>0</v>
      </c>
      <c r="V35" s="43">
        <f t="shared" si="32"/>
        <v>7.0468816709120651E-3</v>
      </c>
      <c r="W35" s="43">
        <f t="shared" si="32"/>
        <v>6.7949761418433239E-3</v>
      </c>
      <c r="X35" s="43">
        <f t="shared" si="32"/>
        <v>6.2122724255120835E-3</v>
      </c>
      <c r="Y35" s="43">
        <f t="shared" si="32"/>
        <v>5.5870339690083709E-3</v>
      </c>
      <c r="Z35" s="43">
        <f t="shared" si="32"/>
        <v>5.1074489051787467E-3</v>
      </c>
      <c r="AA35" s="43">
        <f t="shared" si="32"/>
        <v>5.2175533401658441E-3</v>
      </c>
      <c r="AB35" s="43">
        <f t="shared" si="32"/>
        <v>4.795752333647341E-3</v>
      </c>
      <c r="AC35" s="43">
        <f t="shared" si="32"/>
        <v>4.2911877394636016E-3</v>
      </c>
      <c r="AD35" s="43">
        <f t="shared" si="32"/>
        <v>4.1819132253005748E-3</v>
      </c>
      <c r="AE35" s="43">
        <f t="shared" si="33"/>
        <v>3.9679727910437185E-3</v>
      </c>
      <c r="AF35" s="43">
        <f t="shared" si="33"/>
        <v>3.8682047385508048E-3</v>
      </c>
      <c r="AG35" s="43">
        <f t="shared" si="34"/>
        <v>3.4455177505691259E-3</v>
      </c>
      <c r="AH35" s="43">
        <f t="shared" si="34"/>
        <v>3.1243026110243251E-3</v>
      </c>
      <c r="AI35" s="43">
        <f t="shared" si="34"/>
        <v>3.1611628563364379E-3</v>
      </c>
      <c r="AJ35" s="43">
        <f t="shared" ref="AJ35:AJ39" si="35">SUM(L35:P35)/SUM(L$39:P$39)</f>
        <v>3.6765671367420365E-3</v>
      </c>
      <c r="AK35" s="2"/>
    </row>
    <row r="36" spans="1:37" ht="15" x14ac:dyDescent="0.2">
      <c r="A36" s="72" t="s">
        <v>96</v>
      </c>
      <c r="B36" s="72">
        <v>4625</v>
      </c>
      <c r="C36" s="95">
        <v>4775</v>
      </c>
      <c r="D36" s="95">
        <v>4854</v>
      </c>
      <c r="E36" s="95">
        <v>5062</v>
      </c>
      <c r="F36" s="95">
        <v>7276</v>
      </c>
      <c r="G36" s="95">
        <v>7957</v>
      </c>
      <c r="H36" s="95">
        <v>6438</v>
      </c>
      <c r="I36" s="95">
        <v>6300</v>
      </c>
      <c r="J36" s="95">
        <f>6900</f>
        <v>6900</v>
      </c>
      <c r="K36" s="95">
        <v>7800</v>
      </c>
      <c r="L36" s="95">
        <v>7000</v>
      </c>
      <c r="M36" s="95">
        <v>2600</v>
      </c>
      <c r="N36" s="95">
        <v>2300</v>
      </c>
      <c r="O36" s="95">
        <v>3100</v>
      </c>
      <c r="P36" s="95">
        <v>4000</v>
      </c>
      <c r="Q36" s="95">
        <v>3900</v>
      </c>
      <c r="R36" s="51">
        <f t="shared" si="31"/>
        <v>-0.12503017113408993</v>
      </c>
      <c r="S36" s="72" t="str">
        <f>A36</f>
        <v>Other Non-Current Assets</v>
      </c>
      <c r="T36" s="43">
        <f t="shared" si="32"/>
        <v>6.3920768652425807E-3</v>
      </c>
      <c r="U36" s="43">
        <f t="shared" si="32"/>
        <v>5.7507533185760769E-3</v>
      </c>
      <c r="V36" s="43">
        <f t="shared" si="32"/>
        <v>5.8212327485716751E-3</v>
      </c>
      <c r="W36" s="43">
        <f t="shared" si="32"/>
        <v>6.0856633457202587E-3</v>
      </c>
      <c r="X36" s="43">
        <f t="shared" si="32"/>
        <v>7.9972565760838502E-3</v>
      </c>
      <c r="Y36" s="43">
        <f t="shared" si="32"/>
        <v>7.8655395066170569E-3</v>
      </c>
      <c r="Z36" s="43">
        <f t="shared" si="32"/>
        <v>5.8177204620560464E-3</v>
      </c>
      <c r="AA36" s="43">
        <f t="shared" si="32"/>
        <v>5.869747507686574E-3</v>
      </c>
      <c r="AB36" s="43">
        <f t="shared" si="32"/>
        <v>5.9090519825297592E-3</v>
      </c>
      <c r="AC36" s="43">
        <f t="shared" si="32"/>
        <v>5.9770114942528738E-3</v>
      </c>
      <c r="AD36" s="43">
        <f t="shared" si="32"/>
        <v>5.2273915316257188E-3</v>
      </c>
      <c r="AE36" s="43">
        <f t="shared" si="33"/>
        <v>1.8422730815560121E-3</v>
      </c>
      <c r="AF36" s="43">
        <f t="shared" si="33"/>
        <v>1.5887269461905091E-3</v>
      </c>
      <c r="AG36" s="43">
        <f t="shared" si="34"/>
        <v>1.907340183350766E-3</v>
      </c>
      <c r="AH36" s="43">
        <f t="shared" si="34"/>
        <v>2.2316447221602323E-3</v>
      </c>
      <c r="AI36" s="43">
        <f t="shared" si="34"/>
        <v>2.2015241320914479E-3</v>
      </c>
      <c r="AJ36" s="51">
        <f t="shared" si="35"/>
        <v>2.4948134142178105E-3</v>
      </c>
      <c r="AK36" s="2"/>
    </row>
    <row r="37" spans="1:37" ht="15" x14ac:dyDescent="0.2">
      <c r="A37" s="72" t="s">
        <v>73</v>
      </c>
      <c r="B37" s="78">
        <f t="shared" ref="B37:K37" si="36">SUM(B34:B36)</f>
        <v>20978</v>
      </c>
      <c r="C37" s="96">
        <f t="shared" si="36"/>
        <v>27134</v>
      </c>
      <c r="D37" s="96">
        <f t="shared" si="36"/>
        <v>29941</v>
      </c>
      <c r="E37" s="96">
        <f t="shared" si="36"/>
        <v>24656</v>
      </c>
      <c r="F37" s="96">
        <f t="shared" si="36"/>
        <v>37563</v>
      </c>
      <c r="G37" s="96">
        <f t="shared" si="36"/>
        <v>35452</v>
      </c>
      <c r="H37" s="96">
        <f t="shared" si="36"/>
        <v>34142</v>
      </c>
      <c r="I37" s="96">
        <f t="shared" si="36"/>
        <v>34900</v>
      </c>
      <c r="J37" s="96">
        <f t="shared" si="36"/>
        <v>31600</v>
      </c>
      <c r="K37" s="96">
        <f t="shared" si="36"/>
        <v>31500</v>
      </c>
      <c r="L37" s="96">
        <f t="shared" ref="L37" si="37">SUM(L34:L36)</f>
        <v>28600</v>
      </c>
      <c r="M37" s="96">
        <f t="shared" ref="M37:O37" si="38">SUM(M34:M36)</f>
        <v>23200</v>
      </c>
      <c r="N37" s="96">
        <f t="shared" ref="N37" si="39">SUM(N34:N36)</f>
        <v>23000</v>
      </c>
      <c r="O37" s="96">
        <f t="shared" si="38"/>
        <v>25100</v>
      </c>
      <c r="P37" s="96">
        <f t="shared" ref="P37:Q37" si="40">SUM(P34:P36)</f>
        <v>25700</v>
      </c>
      <c r="Q37" s="96">
        <f t="shared" si="40"/>
        <v>24900</v>
      </c>
      <c r="R37" s="177">
        <f>RATE(5,,-K37,P37)</f>
        <v>-3.9882216390142652E-2</v>
      </c>
      <c r="S37" s="72" t="s">
        <v>73</v>
      </c>
      <c r="T37" s="80">
        <f t="shared" si="32"/>
        <v>2.8993078590066782E-2</v>
      </c>
      <c r="U37" s="80">
        <f t="shared" si="32"/>
        <v>3.2678731004448854E-2</v>
      </c>
      <c r="V37" s="80">
        <f t="shared" si="32"/>
        <v>3.590719607024815E-2</v>
      </c>
      <c r="W37" s="80">
        <f t="shared" si="32"/>
        <v>2.9642061527475051E-2</v>
      </c>
      <c r="X37" s="80">
        <f t="shared" si="32"/>
        <v>4.1286551507344373E-2</v>
      </c>
      <c r="Y37" s="80">
        <f t="shared" si="32"/>
        <v>3.5044502524643445E-2</v>
      </c>
      <c r="Z37" s="80">
        <f t="shared" si="32"/>
        <v>3.0852533708530215E-2</v>
      </c>
      <c r="AA37" s="80">
        <f t="shared" si="32"/>
        <v>3.2516537780676417E-2</v>
      </c>
      <c r="AB37" s="80">
        <f t="shared" si="32"/>
        <v>2.706174531129571E-2</v>
      </c>
      <c r="AC37" s="80">
        <f t="shared" si="32"/>
        <v>2.4137931034482758E-2</v>
      </c>
      <c r="AD37" s="80">
        <f t="shared" si="32"/>
        <v>2.1357628257785078E-2</v>
      </c>
      <c r="AE37" s="80">
        <f t="shared" si="33"/>
        <v>1.6438744420038263E-2</v>
      </c>
      <c r="AF37" s="80">
        <f t="shared" si="33"/>
        <v>1.588726946190509E-2</v>
      </c>
      <c r="AG37" s="80">
        <f t="shared" si="34"/>
        <v>1.5443302774872332E-2</v>
      </c>
      <c r="AH37" s="80">
        <f t="shared" si="34"/>
        <v>1.4338317339879491E-2</v>
      </c>
      <c r="AI37" s="80">
        <f t="shared" si="34"/>
        <v>1.405588484335309E-2</v>
      </c>
      <c r="AJ37" s="177">
        <f t="shared" si="35"/>
        <v>1.6492029727671421E-2</v>
      </c>
      <c r="AK37" s="2"/>
    </row>
    <row r="38" spans="1:37" ht="15" x14ac:dyDescent="0.2">
      <c r="A38" s="72" t="s">
        <v>42</v>
      </c>
      <c r="B38" s="78">
        <f t="shared" ref="B38:K38" si="41">B31+B37</f>
        <v>613466</v>
      </c>
      <c r="C38" s="96">
        <f t="shared" si="41"/>
        <v>647000</v>
      </c>
      <c r="D38" s="96">
        <f t="shared" si="41"/>
        <v>684813</v>
      </c>
      <c r="E38" s="96">
        <f t="shared" si="41"/>
        <v>704724</v>
      </c>
      <c r="F38" s="96">
        <f t="shared" si="41"/>
        <v>745369</v>
      </c>
      <c r="G38" s="96">
        <f t="shared" si="41"/>
        <v>778699</v>
      </c>
      <c r="H38" s="96">
        <f t="shared" si="41"/>
        <v>801570</v>
      </c>
      <c r="I38" s="96">
        <f t="shared" si="41"/>
        <v>855000</v>
      </c>
      <c r="J38" s="96">
        <f t="shared" si="41"/>
        <v>940500</v>
      </c>
      <c r="K38" s="96">
        <f t="shared" si="41"/>
        <v>1021000</v>
      </c>
      <c r="L38" s="96">
        <f t="shared" ref="L38" si="42">L31+L37</f>
        <v>1060100</v>
      </c>
      <c r="M38" s="96">
        <f t="shared" ref="M38:O38" si="43">M31+M37</f>
        <v>1119500</v>
      </c>
      <c r="N38" s="96">
        <f t="shared" ref="N38" si="44">N31+N37</f>
        <v>1200400</v>
      </c>
      <c r="O38" s="96">
        <f t="shared" si="43"/>
        <v>1349400</v>
      </c>
      <c r="P38" s="96">
        <f t="shared" ref="P38:Q38" si="45">P31+P37</f>
        <v>1483500</v>
      </c>
      <c r="Q38" s="96">
        <f t="shared" si="45"/>
        <v>1500600</v>
      </c>
      <c r="R38" s="177">
        <f>RATE(5,,-K38,P38)</f>
        <v>7.7587045385353937E-2</v>
      </c>
      <c r="S38" s="72" t="s">
        <v>42</v>
      </c>
      <c r="T38" s="80">
        <f t="shared" si="32"/>
        <v>0.84785336782981735</v>
      </c>
      <c r="U38" s="80">
        <f t="shared" si="32"/>
        <v>0.77921202033899939</v>
      </c>
      <c r="V38" s="80">
        <f t="shared" si="32"/>
        <v>0.82127232431965691</v>
      </c>
      <c r="W38" s="80">
        <f t="shared" si="32"/>
        <v>0.84723686599157721</v>
      </c>
      <c r="X38" s="80">
        <f t="shared" si="32"/>
        <v>0.81925606608837864</v>
      </c>
      <c r="Y38" s="80">
        <f t="shared" si="32"/>
        <v>0.76974836600015029</v>
      </c>
      <c r="Z38" s="80">
        <f t="shared" si="32"/>
        <v>0.72434144000780754</v>
      </c>
      <c r="AA38" s="80">
        <f t="shared" si="32"/>
        <v>0.7966085903288922</v>
      </c>
      <c r="AB38" s="80">
        <f t="shared" si="32"/>
        <v>0.80542947674916499</v>
      </c>
      <c r="AC38" s="80">
        <f t="shared" si="32"/>
        <v>0.78237547892720305</v>
      </c>
      <c r="AD38" s="80">
        <f t="shared" si="32"/>
        <v>0.79165110895377488</v>
      </c>
      <c r="AE38" s="80">
        <f t="shared" si="33"/>
        <v>0.79324027492382909</v>
      </c>
      <c r="AF38" s="80">
        <f t="shared" si="33"/>
        <v>0.82917731574221176</v>
      </c>
      <c r="AG38" s="80">
        <f t="shared" si="34"/>
        <v>0.83024672368178187</v>
      </c>
      <c r="AH38" s="80">
        <f t="shared" si="34"/>
        <v>0.82766123633117605</v>
      </c>
      <c r="AI38" s="80">
        <f t="shared" si="34"/>
        <v>0.84707874682472484</v>
      </c>
      <c r="AJ38" s="177">
        <f t="shared" si="35"/>
        <v>0.81579085585230704</v>
      </c>
      <c r="AK38" s="2"/>
    </row>
    <row r="39" spans="1:37" ht="15.75" thickBot="1" x14ac:dyDescent="0.25">
      <c r="A39" s="72" t="s">
        <v>37</v>
      </c>
      <c r="B39" s="78">
        <f t="shared" ref="B39:G39" si="46">B21+B31+B37</f>
        <v>723552</v>
      </c>
      <c r="C39" s="96">
        <f t="shared" si="46"/>
        <v>830326</v>
      </c>
      <c r="D39" s="96">
        <f t="shared" si="46"/>
        <v>833844</v>
      </c>
      <c r="E39" s="96">
        <f t="shared" si="46"/>
        <v>831791</v>
      </c>
      <c r="F39" s="96">
        <f t="shared" si="46"/>
        <v>909812</v>
      </c>
      <c r="G39" s="96">
        <f t="shared" si="46"/>
        <v>1011628</v>
      </c>
      <c r="H39" s="96">
        <f t="shared" ref="H39:M39" si="47">H21+H31+H37</f>
        <v>1106619</v>
      </c>
      <c r="I39" s="96">
        <f t="shared" si="47"/>
        <v>1073300</v>
      </c>
      <c r="J39" s="96">
        <f t="shared" si="47"/>
        <v>1167700</v>
      </c>
      <c r="K39" s="96">
        <f t="shared" si="47"/>
        <v>1305000</v>
      </c>
      <c r="L39" s="96">
        <f t="shared" si="47"/>
        <v>1339100</v>
      </c>
      <c r="M39" s="96">
        <f t="shared" si="47"/>
        <v>1411300</v>
      </c>
      <c r="N39" s="96">
        <f t="shared" ref="N39" si="48">N21+N31+N37</f>
        <v>1447700</v>
      </c>
      <c r="O39" s="96">
        <f t="shared" ref="O39:P39" si="49">O21+O31+O37</f>
        <v>1625300</v>
      </c>
      <c r="P39" s="96">
        <f t="shared" si="49"/>
        <v>1792400</v>
      </c>
      <c r="Q39" s="96">
        <f t="shared" ref="Q39" si="50">Q21+Q31+Q37</f>
        <v>1771500</v>
      </c>
      <c r="R39" s="81">
        <f>RATE(5,,-K39,P39)</f>
        <v>6.5528044408448186E-2</v>
      </c>
      <c r="S39" s="72" t="s">
        <v>37</v>
      </c>
      <c r="T39" s="81">
        <f t="shared" si="32"/>
        <v>1</v>
      </c>
      <c r="U39" s="81">
        <f t="shared" si="32"/>
        <v>1</v>
      </c>
      <c r="V39" s="81">
        <f t="shared" si="32"/>
        <v>1</v>
      </c>
      <c r="W39" s="81">
        <f t="shared" si="32"/>
        <v>1</v>
      </c>
      <c r="X39" s="81">
        <f t="shared" si="32"/>
        <v>1</v>
      </c>
      <c r="Y39" s="81">
        <f t="shared" si="32"/>
        <v>1</v>
      </c>
      <c r="Z39" s="81">
        <f t="shared" si="32"/>
        <v>1</v>
      </c>
      <c r="AA39" s="81">
        <f t="shared" si="32"/>
        <v>1</v>
      </c>
      <c r="AB39" s="81">
        <f t="shared" si="32"/>
        <v>1</v>
      </c>
      <c r="AC39" s="81">
        <f t="shared" si="32"/>
        <v>1</v>
      </c>
      <c r="AD39" s="81">
        <f t="shared" si="32"/>
        <v>1</v>
      </c>
      <c r="AE39" s="81">
        <f t="shared" si="33"/>
        <v>1</v>
      </c>
      <c r="AF39" s="81">
        <f t="shared" si="33"/>
        <v>1</v>
      </c>
      <c r="AG39" s="81">
        <f t="shared" si="34"/>
        <v>1</v>
      </c>
      <c r="AH39" s="81">
        <f t="shared" si="34"/>
        <v>1</v>
      </c>
      <c r="AI39" s="81">
        <f t="shared" si="34"/>
        <v>1</v>
      </c>
      <c r="AJ39" s="81">
        <f t="shared" si="35"/>
        <v>1</v>
      </c>
      <c r="AK39" s="2"/>
    </row>
    <row r="40" spans="1:37" ht="15.75" thickTop="1" x14ac:dyDescent="0.2">
      <c r="A40" s="72"/>
      <c r="B40" s="82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97"/>
      <c r="O40" s="195"/>
      <c r="P40" s="195"/>
      <c r="Q40" s="195"/>
      <c r="R40" s="43"/>
      <c r="S40" s="72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43"/>
      <c r="AK40" s="2"/>
    </row>
    <row r="41" spans="1:37" ht="15.75" x14ac:dyDescent="0.25">
      <c r="A41" s="117" t="s">
        <v>8</v>
      </c>
      <c r="B41" s="72"/>
      <c r="C41" s="95"/>
      <c r="D41" s="95"/>
      <c r="E41" s="95"/>
      <c r="F41" s="95"/>
      <c r="G41" s="95"/>
      <c r="H41" s="95"/>
      <c r="I41" s="95"/>
      <c r="J41" s="95"/>
      <c r="K41" s="98"/>
      <c r="L41" s="98"/>
      <c r="M41" s="98"/>
      <c r="N41" s="98"/>
      <c r="O41" s="196"/>
      <c r="P41" s="196"/>
      <c r="Q41" s="196"/>
      <c r="R41" s="43"/>
      <c r="S41" s="117" t="s">
        <v>8</v>
      </c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2"/>
    </row>
    <row r="42" spans="1:37" ht="15" x14ac:dyDescent="0.2">
      <c r="A42" s="76" t="s">
        <v>97</v>
      </c>
      <c r="B42" s="72">
        <v>79300</v>
      </c>
      <c r="C42" s="95">
        <v>105600</v>
      </c>
      <c r="D42" s="95">
        <v>66600</v>
      </c>
      <c r="E42" s="95">
        <v>36400</v>
      </c>
      <c r="F42" s="95">
        <v>51900</v>
      </c>
      <c r="G42" s="95">
        <v>95200</v>
      </c>
      <c r="H42" s="95">
        <v>77400</v>
      </c>
      <c r="I42" s="95">
        <v>13200</v>
      </c>
      <c r="J42" s="95">
        <f>72900</f>
        <v>72900</v>
      </c>
      <c r="K42" s="95">
        <v>88300</v>
      </c>
      <c r="L42" s="95">
        <v>87000</v>
      </c>
      <c r="M42" s="95">
        <v>153600</v>
      </c>
      <c r="N42" s="95">
        <v>142700</v>
      </c>
      <c r="O42" s="95">
        <v>166100</v>
      </c>
      <c r="P42" s="95">
        <v>17700</v>
      </c>
      <c r="Q42" s="95">
        <v>0</v>
      </c>
      <c r="R42" s="43">
        <f t="shared" ref="R42:R48" si="51">RATE(5,,-K42,P42)</f>
        <v>-0.2748923073743359</v>
      </c>
      <c r="S42" s="72" t="str">
        <f t="shared" ref="S42:S47" si="52">A42</f>
        <v>Notes Payable to Questar</v>
      </c>
      <c r="T42" s="43">
        <f t="shared" ref="T42:AD43" si="53">B42/B$39</f>
        <v>0.1095982044137809</v>
      </c>
      <c r="U42" s="43">
        <f t="shared" si="53"/>
        <v>0.12717896344327409</v>
      </c>
      <c r="V42" s="43">
        <f t="shared" si="53"/>
        <v>7.9871055017485287E-2</v>
      </c>
      <c r="W42" s="43">
        <f t="shared" si="53"/>
        <v>4.3760992845558559E-2</v>
      </c>
      <c r="X42" s="43">
        <f t="shared" si="53"/>
        <v>5.7044752102632192E-2</v>
      </c>
      <c r="Y42" s="43">
        <f t="shared" si="53"/>
        <v>9.410573847303555E-2</v>
      </c>
      <c r="Z42" s="43">
        <f t="shared" si="53"/>
        <v>6.9942771631428702E-2</v>
      </c>
      <c r="AA42" s="43">
        <f t="shared" si="53"/>
        <v>1.2298518587533775E-2</v>
      </c>
      <c r="AB42" s="43">
        <f t="shared" si="53"/>
        <v>6.243041877194485E-2</v>
      </c>
      <c r="AC42" s="43">
        <f t="shared" si="53"/>
        <v>6.7662835249042153E-2</v>
      </c>
      <c r="AD42" s="43">
        <f t="shared" si="53"/>
        <v>6.496900903591965E-2</v>
      </c>
      <c r="AE42" s="43">
        <f>M42/M$39</f>
        <v>0.10883582512577057</v>
      </c>
      <c r="AF42" s="43">
        <f>N42/N$39</f>
        <v>9.8570145748428539E-2</v>
      </c>
      <c r="AG42" s="43">
        <f t="shared" ref="AG42:AI43" si="54">O42/O$39</f>
        <v>0.10219651756598781</v>
      </c>
      <c r="AH42" s="43">
        <f t="shared" si="54"/>
        <v>9.8750278955590277E-3</v>
      </c>
      <c r="AI42" s="43">
        <f t="shared" si="54"/>
        <v>0</v>
      </c>
      <c r="AJ42" s="43">
        <f t="shared" ref="AJ42:AJ48" si="55">SUM(L42:P42)/SUM(L$39:P$39)</f>
        <v>7.4463615115943169E-2</v>
      </c>
      <c r="AK42" s="2"/>
    </row>
    <row r="43" spans="1:37" ht="15" x14ac:dyDescent="0.2">
      <c r="A43" s="83" t="s">
        <v>121</v>
      </c>
      <c r="B43" s="72"/>
      <c r="C43" s="95">
        <v>0</v>
      </c>
      <c r="D43" s="95">
        <v>0</v>
      </c>
      <c r="E43" s="95">
        <v>0</v>
      </c>
      <c r="F43" s="95"/>
      <c r="G43" s="95"/>
      <c r="H43" s="95"/>
      <c r="I43" s="95">
        <v>10000</v>
      </c>
      <c r="J43" s="95">
        <v>43000</v>
      </c>
      <c r="K43" s="95"/>
      <c r="L43" s="95"/>
      <c r="M43" s="95">
        <v>2000</v>
      </c>
      <c r="N43" s="95">
        <v>91500</v>
      </c>
      <c r="O43" s="95">
        <v>42000</v>
      </c>
      <c r="P43" s="95"/>
      <c r="Q43" s="95">
        <v>0</v>
      </c>
      <c r="R43" s="43"/>
      <c r="S43" s="72" t="str">
        <f t="shared" si="52"/>
        <v>Current Portion, LTD</v>
      </c>
      <c r="T43" s="43"/>
      <c r="U43" s="43">
        <f t="shared" ref="U43:AD48" si="56">C43/C$39</f>
        <v>0</v>
      </c>
      <c r="V43" s="43">
        <f t="shared" si="56"/>
        <v>0</v>
      </c>
      <c r="W43" s="43">
        <f t="shared" si="56"/>
        <v>0</v>
      </c>
      <c r="X43" s="43">
        <f t="shared" si="56"/>
        <v>0</v>
      </c>
      <c r="Y43" s="43"/>
      <c r="Z43" s="43"/>
      <c r="AA43" s="43">
        <f t="shared" si="56"/>
        <v>9.3170595360104348E-3</v>
      </c>
      <c r="AB43" s="43">
        <f t="shared" si="56"/>
        <v>3.6824526847649225E-2</v>
      </c>
      <c r="AC43" s="160">
        <f t="shared" si="53"/>
        <v>0</v>
      </c>
      <c r="AD43" s="160">
        <f t="shared" ref="AD43" si="57">L43/L$39</f>
        <v>0</v>
      </c>
      <c r="AE43" s="160">
        <f t="shared" ref="AE43" si="58">M43/M$39</f>
        <v>1.4171331396584709E-3</v>
      </c>
      <c r="AF43" s="160">
        <f t="shared" ref="AF43" si="59">N43/N$39</f>
        <v>6.3203702424535477E-2</v>
      </c>
      <c r="AG43" s="160">
        <f t="shared" si="54"/>
        <v>2.5841383129268442E-2</v>
      </c>
      <c r="AH43" s="160">
        <f t="shared" si="54"/>
        <v>0</v>
      </c>
      <c r="AI43" s="160">
        <f t="shared" si="54"/>
        <v>0</v>
      </c>
      <c r="AJ43" s="43">
        <f t="shared" si="55"/>
        <v>1.7791958822448068E-2</v>
      </c>
      <c r="AK43" s="2"/>
    </row>
    <row r="44" spans="1:37" ht="15" x14ac:dyDescent="0.2">
      <c r="A44" s="72" t="s">
        <v>189</v>
      </c>
      <c r="B44" s="72">
        <v>34369</v>
      </c>
      <c r="C44" s="95">
        <v>97397</v>
      </c>
      <c r="D44" s="95">
        <v>45488</v>
      </c>
      <c r="E44" s="95">
        <v>50634</v>
      </c>
      <c r="F44" s="95">
        <v>63897</v>
      </c>
      <c r="G44" s="95">
        <v>94610</v>
      </c>
      <c r="H44" s="95">
        <v>148596</v>
      </c>
      <c r="I44" s="95">
        <v>126800</v>
      </c>
      <c r="J44" s="95">
        <f>130400</f>
        <v>130400</v>
      </c>
      <c r="K44" s="95">
        <v>111700</v>
      </c>
      <c r="L44" s="95">
        <v>124100</v>
      </c>
      <c r="M44" s="95">
        <v>102500</v>
      </c>
      <c r="N44" s="95">
        <v>106500</v>
      </c>
      <c r="O44" s="95">
        <v>100500</v>
      </c>
      <c r="P44" s="95">
        <v>134000</v>
      </c>
      <c r="Q44" s="95">
        <v>111300</v>
      </c>
      <c r="R44" s="43">
        <f t="shared" si="51"/>
        <v>3.7075381779987898E-2</v>
      </c>
      <c r="S44" s="72" t="str">
        <f t="shared" si="52"/>
        <v>Accounts Payable</v>
      </c>
      <c r="T44" s="43">
        <f>B44/B$39</f>
        <v>4.7500386979788596E-2</v>
      </c>
      <c r="U44" s="43">
        <f t="shared" si="56"/>
        <v>0.11729971119777051</v>
      </c>
      <c r="V44" s="43">
        <f t="shared" si="56"/>
        <v>5.4552170429960523E-2</v>
      </c>
      <c r="W44" s="43">
        <f t="shared" si="56"/>
        <v>6.0873464608297033E-2</v>
      </c>
      <c r="X44" s="43">
        <f t="shared" si="56"/>
        <v>7.0230992776529652E-2</v>
      </c>
      <c r="Y44" s="43">
        <f t="shared" si="56"/>
        <v>9.3522520135860224E-2</v>
      </c>
      <c r="Z44" s="43">
        <f t="shared" si="56"/>
        <v>0.13427927769178011</v>
      </c>
      <c r="AA44" s="43">
        <f t="shared" si="56"/>
        <v>0.11814031491661232</v>
      </c>
      <c r="AB44" s="43">
        <f t="shared" si="56"/>
        <v>0.1116725186263595</v>
      </c>
      <c r="AC44" s="43">
        <f t="shared" si="56"/>
        <v>8.5593869731800762E-2</v>
      </c>
      <c r="AD44" s="43">
        <f t="shared" si="56"/>
        <v>9.2674184153535955E-2</v>
      </c>
      <c r="AE44" s="43">
        <f t="shared" ref="AE44:AF48" si="60">M44/M$39</f>
        <v>7.2628073407496635E-2</v>
      </c>
      <c r="AF44" s="43">
        <f t="shared" si="60"/>
        <v>7.356496511708227E-2</v>
      </c>
      <c r="AG44" s="43">
        <f t="shared" ref="AG44:AI48" si="61">O44/O$39</f>
        <v>6.1834738202178059E-2</v>
      </c>
      <c r="AH44" s="43">
        <f t="shared" si="61"/>
        <v>7.4760098192367772E-2</v>
      </c>
      <c r="AI44" s="43">
        <f t="shared" si="61"/>
        <v>6.2828111769686709E-2</v>
      </c>
      <c r="AJ44" s="43">
        <f t="shared" si="55"/>
        <v>7.4529268100527846E-2</v>
      </c>
      <c r="AK44" s="2"/>
    </row>
    <row r="45" spans="1:37" ht="15" x14ac:dyDescent="0.2">
      <c r="A45" s="72" t="s">
        <v>190</v>
      </c>
      <c r="B45" s="72">
        <v>22396</v>
      </c>
      <c r="C45" s="95">
        <v>25701</v>
      </c>
      <c r="D45" s="95">
        <v>23364</v>
      </c>
      <c r="E45" s="95">
        <v>21114</v>
      </c>
      <c r="F45" s="95">
        <v>23903</v>
      </c>
      <c r="G45" s="95">
        <v>31981</v>
      </c>
      <c r="H45" s="95">
        <v>27409</v>
      </c>
      <c r="I45" s="95">
        <v>32600</v>
      </c>
      <c r="J45" s="95">
        <f>32600</f>
        <v>32600</v>
      </c>
      <c r="K45" s="95">
        <v>49500</v>
      </c>
      <c r="L45" s="95">
        <v>47200</v>
      </c>
      <c r="M45" s="95">
        <v>53600</v>
      </c>
      <c r="N45" s="95">
        <v>41900</v>
      </c>
      <c r="O45" s="95">
        <v>50900</v>
      </c>
      <c r="P45" s="95">
        <v>67800</v>
      </c>
      <c r="Q45" s="95">
        <v>65600</v>
      </c>
      <c r="R45" s="43">
        <f t="shared" si="51"/>
        <v>6.4939409520931024E-2</v>
      </c>
      <c r="S45" s="72" t="str">
        <f t="shared" si="52"/>
        <v>Accounts Payable, Affiliates</v>
      </c>
      <c r="T45" s="43">
        <f>B45/B$39</f>
        <v>3.0952854805183318E-2</v>
      </c>
      <c r="U45" s="43">
        <f t="shared" si="56"/>
        <v>3.0952902835753669E-2</v>
      </c>
      <c r="V45" s="43">
        <f t="shared" si="56"/>
        <v>2.8019629570998891E-2</v>
      </c>
      <c r="W45" s="43">
        <f t="shared" si="56"/>
        <v>2.5383780300580316E-2</v>
      </c>
      <c r="X45" s="43">
        <f t="shared" si="56"/>
        <v>2.6272460684185303E-2</v>
      </c>
      <c r="Y45" s="43">
        <f t="shared" si="56"/>
        <v>3.161339939187132E-2</v>
      </c>
      <c r="Z45" s="43">
        <f t="shared" si="56"/>
        <v>2.4768235499300122E-2</v>
      </c>
      <c r="AA45" s="43">
        <f t="shared" si="56"/>
        <v>3.0373614087394019E-2</v>
      </c>
      <c r="AB45" s="43">
        <f t="shared" si="56"/>
        <v>2.7918129656589876E-2</v>
      </c>
      <c r="AC45" s="43">
        <f t="shared" si="56"/>
        <v>3.793103448275862E-2</v>
      </c>
      <c r="AD45" s="43">
        <f t="shared" si="56"/>
        <v>3.5247554327533417E-2</v>
      </c>
      <c r="AE45" s="43">
        <f t="shared" si="60"/>
        <v>3.797916814284702E-2</v>
      </c>
      <c r="AF45" s="43">
        <f t="shared" si="60"/>
        <v>2.8942460454514058E-2</v>
      </c>
      <c r="AG45" s="43">
        <f>O45/O$39</f>
        <v>3.1317295268565803E-2</v>
      </c>
      <c r="AH45" s="43">
        <f>P45/P$39</f>
        <v>3.7826378040615935E-2</v>
      </c>
      <c r="AI45" s="43">
        <f>Q45/Q$39</f>
        <v>3.7030764888512563E-2</v>
      </c>
      <c r="AJ45" s="43">
        <f t="shared" si="55"/>
        <v>3.4323380340870298E-2</v>
      </c>
      <c r="AK45" s="2"/>
    </row>
    <row r="46" spans="1:37" ht="15" x14ac:dyDescent="0.2">
      <c r="A46" s="76" t="s">
        <v>191</v>
      </c>
      <c r="B46" s="72">
        <v>0</v>
      </c>
      <c r="C46" s="95">
        <v>0</v>
      </c>
      <c r="D46" s="95">
        <v>0</v>
      </c>
      <c r="E46" s="95">
        <v>0</v>
      </c>
      <c r="F46" s="95">
        <v>22576</v>
      </c>
      <c r="G46" s="95">
        <v>24771</v>
      </c>
      <c r="H46" s="95">
        <v>30829</v>
      </c>
      <c r="I46" s="95">
        <v>31400</v>
      </c>
      <c r="J46" s="95">
        <f>34100</f>
        <v>34100</v>
      </c>
      <c r="K46" s="95">
        <v>34900</v>
      </c>
      <c r="L46" s="95">
        <v>30300</v>
      </c>
      <c r="M46" s="95">
        <v>26200</v>
      </c>
      <c r="N46" s="95">
        <v>25000</v>
      </c>
      <c r="O46" s="95">
        <v>30200</v>
      </c>
      <c r="P46" s="95">
        <v>19800</v>
      </c>
      <c r="Q46" s="95">
        <v>7200</v>
      </c>
      <c r="R46" s="43">
        <f t="shared" si="51"/>
        <v>-0.10717168970817965</v>
      </c>
      <c r="S46" s="72" t="str">
        <f t="shared" si="52"/>
        <v>Customer-Credit Balances</v>
      </c>
      <c r="T46" s="43">
        <f>B46/B$39</f>
        <v>0</v>
      </c>
      <c r="U46" s="43">
        <f t="shared" si="56"/>
        <v>0</v>
      </c>
      <c r="V46" s="43">
        <f t="shared" si="56"/>
        <v>0</v>
      </c>
      <c r="W46" s="43">
        <f t="shared" si="56"/>
        <v>0</v>
      </c>
      <c r="X46" s="43">
        <f t="shared" si="56"/>
        <v>2.4813917600559236E-2</v>
      </c>
      <c r="Y46" s="43">
        <f t="shared" si="56"/>
        <v>2.4486273610457601E-2</v>
      </c>
      <c r="Z46" s="43">
        <f t="shared" si="56"/>
        <v>2.7858730059758599E-2</v>
      </c>
      <c r="AA46" s="43">
        <f t="shared" si="56"/>
        <v>2.9255566943072766E-2</v>
      </c>
      <c r="AB46" s="43">
        <f t="shared" si="56"/>
        <v>2.9202706174531131E-2</v>
      </c>
      <c r="AC46" s="43">
        <f t="shared" si="56"/>
        <v>2.6743295019157089E-2</v>
      </c>
      <c r="AD46" s="43">
        <f t="shared" si="56"/>
        <v>2.2627137629751326E-2</v>
      </c>
      <c r="AE46" s="43">
        <f t="shared" si="60"/>
        <v>1.8564444129525969E-2</v>
      </c>
      <c r="AF46" s="43">
        <f t="shared" si="60"/>
        <v>1.7268771154244664E-2</v>
      </c>
      <c r="AG46" s="43">
        <f t="shared" si="61"/>
        <v>1.8581185011997785E-2</v>
      </c>
      <c r="AH46" s="43">
        <f t="shared" si="61"/>
        <v>1.1046641374693149E-2</v>
      </c>
      <c r="AI46" s="43">
        <f t="shared" si="61"/>
        <v>4.0643522438611347E-3</v>
      </c>
      <c r="AJ46" s="43">
        <f t="shared" si="55"/>
        <v>1.7266734945770634E-2</v>
      </c>
      <c r="AK46" s="2"/>
    </row>
    <row r="47" spans="1:37" ht="15" x14ac:dyDescent="0.2">
      <c r="A47" s="72" t="s">
        <v>66</v>
      </c>
      <c r="B47" s="72">
        <f>2966+164+4915+4476</f>
        <v>12521</v>
      </c>
      <c r="C47" s="95">
        <f>13515+8502+4583</f>
        <v>26600</v>
      </c>
      <c r="D47" s="95">
        <f>3153+8539+5570</f>
        <v>17262</v>
      </c>
      <c r="E47" s="95">
        <f>1254+6830+5556+13282</f>
        <v>26922</v>
      </c>
      <c r="F47" s="95">
        <f>2371+4863+210+24939</f>
        <v>32383</v>
      </c>
      <c r="G47" s="95">
        <f>4226+13018+20633</f>
        <v>37877</v>
      </c>
      <c r="H47" s="99">
        <f>4308+14124</f>
        <v>18432</v>
      </c>
      <c r="I47" s="99">
        <f>4300+7600+34300</f>
        <v>46200</v>
      </c>
      <c r="J47" s="99">
        <f>4200+58100</f>
        <v>62300</v>
      </c>
      <c r="K47" s="99">
        <f>5800+45800</f>
        <v>51600</v>
      </c>
      <c r="L47" s="99">
        <f>800+5800+27200</f>
        <v>33800</v>
      </c>
      <c r="M47" s="99">
        <f>5800+2800</f>
        <v>8600</v>
      </c>
      <c r="N47" s="99">
        <f>5800+14200</f>
        <v>20000</v>
      </c>
      <c r="O47" s="99">
        <f>4500+4300</f>
        <v>8800</v>
      </c>
      <c r="P47" s="99">
        <f>11100+5200</f>
        <v>16300</v>
      </c>
      <c r="Q47" s="99">
        <v>15200</v>
      </c>
      <c r="R47" s="51">
        <f t="shared" si="51"/>
        <v>-0.20584078322743696</v>
      </c>
      <c r="S47" s="72" t="str">
        <f t="shared" si="52"/>
        <v xml:space="preserve">Other </v>
      </c>
      <c r="T47" s="77">
        <f>B47/B$39</f>
        <v>1.7304906903719428E-2</v>
      </c>
      <c r="U47" s="77">
        <f t="shared" si="56"/>
        <v>3.2035610109764114E-2</v>
      </c>
      <c r="V47" s="77">
        <f t="shared" si="56"/>
        <v>2.0701713989667133E-2</v>
      </c>
      <c r="W47" s="77">
        <f t="shared" si="56"/>
        <v>3.2366303554618892E-2</v>
      </c>
      <c r="X47" s="77">
        <f t="shared" si="56"/>
        <v>3.5593067578796496E-2</v>
      </c>
      <c r="Y47" s="77">
        <f t="shared" si="56"/>
        <v>3.7441628740999655E-2</v>
      </c>
      <c r="Z47" s="77">
        <f t="shared" si="56"/>
        <v>1.6656139104786742E-2</v>
      </c>
      <c r="AA47" s="77">
        <f t="shared" si="56"/>
        <v>4.3044815056368209E-2</v>
      </c>
      <c r="AB47" s="77">
        <f t="shared" si="56"/>
        <v>5.3352744711826668E-2</v>
      </c>
      <c r="AC47" s="77">
        <f t="shared" si="56"/>
        <v>3.9540229885057468E-2</v>
      </c>
      <c r="AD47" s="77">
        <f t="shared" si="56"/>
        <v>2.5240833395564186E-2</v>
      </c>
      <c r="AE47" s="77">
        <f t="shared" si="60"/>
        <v>6.093672500531425E-3</v>
      </c>
      <c r="AF47" s="77">
        <f t="shared" si="60"/>
        <v>1.3815016923395731E-2</v>
      </c>
      <c r="AG47" s="77">
        <f t="shared" si="61"/>
        <v>5.4143850366086257E-3</v>
      </c>
      <c r="AH47" s="77">
        <f t="shared" si="61"/>
        <v>9.093952242802945E-3</v>
      </c>
      <c r="AI47" s="77">
        <f t="shared" si="61"/>
        <v>8.5802991814846168E-3</v>
      </c>
      <c r="AJ47" s="51">
        <f t="shared" si="55"/>
        <v>1.1489272302318863E-2</v>
      </c>
      <c r="AK47" s="2"/>
    </row>
    <row r="48" spans="1:37" ht="15" x14ac:dyDescent="0.2">
      <c r="A48" s="72" t="s">
        <v>39</v>
      </c>
      <c r="B48" s="78">
        <f t="shared" ref="B48:M48" si="62">SUM(B41:B47)</f>
        <v>148586</v>
      </c>
      <c r="C48" s="96">
        <f t="shared" si="62"/>
        <v>255298</v>
      </c>
      <c r="D48" s="96">
        <f t="shared" si="62"/>
        <v>152714</v>
      </c>
      <c r="E48" s="96">
        <f t="shared" si="62"/>
        <v>135070</v>
      </c>
      <c r="F48" s="96">
        <f t="shared" si="62"/>
        <v>194659</v>
      </c>
      <c r="G48" s="96">
        <f t="shared" si="62"/>
        <v>284439</v>
      </c>
      <c r="H48" s="96">
        <f t="shared" si="62"/>
        <v>302666</v>
      </c>
      <c r="I48" s="96">
        <f t="shared" si="62"/>
        <v>260200</v>
      </c>
      <c r="J48" s="96">
        <f t="shared" si="62"/>
        <v>375300</v>
      </c>
      <c r="K48" s="96">
        <f t="shared" si="62"/>
        <v>336000</v>
      </c>
      <c r="L48" s="96">
        <f t="shared" si="62"/>
        <v>322400</v>
      </c>
      <c r="M48" s="96">
        <f t="shared" si="62"/>
        <v>346500</v>
      </c>
      <c r="N48" s="96">
        <f t="shared" ref="N48" si="63">SUM(N41:N47)</f>
        <v>427600</v>
      </c>
      <c r="O48" s="96">
        <f t="shared" ref="O48:P48" si="64">SUM(O41:O47)</f>
        <v>398500</v>
      </c>
      <c r="P48" s="96">
        <f t="shared" si="64"/>
        <v>255600</v>
      </c>
      <c r="Q48" s="96">
        <f t="shared" ref="Q48" si="65">SUM(Q41:Q47)</f>
        <v>199300</v>
      </c>
      <c r="R48" s="43">
        <f t="shared" si="51"/>
        <v>-5.3230378679124994E-2</v>
      </c>
      <c r="S48" s="72" t="s">
        <v>39</v>
      </c>
      <c r="T48" s="43">
        <f>B48/B$39</f>
        <v>0.20535635310247224</v>
      </c>
      <c r="U48" s="43">
        <f t="shared" si="56"/>
        <v>0.30746718758656238</v>
      </c>
      <c r="V48" s="43">
        <f t="shared" si="56"/>
        <v>0.18314456900811182</v>
      </c>
      <c r="W48" s="43">
        <f t="shared" si="56"/>
        <v>0.1623845413090548</v>
      </c>
      <c r="X48" s="43">
        <f t="shared" si="56"/>
        <v>0.21395519074270289</v>
      </c>
      <c r="Y48" s="43">
        <f t="shared" si="56"/>
        <v>0.28116956035222435</v>
      </c>
      <c r="Z48" s="43">
        <f t="shared" si="56"/>
        <v>0.27350515398705427</v>
      </c>
      <c r="AA48" s="43">
        <f t="shared" si="56"/>
        <v>0.24242988912699151</v>
      </c>
      <c r="AB48" s="43">
        <f t="shared" si="56"/>
        <v>0.32140104478890125</v>
      </c>
      <c r="AC48" s="43">
        <f t="shared" si="56"/>
        <v>0.25747126436781609</v>
      </c>
      <c r="AD48" s="43">
        <f t="shared" si="56"/>
        <v>0.24075871854230455</v>
      </c>
      <c r="AE48" s="43">
        <f t="shared" si="60"/>
        <v>0.24551831644583008</v>
      </c>
      <c r="AF48" s="43">
        <f t="shared" si="60"/>
        <v>0.29536506182220074</v>
      </c>
      <c r="AG48" s="43">
        <f t="shared" si="61"/>
        <v>0.24518550421460653</v>
      </c>
      <c r="AH48" s="43">
        <f t="shared" si="61"/>
        <v>0.14260209774603883</v>
      </c>
      <c r="AI48" s="43">
        <f t="shared" si="61"/>
        <v>0.11250352808354502</v>
      </c>
      <c r="AJ48" s="43">
        <f t="shared" si="55"/>
        <v>0.22986422962787889</v>
      </c>
      <c r="AK48" s="2"/>
    </row>
    <row r="49" spans="1:37" ht="15" x14ac:dyDescent="0.2">
      <c r="A49" s="72"/>
      <c r="B49" s="72"/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43"/>
      <c r="S49" s="72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2"/>
    </row>
    <row r="50" spans="1:37" ht="15" x14ac:dyDescent="0.2">
      <c r="A50" s="72" t="s">
        <v>61</v>
      </c>
      <c r="B50" s="72">
        <v>225000</v>
      </c>
      <c r="C50" s="95">
        <v>225000</v>
      </c>
      <c r="D50" s="95">
        <v>285000</v>
      </c>
      <c r="E50" s="95">
        <v>285000</v>
      </c>
      <c r="F50" s="95">
        <v>290000</v>
      </c>
      <c r="G50" s="95">
        <v>273000</v>
      </c>
      <c r="H50" s="95">
        <v>323000</v>
      </c>
      <c r="I50" s="95">
        <v>313000</v>
      </c>
      <c r="J50" s="95">
        <f>270000</f>
        <v>270000</v>
      </c>
      <c r="K50" s="95">
        <v>370000</v>
      </c>
      <c r="L50" s="95">
        <v>370000</v>
      </c>
      <c r="M50" s="95">
        <v>368000</v>
      </c>
      <c r="N50" s="95">
        <f>276500</f>
        <v>276500</v>
      </c>
      <c r="O50" s="95">
        <v>384500</v>
      </c>
      <c r="P50" s="95">
        <v>534500</v>
      </c>
      <c r="Q50" s="95">
        <v>534500</v>
      </c>
      <c r="R50" s="43">
        <f t="shared" ref="R50:R54" si="66">RATE(5,,-K50,P50)</f>
        <v>7.6339298235642561E-2</v>
      </c>
      <c r="S50" s="72" t="str">
        <f>A50</f>
        <v>Long-Term Debt</v>
      </c>
      <c r="T50" s="43">
        <f t="shared" ref="T50:AD54" si="67">B50/B$39</f>
        <v>0.31096590155234177</v>
      </c>
      <c r="U50" s="43">
        <f t="shared" si="67"/>
        <v>0.27097790506379421</v>
      </c>
      <c r="V50" s="43">
        <f t="shared" si="67"/>
        <v>0.34179055075050008</v>
      </c>
      <c r="W50" s="43">
        <f t="shared" si="67"/>
        <v>0.34263414727978542</v>
      </c>
      <c r="X50" s="43">
        <f t="shared" si="67"/>
        <v>0.31874716974495831</v>
      </c>
      <c r="Y50" s="43">
        <f t="shared" si="67"/>
        <v>0.26986204415061665</v>
      </c>
      <c r="Z50" s="43">
        <f t="shared" si="67"/>
        <v>0.29188004182107846</v>
      </c>
      <c r="AA50" s="43">
        <f t="shared" si="67"/>
        <v>0.2916239634771266</v>
      </c>
      <c r="AB50" s="43">
        <f t="shared" si="67"/>
        <v>0.23122377322942536</v>
      </c>
      <c r="AC50" s="43">
        <f t="shared" si="67"/>
        <v>0.28352490421455939</v>
      </c>
      <c r="AD50" s="43">
        <f t="shared" si="67"/>
        <v>0.27630498095735945</v>
      </c>
      <c r="AE50" s="43">
        <f t="shared" ref="AE50:AF54" si="68">M50/M$39</f>
        <v>0.26075249769715864</v>
      </c>
      <c r="AF50" s="43">
        <f t="shared" si="68"/>
        <v>0.19099260896594597</v>
      </c>
      <c r="AG50" s="43">
        <f t="shared" ref="AG50:AI54" si="69">O50/O$39</f>
        <v>0.23657170983818371</v>
      </c>
      <c r="AH50" s="43">
        <f t="shared" si="69"/>
        <v>0.29820352599866101</v>
      </c>
      <c r="AI50" s="43">
        <f t="shared" si="69"/>
        <v>0.30172170476996896</v>
      </c>
      <c r="AJ50" s="43">
        <f t="shared" ref="AJ50:AJ54" si="70">SUM(L50:P50)/SUM(L$39:P$39)</f>
        <v>0.25388009138895457</v>
      </c>
      <c r="AK50" s="2"/>
    </row>
    <row r="51" spans="1:37" ht="15" x14ac:dyDescent="0.2">
      <c r="A51" s="72" t="s">
        <v>10</v>
      </c>
      <c r="B51" s="72">
        <v>79549</v>
      </c>
      <c r="C51" s="95">
        <v>80215</v>
      </c>
      <c r="D51" s="95">
        <v>79317</v>
      </c>
      <c r="E51" s="95">
        <v>90155</v>
      </c>
      <c r="F51" s="95">
        <v>98894</v>
      </c>
      <c r="G51" s="95">
        <v>118367</v>
      </c>
      <c r="H51" s="95">
        <v>118024</v>
      </c>
      <c r="I51" s="95">
        <v>118700</v>
      </c>
      <c r="J51" s="95">
        <f>123000</f>
        <v>123000</v>
      </c>
      <c r="K51" s="95">
        <v>154000</v>
      </c>
      <c r="L51" s="95">
        <v>189000</v>
      </c>
      <c r="M51" s="95">
        <v>230300</v>
      </c>
      <c r="N51" s="95">
        <v>259800</v>
      </c>
      <c r="O51" s="95">
        <v>301600</v>
      </c>
      <c r="P51" s="95">
        <v>340700</v>
      </c>
      <c r="Q51" s="95">
        <v>340600</v>
      </c>
      <c r="R51" s="43">
        <f t="shared" si="66"/>
        <v>0.1721151585199811</v>
      </c>
      <c r="S51" s="72" t="str">
        <f>A51</f>
        <v>Deferred Income Taxes</v>
      </c>
      <c r="T51" s="43">
        <f t="shared" si="67"/>
        <v>0.10994234001149883</v>
      </c>
      <c r="U51" s="43">
        <f t="shared" si="67"/>
        <v>9.6606634020854454E-2</v>
      </c>
      <c r="V51" s="43">
        <f t="shared" si="67"/>
        <v>9.51221091714997E-2</v>
      </c>
      <c r="W51" s="43">
        <f t="shared" si="67"/>
        <v>0.10838660192283879</v>
      </c>
      <c r="X51" s="43">
        <f t="shared" si="67"/>
        <v>0.10869718139571692</v>
      </c>
      <c r="Y51" s="43">
        <f t="shared" si="67"/>
        <v>0.11700644901090124</v>
      </c>
      <c r="Z51" s="43">
        <f t="shared" si="67"/>
        <v>0.10665278655074602</v>
      </c>
      <c r="AA51" s="43">
        <f t="shared" si="67"/>
        <v>0.11059349669244387</v>
      </c>
      <c r="AB51" s="43">
        <f t="shared" si="67"/>
        <v>0.10533527447118267</v>
      </c>
      <c r="AC51" s="43">
        <f t="shared" si="67"/>
        <v>0.11800766283524904</v>
      </c>
      <c r="AD51" s="43">
        <f t="shared" si="67"/>
        <v>0.14113957135389441</v>
      </c>
      <c r="AE51" s="43">
        <f t="shared" si="68"/>
        <v>0.16318288103167292</v>
      </c>
      <c r="AF51" s="43">
        <f t="shared" si="68"/>
        <v>0.17945706983491055</v>
      </c>
      <c r="AG51" s="43">
        <f t="shared" si="69"/>
        <v>0.18556574170922291</v>
      </c>
      <c r="AH51" s="43">
        <f t="shared" si="69"/>
        <v>0.19008033920999776</v>
      </c>
      <c r="AI51" s="43">
        <f t="shared" si="69"/>
        <v>0.19226644086931979</v>
      </c>
      <c r="AJ51" s="43">
        <f t="shared" si="70"/>
        <v>0.17350770766039025</v>
      </c>
      <c r="AK51" s="2"/>
    </row>
    <row r="52" spans="1:37" ht="15" x14ac:dyDescent="0.2">
      <c r="A52" s="72" t="s">
        <v>218</v>
      </c>
      <c r="B52" s="72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>
        <v>46700</v>
      </c>
      <c r="P52" s="95">
        <v>53000</v>
      </c>
      <c r="Q52" s="95">
        <v>54800</v>
      </c>
      <c r="R52" s="43"/>
      <c r="S52" s="72" t="str">
        <f>+A52</f>
        <v>Noncurrent Regulatory Liabilities</v>
      </c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>
        <f t="shared" si="69"/>
        <v>3.0934236522720857E-2</v>
      </c>
      <c r="AJ52" s="43"/>
      <c r="AK52" s="2"/>
    </row>
    <row r="53" spans="1:37" ht="15" x14ac:dyDescent="0.2">
      <c r="A53" s="72" t="s">
        <v>62</v>
      </c>
      <c r="B53" s="72">
        <f>5630+1394</f>
        <v>7024</v>
      </c>
      <c r="C53" s="95">
        <f>5250+507</f>
        <v>5757</v>
      </c>
      <c r="D53" s="95">
        <f>4960+5924</f>
        <v>10884</v>
      </c>
      <c r="E53" s="95">
        <f>4565+3173</f>
        <v>7738</v>
      </c>
      <c r="F53" s="95">
        <f>4652+8870+3727</f>
        <v>17249</v>
      </c>
      <c r="G53" s="95">
        <f>11634+5745+3472</f>
        <v>20851</v>
      </c>
      <c r="H53" s="99">
        <f>22249+5590+16764</f>
        <v>44603</v>
      </c>
      <c r="I53" s="99">
        <f>40000+5300+6500</f>
        <v>51800</v>
      </c>
      <c r="J53" s="99">
        <f>51200+7500</f>
        <v>58700</v>
      </c>
      <c r="K53" s="99">
        <f>53900+6500</f>
        <v>60400</v>
      </c>
      <c r="L53" s="99">
        <f>52200+6500</f>
        <v>58700</v>
      </c>
      <c r="M53" s="99">
        <f>45500+5500</f>
        <v>51000</v>
      </c>
      <c r="N53" s="99">
        <f>26600+4800</f>
        <v>31400</v>
      </c>
      <c r="O53" s="99">
        <f>22900+3500</f>
        <v>26400</v>
      </c>
      <c r="P53" s="99">
        <f>29100+3200</f>
        <v>32300</v>
      </c>
      <c r="Q53" s="99">
        <f>32000+3100</f>
        <v>35100</v>
      </c>
      <c r="R53" s="51">
        <f t="shared" si="66"/>
        <v>-0.11766579273208036</v>
      </c>
      <c r="S53" s="72" t="str">
        <f>A53</f>
        <v>Other Deferred Credits</v>
      </c>
      <c r="T53" s="77">
        <f t="shared" si="67"/>
        <v>9.7076644111273279E-3</v>
      </c>
      <c r="U53" s="77">
        <f t="shared" si="67"/>
        <v>6.9334213308989484E-3</v>
      </c>
      <c r="V53" s="77">
        <f t="shared" si="67"/>
        <v>1.3052801243398046E-2</v>
      </c>
      <c r="W53" s="77">
        <f t="shared" si="67"/>
        <v>9.3028176549157186E-3</v>
      </c>
      <c r="X53" s="77">
        <f t="shared" si="67"/>
        <v>1.8958861830795811E-2</v>
      </c>
      <c r="Y53" s="77">
        <f t="shared" si="67"/>
        <v>2.0611331438038488E-2</v>
      </c>
      <c r="Z53" s="77">
        <f t="shared" si="67"/>
        <v>4.0305651719336102E-2</v>
      </c>
      <c r="AA53" s="77">
        <f t="shared" si="67"/>
        <v>4.8262368396534056E-2</v>
      </c>
      <c r="AB53" s="77">
        <f t="shared" si="67"/>
        <v>5.0269761068767661E-2</v>
      </c>
      <c r="AC53" s="77">
        <f t="shared" si="67"/>
        <v>4.6283524904214557E-2</v>
      </c>
      <c r="AD53" s="77">
        <f t="shared" si="67"/>
        <v>4.3835411843775672E-2</v>
      </c>
      <c r="AE53" s="77">
        <f t="shared" si="68"/>
        <v>3.6136895061291009E-2</v>
      </c>
      <c r="AF53" s="77">
        <f t="shared" si="68"/>
        <v>2.1689576569731299E-2</v>
      </c>
      <c r="AG53" s="77">
        <f t="shared" si="69"/>
        <v>1.624315510982588E-2</v>
      </c>
      <c r="AH53" s="77">
        <f t="shared" si="69"/>
        <v>1.8020531131443873E-2</v>
      </c>
      <c r="AI53" s="77">
        <f t="shared" si="69"/>
        <v>1.9813717188823032E-2</v>
      </c>
      <c r="AJ53" s="51">
        <f t="shared" si="70"/>
        <v>2.6234932640037817E-2</v>
      </c>
      <c r="AK53" s="2"/>
    </row>
    <row r="54" spans="1:37" ht="15" x14ac:dyDescent="0.2">
      <c r="A54" s="73" t="s">
        <v>63</v>
      </c>
      <c r="B54" s="78">
        <f t="shared" ref="B54:L54" si="71">SUM(B50:B53)</f>
        <v>311573</v>
      </c>
      <c r="C54" s="96">
        <f t="shared" si="71"/>
        <v>310972</v>
      </c>
      <c r="D54" s="96">
        <f t="shared" si="71"/>
        <v>375201</v>
      </c>
      <c r="E54" s="96">
        <f t="shared" si="71"/>
        <v>382893</v>
      </c>
      <c r="F54" s="96">
        <f t="shared" si="71"/>
        <v>406143</v>
      </c>
      <c r="G54" s="96">
        <f t="shared" si="71"/>
        <v>412218</v>
      </c>
      <c r="H54" s="96">
        <f t="shared" si="71"/>
        <v>485627</v>
      </c>
      <c r="I54" s="96">
        <f t="shared" si="71"/>
        <v>483500</v>
      </c>
      <c r="J54" s="96">
        <f t="shared" si="71"/>
        <v>451700</v>
      </c>
      <c r="K54" s="96">
        <f t="shared" si="71"/>
        <v>584400</v>
      </c>
      <c r="L54" s="96">
        <f t="shared" si="71"/>
        <v>617700</v>
      </c>
      <c r="M54" s="96">
        <f t="shared" ref="M54:O54" si="72">SUM(M50:M53)</f>
        <v>649300</v>
      </c>
      <c r="N54" s="96">
        <f t="shared" ref="N54" si="73">SUM(N50:N53)</f>
        <v>567700</v>
      </c>
      <c r="O54" s="96">
        <f t="shared" si="72"/>
        <v>759200</v>
      </c>
      <c r="P54" s="96">
        <f t="shared" ref="P54:Q54" si="74">SUM(P50:P53)</f>
        <v>960500</v>
      </c>
      <c r="Q54" s="96">
        <f t="shared" si="74"/>
        <v>965000</v>
      </c>
      <c r="R54" s="43">
        <f t="shared" si="66"/>
        <v>0.10447892257297942</v>
      </c>
      <c r="S54" s="72" t="str">
        <f>A54</f>
        <v>Total LTD &amp; Deferrals</v>
      </c>
      <c r="T54" s="43">
        <f t="shared" si="67"/>
        <v>0.43061590597496796</v>
      </c>
      <c r="U54" s="43">
        <f t="shared" si="67"/>
        <v>0.37451796041554763</v>
      </c>
      <c r="V54" s="43">
        <f t="shared" si="67"/>
        <v>0.44996546116539782</v>
      </c>
      <c r="W54" s="43">
        <f t="shared" si="67"/>
        <v>0.46032356685753995</v>
      </c>
      <c r="X54" s="43">
        <f t="shared" si="67"/>
        <v>0.44640321297147101</v>
      </c>
      <c r="Y54" s="43">
        <f t="shared" si="67"/>
        <v>0.40747982459955634</v>
      </c>
      <c r="Z54" s="43">
        <f t="shared" si="67"/>
        <v>0.43883848009116055</v>
      </c>
      <c r="AA54" s="43">
        <f t="shared" si="67"/>
        <v>0.45047982856610452</v>
      </c>
      <c r="AB54" s="43">
        <f t="shared" si="67"/>
        <v>0.3868288087693757</v>
      </c>
      <c r="AC54" s="43">
        <f t="shared" si="67"/>
        <v>0.447816091954023</v>
      </c>
      <c r="AD54" s="43">
        <f t="shared" si="67"/>
        <v>0.46127996415502948</v>
      </c>
      <c r="AE54" s="43">
        <f t="shared" si="68"/>
        <v>0.46007227379012255</v>
      </c>
      <c r="AF54" s="43">
        <f t="shared" si="68"/>
        <v>0.3921392553705878</v>
      </c>
      <c r="AG54" s="43">
        <f t="shared" si="69"/>
        <v>0.46711376361287149</v>
      </c>
      <c r="AH54" s="43">
        <f t="shared" si="69"/>
        <v>0.53587368890872578</v>
      </c>
      <c r="AI54" s="43">
        <f t="shared" si="69"/>
        <v>0.54473609935083267</v>
      </c>
      <c r="AJ54" s="43">
        <f t="shared" si="70"/>
        <v>0.46671393681556761</v>
      </c>
      <c r="AK54" s="2"/>
    </row>
    <row r="55" spans="1:37" ht="12" customHeight="1" x14ac:dyDescent="0.2">
      <c r="A55" s="73"/>
      <c r="B55" s="72"/>
      <c r="C55" s="95"/>
      <c r="D55" s="95"/>
      <c r="E55" s="95"/>
      <c r="F55" s="95"/>
      <c r="G55" s="95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43"/>
      <c r="S55" s="7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</row>
    <row r="56" spans="1:37" ht="15" x14ac:dyDescent="0.2">
      <c r="A56" s="72" t="s">
        <v>40</v>
      </c>
      <c r="B56" s="72">
        <f t="shared" ref="B56:H56" si="75">B54+B48</f>
        <v>460159</v>
      </c>
      <c r="C56" s="95">
        <f t="shared" si="75"/>
        <v>566270</v>
      </c>
      <c r="D56" s="95">
        <f t="shared" si="75"/>
        <v>527915</v>
      </c>
      <c r="E56" s="95">
        <f t="shared" si="75"/>
        <v>517963</v>
      </c>
      <c r="F56" s="95">
        <f t="shared" si="75"/>
        <v>600802</v>
      </c>
      <c r="G56" s="95">
        <f t="shared" si="75"/>
        <v>696657</v>
      </c>
      <c r="H56" s="95">
        <f t="shared" si="75"/>
        <v>788293</v>
      </c>
      <c r="I56" s="95">
        <f t="shared" ref="I56:O56" si="76">I54+I48</f>
        <v>743700</v>
      </c>
      <c r="J56" s="95">
        <f t="shared" si="76"/>
        <v>827000</v>
      </c>
      <c r="K56" s="95">
        <f t="shared" si="76"/>
        <v>920400</v>
      </c>
      <c r="L56" s="95">
        <f t="shared" si="76"/>
        <v>940100</v>
      </c>
      <c r="M56" s="95">
        <f t="shared" si="76"/>
        <v>995800</v>
      </c>
      <c r="N56" s="95">
        <f t="shared" ref="N56" si="77">N54+N48</f>
        <v>995300</v>
      </c>
      <c r="O56" s="95">
        <f t="shared" si="76"/>
        <v>1157700</v>
      </c>
      <c r="P56" s="95">
        <f t="shared" ref="P56:Q56" si="78">P54+P48</f>
        <v>1216100</v>
      </c>
      <c r="Q56" s="95">
        <f t="shared" si="78"/>
        <v>1164300</v>
      </c>
      <c r="R56" s="43">
        <f>RATE(5,,-K56,P56)</f>
        <v>5.7300738850809788E-2</v>
      </c>
      <c r="S56" s="72" t="str">
        <f>A56</f>
        <v>Total Liabilities</v>
      </c>
      <c r="T56" s="43">
        <f t="shared" ref="T56:AD56" si="79">B56/B$39</f>
        <v>0.63597225907744015</v>
      </c>
      <c r="U56" s="43">
        <f t="shared" si="79"/>
        <v>0.68198514800210996</v>
      </c>
      <c r="V56" s="43">
        <f t="shared" si="79"/>
        <v>0.63311003017350964</v>
      </c>
      <c r="W56" s="43">
        <f t="shared" si="79"/>
        <v>0.62270810816659472</v>
      </c>
      <c r="X56" s="43">
        <f t="shared" si="79"/>
        <v>0.66035840371417387</v>
      </c>
      <c r="Y56" s="43">
        <f t="shared" si="79"/>
        <v>0.68864938495178074</v>
      </c>
      <c r="Z56" s="43">
        <f t="shared" si="79"/>
        <v>0.71234363407821477</v>
      </c>
      <c r="AA56" s="43">
        <f t="shared" si="79"/>
        <v>0.69290971769309606</v>
      </c>
      <c r="AB56" s="43">
        <f t="shared" si="79"/>
        <v>0.70822985355827694</v>
      </c>
      <c r="AC56" s="43">
        <f t="shared" si="79"/>
        <v>0.70528735632183903</v>
      </c>
      <c r="AD56" s="43">
        <f t="shared" si="79"/>
        <v>0.70203868269733405</v>
      </c>
      <c r="AE56" s="43">
        <f>M56/M$39</f>
        <v>0.70559059023595272</v>
      </c>
      <c r="AF56" s="43">
        <f>N56/N$39</f>
        <v>0.68750431719278859</v>
      </c>
      <c r="AG56" s="43">
        <f t="shared" ref="AG56:AI56" si="80">O56/O$39</f>
        <v>0.71229926782747799</v>
      </c>
      <c r="AH56" s="43">
        <f t="shared" si="80"/>
        <v>0.6784757866547646</v>
      </c>
      <c r="AI56" s="43">
        <f t="shared" si="80"/>
        <v>0.65723962743437769</v>
      </c>
      <c r="AJ56" s="43">
        <f>SUM(L56:P56)/SUM(L$39:P$39)</f>
        <v>0.6965781664434465</v>
      </c>
      <c r="AK56" s="2"/>
    </row>
    <row r="57" spans="1:37" ht="12" customHeight="1" x14ac:dyDescent="0.2">
      <c r="A57" s="72"/>
      <c r="B57" s="72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43"/>
      <c r="S57" s="72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2"/>
    </row>
    <row r="58" spans="1:37" ht="15" hidden="1" x14ac:dyDescent="0.2">
      <c r="A58" s="72" t="s">
        <v>64</v>
      </c>
      <c r="B58" s="72">
        <v>0</v>
      </c>
      <c r="C58" s="95">
        <v>0</v>
      </c>
      <c r="D58" s="95">
        <v>0</v>
      </c>
      <c r="E58" s="95">
        <v>0</v>
      </c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43"/>
      <c r="S58" s="72" t="str">
        <f>A58</f>
        <v>Preferred Stock</v>
      </c>
      <c r="T58" s="43">
        <f t="shared" ref="T58:W58" si="81">B58/B$39</f>
        <v>0</v>
      </c>
      <c r="U58" s="43">
        <f t="shared" si="81"/>
        <v>0</v>
      </c>
      <c r="V58" s="43">
        <f t="shared" si="81"/>
        <v>0</v>
      </c>
      <c r="W58" s="43">
        <f t="shared" si="81"/>
        <v>0</v>
      </c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2"/>
    </row>
    <row r="59" spans="1:37" ht="12" hidden="1" customHeight="1" x14ac:dyDescent="0.2">
      <c r="A59" s="72"/>
      <c r="B59" s="72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43"/>
      <c r="S59" s="72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2"/>
    </row>
    <row r="60" spans="1:37" ht="15.75" x14ac:dyDescent="0.25">
      <c r="A60" s="117" t="s">
        <v>67</v>
      </c>
      <c r="B60" s="72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43"/>
      <c r="S60" s="117" t="str">
        <f>A60</f>
        <v>Common Equity:</v>
      </c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43"/>
      <c r="AK60" s="2"/>
    </row>
    <row r="61" spans="1:37" ht="15" x14ac:dyDescent="0.2">
      <c r="A61" s="83" t="s">
        <v>5</v>
      </c>
      <c r="B61" s="72">
        <f>22974+81875</f>
        <v>104849</v>
      </c>
      <c r="C61" s="95">
        <f>22974+81875</f>
        <v>104849</v>
      </c>
      <c r="D61" s="95">
        <f>22974+121875</f>
        <v>144849</v>
      </c>
      <c r="E61" s="95">
        <f>22974+121875</f>
        <v>144849</v>
      </c>
      <c r="F61" s="95">
        <f>22974+121875</f>
        <v>144849</v>
      </c>
      <c r="G61" s="95">
        <f>22974+121875</f>
        <v>144849</v>
      </c>
      <c r="H61" s="95">
        <f>22974+115255</f>
        <v>138229</v>
      </c>
      <c r="I61" s="95">
        <f>23000+116000</f>
        <v>139000</v>
      </c>
      <c r="J61" s="95">
        <f>23000+116700</f>
        <v>139700</v>
      </c>
      <c r="K61" s="95">
        <f>23000+147900</f>
        <v>170900</v>
      </c>
      <c r="L61" s="95">
        <f>23000+148900</f>
        <v>171900</v>
      </c>
      <c r="M61" s="95">
        <f>23000+150300</f>
        <v>173300</v>
      </c>
      <c r="N61" s="95">
        <f>23000+171400</f>
        <v>194400</v>
      </c>
      <c r="O61" s="95">
        <f>23000+172500</f>
        <v>195500</v>
      </c>
      <c r="P61" s="95">
        <f>23000+263900</f>
        <v>286900</v>
      </c>
      <c r="Q61" s="95">
        <f>23000+264200</f>
        <v>287200</v>
      </c>
      <c r="R61" s="43">
        <f t="shared" ref="R61:R64" si="82">RATE(5,,-K61,P61)</f>
        <v>0.10916893375478383</v>
      </c>
      <c r="S61" s="72" t="str">
        <f>A61</f>
        <v>Common Stock</v>
      </c>
      <c r="T61" s="43">
        <f t="shared" ref="T61:AD64" si="83">B61/B$39</f>
        <v>0.14490872805271771</v>
      </c>
      <c r="U61" s="43">
        <f t="shared" si="83"/>
        <v>0.12627449941348337</v>
      </c>
      <c r="V61" s="43">
        <f t="shared" si="83"/>
        <v>0.17371234907248839</v>
      </c>
      <c r="W61" s="43">
        <f t="shared" si="83"/>
        <v>0.17414110034852506</v>
      </c>
      <c r="X61" s="43">
        <f t="shared" si="83"/>
        <v>0.15920761651857746</v>
      </c>
      <c r="Y61" s="43">
        <f t="shared" si="83"/>
        <v>0.14318405579916729</v>
      </c>
      <c r="Z61" s="43">
        <f t="shared" si="83"/>
        <v>0.12491110309871781</v>
      </c>
      <c r="AA61" s="43">
        <f t="shared" si="83"/>
        <v>0.12950712755054505</v>
      </c>
      <c r="AB61" s="43">
        <f t="shared" si="83"/>
        <v>0.11963689303759527</v>
      </c>
      <c r="AC61" s="43">
        <f t="shared" si="83"/>
        <v>0.13095785440613028</v>
      </c>
      <c r="AD61" s="43">
        <f t="shared" si="83"/>
        <v>0.12836980061235159</v>
      </c>
      <c r="AE61" s="43">
        <f t="shared" ref="AE61:AF64" si="84">M61/M$39</f>
        <v>0.1227945865514065</v>
      </c>
      <c r="AF61" s="43">
        <f t="shared" si="84"/>
        <v>0.1342819644954065</v>
      </c>
      <c r="AG61" s="43">
        <f t="shared" ref="AG61:AI64" si="85">O61/O$39</f>
        <v>0.12028548575647573</v>
      </c>
      <c r="AH61" s="43">
        <f t="shared" si="85"/>
        <v>0.16006471769694264</v>
      </c>
      <c r="AI61" s="43">
        <f t="shared" si="85"/>
        <v>0.16212249506068305</v>
      </c>
      <c r="AJ61" s="43">
        <f t="shared" ref="AJ61:AJ64" si="86">SUM(L61:P61)/SUM(L$39:P$39)</f>
        <v>0.13419470049108431</v>
      </c>
      <c r="AK61" s="2"/>
    </row>
    <row r="62" spans="1:37" ht="15" x14ac:dyDescent="0.2">
      <c r="A62" s="83" t="s">
        <v>28</v>
      </c>
      <c r="B62" s="72">
        <v>158544</v>
      </c>
      <c r="C62" s="95">
        <v>159207</v>
      </c>
      <c r="D62" s="95">
        <v>161080</v>
      </c>
      <c r="E62" s="95">
        <v>168979</v>
      </c>
      <c r="F62" s="95">
        <v>164161</v>
      </c>
      <c r="G62" s="95">
        <v>170122</v>
      </c>
      <c r="H62" s="95">
        <v>180097</v>
      </c>
      <c r="I62" s="95">
        <v>190600</v>
      </c>
      <c r="J62" s="95">
        <f>201000</f>
        <v>201000</v>
      </c>
      <c r="K62" s="95">
        <v>213700</v>
      </c>
      <c r="L62" s="95">
        <v>227100</v>
      </c>
      <c r="M62" s="95">
        <v>242200</v>
      </c>
      <c r="N62" s="95">
        <v>258000</v>
      </c>
      <c r="O62" s="95">
        <v>272100</v>
      </c>
      <c r="P62" s="95">
        <v>289400</v>
      </c>
      <c r="Q62" s="95">
        <v>320000</v>
      </c>
      <c r="R62" s="51">
        <f t="shared" si="82"/>
        <v>6.2524128116854566E-2</v>
      </c>
      <c r="S62" s="72" t="str">
        <f>A62</f>
        <v>Retained Earnings</v>
      </c>
      <c r="T62" s="77">
        <f t="shared" si="83"/>
        <v>0.21911901286984212</v>
      </c>
      <c r="U62" s="77">
        <f t="shared" si="83"/>
        <v>0.19174035258440661</v>
      </c>
      <c r="V62" s="77">
        <f t="shared" si="83"/>
        <v>0.19317762075400194</v>
      </c>
      <c r="W62" s="77">
        <f t="shared" si="83"/>
        <v>0.20315079148488022</v>
      </c>
      <c r="X62" s="77">
        <f t="shared" si="83"/>
        <v>0.18043397976724862</v>
      </c>
      <c r="Y62" s="77">
        <f t="shared" si="83"/>
        <v>0.16816655924905202</v>
      </c>
      <c r="Z62" s="77">
        <f t="shared" si="83"/>
        <v>0.16274526282306737</v>
      </c>
      <c r="AA62" s="77">
        <f t="shared" si="83"/>
        <v>0.17758315475635889</v>
      </c>
      <c r="AB62" s="77">
        <f t="shared" si="83"/>
        <v>0.17213325340412777</v>
      </c>
      <c r="AC62" s="77">
        <f t="shared" si="83"/>
        <v>0.16375478927203066</v>
      </c>
      <c r="AD62" s="77">
        <f t="shared" si="83"/>
        <v>0.16959151669031439</v>
      </c>
      <c r="AE62" s="77">
        <f t="shared" si="84"/>
        <v>0.17161482321264082</v>
      </c>
      <c r="AF62" s="77">
        <f t="shared" si="84"/>
        <v>0.17821371831180494</v>
      </c>
      <c r="AG62" s="77">
        <f t="shared" si="85"/>
        <v>0.16741524641604627</v>
      </c>
      <c r="AH62" s="77">
        <f t="shared" si="85"/>
        <v>0.16145949564829279</v>
      </c>
      <c r="AI62" s="77">
        <f t="shared" si="85"/>
        <v>0.18063787750493931</v>
      </c>
      <c r="AJ62" s="51">
        <f t="shared" si="86"/>
        <v>0.16922713306546916</v>
      </c>
      <c r="AK62" s="2"/>
    </row>
    <row r="63" spans="1:37" ht="15" x14ac:dyDescent="0.2">
      <c r="A63" s="72" t="s">
        <v>68</v>
      </c>
      <c r="B63" s="78">
        <f t="shared" ref="B63:K63" si="87">SUM(B60:B62)</f>
        <v>263393</v>
      </c>
      <c r="C63" s="96">
        <f t="shared" si="87"/>
        <v>264056</v>
      </c>
      <c r="D63" s="96">
        <f t="shared" si="87"/>
        <v>305929</v>
      </c>
      <c r="E63" s="96">
        <f t="shared" si="87"/>
        <v>313828</v>
      </c>
      <c r="F63" s="96">
        <f t="shared" si="87"/>
        <v>309010</v>
      </c>
      <c r="G63" s="96">
        <f t="shared" si="87"/>
        <v>314971</v>
      </c>
      <c r="H63" s="96">
        <f t="shared" si="87"/>
        <v>318326</v>
      </c>
      <c r="I63" s="96">
        <f t="shared" si="87"/>
        <v>329600</v>
      </c>
      <c r="J63" s="96">
        <f t="shared" si="87"/>
        <v>340700</v>
      </c>
      <c r="K63" s="96">
        <f t="shared" si="87"/>
        <v>384600</v>
      </c>
      <c r="L63" s="96">
        <f t="shared" ref="L63" si="88">SUM(L60:L62)</f>
        <v>399000</v>
      </c>
      <c r="M63" s="96">
        <f t="shared" ref="M63:O63" si="89">SUM(M60:M62)</f>
        <v>415500</v>
      </c>
      <c r="N63" s="96">
        <f t="shared" ref="N63" si="90">SUM(N60:N62)</f>
        <v>452400</v>
      </c>
      <c r="O63" s="96">
        <f t="shared" si="89"/>
        <v>467600</v>
      </c>
      <c r="P63" s="96">
        <f t="shared" ref="P63:Q63" si="91">SUM(P60:P62)</f>
        <v>576300</v>
      </c>
      <c r="Q63" s="96">
        <f t="shared" si="91"/>
        <v>607200</v>
      </c>
      <c r="R63" s="177">
        <f t="shared" si="82"/>
        <v>8.424609814283851E-2</v>
      </c>
      <c r="S63" s="72" t="str">
        <f>A63</f>
        <v>Total Common Equity</v>
      </c>
      <c r="T63" s="77">
        <f t="shared" si="83"/>
        <v>0.36402774092255979</v>
      </c>
      <c r="U63" s="77">
        <f t="shared" si="83"/>
        <v>0.31801485199788998</v>
      </c>
      <c r="V63" s="77">
        <f t="shared" si="83"/>
        <v>0.3668899698264903</v>
      </c>
      <c r="W63" s="77">
        <f t="shared" si="83"/>
        <v>0.37729189183340528</v>
      </c>
      <c r="X63" s="77">
        <f t="shared" si="83"/>
        <v>0.33964159628582608</v>
      </c>
      <c r="Y63" s="77">
        <f t="shared" si="83"/>
        <v>0.31135061504821931</v>
      </c>
      <c r="Z63" s="77">
        <f t="shared" si="83"/>
        <v>0.28765636592178517</v>
      </c>
      <c r="AA63" s="77">
        <f t="shared" si="83"/>
        <v>0.30709028230690394</v>
      </c>
      <c r="AB63" s="77">
        <f t="shared" si="83"/>
        <v>0.29177014644172306</v>
      </c>
      <c r="AC63" s="77">
        <f t="shared" si="83"/>
        <v>0.29471264367816091</v>
      </c>
      <c r="AD63" s="77">
        <f t="shared" si="83"/>
        <v>0.29796131730266595</v>
      </c>
      <c r="AE63" s="77">
        <f t="shared" si="84"/>
        <v>0.29440940976404734</v>
      </c>
      <c r="AF63" s="77">
        <f t="shared" si="84"/>
        <v>0.31249568280721146</v>
      </c>
      <c r="AG63" s="77">
        <f t="shared" si="85"/>
        <v>0.28770073217252201</v>
      </c>
      <c r="AH63" s="77">
        <f t="shared" si="85"/>
        <v>0.32152421334523545</v>
      </c>
      <c r="AI63" s="77">
        <f t="shared" si="85"/>
        <v>0.34276037256562236</v>
      </c>
      <c r="AJ63" s="177">
        <f t="shared" si="86"/>
        <v>0.3034218335565535</v>
      </c>
      <c r="AK63" s="2"/>
    </row>
    <row r="64" spans="1:37" ht="15.75" thickBot="1" x14ac:dyDescent="0.25">
      <c r="A64" s="72" t="s">
        <v>41</v>
      </c>
      <c r="B64" s="84">
        <f t="shared" ref="B64:K64" si="92">B63+B56+B58</f>
        <v>723552</v>
      </c>
      <c r="C64" s="100">
        <f t="shared" si="92"/>
        <v>830326</v>
      </c>
      <c r="D64" s="100">
        <f t="shared" si="92"/>
        <v>833844</v>
      </c>
      <c r="E64" s="100">
        <f t="shared" si="92"/>
        <v>831791</v>
      </c>
      <c r="F64" s="100">
        <f t="shared" si="92"/>
        <v>909812</v>
      </c>
      <c r="G64" s="100">
        <f t="shared" si="92"/>
        <v>1011628</v>
      </c>
      <c r="H64" s="100">
        <f t="shared" si="92"/>
        <v>1106619</v>
      </c>
      <c r="I64" s="100">
        <f t="shared" si="92"/>
        <v>1073300</v>
      </c>
      <c r="J64" s="100">
        <f t="shared" si="92"/>
        <v>1167700</v>
      </c>
      <c r="K64" s="100">
        <f t="shared" si="92"/>
        <v>1305000</v>
      </c>
      <c r="L64" s="100">
        <f t="shared" ref="L64" si="93">L63+L56+L58</f>
        <v>1339100</v>
      </c>
      <c r="M64" s="100">
        <f t="shared" ref="M64:O64" si="94">M63+M56+M58</f>
        <v>1411300</v>
      </c>
      <c r="N64" s="100">
        <f t="shared" ref="N64" si="95">N63+N56+N58</f>
        <v>1447700</v>
      </c>
      <c r="O64" s="100">
        <f t="shared" si="94"/>
        <v>1625300</v>
      </c>
      <c r="P64" s="100">
        <f t="shared" ref="P64:Q64" si="96">P63+P56+P58</f>
        <v>1792400</v>
      </c>
      <c r="Q64" s="100">
        <f t="shared" si="96"/>
        <v>1771500</v>
      </c>
      <c r="R64" s="178">
        <f t="shared" si="82"/>
        <v>6.5528044408448186E-2</v>
      </c>
      <c r="S64" s="72" t="str">
        <f>A64</f>
        <v>Total Liabilities &amp; Equity</v>
      </c>
      <c r="T64" s="85">
        <f t="shared" si="83"/>
        <v>1</v>
      </c>
      <c r="U64" s="85">
        <f t="shared" si="83"/>
        <v>1</v>
      </c>
      <c r="V64" s="85">
        <f t="shared" si="83"/>
        <v>1</v>
      </c>
      <c r="W64" s="85">
        <f t="shared" si="83"/>
        <v>1</v>
      </c>
      <c r="X64" s="85">
        <f t="shared" si="83"/>
        <v>1</v>
      </c>
      <c r="Y64" s="85">
        <f t="shared" si="83"/>
        <v>1</v>
      </c>
      <c r="Z64" s="85">
        <f t="shared" si="83"/>
        <v>1</v>
      </c>
      <c r="AA64" s="85">
        <f t="shared" si="83"/>
        <v>1</v>
      </c>
      <c r="AB64" s="85">
        <f t="shared" si="83"/>
        <v>1</v>
      </c>
      <c r="AC64" s="85">
        <f t="shared" si="83"/>
        <v>1</v>
      </c>
      <c r="AD64" s="85">
        <f t="shared" si="83"/>
        <v>1</v>
      </c>
      <c r="AE64" s="85">
        <f t="shared" si="84"/>
        <v>1</v>
      </c>
      <c r="AF64" s="85">
        <f t="shared" si="84"/>
        <v>1</v>
      </c>
      <c r="AG64" s="85">
        <f t="shared" si="85"/>
        <v>1</v>
      </c>
      <c r="AH64" s="85">
        <f t="shared" si="85"/>
        <v>1</v>
      </c>
      <c r="AI64" s="85">
        <f t="shared" si="85"/>
        <v>1</v>
      </c>
      <c r="AJ64" s="178">
        <f t="shared" si="86"/>
        <v>1</v>
      </c>
      <c r="AK64" s="2"/>
    </row>
    <row r="65" spans="1:37" ht="15.75" thickTop="1" x14ac:dyDescent="0.2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139">
        <f>+O64-O39</f>
        <v>0</v>
      </c>
      <c r="P65" s="139">
        <f>+P64-P39</f>
        <v>0</v>
      </c>
      <c r="Q65" s="139">
        <f>+Q64-Q39</f>
        <v>0</v>
      </c>
      <c r="R65" s="43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43"/>
      <c r="AK65" s="2"/>
    </row>
    <row r="66" spans="1:37" ht="15" x14ac:dyDescent="0.2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43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2"/>
    </row>
    <row r="67" spans="1:37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AK67" s="2"/>
    </row>
    <row r="68" spans="1:37" ht="15.75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91" t="s">
        <v>114</v>
      </c>
      <c r="S68" s="2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91" t="s">
        <v>114</v>
      </c>
      <c r="AK68" s="2"/>
    </row>
    <row r="69" spans="1:37" ht="15.75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194"/>
      <c r="P69" s="194"/>
      <c r="Q69" s="194"/>
      <c r="R69" s="152" t="s">
        <v>178</v>
      </c>
      <c r="S69" s="2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152" t="s">
        <v>181</v>
      </c>
      <c r="AK69" s="2"/>
    </row>
    <row r="70" spans="1:37" ht="20.25" x14ac:dyDescent="0.3">
      <c r="A70" s="64" t="str">
        <f>A3</f>
        <v>Questar Gas Company</v>
      </c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6"/>
      <c r="S70" s="64" t="str">
        <f>A3</f>
        <v>Questar Gas Company</v>
      </c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7"/>
      <c r="AK70" s="2"/>
    </row>
    <row r="71" spans="1:37" ht="15.75" x14ac:dyDescent="0.25">
      <c r="A71" s="65" t="s">
        <v>13</v>
      </c>
      <c r="B71" s="65"/>
      <c r="C71" s="65"/>
      <c r="D71" s="65"/>
      <c r="E71" s="65"/>
      <c r="F71" s="65"/>
      <c r="G71" s="65"/>
      <c r="H71" s="65"/>
      <c r="I71" s="65"/>
      <c r="J71" s="65"/>
      <c r="K71" s="65"/>
      <c r="L71" s="65"/>
      <c r="M71" s="65"/>
      <c r="N71" s="65"/>
      <c r="O71" s="65"/>
      <c r="P71" s="65"/>
      <c r="Q71" s="65"/>
      <c r="R71" s="86"/>
      <c r="S71" s="65" t="s">
        <v>45</v>
      </c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7"/>
      <c r="AK71" s="2"/>
    </row>
    <row r="72" spans="1:37" ht="15.75" x14ac:dyDescent="0.25">
      <c r="A72" s="68" t="str">
        <f>A5</f>
        <v>Years Ended December 31</v>
      </c>
      <c r="B72" s="65"/>
      <c r="C72" s="65"/>
      <c r="D72" s="65"/>
      <c r="E72" s="65"/>
      <c r="F72" s="65"/>
      <c r="G72" s="65"/>
      <c r="H72" s="65"/>
      <c r="I72" s="65"/>
      <c r="J72" s="65"/>
      <c r="K72" s="65"/>
      <c r="L72" s="65"/>
      <c r="M72" s="65"/>
      <c r="N72" s="65"/>
      <c r="O72" s="65"/>
      <c r="P72" s="65"/>
      <c r="Q72" s="65"/>
      <c r="R72" s="86"/>
      <c r="S72" s="65" t="s">
        <v>13</v>
      </c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7"/>
      <c r="AK72" s="2"/>
    </row>
    <row r="73" spans="1:37" ht="15.75" x14ac:dyDescent="0.25">
      <c r="A73" s="65"/>
      <c r="B73" s="65"/>
      <c r="C73" s="65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65"/>
      <c r="P73" s="65"/>
      <c r="Q73" s="65"/>
      <c r="R73" s="86"/>
      <c r="S73" s="65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7"/>
      <c r="AK73" s="2"/>
    </row>
    <row r="74" spans="1:37" ht="15.75" x14ac:dyDescent="0.25">
      <c r="A74" s="128" t="s">
        <v>130</v>
      </c>
      <c r="B74" s="87"/>
      <c r="C74" s="87"/>
      <c r="D74" s="87"/>
      <c r="E74" s="87"/>
      <c r="F74" s="87"/>
      <c r="G74" s="87"/>
      <c r="H74" s="87"/>
      <c r="I74" s="89"/>
      <c r="J74" s="106"/>
      <c r="K74" s="121"/>
      <c r="L74" s="121"/>
      <c r="M74" s="121"/>
      <c r="N74" s="121"/>
      <c r="O74" s="188"/>
      <c r="P74" s="188"/>
      <c r="Q74" s="188"/>
      <c r="R74" s="119" t="str">
        <f>R7</f>
        <v>2008 to 2013</v>
      </c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8"/>
      <c r="AK74" s="2"/>
    </row>
    <row r="75" spans="1:37" ht="15" customHeight="1" x14ac:dyDescent="0.25">
      <c r="A75" s="87"/>
      <c r="B75" s="87"/>
      <c r="C75" s="87"/>
      <c r="D75" s="87"/>
      <c r="E75" s="87"/>
      <c r="F75" s="87"/>
      <c r="G75" s="87"/>
      <c r="H75" s="89"/>
      <c r="I75" s="89"/>
      <c r="J75" s="89"/>
      <c r="K75" s="90"/>
      <c r="L75" s="90"/>
      <c r="M75" s="90"/>
      <c r="N75" s="90"/>
      <c r="O75" s="186"/>
      <c r="P75" s="209"/>
      <c r="Q75" s="209" t="str">
        <f>+Q8</f>
        <v>1st Qrtr</v>
      </c>
      <c r="R75" s="122" t="s">
        <v>3</v>
      </c>
      <c r="S75" s="87"/>
      <c r="T75" s="87"/>
      <c r="U75" s="87"/>
      <c r="V75" s="87"/>
      <c r="W75" s="87"/>
      <c r="X75" s="87"/>
      <c r="Y75" s="87"/>
      <c r="Z75" s="89"/>
      <c r="AA75" s="89"/>
      <c r="AB75" s="89"/>
      <c r="AC75" s="90"/>
      <c r="AD75" s="90"/>
      <c r="AE75" s="90"/>
      <c r="AF75" s="90"/>
      <c r="AG75" s="90"/>
      <c r="AH75" s="90"/>
      <c r="AI75" s="90" t="str">
        <f>+Q75</f>
        <v>1st Qrtr</v>
      </c>
      <c r="AJ75" s="119" t="str">
        <f>+AJ8</f>
        <v>2009 to 2013</v>
      </c>
      <c r="AK75" s="2"/>
    </row>
    <row r="76" spans="1:37" ht="15.75" x14ac:dyDescent="0.25">
      <c r="A76" s="94" t="s">
        <v>0</v>
      </c>
      <c r="B76" s="93">
        <f>B9</f>
        <v>1999</v>
      </c>
      <c r="C76" s="93">
        <f t="shared" ref="C76:J76" si="97">B76+1</f>
        <v>2000</v>
      </c>
      <c r="D76" s="93">
        <f t="shared" si="97"/>
        <v>2001</v>
      </c>
      <c r="E76" s="93">
        <f t="shared" si="97"/>
        <v>2002</v>
      </c>
      <c r="F76" s="93">
        <f t="shared" si="97"/>
        <v>2003</v>
      </c>
      <c r="G76" s="93">
        <f t="shared" si="97"/>
        <v>2004</v>
      </c>
      <c r="H76" s="93">
        <f t="shared" si="97"/>
        <v>2005</v>
      </c>
      <c r="I76" s="93">
        <f t="shared" si="97"/>
        <v>2006</v>
      </c>
      <c r="J76" s="93">
        <f t="shared" si="97"/>
        <v>2007</v>
      </c>
      <c r="K76" s="93">
        <f>J76+1</f>
        <v>2008</v>
      </c>
      <c r="L76" s="93">
        <f>+L9</f>
        <v>2009</v>
      </c>
      <c r="M76" s="93">
        <f>+M9</f>
        <v>2010</v>
      </c>
      <c r="N76" s="93">
        <f>+N9</f>
        <v>2011</v>
      </c>
      <c r="O76" s="187">
        <f t="shared" ref="O76:P76" si="98">+O9</f>
        <v>2012</v>
      </c>
      <c r="P76" s="187">
        <f t="shared" si="98"/>
        <v>2013</v>
      </c>
      <c r="Q76" s="187">
        <f>+Q9</f>
        <v>2014</v>
      </c>
      <c r="R76" s="120" t="s">
        <v>24</v>
      </c>
      <c r="S76" s="94" t="s">
        <v>0</v>
      </c>
      <c r="T76" s="93">
        <f t="shared" ref="T76:AC76" si="99">B76</f>
        <v>1999</v>
      </c>
      <c r="U76" s="93">
        <f t="shared" si="99"/>
        <v>2000</v>
      </c>
      <c r="V76" s="93">
        <f t="shared" si="99"/>
        <v>2001</v>
      </c>
      <c r="W76" s="93">
        <f t="shared" si="99"/>
        <v>2002</v>
      </c>
      <c r="X76" s="93">
        <f t="shared" si="99"/>
        <v>2003</v>
      </c>
      <c r="Y76" s="93">
        <f t="shared" si="99"/>
        <v>2004</v>
      </c>
      <c r="Z76" s="93">
        <f t="shared" si="99"/>
        <v>2005</v>
      </c>
      <c r="AA76" s="93">
        <f t="shared" si="99"/>
        <v>2006</v>
      </c>
      <c r="AB76" s="93">
        <f t="shared" si="99"/>
        <v>2007</v>
      </c>
      <c r="AC76" s="93">
        <f t="shared" si="99"/>
        <v>2008</v>
      </c>
      <c r="AD76" s="93">
        <f>+L76</f>
        <v>2009</v>
      </c>
      <c r="AE76" s="93">
        <f>+AE9</f>
        <v>2010</v>
      </c>
      <c r="AF76" s="93">
        <f>+AF9</f>
        <v>2011</v>
      </c>
      <c r="AG76" s="93">
        <f>+AG9</f>
        <v>2012</v>
      </c>
      <c r="AH76" s="93">
        <f>+AH9</f>
        <v>2013</v>
      </c>
      <c r="AI76" s="93">
        <f>+AI9</f>
        <v>2014</v>
      </c>
      <c r="AJ76" s="120" t="s">
        <v>2</v>
      </c>
      <c r="AK76" s="2"/>
    </row>
    <row r="77" spans="1:37" ht="15" customHeight="1" x14ac:dyDescent="0.2">
      <c r="A77" s="73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5"/>
      <c r="S77" s="73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5"/>
      <c r="AK77" s="2"/>
    </row>
    <row r="78" spans="1:37" ht="15.75" x14ac:dyDescent="0.25">
      <c r="A78" s="117" t="s">
        <v>22</v>
      </c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43"/>
      <c r="S78" s="117" t="s">
        <v>21</v>
      </c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7"/>
    </row>
    <row r="79" spans="1:37" ht="15" x14ac:dyDescent="0.2">
      <c r="A79" s="72" t="s">
        <v>125</v>
      </c>
      <c r="B79" s="101">
        <f>449937-B80</f>
        <v>192672</v>
      </c>
      <c r="C79" s="107">
        <f>536762-C80</f>
        <v>202569</v>
      </c>
      <c r="D79" s="107">
        <f>704113-D80</f>
        <v>205568</v>
      </c>
      <c r="E79" s="107">
        <f>595511-E80</f>
        <v>225217</v>
      </c>
      <c r="F79" s="95">
        <v>226472</v>
      </c>
      <c r="G79" s="95">
        <v>228065</v>
      </c>
      <c r="H79" s="95">
        <v>242374</v>
      </c>
      <c r="I79" s="108">
        <v>242800</v>
      </c>
      <c r="J79" s="109">
        <v>245300</v>
      </c>
      <c r="K79" s="109">
        <v>263400</v>
      </c>
      <c r="L79" s="109">
        <f>919900-626600</f>
        <v>293300</v>
      </c>
      <c r="M79" s="109">
        <v>310700</v>
      </c>
      <c r="N79" s="109">
        <f>968800-645700</f>
        <v>323100</v>
      </c>
      <c r="O79" s="109">
        <f>862200-533300</f>
        <v>328900</v>
      </c>
      <c r="P79" s="109">
        <f>985800-650600</f>
        <v>335200</v>
      </c>
      <c r="Q79" s="109">
        <v>141700</v>
      </c>
      <c r="R79" s="43">
        <f t="shared" ref="R79:R80" si="100">RATE(5,,-K79,P79)</f>
        <v>4.93917555149916E-2</v>
      </c>
      <c r="S79" s="72" t="str">
        <f>A79</f>
        <v>Revenues</v>
      </c>
      <c r="T79" s="43">
        <f t="shared" ref="T79:AF81" si="101">B79/B$81</f>
        <v>0.42821995079311104</v>
      </c>
      <c r="U79" s="43">
        <f t="shared" si="101"/>
        <v>0.37739072438063798</v>
      </c>
      <c r="V79" s="43">
        <f t="shared" si="101"/>
        <v>0.29195313820366903</v>
      </c>
      <c r="W79" s="43">
        <f t="shared" si="101"/>
        <v>0.37819116691379334</v>
      </c>
      <c r="X79" s="43">
        <f t="shared" si="101"/>
        <v>0.36469214727976879</v>
      </c>
      <c r="Y79" s="43">
        <f t="shared" si="101"/>
        <v>0.2984390069000894</v>
      </c>
      <c r="Z79" s="43">
        <f t="shared" si="101"/>
        <v>0.25180484693214983</v>
      </c>
      <c r="AA79" s="43">
        <f t="shared" si="101"/>
        <v>0.22806687957918467</v>
      </c>
      <c r="AB79" s="43">
        <f t="shared" si="101"/>
        <v>0.26305630026809651</v>
      </c>
      <c r="AC79" s="43">
        <f t="shared" si="101"/>
        <v>0.26332100369889033</v>
      </c>
      <c r="AD79" s="43">
        <f t="shared" si="101"/>
        <v>0.31883900423959127</v>
      </c>
      <c r="AE79" s="43">
        <f t="shared" si="101"/>
        <v>0.34411341233802195</v>
      </c>
      <c r="AF79" s="43">
        <f t="shared" si="101"/>
        <v>0.33350536746490506</v>
      </c>
      <c r="AG79" s="43">
        <f t="shared" ref="AG79:AI81" si="102">O79/O$81</f>
        <v>0.38146601716539086</v>
      </c>
      <c r="AH79" s="43">
        <f t="shared" si="102"/>
        <v>0.34002840332724693</v>
      </c>
      <c r="AI79" s="43">
        <f t="shared" si="102"/>
        <v>0.35755740600555136</v>
      </c>
      <c r="AJ79" s="43">
        <f>SUM(L79:P79)/SUM(L$81:P$81)</f>
        <v>0.34296060005172857</v>
      </c>
      <c r="AK79" s="2"/>
    </row>
    <row r="80" spans="1:37" ht="15" x14ac:dyDescent="0.2">
      <c r="A80" s="72" t="s">
        <v>126</v>
      </c>
      <c r="B80" s="101">
        <f>B84+B85</f>
        <v>257265</v>
      </c>
      <c r="C80" s="107">
        <f>C84+C85</f>
        <v>334193</v>
      </c>
      <c r="D80" s="107">
        <f>D84+D85</f>
        <v>498545</v>
      </c>
      <c r="E80" s="107">
        <f>E84+E85</f>
        <v>370294</v>
      </c>
      <c r="F80" s="107">
        <v>394523</v>
      </c>
      <c r="G80" s="107">
        <v>536128</v>
      </c>
      <c r="H80" s="107">
        <v>720173</v>
      </c>
      <c r="I80" s="108">
        <v>821800</v>
      </c>
      <c r="J80" s="109">
        <v>687200</v>
      </c>
      <c r="K80" s="109">
        <v>736900</v>
      </c>
      <c r="L80" s="109">
        <f>305600+321000</f>
        <v>626600</v>
      </c>
      <c r="M80" s="109">
        <v>592200</v>
      </c>
      <c r="N80" s="109">
        <f>318400+327300</f>
        <v>645700</v>
      </c>
      <c r="O80" s="109">
        <v>533300</v>
      </c>
      <c r="P80" s="109">
        <v>650600</v>
      </c>
      <c r="Q80" s="109">
        <v>254600</v>
      </c>
      <c r="R80" s="51">
        <f t="shared" si="100"/>
        <v>-2.4603707527899105E-2</v>
      </c>
      <c r="S80" s="72" t="str">
        <f>A80</f>
        <v>Commodity Pass Through</v>
      </c>
      <c r="T80" s="77">
        <f t="shared" si="101"/>
        <v>0.57178004920688896</v>
      </c>
      <c r="U80" s="77">
        <f t="shared" si="101"/>
        <v>0.62260927561936208</v>
      </c>
      <c r="V80" s="77">
        <f t="shared" si="101"/>
        <v>0.70804686179633103</v>
      </c>
      <c r="W80" s="77">
        <f t="shared" si="101"/>
        <v>0.6218088330862066</v>
      </c>
      <c r="X80" s="77">
        <f t="shared" si="101"/>
        <v>0.63530785272023127</v>
      </c>
      <c r="Y80" s="77">
        <f t="shared" si="101"/>
        <v>0.7015609930999106</v>
      </c>
      <c r="Z80" s="77">
        <f t="shared" si="101"/>
        <v>0.74819515306785023</v>
      </c>
      <c r="AA80" s="77">
        <f t="shared" si="101"/>
        <v>0.7719331204208153</v>
      </c>
      <c r="AB80" s="77">
        <f t="shared" si="101"/>
        <v>0.73694369973190343</v>
      </c>
      <c r="AC80" s="77">
        <f t="shared" si="101"/>
        <v>0.73667899630110967</v>
      </c>
      <c r="AD80" s="77">
        <f t="shared" si="101"/>
        <v>0.68116099576040878</v>
      </c>
      <c r="AE80" s="77">
        <f t="shared" si="101"/>
        <v>0.65588658766197805</v>
      </c>
      <c r="AF80" s="77">
        <f t="shared" si="101"/>
        <v>0.666494632535095</v>
      </c>
      <c r="AG80" s="77">
        <f t="shared" si="102"/>
        <v>0.61853398283460914</v>
      </c>
      <c r="AH80" s="77">
        <f t="shared" si="102"/>
        <v>0.65997159667275307</v>
      </c>
      <c r="AI80" s="77">
        <f t="shared" si="102"/>
        <v>0.6424425939944487</v>
      </c>
      <c r="AJ80" s="51">
        <f t="shared" ref="AJ80:AJ81" si="103">SUM(L80:P80)/SUM(L$81:P$81)</f>
        <v>0.65703939994827143</v>
      </c>
      <c r="AK80" s="2"/>
    </row>
    <row r="81" spans="1:44" ht="15" x14ac:dyDescent="0.2">
      <c r="A81" s="72" t="s">
        <v>54</v>
      </c>
      <c r="B81" s="103">
        <f t="shared" ref="B81:J81" si="104">SUM(B78:B80)</f>
        <v>449937</v>
      </c>
      <c r="C81" s="110">
        <f t="shared" si="104"/>
        <v>536762</v>
      </c>
      <c r="D81" s="110">
        <f t="shared" si="104"/>
        <v>704113</v>
      </c>
      <c r="E81" s="110">
        <f t="shared" si="104"/>
        <v>595511</v>
      </c>
      <c r="F81" s="110">
        <f t="shared" si="104"/>
        <v>620995</v>
      </c>
      <c r="G81" s="110">
        <f t="shared" si="104"/>
        <v>764193</v>
      </c>
      <c r="H81" s="110">
        <f t="shared" si="104"/>
        <v>962547</v>
      </c>
      <c r="I81" s="111">
        <f t="shared" si="104"/>
        <v>1064600</v>
      </c>
      <c r="J81" s="111">
        <f t="shared" si="104"/>
        <v>932500</v>
      </c>
      <c r="K81" s="111">
        <f t="shared" ref="K81:Q81" si="105">SUM(K78:K80)</f>
        <v>1000300</v>
      </c>
      <c r="L81" s="111">
        <f t="shared" si="105"/>
        <v>919900</v>
      </c>
      <c r="M81" s="111">
        <f t="shared" si="105"/>
        <v>902900</v>
      </c>
      <c r="N81" s="111">
        <f t="shared" si="105"/>
        <v>968800</v>
      </c>
      <c r="O81" s="111">
        <f t="shared" si="105"/>
        <v>862200</v>
      </c>
      <c r="P81" s="111">
        <f t="shared" si="105"/>
        <v>985800</v>
      </c>
      <c r="Q81" s="111">
        <f t="shared" si="105"/>
        <v>396300</v>
      </c>
      <c r="R81" s="43">
        <f>RATE(5,,-K81,P81)</f>
        <v>-2.9160878758837244E-3</v>
      </c>
      <c r="S81" s="72" t="str">
        <f>A81</f>
        <v>Total Revenues</v>
      </c>
      <c r="T81" s="43">
        <f t="shared" si="101"/>
        <v>1</v>
      </c>
      <c r="U81" s="43">
        <f t="shared" si="101"/>
        <v>1</v>
      </c>
      <c r="V81" s="43">
        <f t="shared" si="101"/>
        <v>1</v>
      </c>
      <c r="W81" s="43">
        <f t="shared" si="101"/>
        <v>1</v>
      </c>
      <c r="X81" s="43">
        <f t="shared" si="101"/>
        <v>1</v>
      </c>
      <c r="Y81" s="43">
        <f t="shared" si="101"/>
        <v>1</v>
      </c>
      <c r="Z81" s="43">
        <f t="shared" si="101"/>
        <v>1</v>
      </c>
      <c r="AA81" s="43">
        <f t="shared" si="101"/>
        <v>1</v>
      </c>
      <c r="AB81" s="43">
        <f t="shared" si="101"/>
        <v>1</v>
      </c>
      <c r="AC81" s="43">
        <f t="shared" si="101"/>
        <v>1</v>
      </c>
      <c r="AD81" s="43">
        <f t="shared" si="101"/>
        <v>1</v>
      </c>
      <c r="AE81" s="43">
        <f t="shared" si="101"/>
        <v>1</v>
      </c>
      <c r="AF81" s="43">
        <f t="shared" si="101"/>
        <v>1</v>
      </c>
      <c r="AG81" s="43">
        <f t="shared" si="102"/>
        <v>1</v>
      </c>
      <c r="AH81" s="43">
        <f t="shared" si="102"/>
        <v>1</v>
      </c>
      <c r="AI81" s="43">
        <f t="shared" si="102"/>
        <v>1</v>
      </c>
      <c r="AJ81" s="43">
        <f t="shared" si="103"/>
        <v>1</v>
      </c>
      <c r="AK81" s="201">
        <f>(+O81-N81)/N81</f>
        <v>-0.11003303055326177</v>
      </c>
    </row>
    <row r="82" spans="1:44" ht="15" x14ac:dyDescent="0.2">
      <c r="A82" s="72"/>
      <c r="B82" s="101"/>
      <c r="C82" s="107"/>
      <c r="D82" s="107"/>
      <c r="E82" s="107"/>
      <c r="F82" s="107"/>
      <c r="G82" s="107"/>
      <c r="H82" s="107"/>
      <c r="I82" s="108"/>
      <c r="J82" s="109"/>
      <c r="K82" s="109"/>
      <c r="L82" s="109"/>
      <c r="M82" s="109"/>
      <c r="N82" s="109"/>
      <c r="O82" s="109"/>
      <c r="P82" s="248"/>
      <c r="Q82" s="109"/>
      <c r="R82" s="43"/>
      <c r="S82" s="72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>
        <f>+N84+N85</f>
        <v>645700</v>
      </c>
    </row>
    <row r="83" spans="1:44" ht="15.75" x14ac:dyDescent="0.25">
      <c r="A83" s="117" t="s">
        <v>20</v>
      </c>
      <c r="B83" s="101"/>
      <c r="C83" s="107"/>
      <c r="D83" s="107"/>
      <c r="E83" s="107"/>
      <c r="F83" s="107"/>
      <c r="G83" s="107"/>
      <c r="H83" s="107"/>
      <c r="I83" s="108"/>
      <c r="J83" s="109"/>
      <c r="K83" s="109"/>
      <c r="L83" s="143"/>
      <c r="M83" s="109"/>
      <c r="N83" s="109"/>
      <c r="O83" s="109"/>
      <c r="P83" s="143"/>
      <c r="Q83" s="109"/>
      <c r="R83" s="43"/>
      <c r="S83" s="117" t="s">
        <v>20</v>
      </c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>
        <f>+O84+O85</f>
        <v>533300</v>
      </c>
      <c r="AL83">
        <f>+AK83-AK82</f>
        <v>-112400</v>
      </c>
    </row>
    <row r="84" spans="1:44" ht="15" x14ac:dyDescent="0.2">
      <c r="A84" s="104" t="s">
        <v>98</v>
      </c>
      <c r="B84" s="101">
        <v>106305</v>
      </c>
      <c r="C84" s="107">
        <v>167995</v>
      </c>
      <c r="D84" s="107">
        <v>325150</v>
      </c>
      <c r="E84" s="107">
        <v>190515</v>
      </c>
      <c r="F84" s="107">
        <v>201371</v>
      </c>
      <c r="G84" s="107">
        <v>324393</v>
      </c>
      <c r="H84" s="107">
        <v>484182</v>
      </c>
      <c r="I84" s="108">
        <v>569800</v>
      </c>
      <c r="J84" s="109">
        <v>441200</v>
      </c>
      <c r="K84" s="109">
        <v>304200</v>
      </c>
      <c r="L84" s="109">
        <v>305600</v>
      </c>
      <c r="M84" s="109">
        <v>278500</v>
      </c>
      <c r="N84" s="109">
        <v>318400</v>
      </c>
      <c r="O84" s="109">
        <v>185600</v>
      </c>
      <c r="P84" s="109">
        <f>650600-370900</f>
        <v>279700</v>
      </c>
      <c r="Q84" s="109">
        <f>254600-108200</f>
        <v>146400</v>
      </c>
      <c r="R84" s="43">
        <f t="shared" ref="R84:R88" si="106">RATE(5,,-K84,P84)</f>
        <v>-1.6653330223183136E-2</v>
      </c>
      <c r="S84" s="118" t="str">
        <f t="shared" ref="S84:S90" si="107">A84</f>
        <v xml:space="preserve">   Cost of Natural Gas Sold</v>
      </c>
      <c r="T84" s="43">
        <f t="shared" ref="T84:AF86" si="108">B84/B$81</f>
        <v>0.23626641063082165</v>
      </c>
      <c r="U84" s="43">
        <f t="shared" si="108"/>
        <v>0.31297856405632291</v>
      </c>
      <c r="V84" s="43">
        <f t="shared" si="108"/>
        <v>0.46178667344588153</v>
      </c>
      <c r="W84" s="43">
        <f t="shared" si="108"/>
        <v>0.31991852375522872</v>
      </c>
      <c r="X84" s="43">
        <f t="shared" si="108"/>
        <v>0.324271531976908</v>
      </c>
      <c r="Y84" s="43">
        <f t="shared" si="108"/>
        <v>0.42449093357306333</v>
      </c>
      <c r="Z84" s="43">
        <f t="shared" si="108"/>
        <v>0.5030216706301095</v>
      </c>
      <c r="AA84" s="43">
        <f t="shared" si="108"/>
        <v>0.53522449746383616</v>
      </c>
      <c r="AB84" s="43">
        <f t="shared" si="108"/>
        <v>0.47313672922252009</v>
      </c>
      <c r="AC84" s="43">
        <f t="shared" si="108"/>
        <v>0.30410876736978909</v>
      </c>
      <c r="AD84" s="43">
        <f t="shared" si="108"/>
        <v>0.33221002282856832</v>
      </c>
      <c r="AE84" s="43">
        <f t="shared" si="108"/>
        <v>0.30845054823346996</v>
      </c>
      <c r="AF84" s="43">
        <f t="shared" si="108"/>
        <v>0.32865400495458297</v>
      </c>
      <c r="AG84" s="43">
        <f t="shared" ref="AG84:AI92" si="109">O84/O$81</f>
        <v>0.21526327998144282</v>
      </c>
      <c r="AH84" s="43">
        <f t="shared" si="109"/>
        <v>0.28372895110570096</v>
      </c>
      <c r="AI84" s="43">
        <f t="shared" si="109"/>
        <v>0.36941710825132473</v>
      </c>
      <c r="AJ84" s="43">
        <f t="shared" ref="AJ84:AJ88" si="110">SUM(L84:P84)/SUM(L$81:P$81)</f>
        <v>0.29480989740494873</v>
      </c>
      <c r="AK84" s="201">
        <f t="shared" ref="AK84:AK85" si="111">(+O84-N84)/N84</f>
        <v>-0.41708542713567837</v>
      </c>
      <c r="AL84" s="3"/>
      <c r="AM84" s="3"/>
      <c r="AN84" s="3"/>
      <c r="AO84" s="3"/>
      <c r="AP84" s="3"/>
      <c r="AQ84" s="3"/>
      <c r="AR84" s="3"/>
    </row>
    <row r="85" spans="1:44" ht="15" x14ac:dyDescent="0.2">
      <c r="A85" s="104" t="s">
        <v>129</v>
      </c>
      <c r="B85" s="101">
        <v>150960</v>
      </c>
      <c r="C85" s="107">
        <v>166198</v>
      </c>
      <c r="D85" s="107">
        <v>173395</v>
      </c>
      <c r="E85" s="107">
        <v>179779</v>
      </c>
      <c r="F85" s="107">
        <v>193152</v>
      </c>
      <c r="G85" s="107">
        <v>211735</v>
      </c>
      <c r="H85" s="112">
        <v>235991</v>
      </c>
      <c r="I85" s="113">
        <v>252000</v>
      </c>
      <c r="J85" s="107">
        <v>246000</v>
      </c>
      <c r="K85" s="107">
        <v>432700</v>
      </c>
      <c r="L85" s="107">
        <v>321000</v>
      </c>
      <c r="M85" s="107">
        <v>313700</v>
      </c>
      <c r="N85" s="107">
        <v>327300</v>
      </c>
      <c r="O85" s="107">
        <v>347700</v>
      </c>
      <c r="P85" s="107">
        <v>370900</v>
      </c>
      <c r="Q85" s="107">
        <v>108200</v>
      </c>
      <c r="R85" s="43">
        <f t="shared" si="106"/>
        <v>-3.0352264330958254E-2</v>
      </c>
      <c r="S85" s="118" t="str">
        <f t="shared" si="107"/>
        <v xml:space="preserve">   Cost of Natural Gas Sold - Affiliates</v>
      </c>
      <c r="T85" s="43">
        <f t="shared" si="108"/>
        <v>0.33551363857606731</v>
      </c>
      <c r="U85" s="43">
        <f t="shared" si="108"/>
        <v>0.30963071156303912</v>
      </c>
      <c r="V85" s="43">
        <f t="shared" si="108"/>
        <v>0.24626018835044944</v>
      </c>
      <c r="W85" s="43">
        <f t="shared" si="108"/>
        <v>0.30189030933097794</v>
      </c>
      <c r="X85" s="43">
        <f t="shared" si="108"/>
        <v>0.31103632074332321</v>
      </c>
      <c r="Y85" s="43">
        <f t="shared" si="108"/>
        <v>0.27707005952684727</v>
      </c>
      <c r="Z85" s="43">
        <f t="shared" si="108"/>
        <v>0.2451734824377407</v>
      </c>
      <c r="AA85" s="43">
        <f t="shared" si="108"/>
        <v>0.23670862295697914</v>
      </c>
      <c r="AB85" s="43">
        <f t="shared" si="108"/>
        <v>0.2638069705093834</v>
      </c>
      <c r="AC85" s="43">
        <f t="shared" si="108"/>
        <v>0.43257022893132058</v>
      </c>
      <c r="AD85" s="43">
        <f t="shared" si="108"/>
        <v>0.34895097293184041</v>
      </c>
      <c r="AE85" s="43">
        <f t="shared" si="108"/>
        <v>0.34743603942850815</v>
      </c>
      <c r="AF85" s="43">
        <f t="shared" si="108"/>
        <v>0.33784062758051198</v>
      </c>
      <c r="AG85" s="43">
        <f t="shared" si="109"/>
        <v>0.4032707028531663</v>
      </c>
      <c r="AH85" s="43">
        <f t="shared" si="109"/>
        <v>0.37624264556705211</v>
      </c>
      <c r="AI85" s="43">
        <f t="shared" si="109"/>
        <v>0.27302548574312391</v>
      </c>
      <c r="AJ85" s="43">
        <f t="shared" si="110"/>
        <v>0.3622295025433227</v>
      </c>
      <c r="AK85" s="201">
        <f t="shared" si="111"/>
        <v>6.2328139321723187E-2</v>
      </c>
      <c r="AL85" s="202">
        <f>+AL83/AK82</f>
        <v>-0.17407464766919623</v>
      </c>
    </row>
    <row r="86" spans="1:44" ht="15" x14ac:dyDescent="0.2">
      <c r="A86" s="104" t="s">
        <v>99</v>
      </c>
      <c r="B86" s="101">
        <v>103308</v>
      </c>
      <c r="C86" s="107">
        <v>101486</v>
      </c>
      <c r="D86" s="107">
        <v>103427</v>
      </c>
      <c r="E86" s="107">
        <v>105544</v>
      </c>
      <c r="F86" s="107">
        <v>100279</v>
      </c>
      <c r="G86" s="107">
        <f>104786-200</f>
        <v>104586</v>
      </c>
      <c r="H86" s="107">
        <f>73834</f>
        <v>73834</v>
      </c>
      <c r="I86" s="108">
        <f>73200</f>
        <v>73200</v>
      </c>
      <c r="J86" s="109">
        <v>73400</v>
      </c>
      <c r="K86" s="109">
        <f>87100</f>
        <v>87100</v>
      </c>
      <c r="L86" s="109">
        <f>106400</f>
        <v>106400</v>
      </c>
      <c r="M86" s="109">
        <v>114400</v>
      </c>
      <c r="N86" s="109">
        <v>118500</v>
      </c>
      <c r="O86" s="109">
        <v>119000</v>
      </c>
      <c r="P86" s="109">
        <v>113100</v>
      </c>
      <c r="Q86" s="109">
        <v>39800</v>
      </c>
      <c r="R86" s="43">
        <f t="shared" si="106"/>
        <v>5.36318491297181E-2</v>
      </c>
      <c r="S86" s="118" t="str">
        <f t="shared" si="107"/>
        <v xml:space="preserve">   Operating and Maintenance</v>
      </c>
      <c r="T86" s="43">
        <f t="shared" si="108"/>
        <v>0.22960547810026738</v>
      </c>
      <c r="U86" s="43">
        <f t="shared" si="108"/>
        <v>0.18907076134301609</v>
      </c>
      <c r="V86" s="43">
        <f t="shared" si="108"/>
        <v>0.14688977479467075</v>
      </c>
      <c r="W86" s="43">
        <f t="shared" si="108"/>
        <v>0.17723266236895707</v>
      </c>
      <c r="X86" s="43">
        <f t="shared" si="108"/>
        <v>0.16148117134598508</v>
      </c>
      <c r="Y86" s="43">
        <f t="shared" si="108"/>
        <v>0.13685809736545612</v>
      </c>
      <c r="Z86" s="43">
        <f t="shared" si="108"/>
        <v>7.6706903662886072E-2</v>
      </c>
      <c r="AA86" s="43">
        <f t="shared" si="108"/>
        <v>6.8758219049408223E-2</v>
      </c>
      <c r="AB86" s="43">
        <f t="shared" si="108"/>
        <v>7.8713136729222519E-2</v>
      </c>
      <c r="AC86" s="43">
        <f t="shared" si="108"/>
        <v>8.7073877836649008E-2</v>
      </c>
      <c r="AD86" s="43">
        <f t="shared" si="108"/>
        <v>0.11566474616806174</v>
      </c>
      <c r="AE86" s="160">
        <f t="shared" si="108"/>
        <v>0.12670284638387419</v>
      </c>
      <c r="AF86" s="160">
        <f t="shared" si="108"/>
        <v>0.12231626754748141</v>
      </c>
      <c r="AG86" s="160">
        <f t="shared" si="109"/>
        <v>0.13801902110879147</v>
      </c>
      <c r="AH86" s="160">
        <f t="shared" si="109"/>
        <v>0.11472915398660986</v>
      </c>
      <c r="AI86" s="160">
        <f t="shared" si="109"/>
        <v>0.10042896795357052</v>
      </c>
      <c r="AJ86" s="43">
        <f t="shared" si="110"/>
        <v>0.1231571687214415</v>
      </c>
      <c r="AK86" s="2"/>
    </row>
    <row r="87" spans="1:44" ht="15" x14ac:dyDescent="0.2">
      <c r="A87" s="155" t="s">
        <v>162</v>
      </c>
      <c r="B87" s="101"/>
      <c r="C87" s="107"/>
      <c r="D87" s="107"/>
      <c r="E87" s="107"/>
      <c r="F87" s="107"/>
      <c r="G87" s="107"/>
      <c r="H87" s="107">
        <v>39252</v>
      </c>
      <c r="I87" s="108">
        <v>41900</v>
      </c>
      <c r="J87" s="109">
        <v>45500</v>
      </c>
      <c r="K87" s="109">
        <v>38700</v>
      </c>
      <c r="L87" s="109">
        <v>42900</v>
      </c>
      <c r="M87" s="109">
        <v>49900</v>
      </c>
      <c r="N87" s="109">
        <v>51000</v>
      </c>
      <c r="O87" s="109">
        <v>51200</v>
      </c>
      <c r="P87" s="109">
        <v>52500</v>
      </c>
      <c r="Q87" s="109">
        <v>13800</v>
      </c>
      <c r="R87" s="43">
        <f t="shared" si="106"/>
        <v>6.2893295625241874E-2</v>
      </c>
      <c r="S87" s="118" t="str">
        <f>+A87</f>
        <v xml:space="preserve">   General and Administrative</v>
      </c>
      <c r="T87" s="43"/>
      <c r="U87" s="43"/>
      <c r="V87" s="43"/>
      <c r="W87" s="43"/>
      <c r="X87" s="43"/>
      <c r="Y87" s="43"/>
      <c r="Z87" s="43">
        <f t="shared" ref="Z87" si="112">H87/H$81</f>
        <v>4.0779307400054234E-2</v>
      </c>
      <c r="AA87" s="43">
        <f t="shared" ref="AA87" si="113">I87/I$81</f>
        <v>3.9357505166259625E-2</v>
      </c>
      <c r="AB87" s="43">
        <f t="shared" ref="AB87" si="114">J87/J$81</f>
        <v>4.8793565683646116E-2</v>
      </c>
      <c r="AC87" s="43">
        <f t="shared" ref="AC87" si="115">K87/K$81</f>
        <v>3.8688393481955415E-2</v>
      </c>
      <c r="AD87" s="43">
        <f t="shared" ref="AD87" si="116">L87/L$81</f>
        <v>4.6635503859115121E-2</v>
      </c>
      <c r="AE87" s="43">
        <f>M87/M$81</f>
        <v>5.5266363938420646E-2</v>
      </c>
      <c r="AF87" s="43">
        <f>N87/N$81</f>
        <v>5.2642444260941369E-2</v>
      </c>
      <c r="AG87" s="43">
        <f t="shared" ref="AG87:AI87" si="117">O87/O$81</f>
        <v>5.9382973787984225E-2</v>
      </c>
      <c r="AH87" s="43">
        <f t="shared" si="117"/>
        <v>5.3256238587948874E-2</v>
      </c>
      <c r="AI87" s="43">
        <f t="shared" si="117"/>
        <v>3.4822104466313397E-2</v>
      </c>
      <c r="AJ87" s="43">
        <f t="shared" si="110"/>
        <v>5.3345115958272266E-2</v>
      </c>
      <c r="AK87" s="2"/>
    </row>
    <row r="88" spans="1:44" ht="15" x14ac:dyDescent="0.2">
      <c r="A88" s="105" t="s">
        <v>48</v>
      </c>
      <c r="B88" s="101">
        <v>36426</v>
      </c>
      <c r="C88" s="107">
        <v>34450</v>
      </c>
      <c r="D88" s="107">
        <v>35030</v>
      </c>
      <c r="E88" s="107">
        <v>39771</v>
      </c>
      <c r="F88" s="107">
        <v>40126</v>
      </c>
      <c r="G88" s="107">
        <v>41956</v>
      </c>
      <c r="H88" s="107">
        <v>45828</v>
      </c>
      <c r="I88" s="108">
        <v>40900</v>
      </c>
      <c r="J88" s="109">
        <v>38800</v>
      </c>
      <c r="K88" s="109">
        <v>41500</v>
      </c>
      <c r="L88" s="109">
        <v>43800</v>
      </c>
      <c r="M88" s="109">
        <v>43700</v>
      </c>
      <c r="N88" s="109">
        <v>44500</v>
      </c>
      <c r="O88" s="109">
        <v>47200</v>
      </c>
      <c r="P88" s="109">
        <v>49700</v>
      </c>
      <c r="Q88" s="109">
        <v>13200</v>
      </c>
      <c r="R88" s="43">
        <f t="shared" si="106"/>
        <v>3.6720433378599156E-2</v>
      </c>
      <c r="S88" s="118" t="str">
        <f t="shared" si="107"/>
        <v xml:space="preserve">   Depreciation and amortization</v>
      </c>
      <c r="T88" s="43">
        <f t="shared" ref="T88:AD88" si="118">B88/B$81</f>
        <v>8.0958000786776813E-2</v>
      </c>
      <c r="U88" s="43">
        <f t="shared" si="118"/>
        <v>6.4181145461116848E-2</v>
      </c>
      <c r="V88" s="43">
        <f t="shared" si="118"/>
        <v>4.9750537200704999E-2</v>
      </c>
      <c r="W88" s="43">
        <f t="shared" si="118"/>
        <v>6.6784660568822402E-2</v>
      </c>
      <c r="X88" s="43">
        <f t="shared" si="118"/>
        <v>6.4615657130894774E-2</v>
      </c>
      <c r="Y88" s="43">
        <f t="shared" si="118"/>
        <v>5.4902361052770701E-2</v>
      </c>
      <c r="Z88" s="43">
        <f t="shared" si="118"/>
        <v>4.7611181583860324E-2</v>
      </c>
      <c r="AA88" s="43">
        <f t="shared" si="118"/>
        <v>3.8418185233890664E-2</v>
      </c>
      <c r="AB88" s="43">
        <f t="shared" si="118"/>
        <v>4.1608579088471848E-2</v>
      </c>
      <c r="AC88" s="43">
        <f t="shared" si="118"/>
        <v>4.1487553733879835E-2</v>
      </c>
      <c r="AD88" s="43">
        <f t="shared" si="118"/>
        <v>4.7613871072942709E-2</v>
      </c>
      <c r="AE88" s="43">
        <f>M88/M$81</f>
        <v>4.8399601284749141E-2</v>
      </c>
      <c r="AF88" s="43">
        <f>N88/N$81</f>
        <v>4.5933113129644924E-2</v>
      </c>
      <c r="AG88" s="43">
        <f t="shared" si="109"/>
        <v>5.4743678960797959E-2</v>
      </c>
      <c r="AH88" s="43">
        <f t="shared" si="109"/>
        <v>5.0415905863258267E-2</v>
      </c>
      <c r="AI88" s="43">
        <f t="shared" si="109"/>
        <v>3.3308099924299776E-2</v>
      </c>
      <c r="AJ88" s="43">
        <f t="shared" si="110"/>
        <v>4.9336149668074834E-2</v>
      </c>
      <c r="AK88" s="2"/>
    </row>
    <row r="89" spans="1:44" s="8" customFormat="1" ht="15" x14ac:dyDescent="0.2">
      <c r="A89" s="104" t="s">
        <v>123</v>
      </c>
      <c r="B89" s="101">
        <v>0</v>
      </c>
      <c r="C89" s="107">
        <v>0</v>
      </c>
      <c r="D89" s="107">
        <v>0</v>
      </c>
      <c r="E89" s="107">
        <v>0</v>
      </c>
      <c r="F89" s="107">
        <v>24939</v>
      </c>
      <c r="G89" s="107">
        <v>4090</v>
      </c>
      <c r="H89" s="107"/>
      <c r="I89" s="108"/>
      <c r="J89" s="109"/>
      <c r="K89" s="109"/>
      <c r="L89" s="109"/>
      <c r="M89" s="109"/>
      <c r="N89" s="109"/>
      <c r="O89" s="109">
        <v>2400</v>
      </c>
      <c r="P89" s="109"/>
      <c r="Q89" s="109"/>
      <c r="R89" s="43"/>
      <c r="S89" s="118" t="str">
        <f t="shared" si="107"/>
        <v xml:space="preserve">   Miscellaneous</v>
      </c>
      <c r="T89" s="43">
        <f t="shared" ref="T89:Y92" si="119">B89/B$81</f>
        <v>0</v>
      </c>
      <c r="U89" s="43">
        <f t="shared" si="119"/>
        <v>0</v>
      </c>
      <c r="V89" s="43">
        <f t="shared" si="119"/>
        <v>0</v>
      </c>
      <c r="W89" s="43">
        <f t="shared" si="119"/>
        <v>0</v>
      </c>
      <c r="X89" s="43">
        <f t="shared" si="119"/>
        <v>4.0159743637227352E-2</v>
      </c>
      <c r="Y89" s="43">
        <f t="shared" si="119"/>
        <v>5.3520511179767413E-3</v>
      </c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2"/>
    </row>
    <row r="90" spans="1:44" s="8" customFormat="1" ht="15" x14ac:dyDescent="0.2">
      <c r="A90" s="105" t="s">
        <v>49</v>
      </c>
      <c r="B90" s="101">
        <v>7625</v>
      </c>
      <c r="C90" s="107">
        <v>10213</v>
      </c>
      <c r="D90" s="107">
        <v>8729</v>
      </c>
      <c r="E90" s="107">
        <v>9548</v>
      </c>
      <c r="F90" s="107">
        <v>9743</v>
      </c>
      <c r="G90" s="107">
        <v>9767</v>
      </c>
      <c r="H90" s="107">
        <v>11013</v>
      </c>
      <c r="I90" s="108">
        <v>11600</v>
      </c>
      <c r="J90" s="109">
        <v>11500</v>
      </c>
      <c r="K90" s="109">
        <v>11900</v>
      </c>
      <c r="L90" s="109">
        <v>13300</v>
      </c>
      <c r="M90" s="109">
        <v>14100</v>
      </c>
      <c r="N90" s="109">
        <v>15000</v>
      </c>
      <c r="O90" s="109">
        <v>16200</v>
      </c>
      <c r="P90" s="109">
        <v>18000</v>
      </c>
      <c r="Q90" s="109">
        <v>5100</v>
      </c>
      <c r="R90" s="51">
        <f t="shared" ref="R90:R92" si="120">RATE(5,,-K90,P90)</f>
        <v>8.6288317013079319E-2</v>
      </c>
      <c r="S90" s="118" t="str">
        <f t="shared" si="107"/>
        <v xml:space="preserve">   Taxes, other than income taxes</v>
      </c>
      <c r="T90" s="77">
        <f t="shared" si="119"/>
        <v>1.694681699882428E-2</v>
      </c>
      <c r="U90" s="77">
        <f t="shared" si="119"/>
        <v>1.9027054821317457E-2</v>
      </c>
      <c r="V90" s="77">
        <f t="shared" si="119"/>
        <v>1.2397157842562203E-2</v>
      </c>
      <c r="W90" s="77">
        <f t="shared" si="119"/>
        <v>1.6033289057632856E-2</v>
      </c>
      <c r="X90" s="77">
        <f t="shared" si="119"/>
        <v>1.5689337273246968E-2</v>
      </c>
      <c r="Y90" s="77">
        <f t="shared" si="119"/>
        <v>1.2780802755324899E-2</v>
      </c>
      <c r="Z90" s="77">
        <f t="shared" ref="Z90:AF92" si="121">H90/H$81</f>
        <v>1.1441519219321239E-2</v>
      </c>
      <c r="AA90" s="77">
        <f t="shared" si="121"/>
        <v>1.0896111215479993E-2</v>
      </c>
      <c r="AB90" s="43">
        <f t="shared" si="121"/>
        <v>1.2332439678284183E-2</v>
      </c>
      <c r="AC90" s="43">
        <f t="shared" si="121"/>
        <v>1.1896431070678797E-2</v>
      </c>
      <c r="AD90" s="43">
        <f t="shared" si="121"/>
        <v>1.4458093271007718E-2</v>
      </c>
      <c r="AE90" s="43">
        <f t="shared" si="121"/>
        <v>1.5616347325285192E-2</v>
      </c>
      <c r="AF90" s="43">
        <f t="shared" si="121"/>
        <v>1.5483071841453344E-2</v>
      </c>
      <c r="AG90" s="43">
        <f t="shared" si="109"/>
        <v>1.8789144050104383E-2</v>
      </c>
      <c r="AH90" s="43">
        <f t="shared" si="109"/>
        <v>1.8259281801582473E-2</v>
      </c>
      <c r="AI90" s="43">
        <f t="shared" si="109"/>
        <v>1.2869038607115822E-2</v>
      </c>
      <c r="AJ90" s="51">
        <f t="shared" ref="AJ90:AJ92" si="122">SUM(L90:P90)/SUM(L$81:P$81)</f>
        <v>1.6510043969307699E-2</v>
      </c>
      <c r="AK90" s="2"/>
    </row>
    <row r="91" spans="1:44" s="8" customFormat="1" ht="15" x14ac:dyDescent="0.2">
      <c r="A91" s="72" t="s">
        <v>43</v>
      </c>
      <c r="B91" s="103">
        <f t="shared" ref="B91:J91" si="123">SUM(B83:B90)</f>
        <v>404624</v>
      </c>
      <c r="C91" s="110">
        <f t="shared" si="123"/>
        <v>480342</v>
      </c>
      <c r="D91" s="110">
        <f t="shared" si="123"/>
        <v>645731</v>
      </c>
      <c r="E91" s="110">
        <f t="shared" si="123"/>
        <v>525157</v>
      </c>
      <c r="F91" s="110">
        <f t="shared" si="123"/>
        <v>569610</v>
      </c>
      <c r="G91" s="110">
        <f t="shared" si="123"/>
        <v>696527</v>
      </c>
      <c r="H91" s="110">
        <f t="shared" si="123"/>
        <v>890100</v>
      </c>
      <c r="I91" s="111">
        <f t="shared" si="123"/>
        <v>989400</v>
      </c>
      <c r="J91" s="111">
        <f t="shared" si="123"/>
        <v>856400</v>
      </c>
      <c r="K91" s="111">
        <f t="shared" ref="K91:O91" si="124">SUM(K83:K90)</f>
        <v>916100</v>
      </c>
      <c r="L91" s="111">
        <f t="shared" si="124"/>
        <v>833000</v>
      </c>
      <c r="M91" s="111">
        <f t="shared" si="124"/>
        <v>814300</v>
      </c>
      <c r="N91" s="111">
        <f t="shared" si="124"/>
        <v>874700</v>
      </c>
      <c r="O91" s="111">
        <f t="shared" si="124"/>
        <v>769300</v>
      </c>
      <c r="P91" s="111">
        <f>SUM(P84:P90)</f>
        <v>883900</v>
      </c>
      <c r="Q91" s="111">
        <f t="shared" ref="Q91" si="125">SUM(Q83:Q90)</f>
        <v>326500</v>
      </c>
      <c r="R91" s="177">
        <f t="shared" si="120"/>
        <v>-7.1307735136198949E-3</v>
      </c>
      <c r="S91" s="72" t="s">
        <v>43</v>
      </c>
      <c r="T91" s="77">
        <f t="shared" si="119"/>
        <v>0.8992903450927574</v>
      </c>
      <c r="U91" s="77">
        <f t="shared" si="119"/>
        <v>0.89488823724481237</v>
      </c>
      <c r="V91" s="77">
        <f t="shared" si="119"/>
        <v>0.91708433163426895</v>
      </c>
      <c r="W91" s="77">
        <f t="shared" si="119"/>
        <v>0.88185944508161895</v>
      </c>
      <c r="X91" s="77">
        <f t="shared" si="119"/>
        <v>0.91725376210758536</v>
      </c>
      <c r="Y91" s="77">
        <f t="shared" si="119"/>
        <v>0.91145430539143912</v>
      </c>
      <c r="Z91" s="77">
        <f t="shared" si="121"/>
        <v>0.92473406493397203</v>
      </c>
      <c r="AA91" s="77">
        <f t="shared" si="121"/>
        <v>0.92936314108585383</v>
      </c>
      <c r="AB91" s="80">
        <f t="shared" si="121"/>
        <v>0.91839142091152814</v>
      </c>
      <c r="AC91" s="80">
        <f t="shared" si="121"/>
        <v>0.91582525242427271</v>
      </c>
      <c r="AD91" s="80">
        <f t="shared" si="121"/>
        <v>0.90553321013153598</v>
      </c>
      <c r="AE91" s="80">
        <f t="shared" si="121"/>
        <v>0.90187174659430724</v>
      </c>
      <c r="AF91" s="80">
        <f t="shared" si="121"/>
        <v>0.90286952931461606</v>
      </c>
      <c r="AG91" s="80">
        <f t="shared" si="109"/>
        <v>0.89225237763859888</v>
      </c>
      <c r="AH91" s="80">
        <f t="shared" si="109"/>
        <v>0.89663217691215258</v>
      </c>
      <c r="AI91" s="80">
        <f t="shared" si="109"/>
        <v>0.82387080494574816</v>
      </c>
      <c r="AJ91" s="177">
        <f t="shared" si="122"/>
        <v>0.89990516423829636</v>
      </c>
      <c r="AK91" s="2"/>
    </row>
    <row r="92" spans="1:44" s="8" customFormat="1" ht="15" x14ac:dyDescent="0.2">
      <c r="A92" s="72" t="s">
        <v>12</v>
      </c>
      <c r="B92" s="103">
        <f t="shared" ref="B92:K92" si="126">B81-B91</f>
        <v>45313</v>
      </c>
      <c r="C92" s="110">
        <f t="shared" si="126"/>
        <v>56420</v>
      </c>
      <c r="D92" s="110">
        <f t="shared" si="126"/>
        <v>58382</v>
      </c>
      <c r="E92" s="110">
        <f t="shared" si="126"/>
        <v>70354</v>
      </c>
      <c r="F92" s="110">
        <f t="shared" si="126"/>
        <v>51385</v>
      </c>
      <c r="G92" s="110">
        <f t="shared" si="126"/>
        <v>67666</v>
      </c>
      <c r="H92" s="110">
        <f t="shared" si="126"/>
        <v>72447</v>
      </c>
      <c r="I92" s="111">
        <f t="shared" si="126"/>
        <v>75200</v>
      </c>
      <c r="J92" s="111">
        <f t="shared" si="126"/>
        <v>76100</v>
      </c>
      <c r="K92" s="111">
        <f t="shared" si="126"/>
        <v>84200</v>
      </c>
      <c r="L92" s="111">
        <f t="shared" ref="L92" si="127">L81-L91</f>
        <v>86900</v>
      </c>
      <c r="M92" s="111">
        <f t="shared" ref="M92:O92" si="128">M81-M91</f>
        <v>88600</v>
      </c>
      <c r="N92" s="111">
        <f t="shared" ref="N92" si="129">N81-N91</f>
        <v>94100</v>
      </c>
      <c r="O92" s="111">
        <f t="shared" si="128"/>
        <v>92900</v>
      </c>
      <c r="P92" s="111">
        <f t="shared" ref="P92:Q92" si="130">P81-P91</f>
        <v>101900</v>
      </c>
      <c r="Q92" s="111">
        <f t="shared" si="130"/>
        <v>69800</v>
      </c>
      <c r="R92" s="43">
        <f t="shared" si="120"/>
        <v>3.8896823777683241E-2</v>
      </c>
      <c r="S92" s="72" t="s">
        <v>12</v>
      </c>
      <c r="T92" s="43">
        <f t="shared" si="119"/>
        <v>0.10070965490724257</v>
      </c>
      <c r="U92" s="43">
        <f t="shared" si="119"/>
        <v>0.10511176275518759</v>
      </c>
      <c r="V92" s="43">
        <f t="shared" si="119"/>
        <v>8.2915668365731068E-2</v>
      </c>
      <c r="W92" s="43">
        <f t="shared" si="119"/>
        <v>0.11814055491838102</v>
      </c>
      <c r="X92" s="43">
        <f t="shared" si="119"/>
        <v>8.2746237892414587E-2</v>
      </c>
      <c r="Y92" s="43">
        <f t="shared" si="119"/>
        <v>8.8545694608560932E-2</v>
      </c>
      <c r="Z92" s="43">
        <f t="shared" si="121"/>
        <v>7.5265935066027939E-2</v>
      </c>
      <c r="AA92" s="43">
        <f t="shared" si="121"/>
        <v>7.0636858914146158E-2</v>
      </c>
      <c r="AB92" s="80">
        <f t="shared" si="121"/>
        <v>8.1608579088471855E-2</v>
      </c>
      <c r="AC92" s="80">
        <f t="shared" si="121"/>
        <v>8.417474757572728E-2</v>
      </c>
      <c r="AD92" s="80">
        <f t="shared" si="121"/>
        <v>9.4466789868463963E-2</v>
      </c>
      <c r="AE92" s="80">
        <f t="shared" si="121"/>
        <v>9.812825340569277E-2</v>
      </c>
      <c r="AF92" s="80">
        <f t="shared" si="121"/>
        <v>9.7130470685383982E-2</v>
      </c>
      <c r="AG92" s="80">
        <f t="shared" si="109"/>
        <v>0.10774762236140106</v>
      </c>
      <c r="AH92" s="80">
        <f t="shared" si="109"/>
        <v>0.10336782308784744</v>
      </c>
      <c r="AI92" s="80">
        <f t="shared" si="109"/>
        <v>0.17612919505425184</v>
      </c>
      <c r="AJ92" s="43">
        <f t="shared" si="122"/>
        <v>0.1000948357617036</v>
      </c>
      <c r="AK92" s="7">
        <f>+O92-N92</f>
        <v>-1200</v>
      </c>
      <c r="AL92" s="202">
        <f>+AK92/N92</f>
        <v>-1.2752391073326248E-2</v>
      </c>
    </row>
    <row r="93" spans="1:44" ht="15" customHeight="1" x14ac:dyDescent="0.2">
      <c r="A93" s="72"/>
      <c r="B93" s="101"/>
      <c r="C93" s="107"/>
      <c r="D93" s="107"/>
      <c r="E93" s="107"/>
      <c r="F93" s="107"/>
      <c r="G93" s="107"/>
      <c r="H93" s="107"/>
      <c r="I93" s="108"/>
      <c r="J93" s="109"/>
      <c r="K93" s="109"/>
      <c r="L93" s="109"/>
      <c r="M93" s="109"/>
      <c r="N93" s="109"/>
      <c r="O93" s="109"/>
      <c r="P93" s="109"/>
      <c r="Q93" s="109"/>
      <c r="R93" s="43"/>
      <c r="S93" s="72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7"/>
    </row>
    <row r="94" spans="1:44" ht="15" x14ac:dyDescent="0.2">
      <c r="A94" s="105" t="s">
        <v>50</v>
      </c>
      <c r="B94" s="101">
        <v>20062</v>
      </c>
      <c r="C94" s="107">
        <v>21041</v>
      </c>
      <c r="D94" s="107">
        <v>23777</v>
      </c>
      <c r="E94" s="107">
        <v>22495</v>
      </c>
      <c r="F94" s="107">
        <v>20984</v>
      </c>
      <c r="G94" s="107">
        <v>19733</v>
      </c>
      <c r="H94" s="107">
        <v>20158</v>
      </c>
      <c r="I94" s="108">
        <v>22600</v>
      </c>
      <c r="J94" s="109">
        <v>23800</v>
      </c>
      <c r="K94" s="109">
        <v>25200</v>
      </c>
      <c r="L94" s="109">
        <v>28500</v>
      </c>
      <c r="M94" s="109">
        <v>26200</v>
      </c>
      <c r="N94" s="109">
        <v>25900</v>
      </c>
      <c r="O94" s="109">
        <v>24100</v>
      </c>
      <c r="P94" s="109">
        <v>22300</v>
      </c>
      <c r="Q94" s="109">
        <v>7100</v>
      </c>
      <c r="R94" s="43">
        <f t="shared" ref="R94:R95" si="131">RATE(5,,-K94,P94)</f>
        <v>-2.415494784490553E-2</v>
      </c>
      <c r="S94" s="118" t="str">
        <f>A94</f>
        <v xml:space="preserve">   Interest expense (net)</v>
      </c>
      <c r="T94" s="79">
        <f t="shared" ref="T94:AF95" si="132">B94/B$81</f>
        <v>4.4588464607267238E-2</v>
      </c>
      <c r="U94" s="79">
        <f t="shared" si="132"/>
        <v>3.9199868843174446E-2</v>
      </c>
      <c r="V94" s="79">
        <f t="shared" si="132"/>
        <v>3.376872746277941E-2</v>
      </c>
      <c r="W94" s="79">
        <f t="shared" si="132"/>
        <v>3.7774281247533632E-2</v>
      </c>
      <c r="X94" s="79">
        <f t="shared" si="132"/>
        <v>3.3790932294140853E-2</v>
      </c>
      <c r="Y94" s="79">
        <f t="shared" si="132"/>
        <v>2.5822010931793409E-2</v>
      </c>
      <c r="Z94" s="79">
        <f t="shared" si="132"/>
        <v>2.094235398375352E-2</v>
      </c>
      <c r="AA94" s="79">
        <f t="shared" si="132"/>
        <v>2.1228630471538605E-2</v>
      </c>
      <c r="AB94" s="79">
        <f t="shared" si="132"/>
        <v>2.5522788203753352E-2</v>
      </c>
      <c r="AC94" s="79">
        <f t="shared" si="132"/>
        <v>2.5192442267319804E-2</v>
      </c>
      <c r="AD94" s="79">
        <f t="shared" si="132"/>
        <v>3.0981628437873682E-2</v>
      </c>
      <c r="AE94" s="79">
        <f t="shared" si="132"/>
        <v>2.9017609923579577E-2</v>
      </c>
      <c r="AF94" s="79">
        <f t="shared" si="132"/>
        <v>2.6734104046242775E-2</v>
      </c>
      <c r="AG94" s="79">
        <f t="shared" ref="AG94:AI98" si="133">O94/O$81</f>
        <v>2.7951751333797265E-2</v>
      </c>
      <c r="AH94" s="79">
        <f t="shared" si="133"/>
        <v>2.2621221343071617E-2</v>
      </c>
      <c r="AI94" s="79">
        <f t="shared" si="133"/>
        <v>1.7915720413827909E-2</v>
      </c>
      <c r="AJ94" s="43">
        <f t="shared" ref="AJ94:AJ95" si="134">SUM(L94:P94)/SUM(L$81:P$81)</f>
        <v>2.7373049400810416E-2</v>
      </c>
      <c r="AK94" s="2"/>
    </row>
    <row r="95" spans="1:44" ht="15" x14ac:dyDescent="0.2">
      <c r="A95" s="104" t="s">
        <v>115</v>
      </c>
      <c r="B95" s="101">
        <v>-2980</v>
      </c>
      <c r="C95" s="107">
        <v>-1673</v>
      </c>
      <c r="D95" s="107">
        <v>-5158</v>
      </c>
      <c r="E95" s="107">
        <v>-2329</v>
      </c>
      <c r="F95" s="107">
        <v>-3228</v>
      </c>
      <c r="G95" s="107">
        <v>-3508</v>
      </c>
      <c r="H95" s="107">
        <v>-4962</v>
      </c>
      <c r="I95" s="108">
        <v>-6600</v>
      </c>
      <c r="J95" s="109">
        <v>-7400</v>
      </c>
      <c r="K95" s="109">
        <v>-5200</v>
      </c>
      <c r="L95" s="109">
        <v>-7600</v>
      </c>
      <c r="M95" s="109">
        <v>-6700</v>
      </c>
      <c r="N95" s="109">
        <v>-5400</v>
      </c>
      <c r="O95" s="109">
        <v>-5500</v>
      </c>
      <c r="P95" s="109">
        <v>-5100</v>
      </c>
      <c r="Q95" s="109">
        <v>-1300</v>
      </c>
      <c r="R95" s="43">
        <f t="shared" si="131"/>
        <v>-3.8760856832132495E-3</v>
      </c>
      <c r="S95" s="118" t="str">
        <f>A95</f>
        <v xml:space="preserve">   Interest and Other Income</v>
      </c>
      <c r="T95" s="79">
        <f t="shared" si="132"/>
        <v>-6.6231494631470624E-3</v>
      </c>
      <c r="U95" s="79">
        <f t="shared" si="132"/>
        <v>-3.1168376300855873E-3</v>
      </c>
      <c r="V95" s="79">
        <f t="shared" si="132"/>
        <v>-7.3255287148511674E-3</v>
      </c>
      <c r="W95" s="79">
        <f t="shared" si="132"/>
        <v>-3.9109269182265316E-3</v>
      </c>
      <c r="X95" s="79">
        <f t="shared" si="132"/>
        <v>-5.1981094855836196E-3</v>
      </c>
      <c r="Y95" s="79">
        <f t="shared" si="132"/>
        <v>-4.59046340387834E-3</v>
      </c>
      <c r="Z95" s="79">
        <f t="shared" si="132"/>
        <v>-5.1550729470872594E-3</v>
      </c>
      <c r="AA95" s="79">
        <f t="shared" si="132"/>
        <v>-6.1995115536351685E-3</v>
      </c>
      <c r="AB95" s="79">
        <f t="shared" si="132"/>
        <v>-7.9356568364611253E-3</v>
      </c>
      <c r="AC95" s="79">
        <f t="shared" si="132"/>
        <v>-5.198440467859642E-3</v>
      </c>
      <c r="AD95" s="79">
        <f t="shared" si="132"/>
        <v>-8.2617675834329822E-3</v>
      </c>
      <c r="AE95" s="79">
        <f t="shared" si="132"/>
        <v>-7.4205338354192052E-3</v>
      </c>
      <c r="AF95" s="79">
        <f t="shared" si="132"/>
        <v>-5.5739058629232039E-3</v>
      </c>
      <c r="AG95" s="79">
        <f t="shared" si="133"/>
        <v>-6.3790303873811184E-3</v>
      </c>
      <c r="AH95" s="79">
        <f t="shared" si="133"/>
        <v>-5.1734631771150332E-3</v>
      </c>
      <c r="AI95" s="79">
        <f t="shared" si="133"/>
        <v>-3.2803431743628564E-3</v>
      </c>
      <c r="AJ95" s="43">
        <f t="shared" si="134"/>
        <v>-6.5307354082248473E-3</v>
      </c>
      <c r="AK95" s="2"/>
    </row>
    <row r="96" spans="1:44" ht="15" x14ac:dyDescent="0.2">
      <c r="A96" s="105" t="s">
        <v>55</v>
      </c>
      <c r="B96" s="101">
        <v>0</v>
      </c>
      <c r="C96" s="107">
        <v>0</v>
      </c>
      <c r="D96" s="107">
        <v>0</v>
      </c>
      <c r="E96" s="107">
        <v>0</v>
      </c>
      <c r="F96" s="107">
        <v>0</v>
      </c>
      <c r="G96" s="107">
        <v>200</v>
      </c>
      <c r="H96" s="107"/>
      <c r="I96" s="108">
        <v>300</v>
      </c>
      <c r="J96" s="109"/>
      <c r="K96" s="109"/>
      <c r="L96" s="109"/>
      <c r="M96" s="109"/>
      <c r="N96" s="109"/>
      <c r="O96" s="109"/>
      <c r="P96" s="109"/>
      <c r="Q96" s="109"/>
      <c r="R96" s="43"/>
      <c r="S96" s="118" t="str">
        <f>A96</f>
        <v xml:space="preserve">   Loss (Gain) on Sale of Assets</v>
      </c>
      <c r="T96" s="79">
        <f t="shared" ref="T96:Y96" si="135">B96/B$81</f>
        <v>0</v>
      </c>
      <c r="U96" s="79">
        <f t="shared" si="135"/>
        <v>0</v>
      </c>
      <c r="V96" s="79">
        <f t="shared" si="135"/>
        <v>0</v>
      </c>
      <c r="W96" s="79">
        <f t="shared" si="135"/>
        <v>0</v>
      </c>
      <c r="X96" s="79">
        <f t="shared" si="135"/>
        <v>0</v>
      </c>
      <c r="Y96" s="79">
        <f t="shared" si="135"/>
        <v>2.6171399109910714E-4</v>
      </c>
      <c r="Z96" s="79"/>
      <c r="AA96" s="79">
        <f>I96/I$81</f>
        <v>2.8179597971068947E-4</v>
      </c>
      <c r="AB96" s="79"/>
      <c r="AC96" s="79"/>
      <c r="AD96" s="79"/>
      <c r="AE96" s="79"/>
      <c r="AF96" s="79"/>
      <c r="AG96" s="79"/>
      <c r="AH96" s="79"/>
      <c r="AI96" s="79"/>
      <c r="AJ96" s="43"/>
      <c r="AK96" s="2"/>
    </row>
    <row r="97" spans="1:38" ht="15" x14ac:dyDescent="0.2">
      <c r="A97" s="72" t="s">
        <v>51</v>
      </c>
      <c r="B97" s="101">
        <v>0</v>
      </c>
      <c r="C97" s="107">
        <v>0</v>
      </c>
      <c r="D97" s="107">
        <v>0</v>
      </c>
      <c r="E97" s="107">
        <v>0</v>
      </c>
      <c r="F97" s="107">
        <v>0</v>
      </c>
      <c r="G97" s="107"/>
      <c r="H97" s="107"/>
      <c r="I97" s="108"/>
      <c r="J97" s="109"/>
      <c r="K97" s="109"/>
      <c r="L97" s="109"/>
      <c r="M97" s="109"/>
      <c r="N97" s="109"/>
      <c r="O97" s="109"/>
      <c r="P97" s="109"/>
      <c r="Q97" s="109"/>
      <c r="R97" s="51"/>
      <c r="S97" s="118" t="str">
        <f>A97</f>
        <v xml:space="preserve">   Other Income (Expense)</v>
      </c>
      <c r="T97" s="77">
        <f t="shared" ref="T97:X98" si="136">B97/B$81</f>
        <v>0</v>
      </c>
      <c r="U97" s="77">
        <f t="shared" si="136"/>
        <v>0</v>
      </c>
      <c r="V97" s="77">
        <f t="shared" si="136"/>
        <v>0</v>
      </c>
      <c r="W97" s="77">
        <f t="shared" si="136"/>
        <v>0</v>
      </c>
      <c r="X97" s="77">
        <f t="shared" si="136"/>
        <v>0</v>
      </c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51"/>
      <c r="AK97" s="2"/>
    </row>
    <row r="98" spans="1:38" ht="15" x14ac:dyDescent="0.2">
      <c r="A98" s="72" t="s">
        <v>52</v>
      </c>
      <c r="B98" s="103">
        <f t="shared" ref="B98:M98" si="137">SUM(B94:B97)</f>
        <v>17082</v>
      </c>
      <c r="C98" s="110">
        <f t="shared" si="137"/>
        <v>19368</v>
      </c>
      <c r="D98" s="110">
        <f t="shared" si="137"/>
        <v>18619</v>
      </c>
      <c r="E98" s="110">
        <f t="shared" si="137"/>
        <v>20166</v>
      </c>
      <c r="F98" s="110">
        <f t="shared" si="137"/>
        <v>17756</v>
      </c>
      <c r="G98" s="110">
        <f t="shared" si="137"/>
        <v>16425</v>
      </c>
      <c r="H98" s="110">
        <f t="shared" si="137"/>
        <v>15196</v>
      </c>
      <c r="I98" s="111">
        <f t="shared" si="137"/>
        <v>16300</v>
      </c>
      <c r="J98" s="111">
        <f t="shared" si="137"/>
        <v>16400</v>
      </c>
      <c r="K98" s="111">
        <f t="shared" si="137"/>
        <v>20000</v>
      </c>
      <c r="L98" s="111">
        <f t="shared" si="137"/>
        <v>20900</v>
      </c>
      <c r="M98" s="111">
        <f t="shared" si="137"/>
        <v>19500</v>
      </c>
      <c r="N98" s="111">
        <f t="shared" ref="N98" si="138">SUM(N94:N97)</f>
        <v>20500</v>
      </c>
      <c r="O98" s="111">
        <f t="shared" ref="O98:P98" si="139">SUM(O94:O97)</f>
        <v>18600</v>
      </c>
      <c r="P98" s="111">
        <f t="shared" si="139"/>
        <v>17200</v>
      </c>
      <c r="Q98" s="111">
        <f t="shared" ref="Q98" si="140">SUM(Q94:Q97)</f>
        <v>5800</v>
      </c>
      <c r="R98" s="43">
        <f t="shared" ref="R98" si="141">RATE(5,,-K98,P98)</f>
        <v>-2.9714167242994374E-2</v>
      </c>
      <c r="S98" s="118" t="str">
        <f>A98</f>
        <v>Total Other Income/Expense</v>
      </c>
      <c r="T98" s="79">
        <f t="shared" si="136"/>
        <v>3.7965315144120174E-2</v>
      </c>
      <c r="U98" s="79">
        <f t="shared" si="136"/>
        <v>3.6083031213088854E-2</v>
      </c>
      <c r="V98" s="79">
        <f t="shared" si="136"/>
        <v>2.6443198747928245E-2</v>
      </c>
      <c r="W98" s="79">
        <f t="shared" si="136"/>
        <v>3.3863354329307101E-2</v>
      </c>
      <c r="X98" s="79">
        <f t="shared" si="136"/>
        <v>2.8592822808557235E-2</v>
      </c>
      <c r="Y98" s="79">
        <f t="shared" ref="Y98:AF98" si="142">G98/G$81</f>
        <v>2.1493261519014175E-2</v>
      </c>
      <c r="Z98" s="79">
        <f t="shared" si="142"/>
        <v>1.5787281036666261E-2</v>
      </c>
      <c r="AA98" s="79">
        <f t="shared" si="142"/>
        <v>1.5310914897614127E-2</v>
      </c>
      <c r="AB98" s="79">
        <f t="shared" si="142"/>
        <v>1.7587131367292227E-2</v>
      </c>
      <c r="AC98" s="79">
        <f t="shared" si="142"/>
        <v>1.9994001799460162E-2</v>
      </c>
      <c r="AD98" s="79">
        <f t="shared" si="142"/>
        <v>2.27198608544407E-2</v>
      </c>
      <c r="AE98" s="79">
        <f t="shared" si="142"/>
        <v>2.1597076088160371E-2</v>
      </c>
      <c r="AF98" s="79">
        <f t="shared" si="142"/>
        <v>2.1160198183319569E-2</v>
      </c>
      <c r="AG98" s="79">
        <f t="shared" si="133"/>
        <v>2.1572720946416143E-2</v>
      </c>
      <c r="AH98" s="79">
        <f t="shared" si="133"/>
        <v>1.7447758165956583E-2</v>
      </c>
      <c r="AI98" s="79">
        <f t="shared" si="133"/>
        <v>1.4635377239465052E-2</v>
      </c>
      <c r="AJ98" s="43">
        <f>SUM(L98:P98)/SUM(L$81:P$81)</f>
        <v>2.0842313992585567E-2</v>
      </c>
      <c r="AK98" s="2"/>
    </row>
    <row r="99" spans="1:38" ht="12" customHeight="1" x14ac:dyDescent="0.2">
      <c r="A99" s="72"/>
      <c r="B99" s="101"/>
      <c r="C99" s="107"/>
      <c r="D99" s="107"/>
      <c r="E99" s="107"/>
      <c r="F99" s="107"/>
      <c r="G99" s="107"/>
      <c r="H99" s="107"/>
      <c r="I99" s="108"/>
      <c r="J99" s="109"/>
      <c r="K99" s="109"/>
      <c r="L99" s="109"/>
      <c r="M99" s="109"/>
      <c r="N99" s="109"/>
      <c r="O99" s="109"/>
      <c r="P99" s="109"/>
      <c r="Q99" s="109"/>
      <c r="R99" s="43"/>
      <c r="S99" s="118"/>
      <c r="T99" s="79"/>
      <c r="U99" s="79"/>
      <c r="V99" s="79"/>
      <c r="W99" s="79"/>
      <c r="X99" s="79"/>
      <c r="Y99" s="79"/>
      <c r="Z99" s="79"/>
      <c r="AA99" s="79"/>
      <c r="AB99" s="79"/>
      <c r="AC99" s="79"/>
      <c r="AD99" s="79"/>
      <c r="AE99" s="79"/>
      <c r="AF99" s="79"/>
      <c r="AG99" s="79"/>
      <c r="AH99" s="79"/>
      <c r="AI99" s="79"/>
      <c r="AJ99" s="43"/>
      <c r="AK99" s="2"/>
    </row>
    <row r="100" spans="1:38" ht="15" x14ac:dyDescent="0.2">
      <c r="A100" s="72" t="s">
        <v>11</v>
      </c>
      <c r="B100" s="101">
        <f t="shared" ref="B100:G100" si="143">B92-B98</f>
        <v>28231</v>
      </c>
      <c r="C100" s="107">
        <f t="shared" si="143"/>
        <v>37052</v>
      </c>
      <c r="D100" s="107">
        <f t="shared" si="143"/>
        <v>39763</v>
      </c>
      <c r="E100" s="107">
        <f t="shared" si="143"/>
        <v>50188</v>
      </c>
      <c r="F100" s="107">
        <f t="shared" si="143"/>
        <v>33629</v>
      </c>
      <c r="G100" s="107">
        <f t="shared" si="143"/>
        <v>51241</v>
      </c>
      <c r="H100" s="107">
        <f t="shared" ref="H100:M100" si="144">H92-H98</f>
        <v>57251</v>
      </c>
      <c r="I100" s="108">
        <f t="shared" si="144"/>
        <v>58900</v>
      </c>
      <c r="J100" s="108">
        <f t="shared" si="144"/>
        <v>59700</v>
      </c>
      <c r="K100" s="108">
        <f t="shared" si="144"/>
        <v>64200</v>
      </c>
      <c r="L100" s="108">
        <f t="shared" si="144"/>
        <v>66000</v>
      </c>
      <c r="M100" s="108">
        <f t="shared" si="144"/>
        <v>69100</v>
      </c>
      <c r="N100" s="108">
        <f t="shared" ref="N100" si="145">N92-N98</f>
        <v>73600</v>
      </c>
      <c r="O100" s="108">
        <f t="shared" ref="O100:P100" si="146">O92-O98</f>
        <v>74300</v>
      </c>
      <c r="P100" s="108">
        <f t="shared" si="146"/>
        <v>84700</v>
      </c>
      <c r="Q100" s="108">
        <f t="shared" ref="Q100" si="147">Q92-Q98</f>
        <v>64000</v>
      </c>
      <c r="R100" s="51">
        <f t="shared" ref="R100" si="148">RATE(5,,-K100,P100)</f>
        <v>5.6987074347698882E-2</v>
      </c>
      <c r="S100" s="118" t="str">
        <f>A100</f>
        <v>Earnings Before Taxes</v>
      </c>
      <c r="T100" s="43">
        <f t="shared" ref="T100:AF100" si="149">B100/B$81</f>
        <v>6.2744339763122395E-2</v>
      </c>
      <c r="U100" s="43">
        <f t="shared" si="149"/>
        <v>6.9028731542098737E-2</v>
      </c>
      <c r="V100" s="43">
        <f t="shared" si="149"/>
        <v>5.6472469617802827E-2</v>
      </c>
      <c r="W100" s="43">
        <f t="shared" si="149"/>
        <v>8.4277200589073925E-2</v>
      </c>
      <c r="X100" s="43">
        <f t="shared" si="149"/>
        <v>5.4153415083857355E-2</v>
      </c>
      <c r="Y100" s="43">
        <f t="shared" si="149"/>
        <v>6.7052433089546754E-2</v>
      </c>
      <c r="Z100" s="43">
        <f t="shared" si="149"/>
        <v>5.9478654029361686E-2</v>
      </c>
      <c r="AA100" s="43">
        <f t="shared" si="149"/>
        <v>5.5325944016532028E-2</v>
      </c>
      <c r="AB100" s="43">
        <f t="shared" si="149"/>
        <v>6.4021447721179625E-2</v>
      </c>
      <c r="AC100" s="43">
        <f t="shared" si="149"/>
        <v>6.4180745776267117E-2</v>
      </c>
      <c r="AD100" s="43">
        <f t="shared" si="149"/>
        <v>7.174692901402327E-2</v>
      </c>
      <c r="AE100" s="43">
        <f t="shared" si="149"/>
        <v>7.6531177317532395E-2</v>
      </c>
      <c r="AF100" s="43">
        <f t="shared" si="149"/>
        <v>7.5970272502064409E-2</v>
      </c>
      <c r="AG100" s="43">
        <f t="shared" ref="AG100:AI103" si="150">O100/O$81</f>
        <v>8.617490141498492E-2</v>
      </c>
      <c r="AH100" s="43">
        <f t="shared" si="150"/>
        <v>8.5920064921890846E-2</v>
      </c>
      <c r="AI100" s="43">
        <f t="shared" si="150"/>
        <v>0.16149381781478678</v>
      </c>
      <c r="AJ100" s="43">
        <f>SUM(L100:P100)/SUM(L$81:P$81)</f>
        <v>7.9252521769118026E-2</v>
      </c>
      <c r="AK100" s="2"/>
    </row>
    <row r="101" spans="1:38" ht="15" x14ac:dyDescent="0.2">
      <c r="A101" s="72" t="s">
        <v>53</v>
      </c>
      <c r="B101" s="103">
        <v>0</v>
      </c>
      <c r="C101" s="110">
        <v>0</v>
      </c>
      <c r="D101" s="110">
        <v>0</v>
      </c>
      <c r="E101" s="110">
        <v>0</v>
      </c>
      <c r="F101" s="110">
        <v>334</v>
      </c>
      <c r="G101" s="110"/>
      <c r="H101" s="110"/>
      <c r="I101" s="111"/>
      <c r="J101" s="111"/>
      <c r="K101" s="111"/>
      <c r="L101" s="111"/>
      <c r="M101" s="111"/>
      <c r="N101" s="111"/>
      <c r="O101" s="111"/>
      <c r="P101" s="111"/>
      <c r="Q101" s="111"/>
      <c r="R101" s="43"/>
      <c r="S101" s="118" t="str">
        <f>A101</f>
        <v>Extraordinary Items</v>
      </c>
      <c r="T101" s="43">
        <f t="shared" ref="T101:X103" si="151">B101/B$81</f>
        <v>0</v>
      </c>
      <c r="U101" s="43">
        <f t="shared" si="151"/>
        <v>0</v>
      </c>
      <c r="V101" s="43">
        <f t="shared" si="151"/>
        <v>0</v>
      </c>
      <c r="W101" s="43">
        <f t="shared" si="151"/>
        <v>0</v>
      </c>
      <c r="X101" s="43">
        <f t="shared" si="151"/>
        <v>5.3784652050338565E-4</v>
      </c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2"/>
    </row>
    <row r="102" spans="1:38" ht="15" x14ac:dyDescent="0.2">
      <c r="A102" s="72" t="s">
        <v>14</v>
      </c>
      <c r="B102" s="101">
        <v>9012</v>
      </c>
      <c r="C102" s="107">
        <v>12889</v>
      </c>
      <c r="D102" s="107">
        <v>13890</v>
      </c>
      <c r="E102" s="107">
        <v>17789</v>
      </c>
      <c r="F102" s="107">
        <v>13113</v>
      </c>
      <c r="G102" s="107">
        <v>19780</v>
      </c>
      <c r="H102" s="107">
        <v>21276</v>
      </c>
      <c r="I102" s="108">
        <v>21900</v>
      </c>
      <c r="J102" s="108">
        <v>22300</v>
      </c>
      <c r="K102" s="108">
        <v>24000</v>
      </c>
      <c r="L102" s="108">
        <v>24400</v>
      </c>
      <c r="M102" s="108">
        <v>25200</v>
      </c>
      <c r="N102" s="108">
        <v>27500</v>
      </c>
      <c r="O102" s="108">
        <v>27200</v>
      </c>
      <c r="P102" s="108">
        <v>31900</v>
      </c>
      <c r="Q102" s="108">
        <v>24400</v>
      </c>
      <c r="R102" s="51">
        <f t="shared" ref="R102:R103" si="152">RATE(5,,-K102,P102)</f>
        <v>5.8560997074532981E-2</v>
      </c>
      <c r="S102" s="118" t="str">
        <f>A102</f>
        <v>Income Taxes</v>
      </c>
      <c r="T102" s="77">
        <f t="shared" si="151"/>
        <v>2.0029470792577629E-2</v>
      </c>
      <c r="U102" s="77">
        <f t="shared" si="151"/>
        <v>2.4012504610982147E-2</v>
      </c>
      <c r="V102" s="77">
        <f t="shared" si="151"/>
        <v>1.9726947237162219E-2</v>
      </c>
      <c r="W102" s="77">
        <f t="shared" si="151"/>
        <v>2.9871824365964691E-2</v>
      </c>
      <c r="X102" s="77">
        <f t="shared" si="151"/>
        <v>2.1116112045990707E-2</v>
      </c>
      <c r="Y102" s="77">
        <f t="shared" ref="Y102:AF103" si="153">G102/G$81</f>
        <v>2.5883513719701698E-2</v>
      </c>
      <c r="Z102" s="77">
        <f t="shared" si="153"/>
        <v>2.2103855707825176E-2</v>
      </c>
      <c r="AA102" s="77">
        <f t="shared" si="153"/>
        <v>2.057110651888033E-2</v>
      </c>
      <c r="AB102" s="77">
        <f t="shared" si="153"/>
        <v>2.3914209115281502E-2</v>
      </c>
      <c r="AC102" s="77">
        <f t="shared" si="153"/>
        <v>2.3992802159352195E-2</v>
      </c>
      <c r="AD102" s="77">
        <f t="shared" si="153"/>
        <v>2.6524622241547995E-2</v>
      </c>
      <c r="AE102" s="77">
        <f t="shared" si="153"/>
        <v>2.7910067560084174E-2</v>
      </c>
      <c r="AF102" s="77">
        <f t="shared" si="153"/>
        <v>2.838563170933113E-2</v>
      </c>
      <c r="AG102" s="77">
        <f t="shared" si="150"/>
        <v>3.1547204824866622E-2</v>
      </c>
      <c r="AH102" s="77">
        <f t="shared" si="150"/>
        <v>3.2359504970582272E-2</v>
      </c>
      <c r="AI102" s="77">
        <f t="shared" si="150"/>
        <v>6.1569518041887462E-2</v>
      </c>
      <c r="AJ102" s="51">
        <f t="shared" ref="AJ102:AJ103" si="154">SUM(L102:P102)/SUM(L$81:P$81)</f>
        <v>2.9355978963703767E-2</v>
      </c>
      <c r="AK102" s="2"/>
    </row>
    <row r="103" spans="1:38" ht="16.5" thickBot="1" x14ac:dyDescent="0.3">
      <c r="A103" s="117" t="s">
        <v>16</v>
      </c>
      <c r="B103" s="103">
        <f t="shared" ref="B103:K103" si="155">B100-B101-B102</f>
        <v>19219</v>
      </c>
      <c r="C103" s="110">
        <f t="shared" si="155"/>
        <v>24163</v>
      </c>
      <c r="D103" s="110">
        <f t="shared" si="155"/>
        <v>25873</v>
      </c>
      <c r="E103" s="110">
        <f t="shared" si="155"/>
        <v>32399</v>
      </c>
      <c r="F103" s="110">
        <f t="shared" si="155"/>
        <v>20182</v>
      </c>
      <c r="G103" s="110">
        <f t="shared" si="155"/>
        <v>31461</v>
      </c>
      <c r="H103" s="110">
        <f t="shared" si="155"/>
        <v>35975</v>
      </c>
      <c r="I103" s="111">
        <f t="shared" si="155"/>
        <v>37000</v>
      </c>
      <c r="J103" s="111">
        <f t="shared" si="155"/>
        <v>37400</v>
      </c>
      <c r="K103" s="111">
        <f t="shared" si="155"/>
        <v>40200</v>
      </c>
      <c r="L103" s="111">
        <f t="shared" ref="L103" si="156">L100-L101-L102</f>
        <v>41600</v>
      </c>
      <c r="M103" s="111">
        <f t="shared" ref="M103:O103" si="157">M100-M101-M102</f>
        <v>43900</v>
      </c>
      <c r="N103" s="111">
        <f t="shared" ref="N103" si="158">N100-N101-N102</f>
        <v>46100</v>
      </c>
      <c r="O103" s="111">
        <f t="shared" si="157"/>
        <v>47100</v>
      </c>
      <c r="P103" s="111">
        <f t="shared" ref="P103:Q103" si="159">P100-P101-P102</f>
        <v>52800</v>
      </c>
      <c r="Q103" s="111">
        <f t="shared" si="159"/>
        <v>39600</v>
      </c>
      <c r="R103" s="81">
        <f t="shared" si="152"/>
        <v>5.604293121510194E-2</v>
      </c>
      <c r="S103" s="154" t="str">
        <f>A103</f>
        <v>Net Income</v>
      </c>
      <c r="T103" s="85">
        <f t="shared" si="151"/>
        <v>4.2714868970544766E-2</v>
      </c>
      <c r="U103" s="85">
        <f t="shared" si="151"/>
        <v>4.5016226931116586E-2</v>
      </c>
      <c r="V103" s="85">
        <f t="shared" si="151"/>
        <v>3.6745522380640605E-2</v>
      </c>
      <c r="W103" s="85">
        <f t="shared" si="151"/>
        <v>5.4405376223109231E-2</v>
      </c>
      <c r="X103" s="85">
        <f t="shared" si="151"/>
        <v>3.2499456517363266E-2</v>
      </c>
      <c r="Y103" s="85">
        <f t="shared" si="153"/>
        <v>4.1168919369845056E-2</v>
      </c>
      <c r="Z103" s="85">
        <f t="shared" si="153"/>
        <v>3.7374798321536506E-2</v>
      </c>
      <c r="AA103" s="85">
        <f t="shared" si="153"/>
        <v>3.4754837497651701E-2</v>
      </c>
      <c r="AB103" s="85">
        <f t="shared" si="153"/>
        <v>4.0107238605898127E-2</v>
      </c>
      <c r="AC103" s="85">
        <f t="shared" si="153"/>
        <v>4.0187943616914926E-2</v>
      </c>
      <c r="AD103" s="85">
        <f t="shared" si="153"/>
        <v>4.5222306772475268E-2</v>
      </c>
      <c r="AE103" s="85">
        <f t="shared" si="153"/>
        <v>4.8621109757448225E-2</v>
      </c>
      <c r="AF103" s="85">
        <f t="shared" si="153"/>
        <v>4.7584640792733279E-2</v>
      </c>
      <c r="AG103" s="85">
        <f t="shared" si="150"/>
        <v>5.4627696590118305E-2</v>
      </c>
      <c r="AH103" s="85">
        <f t="shared" si="150"/>
        <v>5.3560559951308581E-2</v>
      </c>
      <c r="AI103" s="85">
        <f t="shared" si="150"/>
        <v>9.9924299772899322E-2</v>
      </c>
      <c r="AJ103" s="81">
        <f t="shared" si="154"/>
        <v>4.9896542805414258E-2</v>
      </c>
      <c r="AK103" s="7">
        <f>+O103-N103</f>
        <v>1000</v>
      </c>
      <c r="AL103" s="202">
        <f>+AK103/N103</f>
        <v>2.1691973969631236E-2</v>
      </c>
    </row>
    <row r="104" spans="1:38" ht="15.75" thickTop="1" x14ac:dyDescent="0.2">
      <c r="A104" s="72"/>
      <c r="B104" s="103"/>
      <c r="C104" s="114"/>
      <c r="D104" s="114"/>
      <c r="E104" s="114"/>
      <c r="F104" s="114"/>
      <c r="G104" s="114"/>
      <c r="H104" s="114"/>
      <c r="I104" s="115"/>
      <c r="J104" s="115"/>
      <c r="K104" s="115"/>
      <c r="L104" s="115"/>
      <c r="M104" s="115"/>
      <c r="N104" s="115"/>
      <c r="O104" s="115"/>
      <c r="P104" s="115"/>
      <c r="Q104" s="115"/>
      <c r="R104" s="43"/>
      <c r="S104" s="118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43"/>
      <c r="AK104" s="2"/>
    </row>
    <row r="105" spans="1:38" ht="15" x14ac:dyDescent="0.2">
      <c r="A105" s="72" t="s">
        <v>56</v>
      </c>
      <c r="B105" s="101">
        <v>0</v>
      </c>
      <c r="C105" s="107">
        <v>0</v>
      </c>
      <c r="D105" s="107">
        <v>0</v>
      </c>
      <c r="E105" s="107">
        <v>0</v>
      </c>
      <c r="F105" s="107">
        <v>0</v>
      </c>
      <c r="G105" s="107"/>
      <c r="H105" s="107"/>
      <c r="I105" s="108"/>
      <c r="J105" s="108"/>
      <c r="K105" s="108"/>
      <c r="L105" s="108"/>
      <c r="M105" s="108"/>
      <c r="N105" s="108"/>
      <c r="O105" s="108"/>
      <c r="P105" s="108"/>
      <c r="Q105" s="108"/>
      <c r="R105" s="43"/>
      <c r="S105" s="118" t="str">
        <f>A105</f>
        <v>Preferred Stock Dividends</v>
      </c>
      <c r="T105" s="43">
        <f t="shared" ref="T105:X106" si="160">B105/B$103</f>
        <v>0</v>
      </c>
      <c r="U105" s="43">
        <f t="shared" si="160"/>
        <v>0</v>
      </c>
      <c r="V105" s="43">
        <f t="shared" si="160"/>
        <v>0</v>
      </c>
      <c r="W105" s="43">
        <f t="shared" si="160"/>
        <v>0</v>
      </c>
      <c r="X105" s="43">
        <f t="shared" si="160"/>
        <v>0</v>
      </c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2"/>
    </row>
    <row r="106" spans="1:38" ht="15" x14ac:dyDescent="0.2">
      <c r="A106" s="72" t="s">
        <v>57</v>
      </c>
      <c r="B106" s="101">
        <f>'Historical CF - Exhibit 1B'!B42*-1</f>
        <v>23000</v>
      </c>
      <c r="C106" s="107">
        <f>'Historical CF - Exhibit 1B'!C42*-1</f>
        <v>23500</v>
      </c>
      <c r="D106" s="107">
        <f>'Historical CF - Exhibit 1B'!D42*-1</f>
        <v>24000</v>
      </c>
      <c r="E106" s="107">
        <f>'Historical CF - Exhibit 1B'!E42*-1</f>
        <v>24500</v>
      </c>
      <c r="F106" s="107">
        <f>'Historical CF - Exhibit 1B'!F42*-1</f>
        <v>25000</v>
      </c>
      <c r="G106" s="107">
        <f>'Historical CF - Exhibit 1B'!G42*-1</f>
        <v>25500</v>
      </c>
      <c r="H106" s="107">
        <f>'Historical CF - Exhibit 1B'!H42*-1</f>
        <v>26000</v>
      </c>
      <c r="I106" s="108">
        <v>26500</v>
      </c>
      <c r="J106" s="108">
        <v>27000</v>
      </c>
      <c r="K106" s="108">
        <v>27500</v>
      </c>
      <c r="L106" s="108">
        <v>28200</v>
      </c>
      <c r="M106" s="108">
        <v>28800</v>
      </c>
      <c r="N106" s="108">
        <v>30300</v>
      </c>
      <c r="O106" s="108">
        <v>33000</v>
      </c>
      <c r="P106" s="108">
        <v>35500</v>
      </c>
      <c r="Q106" s="108">
        <v>9000</v>
      </c>
      <c r="R106" s="43">
        <f t="shared" ref="R106" si="161">RATE(5,,-K106,P106)</f>
        <v>5.23958621584273E-2</v>
      </c>
      <c r="S106" s="118" t="str">
        <f>A106</f>
        <v>Common Stock Dividends</v>
      </c>
      <c r="T106" s="43">
        <f t="shared" si="160"/>
        <v>1.1967324002289401</v>
      </c>
      <c r="U106" s="43">
        <f t="shared" si="160"/>
        <v>0.9725613541364897</v>
      </c>
      <c r="V106" s="43">
        <f t="shared" si="160"/>
        <v>0.92760793104781047</v>
      </c>
      <c r="W106" s="43">
        <f t="shared" si="160"/>
        <v>0.75619617889441038</v>
      </c>
      <c r="X106" s="43">
        <f t="shared" si="160"/>
        <v>1.2387275790308196</v>
      </c>
      <c r="Y106" s="43">
        <f t="shared" ref="Y106:AF106" si="162">G106/G$103</f>
        <v>0.81052731953847623</v>
      </c>
      <c r="Z106" s="43">
        <f t="shared" si="162"/>
        <v>0.72272411396803338</v>
      </c>
      <c r="AA106" s="43">
        <f t="shared" si="162"/>
        <v>0.71621621621621623</v>
      </c>
      <c r="AB106" s="43">
        <f>J106/J$103</f>
        <v>0.72192513368983957</v>
      </c>
      <c r="AC106" s="43">
        <f t="shared" si="162"/>
        <v>0.6840796019900498</v>
      </c>
      <c r="AD106" s="43">
        <f t="shared" si="162"/>
        <v>0.67788461538461542</v>
      </c>
      <c r="AE106" s="43">
        <f t="shared" si="162"/>
        <v>0.6560364464692483</v>
      </c>
      <c r="AF106" s="43">
        <f t="shared" si="162"/>
        <v>0.65726681127982645</v>
      </c>
      <c r="AG106" s="160">
        <f>O106/O$103</f>
        <v>0.70063694267515919</v>
      </c>
      <c r="AH106" s="160">
        <f>P106/P$103</f>
        <v>0.67234848484848486</v>
      </c>
      <c r="AI106" s="160">
        <f>Q106/Q$103</f>
        <v>0.22727272727272727</v>
      </c>
      <c r="AJ106" s="43">
        <f>SUM(L106:P106)/SUM(L$103:P$103)</f>
        <v>0.67300215982721379</v>
      </c>
      <c r="AK106" s="2"/>
    </row>
    <row r="107" spans="1:38" ht="15" x14ac:dyDescent="0.2">
      <c r="A107" s="72"/>
      <c r="B107" s="101"/>
      <c r="C107" s="101"/>
      <c r="D107" s="101"/>
      <c r="E107" s="101"/>
      <c r="F107" s="101"/>
      <c r="G107" s="101"/>
      <c r="H107" s="101"/>
      <c r="I107" s="101"/>
      <c r="O107" s="215"/>
      <c r="P107" s="143"/>
      <c r="Q107" s="143"/>
      <c r="R107" s="43"/>
      <c r="AK107" s="2"/>
    </row>
    <row r="108" spans="1:38" ht="15" x14ac:dyDescent="0.2">
      <c r="A108" s="72"/>
      <c r="B108" s="72"/>
      <c r="C108" s="72"/>
      <c r="D108" s="72"/>
      <c r="E108" s="72"/>
      <c r="F108" s="72"/>
      <c r="G108" s="72"/>
      <c r="H108" s="72"/>
      <c r="I108" s="72"/>
      <c r="R108" s="43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</row>
    <row r="109" spans="1:38" ht="15.75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91" t="s">
        <v>114</v>
      </c>
      <c r="AJ109" s="23" t="str">
        <f>+R109</f>
        <v>Exhibit 1</v>
      </c>
    </row>
    <row r="110" spans="1:38" ht="15.75" x14ac:dyDescent="0.25">
      <c r="A110" s="3"/>
      <c r="B110" s="2"/>
      <c r="C110" s="2"/>
      <c r="D110" s="2"/>
      <c r="E110" s="2"/>
      <c r="G110" s="143"/>
      <c r="H110" s="143"/>
      <c r="I110" s="143"/>
      <c r="J110" s="143"/>
      <c r="K110" s="143"/>
      <c r="L110" s="143"/>
      <c r="R110" s="152" t="s">
        <v>179</v>
      </c>
      <c r="AJ110" s="152" t="s">
        <v>182</v>
      </c>
    </row>
    <row r="111" spans="1:38" ht="20.25" x14ac:dyDescent="0.3">
      <c r="A111" s="64" t="str">
        <f>A3</f>
        <v>Questar Gas Company</v>
      </c>
      <c r="B111" s="5"/>
      <c r="C111" s="5"/>
      <c r="D111" s="5"/>
      <c r="E111" s="5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5"/>
      <c r="S111" s="249" t="str">
        <f>+A111</f>
        <v>Questar Gas Company</v>
      </c>
      <c r="T111" s="249"/>
      <c r="U111" s="249"/>
      <c r="V111" s="249"/>
      <c r="W111" s="249"/>
      <c r="X111" s="249"/>
      <c r="Y111" s="249"/>
      <c r="Z111" s="249"/>
      <c r="AA111" s="249"/>
      <c r="AB111" s="249"/>
      <c r="AC111" s="249"/>
      <c r="AD111" s="249"/>
      <c r="AE111" s="249"/>
      <c r="AF111" s="249"/>
      <c r="AG111" s="249"/>
      <c r="AH111" s="249"/>
      <c r="AI111" s="249"/>
      <c r="AJ111" s="249"/>
    </row>
    <row r="112" spans="1:38" ht="15.75" x14ac:dyDescent="0.25">
      <c r="A112" s="65" t="s">
        <v>47</v>
      </c>
      <c r="B112" s="65"/>
      <c r="C112" s="65"/>
      <c r="D112" s="65"/>
      <c r="E112" s="65"/>
      <c r="F112" s="65"/>
      <c r="G112" s="65"/>
      <c r="H112" s="65"/>
      <c r="I112" s="65"/>
      <c r="J112" s="65"/>
      <c r="K112" s="65"/>
      <c r="L112" s="65"/>
      <c r="M112" s="65"/>
      <c r="N112" s="65"/>
      <c r="O112" s="65"/>
      <c r="P112" s="65"/>
      <c r="Q112" s="65"/>
      <c r="R112" s="86"/>
      <c r="S112" s="250" t="s">
        <v>146</v>
      </c>
      <c r="T112" s="250"/>
      <c r="U112" s="250"/>
      <c r="V112" s="250"/>
      <c r="W112" s="250"/>
      <c r="X112" s="250"/>
      <c r="Y112" s="250"/>
      <c r="Z112" s="250"/>
      <c r="AA112" s="250"/>
      <c r="AB112" s="250"/>
      <c r="AC112" s="250"/>
      <c r="AD112" s="250"/>
      <c r="AE112" s="250"/>
      <c r="AF112" s="250"/>
      <c r="AG112" s="250"/>
      <c r="AH112" s="250"/>
      <c r="AI112" s="250"/>
      <c r="AJ112" s="250"/>
    </row>
    <row r="113" spans="1:36" ht="15.75" x14ac:dyDescent="0.25">
      <c r="A113" s="68" t="str">
        <f>A5</f>
        <v>Years Ended December 31</v>
      </c>
      <c r="B113" s="65"/>
      <c r="C113" s="65"/>
      <c r="D113" s="65"/>
      <c r="E113" s="65"/>
      <c r="F113" s="65"/>
      <c r="G113" s="65"/>
      <c r="H113" s="65"/>
      <c r="I113" s="65"/>
      <c r="J113" s="65"/>
      <c r="K113" s="65"/>
      <c r="L113" s="65"/>
      <c r="M113" s="65"/>
      <c r="N113" s="65"/>
      <c r="O113" s="65"/>
      <c r="P113" s="65"/>
      <c r="Q113" s="65"/>
      <c r="R113" s="86"/>
      <c r="S113" s="251" t="str">
        <f>+A113</f>
        <v>Years Ended December 31</v>
      </c>
      <c r="T113" s="251"/>
      <c r="U113" s="251"/>
      <c r="V113" s="251"/>
      <c r="W113" s="251"/>
      <c r="X113" s="251"/>
      <c r="Y113" s="251"/>
      <c r="Z113" s="251"/>
      <c r="AA113" s="251"/>
      <c r="AB113" s="251"/>
      <c r="AC113" s="251"/>
      <c r="AD113" s="251"/>
      <c r="AE113" s="251"/>
      <c r="AF113" s="251"/>
      <c r="AG113" s="251"/>
      <c r="AH113" s="251"/>
      <c r="AI113" s="251"/>
      <c r="AJ113" s="251"/>
    </row>
    <row r="114" spans="1:36" ht="15.75" x14ac:dyDescent="0.25">
      <c r="A114" s="65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5"/>
      <c r="N114" s="65"/>
      <c r="O114" s="65"/>
      <c r="P114" s="65"/>
      <c r="Q114" s="65"/>
      <c r="R114" s="86"/>
    </row>
    <row r="115" spans="1:36" ht="15.75" x14ac:dyDescent="0.25">
      <c r="A115" s="87"/>
      <c r="B115" s="87"/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185"/>
      <c r="P115" s="185"/>
      <c r="Q115" s="185"/>
      <c r="R115" s="88"/>
      <c r="AC115" s="203"/>
      <c r="AD115" s="203"/>
      <c r="AE115" s="203"/>
      <c r="AF115" s="203"/>
      <c r="AG115" s="203"/>
      <c r="AH115" s="203"/>
    </row>
    <row r="116" spans="1:36" ht="15.75" x14ac:dyDescent="0.25">
      <c r="A116" s="87"/>
      <c r="B116" s="87"/>
      <c r="C116" s="87"/>
      <c r="D116" s="87"/>
      <c r="E116" s="87"/>
      <c r="F116" s="87"/>
      <c r="G116" s="87"/>
      <c r="H116" s="89"/>
      <c r="I116" s="89"/>
      <c r="J116" s="89"/>
      <c r="K116" s="90"/>
      <c r="L116" s="90"/>
      <c r="M116" s="90"/>
      <c r="N116" s="90"/>
      <c r="O116" s="186"/>
      <c r="P116" s="209"/>
      <c r="Q116" s="209" t="str">
        <f>+Q75</f>
        <v>1st Qrtr</v>
      </c>
      <c r="R116" s="122" t="str">
        <f>R7</f>
        <v>2008 to 2013</v>
      </c>
      <c r="AE116" s="147"/>
      <c r="AF116" s="147"/>
      <c r="AG116" s="147"/>
      <c r="AH116" s="210"/>
      <c r="AI116" s="210" t="str">
        <f>+Q116</f>
        <v>1st Qrtr</v>
      </c>
      <c r="AJ116" s="159" t="str">
        <f>+AJ75</f>
        <v>2009 to 2013</v>
      </c>
    </row>
    <row r="117" spans="1:36" ht="15.75" x14ac:dyDescent="0.25">
      <c r="A117" s="94" t="s">
        <v>27</v>
      </c>
      <c r="B117" s="93">
        <f t="shared" ref="B117:K117" si="163">T9</f>
        <v>1999</v>
      </c>
      <c r="C117" s="93">
        <f t="shared" si="163"/>
        <v>2000</v>
      </c>
      <c r="D117" s="93">
        <f t="shared" si="163"/>
        <v>2001</v>
      </c>
      <c r="E117" s="93">
        <f t="shared" si="163"/>
        <v>2002</v>
      </c>
      <c r="F117" s="93">
        <f t="shared" si="163"/>
        <v>2003</v>
      </c>
      <c r="G117" s="93">
        <f t="shared" si="163"/>
        <v>2004</v>
      </c>
      <c r="H117" s="93">
        <f t="shared" si="163"/>
        <v>2005</v>
      </c>
      <c r="I117" s="93">
        <f t="shared" si="163"/>
        <v>2006</v>
      </c>
      <c r="J117" s="93">
        <f t="shared" si="163"/>
        <v>2007</v>
      </c>
      <c r="K117" s="93">
        <f t="shared" si="163"/>
        <v>2008</v>
      </c>
      <c r="L117" s="93">
        <f>+L76</f>
        <v>2009</v>
      </c>
      <c r="M117" s="93">
        <f>+M9</f>
        <v>2010</v>
      </c>
      <c r="N117" s="93">
        <f>+N9</f>
        <v>2011</v>
      </c>
      <c r="O117" s="187">
        <f t="shared" ref="O117:P117" si="164">+O9</f>
        <v>2012</v>
      </c>
      <c r="P117" s="187">
        <f t="shared" si="164"/>
        <v>2013</v>
      </c>
      <c r="Q117" s="187">
        <f>+Q76</f>
        <v>2014</v>
      </c>
      <c r="R117" s="120" t="s">
        <v>2</v>
      </c>
      <c r="S117" s="8"/>
      <c r="Y117" s="147">
        <f t="shared" ref="Y117:AF117" si="165">+G117</f>
        <v>2004</v>
      </c>
      <c r="Z117" s="147">
        <f t="shared" si="165"/>
        <v>2005</v>
      </c>
      <c r="AA117" s="147">
        <f t="shared" si="165"/>
        <v>2006</v>
      </c>
      <c r="AB117" s="147">
        <f t="shared" si="165"/>
        <v>2007</v>
      </c>
      <c r="AC117" s="147">
        <f t="shared" si="165"/>
        <v>2008</v>
      </c>
      <c r="AD117" s="147">
        <f t="shared" si="165"/>
        <v>2009</v>
      </c>
      <c r="AE117" s="147">
        <f t="shared" si="165"/>
        <v>2010</v>
      </c>
      <c r="AF117" s="147">
        <f t="shared" si="165"/>
        <v>2011</v>
      </c>
      <c r="AG117" s="147">
        <f t="shared" ref="AG117:AI117" si="166">+O117</f>
        <v>2012</v>
      </c>
      <c r="AH117" s="147">
        <f t="shared" si="166"/>
        <v>2013</v>
      </c>
      <c r="AI117" s="147">
        <f t="shared" si="166"/>
        <v>2014</v>
      </c>
      <c r="AJ117" s="161" t="str">
        <f>+R117</f>
        <v>Average</v>
      </c>
    </row>
    <row r="118" spans="1:36" ht="15.75" customHeight="1" x14ac:dyDescent="0.25">
      <c r="A118" s="73"/>
      <c r="B118" s="74"/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5"/>
      <c r="S118" s="162" t="s">
        <v>152</v>
      </c>
      <c r="T118" s="163"/>
      <c r="U118" s="163"/>
      <c r="V118" s="163"/>
      <c r="W118" s="163"/>
      <c r="X118" s="163"/>
      <c r="Y118" s="163"/>
      <c r="Z118" s="163"/>
      <c r="AA118" s="163"/>
      <c r="AB118" s="163"/>
      <c r="AC118" s="163"/>
      <c r="AD118" s="163"/>
      <c r="AE118" s="163"/>
      <c r="AF118" s="163"/>
      <c r="AG118" s="163"/>
      <c r="AH118" s="163"/>
      <c r="AI118" s="163"/>
      <c r="AJ118" s="164"/>
    </row>
    <row r="119" spans="1:36" ht="15.75" x14ac:dyDescent="0.25">
      <c r="A119" s="117" t="s">
        <v>35</v>
      </c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43"/>
      <c r="S119" s="165" t="s">
        <v>147</v>
      </c>
      <c r="T119" s="8"/>
      <c r="U119" s="8"/>
      <c r="V119" s="8"/>
      <c r="W119" s="8"/>
      <c r="X119" s="8"/>
      <c r="Y119" s="166">
        <v>680.7</v>
      </c>
      <c r="Z119" s="166">
        <v>867.8</v>
      </c>
      <c r="AA119" s="166">
        <v>988.4</v>
      </c>
      <c r="AB119" s="166">
        <v>876.6</v>
      </c>
      <c r="AC119" s="166">
        <v>926.7</v>
      </c>
      <c r="AD119" s="166">
        <v>874</v>
      </c>
      <c r="AE119" s="166">
        <v>833</v>
      </c>
      <c r="AF119" s="166">
        <v>893</v>
      </c>
      <c r="AG119" s="166">
        <v>788.4</v>
      </c>
      <c r="AH119" s="166">
        <v>910.3</v>
      </c>
      <c r="AI119" s="166">
        <v>376.4</v>
      </c>
      <c r="AJ119" s="167">
        <f>AVERAGE(AD119:AH119)</f>
        <v>859.74</v>
      </c>
    </row>
    <row r="120" spans="1:36" ht="15" x14ac:dyDescent="0.2">
      <c r="A120" s="72" t="s">
        <v>6</v>
      </c>
      <c r="B120" s="116">
        <f t="shared" ref="B120:J120" si="167">B21/B48</f>
        <v>0.74089079724873141</v>
      </c>
      <c r="C120" s="116">
        <f t="shared" si="167"/>
        <v>0.71808631481641061</v>
      </c>
      <c r="D120" s="116">
        <f t="shared" si="167"/>
        <v>0.97588302316748954</v>
      </c>
      <c r="E120" s="116">
        <f t="shared" si="167"/>
        <v>0.94074924113422664</v>
      </c>
      <c r="F120" s="116">
        <f t="shared" si="167"/>
        <v>0.84477470859297543</v>
      </c>
      <c r="G120" s="116">
        <f t="shared" si="167"/>
        <v>0.81890669001086347</v>
      </c>
      <c r="H120" s="116">
        <f t="shared" si="167"/>
        <v>1.0078733653598355</v>
      </c>
      <c r="I120" s="116">
        <f t="shared" si="167"/>
        <v>0.83897002305918522</v>
      </c>
      <c r="J120" s="116">
        <f t="shared" si="167"/>
        <v>0.60538236077804419</v>
      </c>
      <c r="K120" s="116">
        <f>K21/K48</f>
        <v>0.84523809523809523</v>
      </c>
      <c r="L120" s="116">
        <f t="shared" ref="L120:O120" si="168">L21/L48</f>
        <v>0.86538461538461542</v>
      </c>
      <c r="M120" s="116">
        <f t="shared" si="168"/>
        <v>0.84213564213564218</v>
      </c>
      <c r="N120" s="116">
        <f t="shared" si="168"/>
        <v>0.57834424695977549</v>
      </c>
      <c r="O120" s="116">
        <f t="shared" si="168"/>
        <v>0.69234629861982433</v>
      </c>
      <c r="P120" s="116">
        <f>P21/P48</f>
        <v>1.2085289514866979</v>
      </c>
      <c r="Q120" s="116">
        <f>Q21/Q48</f>
        <v>1.3592574009031611</v>
      </c>
      <c r="R120" s="116">
        <f>AVERAGE(L120:P120)</f>
        <v>0.83734795091731107</v>
      </c>
      <c r="S120" s="165" t="s">
        <v>148</v>
      </c>
      <c r="T120" s="8"/>
      <c r="U120" s="8"/>
      <c r="V120" s="8"/>
      <c r="W120" s="8"/>
      <c r="X120" s="8"/>
      <c r="Y120" s="166">
        <v>49.1</v>
      </c>
      <c r="Z120" s="166">
        <v>40.1</v>
      </c>
      <c r="AA120" s="166">
        <v>23.5</v>
      </c>
      <c r="AB120" s="166">
        <v>9.9</v>
      </c>
      <c r="AC120" s="166">
        <v>12</v>
      </c>
      <c r="AD120" s="166">
        <v>8.3000000000000007</v>
      </c>
      <c r="AE120" s="166">
        <v>26.7</v>
      </c>
      <c r="AF120" s="166">
        <v>29.7</v>
      </c>
      <c r="AG120" s="166">
        <v>27.4</v>
      </c>
      <c r="AH120" s="166">
        <v>28.1</v>
      </c>
      <c r="AI120" s="166">
        <v>6.7</v>
      </c>
      <c r="AJ120" s="167">
        <f t="shared" ref="AJ120:AJ124" si="169">AVERAGE(AD120:AH120)</f>
        <v>24.04</v>
      </c>
    </row>
    <row r="121" spans="1:36" ht="15" x14ac:dyDescent="0.2">
      <c r="A121" s="72" t="s">
        <v>26</v>
      </c>
      <c r="B121" s="116">
        <f t="shared" ref="B121:J121" si="170">(B12+B14)/B48</f>
        <v>0.57075363762400222</v>
      </c>
      <c r="C121" s="116">
        <f t="shared" si="170"/>
        <v>0.4543043815462714</v>
      </c>
      <c r="D121" s="116">
        <f t="shared" si="170"/>
        <v>0.73504721243631888</v>
      </c>
      <c r="E121" s="116">
        <f t="shared" si="170"/>
        <v>0.69394388095061821</v>
      </c>
      <c r="F121" s="116">
        <f t="shared" si="170"/>
        <v>0.68902028675786886</v>
      </c>
      <c r="G121" s="116">
        <f t="shared" si="170"/>
        <v>0.48582297083030107</v>
      </c>
      <c r="H121" s="116">
        <f t="shared" si="170"/>
        <v>0.63653334038180698</v>
      </c>
      <c r="I121" s="116">
        <f t="shared" si="170"/>
        <v>0.60146041506533432</v>
      </c>
      <c r="J121" s="116">
        <f t="shared" si="170"/>
        <v>0.41859845456967759</v>
      </c>
      <c r="K121" s="116">
        <f>(K12+K14)/K48</f>
        <v>0.52321428571428574</v>
      </c>
      <c r="L121" s="116">
        <f t="shared" ref="L121:O121" si="171">(L12+L14)/L48</f>
        <v>0.54001240694789077</v>
      </c>
      <c r="M121" s="116">
        <f t="shared" si="171"/>
        <v>0.50793650793650791</v>
      </c>
      <c r="N121" s="116">
        <f t="shared" si="171"/>
        <v>0.36973807296538819</v>
      </c>
      <c r="O121" s="116">
        <f t="shared" si="171"/>
        <v>0.4476787954830615</v>
      </c>
      <c r="P121" s="116">
        <f>(P12+P14)/P48</f>
        <v>0.85563380281690138</v>
      </c>
      <c r="Q121" s="116">
        <f>(Q12+Q14)/Q48</f>
        <v>0.96136477671851484</v>
      </c>
      <c r="R121" s="116">
        <f t="shared" ref="R121:R122" si="172">AVERAGE(L121:P121)</f>
        <v>0.54419991722994998</v>
      </c>
      <c r="S121" s="165" t="s">
        <v>155</v>
      </c>
      <c r="T121" s="8"/>
      <c r="U121" s="8"/>
      <c r="V121" s="8"/>
      <c r="W121" s="8"/>
      <c r="X121" s="8"/>
      <c r="Y121" s="166">
        <v>6.4</v>
      </c>
      <c r="Z121" s="166">
        <v>5.9</v>
      </c>
      <c r="AA121" s="166">
        <v>6.7</v>
      </c>
      <c r="AB121" s="166">
        <v>9.9</v>
      </c>
      <c r="AC121" s="166">
        <v>9.9</v>
      </c>
      <c r="AD121" s="166">
        <v>11.2</v>
      </c>
      <c r="AE121" s="166">
        <v>9.6999999999999993</v>
      </c>
      <c r="AF121" s="166">
        <v>11.3</v>
      </c>
      <c r="AG121" s="166">
        <v>11.9</v>
      </c>
      <c r="AH121" s="166">
        <v>14.4</v>
      </c>
      <c r="AI121" s="166">
        <v>4.3</v>
      </c>
      <c r="AJ121" s="167">
        <f t="shared" si="169"/>
        <v>11.7</v>
      </c>
    </row>
    <row r="122" spans="1:36" ht="15" x14ac:dyDescent="0.2">
      <c r="A122" s="72" t="s">
        <v>9</v>
      </c>
      <c r="B122" s="116">
        <f>365*(B14/B81)</f>
        <v>67.411148671925176</v>
      </c>
      <c r="C122" s="116">
        <f t="shared" ref="C122:J122" si="173">365*(((B14+C14)/2)/((B81+C81)/2))</f>
        <v>73.317835530389715</v>
      </c>
      <c r="D122" s="116">
        <f t="shared" si="173"/>
        <v>65.591018434572376</v>
      </c>
      <c r="E122" s="116">
        <f t="shared" si="173"/>
        <v>55.783642038004842</v>
      </c>
      <c r="F122" s="116">
        <f t="shared" si="173"/>
        <v>66.299155121306427</v>
      </c>
      <c r="G122" s="116">
        <f t="shared" si="173"/>
        <v>70.166930409446223</v>
      </c>
      <c r="H122" s="116">
        <f t="shared" si="173"/>
        <v>68.80598990004286</v>
      </c>
      <c r="I122" s="116">
        <f t="shared" si="173"/>
        <v>61.642354994482396</v>
      </c>
      <c r="J122" s="116">
        <f t="shared" si="173"/>
        <v>55.907816333683847</v>
      </c>
      <c r="K122" s="116">
        <f>365*(((J14+K14)/2)/((J81+K81)/2))</f>
        <v>61.86568708609272</v>
      </c>
      <c r="L122" s="116">
        <f t="shared" ref="L122:Q122" si="174">365*(((K14+L14)/2)/((K81+L81)/2))</f>
        <v>64.913811061347772</v>
      </c>
      <c r="M122" s="116">
        <f t="shared" si="174"/>
        <v>67.721637041913539</v>
      </c>
      <c r="N122" s="116">
        <f t="shared" si="174"/>
        <v>63.261206389912914</v>
      </c>
      <c r="O122" s="116">
        <f t="shared" si="174"/>
        <v>65.803659202621517</v>
      </c>
      <c r="P122" s="116">
        <f t="shared" si="174"/>
        <v>76.416937229437224</v>
      </c>
      <c r="Q122" s="116">
        <f t="shared" si="174"/>
        <v>105.66275956877216</v>
      </c>
      <c r="R122" s="116">
        <f t="shared" si="172"/>
        <v>67.623450185046593</v>
      </c>
      <c r="S122" s="165" t="s">
        <v>149</v>
      </c>
      <c r="T122" s="8"/>
      <c r="U122" s="8"/>
      <c r="V122" s="8"/>
      <c r="W122" s="8"/>
      <c r="X122" s="8"/>
      <c r="Y122" s="166">
        <v>5.3</v>
      </c>
      <c r="Z122" s="166">
        <v>6.6</v>
      </c>
      <c r="AA122" s="166">
        <v>7.1</v>
      </c>
      <c r="AB122" s="166">
        <v>5.9</v>
      </c>
      <c r="AC122" s="166">
        <v>5.6</v>
      </c>
      <c r="AD122" s="166">
        <v>5.4</v>
      </c>
      <c r="AE122" s="166">
        <v>4.8</v>
      </c>
      <c r="AF122" s="166">
        <v>5.0999999999999996</v>
      </c>
      <c r="AG122" s="166">
        <v>4.5</v>
      </c>
      <c r="AH122" s="166">
        <v>4.8</v>
      </c>
      <c r="AI122" s="166">
        <v>1.5</v>
      </c>
      <c r="AJ122" s="167">
        <f t="shared" si="169"/>
        <v>4.92</v>
      </c>
    </row>
    <row r="123" spans="1:36" ht="15" x14ac:dyDescent="0.2">
      <c r="A123" s="72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65" t="s">
        <v>150</v>
      </c>
      <c r="T123" s="8"/>
      <c r="U123" s="8"/>
      <c r="V123" s="8"/>
      <c r="W123" s="8"/>
      <c r="X123" s="8"/>
      <c r="Y123" s="149">
        <v>22.7</v>
      </c>
      <c r="Z123" s="149">
        <v>42.1</v>
      </c>
      <c r="AA123" s="149">
        <v>38.9</v>
      </c>
      <c r="AB123" s="149">
        <v>30.2</v>
      </c>
      <c r="AC123" s="149">
        <v>46.1</v>
      </c>
      <c r="AD123" s="149">
        <v>21</v>
      </c>
      <c r="AE123" s="149">
        <v>28.7</v>
      </c>
      <c r="AF123" s="149">
        <v>29.7</v>
      </c>
      <c r="AG123" s="149">
        <v>30</v>
      </c>
      <c r="AH123" s="149">
        <v>28.2</v>
      </c>
      <c r="AI123" s="149">
        <v>7.4</v>
      </c>
      <c r="AJ123" s="179">
        <f t="shared" si="169"/>
        <v>27.52</v>
      </c>
    </row>
    <row r="124" spans="1:36" ht="15.75" x14ac:dyDescent="0.25">
      <c r="A124" s="117" t="s">
        <v>15</v>
      </c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65" t="s">
        <v>151</v>
      </c>
      <c r="T124" s="8"/>
      <c r="U124" s="8"/>
      <c r="V124" s="8"/>
      <c r="W124" s="8"/>
      <c r="X124" s="8"/>
      <c r="Y124" s="166">
        <f t="shared" ref="Y124:AD124" si="175">+Y123+Y122+Y121+Y120+Y119</f>
        <v>764.2</v>
      </c>
      <c r="Z124" s="166">
        <f t="shared" si="175"/>
        <v>962.5</v>
      </c>
      <c r="AA124" s="166">
        <f t="shared" si="175"/>
        <v>1064.5999999999999</v>
      </c>
      <c r="AB124" s="166">
        <f t="shared" si="175"/>
        <v>932.5</v>
      </c>
      <c r="AC124" s="166">
        <f t="shared" si="175"/>
        <v>1000.3000000000001</v>
      </c>
      <c r="AD124" s="166">
        <f t="shared" si="175"/>
        <v>919.9</v>
      </c>
      <c r="AE124" s="166">
        <f>+AE123+AE122+AE121+AE120+AE119</f>
        <v>902.9</v>
      </c>
      <c r="AF124" s="166">
        <f>+AF123+AF122+AF121+AF120+AF119</f>
        <v>968.8</v>
      </c>
      <c r="AG124" s="166">
        <f>+AG123+AG122+AG121+AG120+AG119</f>
        <v>862.19999999999993</v>
      </c>
      <c r="AH124" s="166">
        <f>+AH123+AH122+AH121+AH120+AH119</f>
        <v>985.8</v>
      </c>
      <c r="AI124" s="166">
        <f>+AI123+AI122+AI121+AI120+AI119</f>
        <v>396.29999999999995</v>
      </c>
      <c r="AJ124" s="167">
        <f t="shared" si="169"/>
        <v>927.91999999999985</v>
      </c>
    </row>
    <row r="125" spans="1:36" ht="15.75" x14ac:dyDescent="0.25">
      <c r="A125" s="72" t="s">
        <v>19</v>
      </c>
      <c r="B125" s="116">
        <f t="shared" ref="B125:G125" si="176">B63/B56</f>
        <v>0.57239562846755143</v>
      </c>
      <c r="C125" s="116">
        <f t="shared" si="176"/>
        <v>0.46630759178483761</v>
      </c>
      <c r="D125" s="116">
        <f t="shared" si="176"/>
        <v>0.57950427625659429</v>
      </c>
      <c r="E125" s="116">
        <f t="shared" si="176"/>
        <v>0.60588883761967549</v>
      </c>
      <c r="F125" s="116">
        <f t="shared" si="176"/>
        <v>0.51432917999607197</v>
      </c>
      <c r="G125" s="116">
        <f t="shared" si="176"/>
        <v>0.45211775665786752</v>
      </c>
      <c r="H125" s="116">
        <f t="shared" ref="H125:K125" si="177">H63/H56</f>
        <v>0.4038168549003987</v>
      </c>
      <c r="I125" s="116">
        <f t="shared" si="177"/>
        <v>0.44318945811483124</v>
      </c>
      <c r="J125" s="116">
        <f t="shared" si="177"/>
        <v>0.41197097944377264</v>
      </c>
      <c r="K125" s="116">
        <f t="shared" si="177"/>
        <v>0.41786179921773142</v>
      </c>
      <c r="L125" s="116">
        <f t="shared" ref="L125:O125" si="178">L63/L56</f>
        <v>0.4244229337304542</v>
      </c>
      <c r="M125" s="116">
        <f t="shared" si="178"/>
        <v>0.4172524603334003</v>
      </c>
      <c r="N125" s="116">
        <f t="shared" si="178"/>
        <v>0.45453632070732441</v>
      </c>
      <c r="O125" s="116">
        <f t="shared" si="178"/>
        <v>0.40390429299473091</v>
      </c>
      <c r="P125" s="116">
        <f t="shared" ref="P125:Q125" si="179">P63/P56</f>
        <v>0.47389194967519116</v>
      </c>
      <c r="Q125" s="116">
        <f t="shared" si="179"/>
        <v>0.52151507343468173</v>
      </c>
      <c r="R125" s="116">
        <f t="shared" ref="R125:R128" si="180">AVERAGE(L125:P125)</f>
        <v>0.43480159148822023</v>
      </c>
      <c r="S125" s="170" t="s">
        <v>167</v>
      </c>
      <c r="T125" s="8"/>
      <c r="U125" s="8"/>
      <c r="V125" s="8"/>
      <c r="W125" s="8"/>
      <c r="X125" s="8"/>
      <c r="Y125" s="171"/>
      <c r="Z125" s="183">
        <f t="shared" ref="Z125:AH125" si="181">+(Z124-Y124)/Y124</f>
        <v>0.25948704527610567</v>
      </c>
      <c r="AA125" s="183">
        <f t="shared" si="181"/>
        <v>0.10607792207792198</v>
      </c>
      <c r="AB125" s="183">
        <f t="shared" si="181"/>
        <v>-0.12408416306594018</v>
      </c>
      <c r="AC125" s="183">
        <f t="shared" si="181"/>
        <v>7.2707774798927691E-2</v>
      </c>
      <c r="AD125" s="183">
        <f t="shared" si="181"/>
        <v>-8.0375887233829935E-2</v>
      </c>
      <c r="AE125" s="183">
        <f t="shared" si="181"/>
        <v>-1.8480269594521145E-2</v>
      </c>
      <c r="AF125" s="183">
        <f t="shared" si="181"/>
        <v>7.2987041754347087E-2</v>
      </c>
      <c r="AG125" s="183">
        <f t="shared" si="181"/>
        <v>-0.1100330305532618</v>
      </c>
      <c r="AH125" s="183">
        <f t="shared" si="181"/>
        <v>0.1433542101600557</v>
      </c>
      <c r="AI125" s="183"/>
      <c r="AJ125" s="191">
        <f>AVERAGE(AD125:AH125)</f>
        <v>1.4904129065579808E-3</v>
      </c>
    </row>
    <row r="126" spans="1:36" ht="15" x14ac:dyDescent="0.2">
      <c r="A126" s="72" t="s">
        <v>18</v>
      </c>
      <c r="B126" s="116">
        <f t="shared" ref="B126:G126" si="182">B63/B54</f>
        <v>0.84536529160100526</v>
      </c>
      <c r="C126" s="116">
        <f t="shared" si="182"/>
        <v>0.84913111148270581</v>
      </c>
      <c r="D126" s="116">
        <f t="shared" si="182"/>
        <v>0.81537362640291466</v>
      </c>
      <c r="E126" s="116">
        <f t="shared" si="182"/>
        <v>0.81962323677894344</v>
      </c>
      <c r="F126" s="116">
        <f t="shared" si="182"/>
        <v>0.76084039365445177</v>
      </c>
      <c r="G126" s="116">
        <f t="shared" si="182"/>
        <v>0.76408841923448267</v>
      </c>
      <c r="H126" s="116">
        <f t="shared" ref="H126:K126" si="183">H63/H54</f>
        <v>0.65549485510484384</v>
      </c>
      <c r="I126" s="116">
        <f t="shared" si="183"/>
        <v>0.68169596690796275</v>
      </c>
      <c r="J126" s="116">
        <f t="shared" si="183"/>
        <v>0.75426167810493694</v>
      </c>
      <c r="K126" s="116">
        <f t="shared" si="183"/>
        <v>0.65811088295687881</v>
      </c>
      <c r="L126" s="116">
        <f t="shared" ref="L126:O126" si="184">L63/L54</f>
        <v>0.64594463331714425</v>
      </c>
      <c r="M126" s="116">
        <f t="shared" si="184"/>
        <v>0.63991991375327273</v>
      </c>
      <c r="N126" s="116">
        <f t="shared" si="184"/>
        <v>0.79689977100581288</v>
      </c>
      <c r="O126" s="116">
        <f t="shared" si="184"/>
        <v>0.6159114857744995</v>
      </c>
      <c r="P126" s="116">
        <f t="shared" ref="P126:Q126" si="185">P63/P54</f>
        <v>0.6</v>
      </c>
      <c r="Q126" s="116">
        <f t="shared" si="185"/>
        <v>0.62922279792746116</v>
      </c>
      <c r="R126" s="116">
        <f t="shared" si="180"/>
        <v>0.65973516077014582</v>
      </c>
      <c r="S126" s="16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169"/>
    </row>
    <row r="127" spans="1:36" ht="15.75" x14ac:dyDescent="0.25">
      <c r="A127" s="72" t="s">
        <v>17</v>
      </c>
      <c r="B127" s="116">
        <f t="shared" ref="B127:J127" si="186">B63/B31</f>
        <v>0.44455415130770581</v>
      </c>
      <c r="C127" s="116">
        <f t="shared" si="186"/>
        <v>0.42598884274988463</v>
      </c>
      <c r="D127" s="116">
        <f t="shared" si="186"/>
        <v>0.46715846760893731</v>
      </c>
      <c r="E127" s="116">
        <f t="shared" si="186"/>
        <v>0.46146561814406795</v>
      </c>
      <c r="F127" s="116">
        <f t="shared" si="186"/>
        <v>0.43657442858636408</v>
      </c>
      <c r="G127" s="116">
        <f t="shared" si="186"/>
        <v>0.42377702163614517</v>
      </c>
      <c r="H127" s="116">
        <f t="shared" si="186"/>
        <v>0.41479591570805341</v>
      </c>
      <c r="I127" s="116">
        <f t="shared" si="186"/>
        <v>0.40190220704792101</v>
      </c>
      <c r="J127" s="116">
        <f t="shared" si="186"/>
        <v>0.37484871823082849</v>
      </c>
      <c r="K127" s="116">
        <f>K63/K31</f>
        <v>0.3886811520970187</v>
      </c>
      <c r="L127" s="116">
        <f t="shared" ref="L127:O127" si="187">L63/L31</f>
        <v>0.38681531749878817</v>
      </c>
      <c r="M127" s="116">
        <f t="shared" si="187"/>
        <v>0.37900209796588524</v>
      </c>
      <c r="N127" s="116">
        <f t="shared" si="187"/>
        <v>0.38423645320197042</v>
      </c>
      <c r="O127" s="116">
        <f t="shared" si="187"/>
        <v>0.35309219965264665</v>
      </c>
      <c r="P127" s="116">
        <f t="shared" ref="P127:Q127" si="188">P63/P31</f>
        <v>0.39532171765674301</v>
      </c>
      <c r="Q127" s="116">
        <f t="shared" si="188"/>
        <v>0.41146574507013622</v>
      </c>
      <c r="R127" s="116">
        <f t="shared" si="180"/>
        <v>0.37969355719520664</v>
      </c>
      <c r="S127" s="172" t="s">
        <v>153</v>
      </c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169"/>
    </row>
    <row r="128" spans="1:36" ht="15" x14ac:dyDescent="0.2">
      <c r="A128" s="72" t="s">
        <v>36</v>
      </c>
      <c r="B128" s="116">
        <f t="shared" ref="B128:J128" si="189">(B100+B94)/B94</f>
        <v>2.4071877180739705</v>
      </c>
      <c r="C128" s="116">
        <f t="shared" si="189"/>
        <v>2.7609429209638323</v>
      </c>
      <c r="D128" s="116">
        <f t="shared" si="189"/>
        <v>2.6723304033309501</v>
      </c>
      <c r="E128" s="116">
        <f t="shared" si="189"/>
        <v>3.2310735719048678</v>
      </c>
      <c r="F128" s="116">
        <f t="shared" si="189"/>
        <v>2.6026019824628288</v>
      </c>
      <c r="G128" s="116">
        <f t="shared" si="189"/>
        <v>3.5967161607459586</v>
      </c>
      <c r="H128" s="116">
        <f t="shared" si="189"/>
        <v>3.8401131064589742</v>
      </c>
      <c r="I128" s="116">
        <f t="shared" si="189"/>
        <v>3.6061946902654869</v>
      </c>
      <c r="J128" s="116">
        <f t="shared" si="189"/>
        <v>3.5084033613445378</v>
      </c>
      <c r="K128" s="116">
        <f>(K100+K94)/K94</f>
        <v>3.5476190476190474</v>
      </c>
      <c r="L128" s="116">
        <f t="shared" ref="L128:O128" si="190">(L100+L94)/L94</f>
        <v>3.3157894736842106</v>
      </c>
      <c r="M128" s="116">
        <f t="shared" si="190"/>
        <v>3.6374045801526718</v>
      </c>
      <c r="N128" s="116">
        <f t="shared" si="190"/>
        <v>3.8416988416988418</v>
      </c>
      <c r="O128" s="116">
        <f t="shared" si="190"/>
        <v>4.0829875518672196</v>
      </c>
      <c r="P128" s="116">
        <f>(P100+P94)/P94</f>
        <v>4.7982062780269059</v>
      </c>
      <c r="Q128" s="116">
        <f>(Q100+Q94)/Q94</f>
        <v>10.014084507042254</v>
      </c>
      <c r="R128" s="116">
        <f t="shared" si="180"/>
        <v>3.9352173450859702</v>
      </c>
      <c r="S128" s="165" t="str">
        <f t="shared" ref="S128:S133" si="191">+S119</f>
        <v xml:space="preserve">   Residential &amp; Commercial Sales</v>
      </c>
      <c r="T128" s="8"/>
      <c r="U128" s="8"/>
      <c r="V128" s="8"/>
      <c r="W128" s="8"/>
      <c r="X128" s="8"/>
      <c r="Y128" s="171">
        <f t="shared" ref="Y128:AI128" si="192">+Y119/Y$124</f>
        <v>0.89073540957864439</v>
      </c>
      <c r="Z128" s="183">
        <f t="shared" si="192"/>
        <v>0.90161038961038953</v>
      </c>
      <c r="AA128" s="183">
        <f t="shared" si="192"/>
        <v>0.92842382115348498</v>
      </c>
      <c r="AB128" s="171">
        <f t="shared" si="192"/>
        <v>0.94005361930294906</v>
      </c>
      <c r="AC128" s="171">
        <f t="shared" si="192"/>
        <v>0.92642207337798654</v>
      </c>
      <c r="AD128" s="171">
        <f t="shared" si="192"/>
        <v>0.95010327209479295</v>
      </c>
      <c r="AE128" s="171">
        <f t="shared" si="192"/>
        <v>0.92258278879167133</v>
      </c>
      <c r="AF128" s="171">
        <f t="shared" si="192"/>
        <v>0.92175887696118919</v>
      </c>
      <c r="AG128" s="171">
        <f t="shared" si="192"/>
        <v>0.91440501043841338</v>
      </c>
      <c r="AH128" s="171">
        <f t="shared" si="192"/>
        <v>0.92341245688780682</v>
      </c>
      <c r="AI128" s="171">
        <f t="shared" si="192"/>
        <v>0.94978551602321482</v>
      </c>
      <c r="AJ128" s="191">
        <f t="shared" ref="AJ128:AJ133" si="193">AVERAGE(AD128:AH128)</f>
        <v>0.92645248103477462</v>
      </c>
    </row>
    <row r="129" spans="1:41" ht="15" x14ac:dyDescent="0.2">
      <c r="A129" s="72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65" t="str">
        <f t="shared" si="191"/>
        <v xml:space="preserve">   Industrial Sales</v>
      </c>
      <c r="T129" s="8"/>
      <c r="U129" s="8"/>
      <c r="V129" s="8"/>
      <c r="W129" s="8"/>
      <c r="X129" s="8"/>
      <c r="Y129" s="171">
        <f t="shared" ref="Y129:AI129" si="194">+Y120/Y$124</f>
        <v>6.4250196283695368E-2</v>
      </c>
      <c r="Z129" s="183">
        <f t="shared" si="194"/>
        <v>4.1662337662337665E-2</v>
      </c>
      <c r="AA129" s="183">
        <f t="shared" si="194"/>
        <v>2.2074018410670675E-2</v>
      </c>
      <c r="AB129" s="171">
        <f t="shared" si="194"/>
        <v>1.061662198391421E-2</v>
      </c>
      <c r="AC129" s="171">
        <f t="shared" si="194"/>
        <v>1.1996401079676096E-2</v>
      </c>
      <c r="AD129" s="171">
        <f t="shared" si="194"/>
        <v>9.0227198608544418E-3</v>
      </c>
      <c r="AE129" s="171">
        <f t="shared" si="194"/>
        <v>2.9571381105327279E-2</v>
      </c>
      <c r="AF129" s="171">
        <f t="shared" si="194"/>
        <v>3.0656482246077622E-2</v>
      </c>
      <c r="AG129" s="171">
        <f t="shared" si="194"/>
        <v>3.1779169566225937E-2</v>
      </c>
      <c r="AH129" s="171">
        <f t="shared" si="194"/>
        <v>2.8504767701359304E-2</v>
      </c>
      <c r="AI129" s="171">
        <f t="shared" si="194"/>
        <v>1.6906384052485492E-2</v>
      </c>
      <c r="AJ129" s="191">
        <f t="shared" si="193"/>
        <v>2.5906904095968918E-2</v>
      </c>
    </row>
    <row r="130" spans="1:41" ht="15.75" x14ac:dyDescent="0.25">
      <c r="A130" s="117" t="s">
        <v>70</v>
      </c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65" t="str">
        <f t="shared" si="191"/>
        <v xml:space="preserve">   Transportation for Industrial </v>
      </c>
      <c r="T130" s="8"/>
      <c r="U130" s="8"/>
      <c r="V130" s="8"/>
      <c r="W130" s="8"/>
      <c r="X130" s="8"/>
      <c r="Y130" s="171">
        <f t="shared" ref="Y130:AI130" si="195">+Y121/Y$124</f>
        <v>8.3747710023554037E-3</v>
      </c>
      <c r="Z130" s="183">
        <f t="shared" si="195"/>
        <v>6.1298701298701302E-3</v>
      </c>
      <c r="AA130" s="183">
        <f t="shared" si="195"/>
        <v>6.2934435468720651E-3</v>
      </c>
      <c r="AB130" s="171">
        <f t="shared" si="195"/>
        <v>1.061662198391421E-2</v>
      </c>
      <c r="AC130" s="171">
        <f t="shared" si="195"/>
        <v>9.8970308907327803E-3</v>
      </c>
      <c r="AD130" s="171">
        <f t="shared" si="195"/>
        <v>1.2175236438743341E-2</v>
      </c>
      <c r="AE130" s="171">
        <f t="shared" si="195"/>
        <v>1.0743160925905415E-2</v>
      </c>
      <c r="AF130" s="171">
        <f t="shared" si="195"/>
        <v>1.166391412056152E-2</v>
      </c>
      <c r="AG130" s="171">
        <f t="shared" si="195"/>
        <v>1.3801902110879147E-2</v>
      </c>
      <c r="AH130" s="171">
        <f t="shared" si="195"/>
        <v>1.4607425441265977E-2</v>
      </c>
      <c r="AI130" s="171">
        <f t="shared" si="195"/>
        <v>1.0850365884430987E-2</v>
      </c>
      <c r="AJ130" s="191">
        <f t="shared" si="193"/>
        <v>1.2598327807471079E-2</v>
      </c>
    </row>
    <row r="131" spans="1:41" ht="15" x14ac:dyDescent="0.2">
      <c r="A131" s="72" t="s">
        <v>143</v>
      </c>
      <c r="B131" s="43">
        <f t="shared" ref="B131:J131" si="196">(+B81-B84-B85)/B81</f>
        <v>0.42821995079311104</v>
      </c>
      <c r="C131" s="43">
        <f t="shared" si="196"/>
        <v>0.37739072438063798</v>
      </c>
      <c r="D131" s="43">
        <f t="shared" si="196"/>
        <v>0.29195313820366903</v>
      </c>
      <c r="E131" s="43">
        <f t="shared" si="196"/>
        <v>0.37819116691379334</v>
      </c>
      <c r="F131" s="43">
        <f t="shared" si="196"/>
        <v>0.36469214727976879</v>
      </c>
      <c r="G131" s="43">
        <f t="shared" si="196"/>
        <v>0.2984390069000894</v>
      </c>
      <c r="H131" s="43">
        <f t="shared" si="196"/>
        <v>0.25180484693214983</v>
      </c>
      <c r="I131" s="43">
        <f t="shared" si="196"/>
        <v>0.22806687957918467</v>
      </c>
      <c r="J131" s="43">
        <f t="shared" si="196"/>
        <v>0.26305630026809651</v>
      </c>
      <c r="K131" s="43">
        <f>(+K81-K84-K85)/K81</f>
        <v>0.26332100369889033</v>
      </c>
      <c r="L131" s="43">
        <f t="shared" ref="L131:N131" si="197">(+L81-L84-L85)/L81</f>
        <v>0.31883900423959127</v>
      </c>
      <c r="M131" s="43">
        <f t="shared" si="197"/>
        <v>0.34411341233802195</v>
      </c>
      <c r="N131" s="43">
        <f t="shared" si="197"/>
        <v>0.33350536746490506</v>
      </c>
      <c r="O131" s="43">
        <f t="shared" ref="O131:P131" si="198">(+O81-O84-O85)/O81</f>
        <v>0.38146601716539086</v>
      </c>
      <c r="P131" s="43">
        <f t="shared" si="198"/>
        <v>0.34002840332724693</v>
      </c>
      <c r="Q131" s="43">
        <f t="shared" ref="Q131" si="199">(+Q81-Q84-Q85)/Q81</f>
        <v>0.35755740600555136</v>
      </c>
      <c r="R131" s="43">
        <f>AVERAGE(L131:P131)</f>
        <v>0.34359044090703128</v>
      </c>
      <c r="S131" s="165" t="str">
        <f t="shared" si="191"/>
        <v xml:space="preserve">   Service</v>
      </c>
      <c r="T131" s="8"/>
      <c r="U131" s="8"/>
      <c r="V131" s="8"/>
      <c r="W131" s="8"/>
      <c r="X131" s="8"/>
      <c r="Y131" s="171">
        <f t="shared" ref="Y131:AI131" si="200">+Y122/Y$124</f>
        <v>6.935357236325569E-3</v>
      </c>
      <c r="Z131" s="183">
        <f t="shared" si="200"/>
        <v>6.8571428571428568E-3</v>
      </c>
      <c r="AA131" s="183">
        <f t="shared" si="200"/>
        <v>6.6691715198196506E-3</v>
      </c>
      <c r="AB131" s="171">
        <f t="shared" si="200"/>
        <v>6.3270777479892768E-3</v>
      </c>
      <c r="AC131" s="171">
        <f t="shared" si="200"/>
        <v>5.598320503848845E-3</v>
      </c>
      <c r="AD131" s="171">
        <f t="shared" si="200"/>
        <v>5.8702032829655399E-3</v>
      </c>
      <c r="AE131" s="171">
        <f t="shared" si="200"/>
        <v>5.3162033447779374E-3</v>
      </c>
      <c r="AF131" s="171">
        <f t="shared" si="200"/>
        <v>5.2642444260941369E-3</v>
      </c>
      <c r="AG131" s="171">
        <f t="shared" si="200"/>
        <v>5.2192066805845519E-3</v>
      </c>
      <c r="AH131" s="171">
        <f t="shared" si="200"/>
        <v>4.8691418137553257E-3</v>
      </c>
      <c r="AI131" s="171">
        <f t="shared" si="200"/>
        <v>3.7850113550340655E-3</v>
      </c>
      <c r="AJ131" s="191">
        <f t="shared" si="193"/>
        <v>5.3077999096354982E-3</v>
      </c>
    </row>
    <row r="132" spans="1:41" ht="15" x14ac:dyDescent="0.2">
      <c r="A132" s="72" t="s">
        <v>144</v>
      </c>
      <c r="B132" s="43">
        <f t="shared" ref="B132:K132" si="201">+B103/B81</f>
        <v>4.2714868970544766E-2</v>
      </c>
      <c r="C132" s="43">
        <f t="shared" si="201"/>
        <v>4.5016226931116586E-2</v>
      </c>
      <c r="D132" s="43">
        <f t="shared" si="201"/>
        <v>3.6745522380640605E-2</v>
      </c>
      <c r="E132" s="43">
        <f t="shared" si="201"/>
        <v>5.4405376223109231E-2</v>
      </c>
      <c r="F132" s="43">
        <f t="shared" si="201"/>
        <v>3.2499456517363266E-2</v>
      </c>
      <c r="G132" s="43">
        <f t="shared" si="201"/>
        <v>4.1168919369845056E-2</v>
      </c>
      <c r="H132" s="43">
        <f t="shared" si="201"/>
        <v>3.7374798321536506E-2</v>
      </c>
      <c r="I132" s="43">
        <f t="shared" si="201"/>
        <v>3.4754837497651701E-2</v>
      </c>
      <c r="J132" s="43">
        <f t="shared" si="201"/>
        <v>4.0107238605898127E-2</v>
      </c>
      <c r="K132" s="43">
        <f t="shared" si="201"/>
        <v>4.0187943616914926E-2</v>
      </c>
      <c r="L132" s="43">
        <f t="shared" ref="L132:N132" si="202">+L103/L81</f>
        <v>4.5222306772475268E-2</v>
      </c>
      <c r="M132" s="43">
        <f t="shared" si="202"/>
        <v>4.8621109757448225E-2</v>
      </c>
      <c r="N132" s="43">
        <f t="shared" si="202"/>
        <v>4.7584640792733279E-2</v>
      </c>
      <c r="O132" s="43">
        <f t="shared" ref="O132:P132" si="203">+O103/O81</f>
        <v>5.4627696590118305E-2</v>
      </c>
      <c r="P132" s="43">
        <f t="shared" si="203"/>
        <v>5.3560559951308581E-2</v>
      </c>
      <c r="Q132" s="43">
        <f t="shared" ref="Q132" si="204">+Q103/Q81</f>
        <v>9.9924299772899322E-2</v>
      </c>
      <c r="R132" s="43">
        <f t="shared" ref="R132:R136" si="205">AVERAGE(L132:P132)</f>
        <v>4.9923262772816737E-2</v>
      </c>
      <c r="S132" s="173" t="str">
        <f t="shared" si="191"/>
        <v xml:space="preserve">   Other</v>
      </c>
      <c r="T132" s="148"/>
      <c r="U132" s="148"/>
      <c r="V132" s="148"/>
      <c r="W132" s="148"/>
      <c r="X132" s="148"/>
      <c r="Y132" s="151">
        <f t="shared" ref="Y132:AI132" si="206">+Y123/Y$124</f>
        <v>2.9704265898979322E-2</v>
      </c>
      <c r="Z132" s="182">
        <f t="shared" si="206"/>
        <v>4.3740259740259739E-2</v>
      </c>
      <c r="AA132" s="182">
        <f t="shared" si="206"/>
        <v>3.6539545369152736E-2</v>
      </c>
      <c r="AB132" s="151">
        <f t="shared" si="206"/>
        <v>3.2386058981233243E-2</v>
      </c>
      <c r="AC132" s="151">
        <f t="shared" si="206"/>
        <v>4.6086174147755669E-2</v>
      </c>
      <c r="AD132" s="151">
        <f t="shared" si="206"/>
        <v>2.2828568322643766E-2</v>
      </c>
      <c r="AE132" s="151">
        <f t="shared" si="206"/>
        <v>3.1786465832318089E-2</v>
      </c>
      <c r="AF132" s="151">
        <f t="shared" si="206"/>
        <v>3.0656482246077622E-2</v>
      </c>
      <c r="AG132" s="151">
        <f t="shared" si="206"/>
        <v>3.4794711203897009E-2</v>
      </c>
      <c r="AH132" s="151">
        <f t="shared" si="206"/>
        <v>2.8606208155812538E-2</v>
      </c>
      <c r="AI132" s="151">
        <f t="shared" si="206"/>
        <v>1.8672722684834723E-2</v>
      </c>
      <c r="AJ132" s="192">
        <f t="shared" si="193"/>
        <v>2.9734487152149804E-2</v>
      </c>
    </row>
    <row r="133" spans="1:41" ht="15" x14ac:dyDescent="0.2">
      <c r="A133" s="72" t="s">
        <v>29</v>
      </c>
      <c r="B133" s="43">
        <f>(B103+(B94*(1-(B102/B100))))/((B39)/1)</f>
        <v>4.5437974282927861E-2</v>
      </c>
      <c r="C133" s="43">
        <f t="shared" ref="C133:J133" si="207">(C103+(C94*(1-(C102/C100))))/((B39+C39)/2)</f>
        <v>4.8761390410488763E-2</v>
      </c>
      <c r="D133" s="43">
        <f t="shared" si="207"/>
        <v>4.968750191785988E-2</v>
      </c>
      <c r="E133" s="43">
        <f t="shared" si="207"/>
        <v>5.6339724460796936E-2</v>
      </c>
      <c r="F133" s="43">
        <f t="shared" si="207"/>
        <v>3.7877382395332809E-2</v>
      </c>
      <c r="G133" s="43">
        <f t="shared" si="207"/>
        <v>4.5358363426255467E-2</v>
      </c>
      <c r="H133" s="43">
        <f t="shared" si="207"/>
        <v>4.5926418451123302E-2</v>
      </c>
      <c r="I133" s="43">
        <f t="shared" si="207"/>
        <v>4.6971418637880867E-2</v>
      </c>
      <c r="J133" s="43">
        <f t="shared" si="207"/>
        <v>4.6684411197740902E-2</v>
      </c>
      <c r="K133" s="43">
        <f>(K103+(K94*(1-(K102/K100))))/((J39+K39)/2)</f>
        <v>4.5277987020128967E-2</v>
      </c>
      <c r="L133" s="43">
        <f t="shared" ref="L133:P133" si="208">(L103+(L94*(1-(L102/L100))))/((K39+L39)/2)</f>
        <v>4.505399671997002E-2</v>
      </c>
      <c r="M133" s="43">
        <f t="shared" si="208"/>
        <v>4.4026433939565381E-2</v>
      </c>
      <c r="N133" s="43">
        <f t="shared" si="208"/>
        <v>4.3597544748087656E-2</v>
      </c>
      <c r="O133" s="43">
        <f t="shared" si="208"/>
        <v>4.0597064083085478E-2</v>
      </c>
      <c r="P133" s="43">
        <f t="shared" si="208"/>
        <v>3.9032857595048542E-2</v>
      </c>
      <c r="Q133" s="43">
        <f>(Q103+(Q94*(1-(Q102/Q100))))/((P39+Q39)/2)*4/3</f>
        <v>3.2917590280310896E-2</v>
      </c>
      <c r="R133" s="43">
        <f t="shared" si="205"/>
        <v>4.246157941715141E-2</v>
      </c>
      <c r="S133" s="173" t="str">
        <f t="shared" si="191"/>
        <v xml:space="preserve">      Total Revenue</v>
      </c>
      <c r="T133" s="148"/>
      <c r="U133" s="148"/>
      <c r="V133" s="148"/>
      <c r="W133" s="148"/>
      <c r="X133" s="148"/>
      <c r="Y133" s="151">
        <f t="shared" ref="Y133:AI133" si="209">+Y124/Y$124</f>
        <v>1</v>
      </c>
      <c r="Z133" s="182">
        <f t="shared" si="209"/>
        <v>1</v>
      </c>
      <c r="AA133" s="182">
        <f t="shared" si="209"/>
        <v>1</v>
      </c>
      <c r="AB133" s="151">
        <f t="shared" si="209"/>
        <v>1</v>
      </c>
      <c r="AC133" s="151">
        <f t="shared" si="209"/>
        <v>1</v>
      </c>
      <c r="AD133" s="151">
        <f t="shared" si="209"/>
        <v>1</v>
      </c>
      <c r="AE133" s="151">
        <f t="shared" si="209"/>
        <v>1</v>
      </c>
      <c r="AF133" s="151">
        <f t="shared" si="209"/>
        <v>1</v>
      </c>
      <c r="AG133" s="151">
        <f t="shared" si="209"/>
        <v>1</v>
      </c>
      <c r="AH133" s="151">
        <f t="shared" si="209"/>
        <v>1</v>
      </c>
      <c r="AI133" s="151">
        <f t="shared" si="209"/>
        <v>1</v>
      </c>
      <c r="AJ133" s="230">
        <f t="shared" si="193"/>
        <v>1</v>
      </c>
    </row>
    <row r="134" spans="1:41" ht="15" x14ac:dyDescent="0.2">
      <c r="A134" s="72" t="s">
        <v>69</v>
      </c>
      <c r="B134" s="43">
        <f>(B103+(B94*(1-(B102/B100))))/((B50+B58+B63)/1)</f>
        <v>6.7316151477111702E-2</v>
      </c>
      <c r="C134" s="43">
        <f t="shared" ref="C134:K134" si="210">(C103+(C94*(1-(C102/C100))))/((B50+C50+B58+C58+B63+C63)/2)</f>
        <v>7.7517345465870302E-2</v>
      </c>
      <c r="D134" s="43">
        <f t="shared" si="210"/>
        <v>7.6564443086380718E-2</v>
      </c>
      <c r="E134" s="43">
        <f t="shared" si="210"/>
        <v>7.8874439866510146E-2</v>
      </c>
      <c r="F134" s="43">
        <f t="shared" si="210"/>
        <v>5.5072023772712843E-2</v>
      </c>
      <c r="G134" s="43">
        <f t="shared" si="210"/>
        <v>7.3424405126741116E-2</v>
      </c>
      <c r="H134" s="43">
        <f t="shared" si="210"/>
        <v>7.9137505505046044E-2</v>
      </c>
      <c r="I134" s="43">
        <f t="shared" si="210"/>
        <v>7.9750614868513148E-2</v>
      </c>
      <c r="J134" s="43">
        <f t="shared" si="210"/>
        <v>8.3475437240993669E-2</v>
      </c>
      <c r="K134" s="43">
        <f t="shared" si="210"/>
        <v>8.200313374692221E-2</v>
      </c>
      <c r="L134" s="43">
        <f t="shared" ref="L134" si="211">(L103+(L94*(1-(L102/L100))))/((K50+L50+K58+L58+K63+L63)/2)</f>
        <v>7.8188023580515048E-2</v>
      </c>
      <c r="M134" s="43">
        <f t="shared" ref="M134" si="212">(M103+(M94*(1-(M102/M100))))/((L50+M50+L58+M58+L63+M63)/2)</f>
        <v>7.7996975141630023E-2</v>
      </c>
      <c r="N134" s="43">
        <f t="shared" ref="N134" si="213">(N103+(N94*(1-(N102/N100))))/((M50+N50+M58+N58+M63+N63)/2)</f>
        <v>8.2415617848970252E-2</v>
      </c>
      <c r="O134" s="43">
        <f>(O103+(O94*(1-(O102/O100))))/((N50+O50+N58+O58+N63+O63)/2)</f>
        <v>7.8908777942644948E-2</v>
      </c>
      <c r="P134" s="43">
        <f>(P103+(P94*(1-(P102/P100))))/((O50+P50+O58+P58+O63+P63)/2)</f>
        <v>6.7961993684139493E-2</v>
      </c>
      <c r="Q134" s="43">
        <f>(Q103+(Q94*(1-(Q102/Q100))))/((P50+Q50+P58+Q58+P63+Q63)/2)*4/3</f>
        <v>5.2082130965593783E-2</v>
      </c>
      <c r="R134" s="43">
        <f t="shared" si="205"/>
        <v>7.7094277639579947E-2</v>
      </c>
      <c r="S134" s="241"/>
      <c r="T134" s="163"/>
      <c r="U134" s="163"/>
      <c r="V134" s="163"/>
      <c r="W134" s="163"/>
      <c r="X134" s="163"/>
      <c r="Y134" s="163"/>
      <c r="Z134" s="163"/>
      <c r="AA134" s="163"/>
      <c r="AB134" s="163"/>
      <c r="AC134" s="163"/>
      <c r="AD134" s="163"/>
      <c r="AE134" s="163"/>
      <c r="AF134" s="163"/>
      <c r="AG134" s="163"/>
      <c r="AH134" s="163"/>
      <c r="AI134" s="163"/>
      <c r="AJ134" s="164"/>
    </row>
    <row r="135" spans="1:41" ht="15.75" x14ac:dyDescent="0.25">
      <c r="A135" s="72" t="s">
        <v>222</v>
      </c>
      <c r="B135" s="43">
        <f>(B103-B105)/((B63)/1)</f>
        <v>7.2967011272129484E-2</v>
      </c>
      <c r="C135" s="43">
        <f t="shared" ref="C135:K135" si="214">(C103-C105)/((C63+B63)/2)</f>
        <v>9.1622128395351971E-2</v>
      </c>
      <c r="D135" s="43">
        <f t="shared" si="214"/>
        <v>9.0784845215224966E-2</v>
      </c>
      <c r="E135" s="43">
        <f t="shared" si="214"/>
        <v>0.10455388160198271</v>
      </c>
      <c r="F135" s="43">
        <f t="shared" si="214"/>
        <v>6.4806578917792429E-2</v>
      </c>
      <c r="G135" s="43">
        <f t="shared" si="214"/>
        <v>0.10083960889834787</v>
      </c>
      <c r="H135" s="43">
        <f t="shared" si="214"/>
        <v>0.11361178088637716</v>
      </c>
      <c r="I135" s="43">
        <f t="shared" si="214"/>
        <v>0.11421057342968179</v>
      </c>
      <c r="J135" s="43">
        <f t="shared" si="214"/>
        <v>0.11159182455616888</v>
      </c>
      <c r="K135" s="43">
        <f t="shared" si="214"/>
        <v>0.11085068247621674</v>
      </c>
      <c r="L135" s="43">
        <f>(L103-L105)/((L63+K63)/2)</f>
        <v>0.10617662072485962</v>
      </c>
      <c r="M135" s="43">
        <f t="shared" ref="M135" si="215">(M103-M105)/((M63+L63)/2)</f>
        <v>0.10779619398403929</v>
      </c>
      <c r="N135" s="43">
        <f t="shared" ref="N135" si="216">(N103-N105)/((N63+M63)/2)</f>
        <v>0.10623343703191612</v>
      </c>
      <c r="O135" s="43">
        <f>(O103-O105)/((O63+N63)/2)</f>
        <v>0.10239130434782609</v>
      </c>
      <c r="P135" s="43">
        <f>(P103-P105)/((P63+O63)/2)</f>
        <v>0.10115911485774499</v>
      </c>
      <c r="Q135" s="43">
        <f>(Q103-Q105)/((Q63+P63)/2)*4/3</f>
        <v>8.9226869455006338E-2</v>
      </c>
      <c r="R135" s="43">
        <f t="shared" si="205"/>
        <v>0.10475133418927722</v>
      </c>
      <c r="S135" s="252" t="s">
        <v>154</v>
      </c>
      <c r="T135" s="253"/>
      <c r="U135" s="253"/>
      <c r="V135" s="253"/>
      <c r="W135" s="253"/>
      <c r="X135" s="253"/>
      <c r="Y135" s="253"/>
      <c r="Z135" s="253"/>
      <c r="AA135" s="253"/>
      <c r="AB135" s="253"/>
      <c r="AC135" s="253"/>
      <c r="AD135" s="253"/>
      <c r="AE135" s="253"/>
      <c r="AF135" s="253"/>
      <c r="AG135" s="253"/>
      <c r="AH135" s="253"/>
      <c r="AI135" s="253"/>
      <c r="AJ135" s="254"/>
    </row>
    <row r="136" spans="1:41" ht="15.75" x14ac:dyDescent="0.25">
      <c r="A136" s="72" t="s">
        <v>221</v>
      </c>
      <c r="B136" s="45">
        <v>7.5700000000000003E-2</v>
      </c>
      <c r="C136" s="45">
        <v>0.1047</v>
      </c>
      <c r="D136" s="45">
        <v>0.1046</v>
      </c>
      <c r="E136" s="45">
        <v>9.06E-2</v>
      </c>
      <c r="F136" s="45">
        <v>0.1109</v>
      </c>
      <c r="G136" s="45">
        <v>0.10050000000000001</v>
      </c>
      <c r="H136" s="45">
        <v>0.10059999999999999</v>
      </c>
      <c r="I136" s="45">
        <v>0.1086</v>
      </c>
      <c r="J136" s="45">
        <v>0.1028</v>
      </c>
      <c r="K136" s="45">
        <v>0.1</v>
      </c>
      <c r="L136" s="45">
        <v>9.7299999999999998E-2</v>
      </c>
      <c r="M136" s="45">
        <v>9.2700000000000005E-2</v>
      </c>
      <c r="N136" s="45">
        <v>0.1023</v>
      </c>
      <c r="O136" s="45">
        <v>9.0200000000000002E-2</v>
      </c>
      <c r="P136" s="220">
        <v>9.5899999999999999E-2</v>
      </c>
      <c r="Q136" s="45"/>
      <c r="R136" s="43">
        <f t="shared" si="205"/>
        <v>9.5680000000000001E-2</v>
      </c>
      <c r="S136" s="162" t="s">
        <v>187</v>
      </c>
      <c r="T136" s="163"/>
      <c r="U136" s="163"/>
      <c r="V136" s="163"/>
      <c r="W136" s="163"/>
      <c r="X136" s="163"/>
      <c r="Y136" s="163"/>
      <c r="Z136" s="163"/>
      <c r="AA136" s="163"/>
      <c r="AB136" s="163"/>
      <c r="AC136" s="163"/>
      <c r="AD136" s="163"/>
      <c r="AE136" s="163"/>
      <c r="AF136" s="163"/>
      <c r="AG136" s="163"/>
      <c r="AH136" s="163"/>
      <c r="AI136" s="163"/>
      <c r="AJ136" s="164"/>
    </row>
    <row r="137" spans="1:41" ht="15" x14ac:dyDescent="0.2">
      <c r="A137" s="218"/>
      <c r="B137" s="219"/>
      <c r="C137" s="219"/>
      <c r="D137" s="219"/>
      <c r="E137" s="219"/>
      <c r="F137" s="219"/>
      <c r="G137" s="219"/>
      <c r="H137" s="219"/>
      <c r="I137" s="219"/>
      <c r="J137" s="219"/>
      <c r="K137" s="220"/>
      <c r="L137" s="220"/>
      <c r="M137" s="220"/>
      <c r="N137" s="220"/>
      <c r="O137" s="220"/>
      <c r="P137" s="220"/>
      <c r="Q137" s="220"/>
      <c r="R137" s="160"/>
      <c r="S137" s="165" t="str">
        <f>+S128</f>
        <v xml:space="preserve">   Residential &amp; Commercial Sales</v>
      </c>
      <c r="T137" s="8"/>
      <c r="U137" s="8"/>
      <c r="V137" s="8"/>
      <c r="W137" s="8"/>
      <c r="X137" s="8"/>
      <c r="Y137" s="166">
        <v>93</v>
      </c>
      <c r="Z137" s="166">
        <v>96.3</v>
      </c>
      <c r="AA137" s="166">
        <v>102.2</v>
      </c>
      <c r="AB137" s="166">
        <v>106.1</v>
      </c>
      <c r="AC137" s="166">
        <v>112.3</v>
      </c>
      <c r="AD137" s="166">
        <v>109.4</v>
      </c>
      <c r="AE137" s="166">
        <v>105.8</v>
      </c>
      <c r="AF137" s="166">
        <v>113.3</v>
      </c>
      <c r="AG137" s="166">
        <v>96.2</v>
      </c>
      <c r="AH137" s="166">
        <v>114.9</v>
      </c>
      <c r="AI137" s="166">
        <v>43.9</v>
      </c>
      <c r="AJ137" s="167">
        <f t="shared" ref="AJ137:AJ140" si="217">AVERAGE(AD137:AH137)</f>
        <v>107.92</v>
      </c>
    </row>
    <row r="138" spans="1:41" ht="15.75" x14ac:dyDescent="0.25">
      <c r="A138" s="117" t="s">
        <v>1</v>
      </c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39"/>
      <c r="N138" s="116"/>
      <c r="O138" s="116"/>
      <c r="P138" s="116"/>
      <c r="Q138" s="116"/>
      <c r="R138" s="116"/>
      <c r="S138" s="165" t="str">
        <f>+S129</f>
        <v xml:space="preserve">   Industrial Sales</v>
      </c>
      <c r="T138" s="8"/>
      <c r="U138" s="8"/>
      <c r="V138" s="8"/>
      <c r="W138" s="8"/>
      <c r="X138" s="8"/>
      <c r="Y138" s="166">
        <v>8.8000000000000007</v>
      </c>
      <c r="Z138" s="166">
        <v>5.7</v>
      </c>
      <c r="AA138" s="166">
        <v>3.1</v>
      </c>
      <c r="AB138" s="166">
        <v>1.6</v>
      </c>
      <c r="AC138" s="166">
        <v>1.7</v>
      </c>
      <c r="AD138" s="166">
        <v>1.3</v>
      </c>
      <c r="AE138" s="166">
        <v>4.5</v>
      </c>
      <c r="AF138" s="166">
        <v>5</v>
      </c>
      <c r="AG138" s="166">
        <v>4.7</v>
      </c>
      <c r="AH138" s="166">
        <v>4.4000000000000004</v>
      </c>
      <c r="AI138" s="166">
        <v>1.1000000000000001</v>
      </c>
      <c r="AJ138" s="167">
        <f t="shared" si="217"/>
        <v>3.9799999999999995</v>
      </c>
    </row>
    <row r="139" spans="1:41" ht="15" x14ac:dyDescent="0.2">
      <c r="A139" s="72" t="s">
        <v>31</v>
      </c>
      <c r="B139" s="116">
        <f>B81/B12</f>
        <v>263.42915690866511</v>
      </c>
      <c r="C139" s="116">
        <f>C81/((B12+C12)/2)</f>
        <v>414.48803088803089</v>
      </c>
      <c r="D139" s="116">
        <f>D81/((C12+D12)/2)</f>
        <v>268.33574695121951</v>
      </c>
      <c r="E139" s="116">
        <f>E81/((D12+E12)/2)</f>
        <v>161.8456311998913</v>
      </c>
      <c r="F139" s="116">
        <f>F81/((D12+F12)/2)</f>
        <v>150.36198547215497</v>
      </c>
      <c r="G139" s="116">
        <f t="shared" ref="G139:O139" si="218">G81/((F12+G12)/2)</f>
        <v>253.67402489626556</v>
      </c>
      <c r="H139" s="116">
        <f t="shared" si="218"/>
        <v>360.70713884204611</v>
      </c>
      <c r="I139" s="116">
        <f t="shared" si="218"/>
        <v>312.8416103438143</v>
      </c>
      <c r="J139" s="116">
        <f t="shared" si="218"/>
        <v>242.20779220779221</v>
      </c>
      <c r="K139" s="116">
        <f t="shared" si="218"/>
        <v>377.47169811320754</v>
      </c>
      <c r="L139" s="116">
        <f t="shared" si="218"/>
        <v>219.02380952380952</v>
      </c>
      <c r="M139" s="116">
        <f t="shared" si="218"/>
        <v>151.74789915966386</v>
      </c>
      <c r="N139" s="116">
        <f t="shared" si="218"/>
        <v>199.75257731958763</v>
      </c>
      <c r="O139" s="116">
        <f t="shared" si="218"/>
        <v>269.4375</v>
      </c>
      <c r="P139" s="116">
        <f>P81/((O12+P12)/2)</f>
        <v>193.29411764705881</v>
      </c>
      <c r="Q139" s="116"/>
      <c r="R139" s="116">
        <f t="shared" ref="R139:R143" si="219">AVERAGE(L139:P139)</f>
        <v>206.65118073002395</v>
      </c>
      <c r="S139" s="165" t="str">
        <f>+S130</f>
        <v xml:space="preserve">   Transportation for Industrial </v>
      </c>
      <c r="T139" s="8"/>
      <c r="U139" s="8"/>
      <c r="V139" s="8"/>
      <c r="W139" s="8"/>
      <c r="X139" s="8"/>
      <c r="Y139" s="166">
        <v>34.299999999999997</v>
      </c>
      <c r="Z139" s="166">
        <v>31.2</v>
      </c>
      <c r="AA139" s="166">
        <v>35.5</v>
      </c>
      <c r="AB139" s="166">
        <v>53.8</v>
      </c>
      <c r="AC139" s="166">
        <v>62.2</v>
      </c>
      <c r="AD139" s="166">
        <v>58</v>
      </c>
      <c r="AE139" s="166">
        <v>59.3</v>
      </c>
      <c r="AF139" s="166">
        <v>52.5</v>
      </c>
      <c r="AG139" s="166">
        <v>62</v>
      </c>
      <c r="AH139" s="166">
        <v>64.5</v>
      </c>
      <c r="AI139" s="166">
        <v>20.5</v>
      </c>
      <c r="AJ139" s="167">
        <f t="shared" si="217"/>
        <v>59.260000000000005</v>
      </c>
    </row>
    <row r="140" spans="1:41" ht="15" x14ac:dyDescent="0.2">
      <c r="A140" s="72" t="s">
        <v>30</v>
      </c>
      <c r="B140" s="116">
        <f>B81/B14</f>
        <v>5.4145346458398516</v>
      </c>
      <c r="C140" s="116">
        <f>C81/((B14+C14)/2)</f>
        <v>5.416394633676255</v>
      </c>
      <c r="D140" s="116">
        <f>D81/((C14+D14)/2)</f>
        <v>6.3152829537147905</v>
      </c>
      <c r="E140" s="116">
        <f>E81/((D14+E14)/2)</f>
        <v>5.9963649911390364</v>
      </c>
      <c r="F140" s="116">
        <f>F81/((D14+F14)/2)</f>
        <v>5.2159031732432934</v>
      </c>
      <c r="G140" s="116">
        <f t="shared" ref="G140:P140" si="220">G81/((F14+G14)/2)</f>
        <v>5.739640837295239</v>
      </c>
      <c r="H140" s="116">
        <f t="shared" si="220"/>
        <v>5.9141400952974896</v>
      </c>
      <c r="I140" s="116">
        <f t="shared" si="220"/>
        <v>6.2193479791208439</v>
      </c>
      <c r="J140" s="116">
        <f t="shared" si="220"/>
        <v>6.0967636482510628</v>
      </c>
      <c r="K140" s="116">
        <f t="shared" si="220"/>
        <v>6.1068376068376065</v>
      </c>
      <c r="L140" s="116">
        <f t="shared" si="220"/>
        <v>5.3874084919472915</v>
      </c>
      <c r="M140" s="116">
        <f t="shared" si="220"/>
        <v>5.3394441159077468</v>
      </c>
      <c r="N140" s="116">
        <f t="shared" si="220"/>
        <v>5.9728729963008629</v>
      </c>
      <c r="O140" s="116">
        <f t="shared" si="220"/>
        <v>5.2238715540745231</v>
      </c>
      <c r="P140" s="116">
        <f t="shared" si="220"/>
        <v>5.095890410958904</v>
      </c>
      <c r="Q140" s="116"/>
      <c r="R140" s="116">
        <f t="shared" si="219"/>
        <v>5.4038975138378662</v>
      </c>
      <c r="S140" s="165" t="s">
        <v>156</v>
      </c>
      <c r="T140" s="8"/>
      <c r="U140" s="8"/>
      <c r="V140" s="8"/>
      <c r="W140" s="8"/>
      <c r="X140" s="8"/>
      <c r="Y140" s="166">
        <f t="shared" ref="Y140:AD140" si="221">+Y139+Y138+Y137</f>
        <v>136.1</v>
      </c>
      <c r="Z140" s="166">
        <f t="shared" si="221"/>
        <v>133.19999999999999</v>
      </c>
      <c r="AA140" s="166">
        <f t="shared" si="221"/>
        <v>140.80000000000001</v>
      </c>
      <c r="AB140" s="166">
        <f t="shared" si="221"/>
        <v>161.5</v>
      </c>
      <c r="AC140" s="166">
        <f t="shared" si="221"/>
        <v>176.2</v>
      </c>
      <c r="AD140" s="166">
        <f t="shared" si="221"/>
        <v>168.7</v>
      </c>
      <c r="AE140" s="166">
        <f>+AE139+AE138+AE137</f>
        <v>169.6</v>
      </c>
      <c r="AF140" s="166">
        <f>+AF139+AF138+AF137</f>
        <v>170.8</v>
      </c>
      <c r="AG140" s="166">
        <f>+AG139+AG138+AG137</f>
        <v>162.9</v>
      </c>
      <c r="AH140" s="166">
        <f>+AH139+AH138+AH137</f>
        <v>183.8</v>
      </c>
      <c r="AI140" s="166">
        <f>+AI139+AI138+AI137</f>
        <v>65.5</v>
      </c>
      <c r="AJ140" s="167">
        <f t="shared" si="217"/>
        <v>171.16</v>
      </c>
      <c r="AK140" s="143">
        <f>(AH140-AG140)/AG140</f>
        <v>0.1282995702885206</v>
      </c>
    </row>
    <row r="141" spans="1:41" ht="15.75" x14ac:dyDescent="0.25">
      <c r="A141" s="72" t="s">
        <v>34</v>
      </c>
      <c r="B141" s="116">
        <f>B81/(B21-B48)</f>
        <v>-11.686675324675324</v>
      </c>
      <c r="C141" s="116">
        <f t="shared" ref="C141:O141" si="222">C81/((B21+C21-B48-C48)/2)</f>
        <v>-9.7176117025128548</v>
      </c>
      <c r="D141" s="116">
        <f t="shared" si="222"/>
        <v>-18.613786266604983</v>
      </c>
      <c r="E141" s="116">
        <f t="shared" si="222"/>
        <v>-101.91870614410405</v>
      </c>
      <c r="F141" s="116">
        <f t="shared" si="222"/>
        <v>-32.496663962950365</v>
      </c>
      <c r="G141" s="116">
        <f t="shared" si="222"/>
        <v>-18.701343513692095</v>
      </c>
      <c r="H141" s="116">
        <f t="shared" si="222"/>
        <v>-39.186068760559365</v>
      </c>
      <c r="I141" s="116">
        <f t="shared" si="222"/>
        <v>-53.880608345775237</v>
      </c>
      <c r="J141" s="116">
        <f t="shared" si="222"/>
        <v>-9.8157894736842106</v>
      </c>
      <c r="K141" s="116">
        <f t="shared" si="222"/>
        <v>-9.998000999500249</v>
      </c>
      <c r="L141" s="116">
        <f t="shared" si="222"/>
        <v>-19.285115303983229</v>
      </c>
      <c r="M141" s="116">
        <f t="shared" si="222"/>
        <v>-18.407747196738022</v>
      </c>
      <c r="N141" s="116">
        <f t="shared" si="222"/>
        <v>-8.2451063829787241</v>
      </c>
      <c r="O141" s="116">
        <f t="shared" si="222"/>
        <v>-5.6929679762297791</v>
      </c>
      <c r="P141" s="116">
        <f>P81/((O21+P21-O48-P48)/2)</f>
        <v>-28.450216450216452</v>
      </c>
      <c r="Q141" s="116"/>
      <c r="R141" s="116">
        <f t="shared" si="219"/>
        <v>-16.016230662029241</v>
      </c>
      <c r="S141" s="170" t="s">
        <v>215</v>
      </c>
      <c r="T141" s="8"/>
      <c r="U141" s="8"/>
      <c r="V141" s="8"/>
      <c r="W141" s="8"/>
      <c r="X141" s="8"/>
      <c r="Y141" s="8"/>
      <c r="Z141" s="8"/>
      <c r="AA141" s="8"/>
      <c r="AB141" s="8"/>
      <c r="AC141" s="183">
        <f>+(AC140-AB140)/AB140</f>
        <v>9.1021671826625322E-2</v>
      </c>
      <c r="AD141" s="183">
        <f>+(AD140-AC140)/AC140</f>
        <v>-4.2565266742338258E-2</v>
      </c>
      <c r="AE141" s="183">
        <f t="shared" ref="AE141:AH141" si="223">+(AE140-AD140)/AD140</f>
        <v>5.3349140486070286E-3</v>
      </c>
      <c r="AF141" s="183">
        <f t="shared" si="223"/>
        <v>7.0754716981133083E-3</v>
      </c>
      <c r="AG141" s="183">
        <f t="shared" si="223"/>
        <v>-4.6252927400468415E-2</v>
      </c>
      <c r="AH141" s="183">
        <f t="shared" si="223"/>
        <v>0.1282995702885206</v>
      </c>
      <c r="AI141" s="8"/>
      <c r="AJ141" s="191">
        <f>AVERAGE(AD141:AH141)</f>
        <v>1.0378352378486855E-2</v>
      </c>
      <c r="AK141" s="203">
        <f>+AD139-AC139</f>
        <v>-4.2000000000000028</v>
      </c>
      <c r="AL141" s="203">
        <f>+AE139-AD139</f>
        <v>1.2999999999999972</v>
      </c>
      <c r="AM141" s="203">
        <f>+AF139-AE139</f>
        <v>-6.7999999999999972</v>
      </c>
      <c r="AN141" s="203">
        <f>+AG139-AF139</f>
        <v>9.5</v>
      </c>
      <c r="AO141" s="203"/>
    </row>
    <row r="142" spans="1:41" ht="15" x14ac:dyDescent="0.2">
      <c r="A142" s="72" t="s">
        <v>32</v>
      </c>
      <c r="B142" s="116">
        <f>B81/(B31)</f>
        <v>0.75940272208044723</v>
      </c>
      <c r="C142" s="116">
        <f>C81/((B31+C31)/2)</f>
        <v>0.8854872421751403</v>
      </c>
      <c r="D142" s="116">
        <f>D81/((C31+D31)/2)</f>
        <v>1.1047179891083501</v>
      </c>
      <c r="E142" s="116">
        <f>E81/((D31+E31)/2)</f>
        <v>0.89219140935173114</v>
      </c>
      <c r="F142" s="116">
        <f>F81/((D31+F31)/2)</f>
        <v>0.91143322193504261</v>
      </c>
      <c r="G142" s="116">
        <f t="shared" ref="G142:O142" si="224">G81/((F31+G31)/2)</f>
        <v>1.0532944006869494</v>
      </c>
      <c r="H142" s="116">
        <f t="shared" si="224"/>
        <v>1.2743270392374271</v>
      </c>
      <c r="I142" s="116">
        <f t="shared" si="224"/>
        <v>1.341204690562938</v>
      </c>
      <c r="J142" s="116">
        <f t="shared" si="224"/>
        <v>1.0786581839213418</v>
      </c>
      <c r="K142" s="116">
        <f t="shared" si="224"/>
        <v>1.053834808259587</v>
      </c>
      <c r="L142" s="116">
        <f t="shared" si="224"/>
        <v>0.91034141514101929</v>
      </c>
      <c r="M142" s="116">
        <f t="shared" si="224"/>
        <v>0.84866998778080649</v>
      </c>
      <c r="N142" s="116">
        <f t="shared" si="224"/>
        <v>0.85217926727360693</v>
      </c>
      <c r="O142" s="116">
        <f t="shared" si="224"/>
        <v>0.68929128192828881</v>
      </c>
      <c r="P142" s="116">
        <f>P81/((O31+P31)/2)</f>
        <v>0.70867330433844933</v>
      </c>
      <c r="Q142" s="116"/>
      <c r="R142" s="116">
        <f t="shared" si="219"/>
        <v>0.80183105129243426</v>
      </c>
      <c r="S142" s="16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169"/>
      <c r="AK142" s="143">
        <f>+AK141/AC139</f>
        <v>-6.7524115755627057E-2</v>
      </c>
      <c r="AL142" s="143">
        <f>+AL141/AD139</f>
        <v>2.2413793103448227E-2</v>
      </c>
      <c r="AM142" s="143">
        <f>+AM141/AE139</f>
        <v>-0.11467116357504212</v>
      </c>
      <c r="AN142" s="143">
        <f>+AN141/AF139</f>
        <v>0.18095238095238095</v>
      </c>
      <c r="AO142" s="143"/>
    </row>
    <row r="143" spans="1:41" ht="15.75" x14ac:dyDescent="0.25">
      <c r="A143" s="72" t="s">
        <v>33</v>
      </c>
      <c r="B143" s="116">
        <f>B81/B39</f>
        <v>0.62184473265224893</v>
      </c>
      <c r="C143" s="116">
        <f>C81/((B39+C39)/2)</f>
        <v>0.69086762281208691</v>
      </c>
      <c r="D143" s="116">
        <f>D81/((C39+D39)/2)</f>
        <v>0.84620321241219343</v>
      </c>
      <c r="E143" s="116">
        <f>E81/((D39+E39)/2)</f>
        <v>0.71505581955230291</v>
      </c>
      <c r="F143" s="116">
        <f>F81/((D39+F39)/2)</f>
        <v>0.71229072707001839</v>
      </c>
      <c r="G143" s="116">
        <f t="shared" ref="G143:P143" si="225">G81/((F39+G39)/2)</f>
        <v>0.79543779665251058</v>
      </c>
      <c r="H143" s="116">
        <f t="shared" si="225"/>
        <v>0.90881469441476848</v>
      </c>
      <c r="I143" s="116">
        <f t="shared" si="225"/>
        <v>0.97673353918196038</v>
      </c>
      <c r="J143" s="116">
        <f t="shared" si="225"/>
        <v>0.83221775992860325</v>
      </c>
      <c r="K143" s="116">
        <f t="shared" si="225"/>
        <v>0.80907510009301575</v>
      </c>
      <c r="L143" s="116">
        <f t="shared" si="225"/>
        <v>0.69581332022238196</v>
      </c>
      <c r="M143" s="116">
        <f t="shared" si="225"/>
        <v>0.65655904595695169</v>
      </c>
      <c r="N143" s="116">
        <f t="shared" si="225"/>
        <v>0.67771948233648127</v>
      </c>
      <c r="O143" s="116">
        <f t="shared" si="225"/>
        <v>0.56114546046208913</v>
      </c>
      <c r="P143" s="116">
        <f t="shared" si="225"/>
        <v>0.57687918775784885</v>
      </c>
      <c r="Q143" s="116"/>
      <c r="R143" s="116">
        <f t="shared" si="219"/>
        <v>0.63362329934715056</v>
      </c>
      <c r="S143" s="172" t="s">
        <v>157</v>
      </c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169"/>
    </row>
    <row r="144" spans="1:41" ht="15" x14ac:dyDescent="0.2">
      <c r="A144" s="72"/>
      <c r="B144" s="72"/>
      <c r="C144" s="72"/>
      <c r="D144" s="72"/>
      <c r="E144" s="72"/>
      <c r="F144" s="72"/>
      <c r="G144" s="72"/>
      <c r="H144" s="72"/>
      <c r="I144" s="72"/>
      <c r="J144" s="72"/>
      <c r="K144" s="72"/>
      <c r="L144" s="72"/>
      <c r="M144" s="72"/>
      <c r="N144" s="72"/>
      <c r="O144" s="72"/>
      <c r="P144" s="72"/>
      <c r="Q144" s="72"/>
      <c r="R144" s="116"/>
      <c r="S144" s="165" t="str">
        <f>+S137</f>
        <v xml:space="preserve">   Residential &amp; Commercial Sales</v>
      </c>
      <c r="T144" s="8"/>
      <c r="U144" s="8"/>
      <c r="V144" s="8"/>
      <c r="W144" s="8"/>
      <c r="X144" s="8"/>
      <c r="Y144" s="171">
        <f t="shared" ref="Y144:AI144" si="226">+Y137/Y$140</f>
        <v>0.68332108743570907</v>
      </c>
      <c r="Z144" s="183">
        <f t="shared" si="226"/>
        <v>0.72297297297297303</v>
      </c>
      <c r="AA144" s="183">
        <f t="shared" si="226"/>
        <v>0.72585227272727271</v>
      </c>
      <c r="AB144" s="171">
        <f t="shared" si="226"/>
        <v>0.65696594427244581</v>
      </c>
      <c r="AC144" s="171">
        <f t="shared" si="226"/>
        <v>0.63734392735527812</v>
      </c>
      <c r="AD144" s="171">
        <f t="shared" si="226"/>
        <v>0.64848844101956138</v>
      </c>
      <c r="AE144" s="171">
        <f t="shared" si="226"/>
        <v>0.62382075471698117</v>
      </c>
      <c r="AF144" s="171">
        <f t="shared" si="226"/>
        <v>0.66334894613583129</v>
      </c>
      <c r="AG144" s="171">
        <f t="shared" si="226"/>
        <v>0.59054634745242485</v>
      </c>
      <c r="AH144" s="171">
        <f t="shared" si="226"/>
        <v>0.62513601741022851</v>
      </c>
      <c r="AI144" s="171">
        <f t="shared" si="226"/>
        <v>0.67022900763358773</v>
      </c>
      <c r="AJ144" s="191">
        <f t="shared" ref="AJ144:AJ147" si="227">AVERAGE(AD144:AH144)</f>
        <v>0.63026810134700528</v>
      </c>
    </row>
    <row r="145" spans="1:39" ht="15.75" x14ac:dyDescent="0.25">
      <c r="A145" s="117" t="s">
        <v>71</v>
      </c>
      <c r="B145" s="72"/>
      <c r="C145" s="72"/>
      <c r="D145" s="72"/>
      <c r="E145" s="72"/>
      <c r="F145" s="72"/>
      <c r="G145" s="72"/>
      <c r="H145" s="72"/>
      <c r="I145" s="72"/>
      <c r="J145" s="72"/>
      <c r="K145" s="72"/>
      <c r="L145" s="72"/>
      <c r="M145" s="72"/>
      <c r="N145" s="72"/>
      <c r="O145" s="72"/>
      <c r="P145" s="72"/>
      <c r="Q145" s="72"/>
      <c r="R145" s="116"/>
      <c r="S145" s="165" t="str">
        <f>+S138</f>
        <v xml:space="preserve">   Industrial Sales</v>
      </c>
      <c r="T145" s="8"/>
      <c r="U145" s="8"/>
      <c r="V145" s="8"/>
      <c r="W145" s="8"/>
      <c r="X145" s="8"/>
      <c r="Y145" s="171">
        <f t="shared" ref="Y145:AI145" si="228">+Y138/Y$140</f>
        <v>6.465833945628216E-2</v>
      </c>
      <c r="Z145" s="183">
        <f t="shared" si="228"/>
        <v>4.27927927927928E-2</v>
      </c>
      <c r="AA145" s="183">
        <f t="shared" si="228"/>
        <v>2.2017045454545452E-2</v>
      </c>
      <c r="AB145" s="171">
        <f t="shared" si="228"/>
        <v>9.9071207430340563E-3</v>
      </c>
      <c r="AC145" s="171">
        <f t="shared" si="228"/>
        <v>9.6481271282633368E-3</v>
      </c>
      <c r="AD145" s="171">
        <f t="shared" si="228"/>
        <v>7.7059869590989927E-3</v>
      </c>
      <c r="AE145" s="171">
        <f t="shared" si="228"/>
        <v>2.6533018867924529E-2</v>
      </c>
      <c r="AF145" s="171">
        <f t="shared" si="228"/>
        <v>2.9274004683840747E-2</v>
      </c>
      <c r="AG145" s="171">
        <f t="shared" si="228"/>
        <v>2.8852056476365868E-2</v>
      </c>
      <c r="AH145" s="171">
        <f t="shared" si="228"/>
        <v>2.3939064200217627E-2</v>
      </c>
      <c r="AI145" s="171">
        <f t="shared" si="228"/>
        <v>1.6793893129770993E-2</v>
      </c>
      <c r="AJ145" s="191">
        <f t="shared" si="227"/>
        <v>2.3260826237489554E-2</v>
      </c>
    </row>
    <row r="146" spans="1:39" ht="15" x14ac:dyDescent="0.2">
      <c r="A146" s="72" t="s">
        <v>136</v>
      </c>
      <c r="B146" s="72"/>
      <c r="C146" s="72"/>
      <c r="D146" s="72"/>
      <c r="E146" s="72"/>
      <c r="F146" s="72"/>
      <c r="G146" s="72"/>
      <c r="H146" s="28" t="s">
        <v>111</v>
      </c>
      <c r="I146" s="28" t="s">
        <v>111</v>
      </c>
      <c r="J146" s="28" t="s">
        <v>111</v>
      </c>
      <c r="K146" s="28" t="s">
        <v>111</v>
      </c>
      <c r="L146" s="28" t="s">
        <v>137</v>
      </c>
      <c r="M146" s="28" t="s">
        <v>164</v>
      </c>
      <c r="N146" s="28" t="s">
        <v>164</v>
      </c>
      <c r="O146" s="28" t="s">
        <v>164</v>
      </c>
      <c r="P146" s="28" t="s">
        <v>164</v>
      </c>
      <c r="Q146" s="28" t="s">
        <v>164</v>
      </c>
      <c r="R146" s="116"/>
      <c r="S146" s="165" t="str">
        <f>+S139</f>
        <v xml:space="preserve">   Transportation for Industrial </v>
      </c>
      <c r="T146" s="8"/>
      <c r="U146" s="8"/>
      <c r="V146" s="8"/>
      <c r="W146" s="8"/>
      <c r="X146" s="8"/>
      <c r="Y146" s="171">
        <f t="shared" ref="Y146:AI146" si="229">+Y139/Y$140</f>
        <v>0.25202057310800879</v>
      </c>
      <c r="Z146" s="183">
        <f t="shared" si="229"/>
        <v>0.23423423423423426</v>
      </c>
      <c r="AA146" s="183">
        <f t="shared" si="229"/>
        <v>0.25213068181818182</v>
      </c>
      <c r="AB146" s="171">
        <f t="shared" si="229"/>
        <v>0.33312693498452012</v>
      </c>
      <c r="AC146" s="171">
        <f t="shared" si="229"/>
        <v>0.35300794551645859</v>
      </c>
      <c r="AD146" s="171">
        <f t="shared" si="229"/>
        <v>0.34380557202133966</v>
      </c>
      <c r="AE146" s="171">
        <f t="shared" si="229"/>
        <v>0.34964622641509435</v>
      </c>
      <c r="AF146" s="171">
        <f t="shared" si="229"/>
        <v>0.30737704918032782</v>
      </c>
      <c r="AG146" s="171">
        <f t="shared" si="229"/>
        <v>0.3806015960712093</v>
      </c>
      <c r="AH146" s="171">
        <f t="shared" si="229"/>
        <v>0.35092491838955386</v>
      </c>
      <c r="AI146" s="171">
        <f t="shared" si="229"/>
        <v>0.31297709923664124</v>
      </c>
      <c r="AJ146" s="191">
        <f t="shared" si="227"/>
        <v>0.34647107241550501</v>
      </c>
    </row>
    <row r="147" spans="1:39" ht="15" x14ac:dyDescent="0.2">
      <c r="A147" s="72" t="s">
        <v>135</v>
      </c>
      <c r="B147" s="72"/>
      <c r="C147" s="72"/>
      <c r="D147" s="72"/>
      <c r="E147" s="72"/>
      <c r="F147" s="72"/>
      <c r="G147" s="72"/>
      <c r="H147" s="28"/>
      <c r="I147" s="28"/>
      <c r="J147" s="28" t="s">
        <v>133</v>
      </c>
      <c r="K147" s="28" t="s">
        <v>134</v>
      </c>
      <c r="L147" s="28" t="s">
        <v>134</v>
      </c>
      <c r="M147" s="28" t="s">
        <v>134</v>
      </c>
      <c r="N147" s="28" t="s">
        <v>134</v>
      </c>
      <c r="O147" s="28" t="s">
        <v>134</v>
      </c>
      <c r="P147" s="28" t="s">
        <v>134</v>
      </c>
      <c r="Q147" s="28" t="s">
        <v>133</v>
      </c>
      <c r="R147" s="116"/>
      <c r="S147" s="165" t="str">
        <f>+S140</f>
        <v xml:space="preserve">      Total Deliveries</v>
      </c>
      <c r="T147" s="8"/>
      <c r="U147" s="8"/>
      <c r="V147" s="8"/>
      <c r="W147" s="8"/>
      <c r="X147" s="8"/>
      <c r="Y147" s="171">
        <f t="shared" ref="Y147:AI147" si="230">+Y140/Y$140</f>
        <v>1</v>
      </c>
      <c r="Z147" s="183">
        <f t="shared" si="230"/>
        <v>1</v>
      </c>
      <c r="AA147" s="183">
        <f t="shared" si="230"/>
        <v>1</v>
      </c>
      <c r="AB147" s="171">
        <f t="shared" si="230"/>
        <v>1</v>
      </c>
      <c r="AC147" s="171">
        <f t="shared" si="230"/>
        <v>1</v>
      </c>
      <c r="AD147" s="171">
        <f t="shared" si="230"/>
        <v>1</v>
      </c>
      <c r="AE147" s="171">
        <f t="shared" si="230"/>
        <v>1</v>
      </c>
      <c r="AF147" s="171">
        <f t="shared" si="230"/>
        <v>1</v>
      </c>
      <c r="AG147" s="171">
        <f t="shared" si="230"/>
        <v>1</v>
      </c>
      <c r="AH147" s="171">
        <f t="shared" si="230"/>
        <v>1</v>
      </c>
      <c r="AI147" s="171">
        <f t="shared" si="230"/>
        <v>1</v>
      </c>
      <c r="AJ147" s="191">
        <f t="shared" si="227"/>
        <v>1</v>
      </c>
    </row>
    <row r="148" spans="1:39" ht="15" x14ac:dyDescent="0.2">
      <c r="A148" s="72" t="s">
        <v>131</v>
      </c>
      <c r="B148" s="72"/>
      <c r="C148" s="72"/>
      <c r="D148" s="72"/>
      <c r="E148" s="72"/>
      <c r="F148" s="72"/>
      <c r="G148" s="72"/>
      <c r="H148" s="28"/>
      <c r="I148" s="28"/>
      <c r="J148" s="28"/>
      <c r="K148" s="28" t="s">
        <v>132</v>
      </c>
      <c r="L148" s="28" t="s">
        <v>132</v>
      </c>
      <c r="M148" s="28" t="s">
        <v>132</v>
      </c>
      <c r="N148" s="28" t="s">
        <v>132</v>
      </c>
      <c r="O148" s="28" t="s">
        <v>132</v>
      </c>
      <c r="P148" s="28" t="s">
        <v>132</v>
      </c>
      <c r="Q148" s="28" t="s">
        <v>132</v>
      </c>
      <c r="R148" s="116"/>
      <c r="S148" s="16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169"/>
    </row>
    <row r="149" spans="1:39" ht="15.75" x14ac:dyDescent="0.25">
      <c r="A149" s="72" t="s">
        <v>141</v>
      </c>
      <c r="B149" s="116">
        <f t="shared" ref="B149:O149" si="231">(+B100+B94)/B94</f>
        <v>2.4071877180739705</v>
      </c>
      <c r="C149" s="116">
        <f t="shared" si="231"/>
        <v>2.7609429209638323</v>
      </c>
      <c r="D149" s="116">
        <f t="shared" si="231"/>
        <v>2.6723304033309501</v>
      </c>
      <c r="E149" s="116">
        <f t="shared" si="231"/>
        <v>3.2310735719048678</v>
      </c>
      <c r="F149" s="116">
        <f t="shared" si="231"/>
        <v>2.6026019824628288</v>
      </c>
      <c r="G149" s="116">
        <f t="shared" si="231"/>
        <v>3.5967161607459586</v>
      </c>
      <c r="H149" s="116">
        <f t="shared" si="231"/>
        <v>3.8401131064589742</v>
      </c>
      <c r="I149" s="116">
        <f t="shared" si="231"/>
        <v>3.6061946902654869</v>
      </c>
      <c r="J149" s="116">
        <f t="shared" si="231"/>
        <v>3.5084033613445378</v>
      </c>
      <c r="K149" s="116">
        <f t="shared" si="231"/>
        <v>3.5476190476190474</v>
      </c>
      <c r="L149" s="116">
        <f t="shared" si="231"/>
        <v>3.3157894736842106</v>
      </c>
      <c r="M149" s="116">
        <f t="shared" si="231"/>
        <v>3.6374045801526718</v>
      </c>
      <c r="N149" s="116">
        <f t="shared" si="231"/>
        <v>3.8416988416988418</v>
      </c>
      <c r="O149" s="116">
        <f t="shared" si="231"/>
        <v>4.0829875518672196</v>
      </c>
      <c r="P149" s="116">
        <f>(+P100+P94)/P94</f>
        <v>4.7982062780269059</v>
      </c>
      <c r="Q149" s="116">
        <f>(+Q100+Q94)/Q94</f>
        <v>10.014084507042254</v>
      </c>
      <c r="R149" s="116">
        <f>AVERAGE(L149:P149)</f>
        <v>3.9352173450859702</v>
      </c>
      <c r="S149" s="172" t="s">
        <v>188</v>
      </c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169"/>
    </row>
    <row r="150" spans="1:39" ht="15" x14ac:dyDescent="0.2">
      <c r="A150" s="72" t="s">
        <v>140</v>
      </c>
      <c r="B150" s="45">
        <f t="shared" ref="B150:O150" si="232">(B42+B50)/(B63+B50+B42)</f>
        <v>0.53602915660400952</v>
      </c>
      <c r="C150" s="45">
        <f t="shared" si="232"/>
        <v>0.55595167626325137</v>
      </c>
      <c r="D150" s="45">
        <f t="shared" si="232"/>
        <v>0.5347292666939405</v>
      </c>
      <c r="E150" s="45">
        <f t="shared" si="232"/>
        <v>0.50596006473266297</v>
      </c>
      <c r="F150" s="45">
        <f t="shared" si="232"/>
        <v>0.52526462951867381</v>
      </c>
      <c r="G150" s="45">
        <f t="shared" si="232"/>
        <v>0.53895730351551807</v>
      </c>
      <c r="H150" s="45">
        <f t="shared" si="232"/>
        <v>0.5570968630604709</v>
      </c>
      <c r="I150" s="45">
        <f t="shared" si="232"/>
        <v>0.49740774626410489</v>
      </c>
      <c r="J150" s="45">
        <f t="shared" si="232"/>
        <v>0.50160912814511405</v>
      </c>
      <c r="K150" s="45">
        <f t="shared" si="232"/>
        <v>0.54371811602799858</v>
      </c>
      <c r="L150" s="45">
        <f t="shared" si="232"/>
        <v>0.53387850467289721</v>
      </c>
      <c r="M150" s="45">
        <f t="shared" si="232"/>
        <v>0.55661082061679645</v>
      </c>
      <c r="N150" s="45">
        <f t="shared" si="232"/>
        <v>0.48095456631482331</v>
      </c>
      <c r="O150" s="45">
        <f t="shared" si="232"/>
        <v>0.54075820074641523</v>
      </c>
      <c r="P150" s="45">
        <f>(P42+P50)/(P63+P50+P42)</f>
        <v>0.48932210899424017</v>
      </c>
      <c r="Q150" s="45">
        <f>(Q42+Q50)/(Q63+Q50+Q42)</f>
        <v>0.46816151353245161</v>
      </c>
      <c r="R150" s="43">
        <f t="shared" ref="R150:R153" si="233">AVERAGE(L150:P150)</f>
        <v>0.52030484026903445</v>
      </c>
      <c r="S150" s="165" t="str">
        <f>+S144</f>
        <v xml:space="preserve">   Residential &amp; Commercial Sales</v>
      </c>
      <c r="T150" s="73"/>
      <c r="U150" s="73"/>
      <c r="V150" s="73"/>
      <c r="W150" s="73"/>
      <c r="X150" s="73"/>
      <c r="Y150" s="174">
        <v>7.32</v>
      </c>
      <c r="Z150" s="180">
        <v>9.01</v>
      </c>
      <c r="AA150" s="180">
        <v>9.67</v>
      </c>
      <c r="AB150" s="205">
        <v>8.26</v>
      </c>
      <c r="AC150" s="205">
        <v>8.25</v>
      </c>
      <c r="AD150" s="205">
        <v>7.99</v>
      </c>
      <c r="AE150" s="205">
        <v>7.88</v>
      </c>
      <c r="AF150" s="205">
        <v>7.88</v>
      </c>
      <c r="AG150" s="205">
        <v>8.19</v>
      </c>
      <c r="AH150" s="205">
        <v>7.92</v>
      </c>
      <c r="AI150" s="205">
        <v>8.57</v>
      </c>
      <c r="AJ150" s="206">
        <f t="shared" ref="AJ150:AJ152" si="234">AVERAGE(AD150:AH150)</f>
        <v>7.9719999999999995</v>
      </c>
    </row>
    <row r="151" spans="1:39" ht="15" x14ac:dyDescent="0.2">
      <c r="A151" s="72" t="s">
        <v>139</v>
      </c>
      <c r="B151" s="45">
        <f>+('Historical CF - Exhibit 1B'!B27+'Historical CF - Exhibit 1B'!B42)/(B42+B50)</f>
        <v>0.13213604995070655</v>
      </c>
      <c r="C151" s="45">
        <f>+('Historical CF - Exhibit 1B'!C27+'Historical CF - Exhibit 1B'!C42)/(C42+C50)</f>
        <v>0.1153750756200847</v>
      </c>
      <c r="D151" s="45">
        <f>+('Historical CF - Exhibit 1B'!D27+'Historical CF - Exhibit 1B'!D42)/(D42+D50)</f>
        <v>5.1936860068259386E-2</v>
      </c>
      <c r="E151" s="45">
        <f>+('Historical CF - Exhibit 1B'!E27+'Historical CF - Exhibit 1B'!E42)/(E42+E50)</f>
        <v>0.31064405724953331</v>
      </c>
      <c r="F151" s="45">
        <f>+('Historical CF - Exhibit 1B'!F27+'Historical CF - Exhibit 1B'!F42)/(F42+F50)</f>
        <v>0.14961099736765135</v>
      </c>
      <c r="G151" s="45">
        <f>+('Historical CF - Exhibit 1B'!G27+'Historical CF - Exhibit 1B'!G42)/(G42+G50)</f>
        <v>0.14139326453014667</v>
      </c>
      <c r="H151" s="45">
        <f>+('Historical CF - Exhibit 1B'!H27+'Historical CF - Exhibit 1B'!H42)/(H42+H50)</f>
        <v>9.0347152847152848E-2</v>
      </c>
      <c r="I151" s="45">
        <f>+('Historical CF - Exhibit 1B'!I27+'Historical CF - Exhibit 1B'!I42)/(I42+I50)</f>
        <v>0.4619865113427345</v>
      </c>
      <c r="J151" s="45">
        <f>+('Historical CF - Exhibit 1B'!J27+'Historical CF - Exhibit 1B'!J42)/(J42+J50)</f>
        <v>0.25517643627879849</v>
      </c>
      <c r="K151" s="45">
        <f>+('Historical CF - Exhibit 1B'!K27+'Historical CF - Exhibit 1B'!K42)/(K42+K50)</f>
        <v>5.4985817150338206E-2</v>
      </c>
      <c r="L151" s="45">
        <f>+('Historical CF - Exhibit 1B'!L27+'Historical CF - Exhibit 1B'!L42)/(L42+L50)</f>
        <v>0.19934354485776806</v>
      </c>
      <c r="M151" s="45">
        <f>+('Historical CF - Exhibit 1B'!M27+'Historical CF - Exhibit 1B'!M42)/(M42+M50)</f>
        <v>7.7645705521472388E-2</v>
      </c>
      <c r="N151" s="45">
        <f>+('Historical CF - Exhibit 1B'!N27+'Historical CF - Exhibit 1B'!N42)/(N42+N50)</f>
        <v>0.27814885496183206</v>
      </c>
      <c r="O151" s="45">
        <f>+('Historical CF - Exhibit 1B'!O27+'Historical CF - Exhibit 1B'!O42)/(O42+O50)</f>
        <v>0.14475118053033054</v>
      </c>
      <c r="P151" s="45">
        <f>+('Historical CF - Exhibit 1B'!P27+'Historical CF - Exhibit 1B'!P42)/(P42+P50)</f>
        <v>0.21332850416515756</v>
      </c>
      <c r="Q151" s="45">
        <f>+('Historical CF - Exhibit 1B'!R27+('Historical CF - Exhibit 1B'!R42*2))/(Q42+Q50)</f>
        <v>6.414684417795476E-7</v>
      </c>
      <c r="R151" s="43">
        <f t="shared" si="233"/>
        <v>0.18264355800731211</v>
      </c>
      <c r="S151" s="165" t="str">
        <f>+S145</f>
        <v xml:space="preserve">   Industrial Sales</v>
      </c>
      <c r="T151" s="73"/>
      <c r="U151" s="73"/>
      <c r="V151" s="73"/>
      <c r="W151" s="73"/>
      <c r="X151" s="73"/>
      <c r="Y151" s="174">
        <v>5.56</v>
      </c>
      <c r="Z151" s="180">
        <v>7.06</v>
      </c>
      <c r="AA151" s="180">
        <v>7.64</v>
      </c>
      <c r="AB151" s="207">
        <v>6.18</v>
      </c>
      <c r="AC151" s="207">
        <v>6.99</v>
      </c>
      <c r="AD151" s="207">
        <v>6.5</v>
      </c>
      <c r="AE151" s="207">
        <v>5.89</v>
      </c>
      <c r="AF151" s="207">
        <v>6.03</v>
      </c>
      <c r="AG151" s="207">
        <v>5.79</v>
      </c>
      <c r="AH151" s="207">
        <v>6.47</v>
      </c>
      <c r="AI151" s="207">
        <v>6.63</v>
      </c>
      <c r="AJ151" s="231">
        <f t="shared" si="234"/>
        <v>6.1360000000000001</v>
      </c>
    </row>
    <row r="152" spans="1:39" ht="15" x14ac:dyDescent="0.2">
      <c r="A152" s="72" t="s">
        <v>142</v>
      </c>
      <c r="B152" s="43">
        <f t="shared" ref="B152:O152" si="235">+B103/B63</f>
        <v>7.2967011272129484E-2</v>
      </c>
      <c r="C152" s="43">
        <f t="shared" si="235"/>
        <v>9.1507104553579549E-2</v>
      </c>
      <c r="D152" s="43">
        <f t="shared" si="235"/>
        <v>8.4571910475960105E-2</v>
      </c>
      <c r="E152" s="43">
        <f t="shared" si="235"/>
        <v>0.10323807945753725</v>
      </c>
      <c r="F152" s="43">
        <f t="shared" si="235"/>
        <v>6.5311802207048311E-2</v>
      </c>
      <c r="G152" s="43">
        <f t="shared" si="235"/>
        <v>9.9885386273656937E-2</v>
      </c>
      <c r="H152" s="43">
        <f t="shared" si="235"/>
        <v>0.11301307464674579</v>
      </c>
      <c r="I152" s="43">
        <f t="shared" si="235"/>
        <v>0.11225728155339806</v>
      </c>
      <c r="J152" s="43">
        <f t="shared" si="235"/>
        <v>0.10977399471675961</v>
      </c>
      <c r="K152" s="43">
        <f t="shared" si="235"/>
        <v>0.10452418096723869</v>
      </c>
      <c r="L152" s="43">
        <f t="shared" si="235"/>
        <v>0.10426065162907268</v>
      </c>
      <c r="M152" s="43">
        <f t="shared" si="235"/>
        <v>0.10565583634175692</v>
      </c>
      <c r="N152" s="43">
        <f t="shared" si="235"/>
        <v>0.10190097259062776</v>
      </c>
      <c r="O152" s="43">
        <f t="shared" si="235"/>
        <v>0.10072711719418306</v>
      </c>
      <c r="P152" s="43">
        <f t="shared" ref="P152" si="236">+P103/P63</f>
        <v>9.1618948464341488E-2</v>
      </c>
      <c r="Q152" s="43">
        <f>+Q103*(4/3)/Q63</f>
        <v>8.6956521739130432E-2</v>
      </c>
      <c r="R152" s="43">
        <f t="shared" si="233"/>
        <v>0.10083270524399639</v>
      </c>
      <c r="S152" s="165" t="str">
        <f>+S146</f>
        <v xml:space="preserve">   Transportation for Industrial </v>
      </c>
      <c r="T152" s="73"/>
      <c r="U152" s="73"/>
      <c r="V152" s="73"/>
      <c r="W152" s="73"/>
      <c r="X152" s="73"/>
      <c r="Y152" s="174">
        <v>0.19</v>
      </c>
      <c r="Z152" s="180">
        <v>0.19</v>
      </c>
      <c r="AA152" s="180">
        <v>0.19</v>
      </c>
      <c r="AB152" s="207">
        <v>0.18</v>
      </c>
      <c r="AC152" s="207">
        <v>0.16</v>
      </c>
      <c r="AD152" s="207">
        <v>0.19</v>
      </c>
      <c r="AE152" s="207">
        <v>0.16</v>
      </c>
      <c r="AF152" s="207">
        <v>0.21</v>
      </c>
      <c r="AG152" s="207">
        <v>0.19</v>
      </c>
      <c r="AH152" s="207">
        <v>0.22</v>
      </c>
      <c r="AI152" s="207">
        <v>0.21</v>
      </c>
      <c r="AJ152" s="231">
        <f t="shared" si="234"/>
        <v>0.19400000000000001</v>
      </c>
    </row>
    <row r="153" spans="1:39" ht="15" x14ac:dyDescent="0.2">
      <c r="A153" s="72" t="s">
        <v>138</v>
      </c>
      <c r="B153" s="72"/>
      <c r="C153" s="45">
        <f t="shared" ref="C153:P153" si="237">+C94/((C42+B42+C50+B50)*0.5)</f>
        <v>6.6281304142384631E-2</v>
      </c>
      <c r="D153" s="45">
        <f t="shared" si="237"/>
        <v>6.9706830841395478E-2</v>
      </c>
      <c r="E153" s="45">
        <f t="shared" si="237"/>
        <v>6.6849925705794955E-2</v>
      </c>
      <c r="F153" s="45">
        <f t="shared" si="237"/>
        <v>6.3271521181968937E-2</v>
      </c>
      <c r="G153" s="45">
        <f t="shared" si="237"/>
        <v>5.5578087593296716E-2</v>
      </c>
      <c r="H153" s="45">
        <f t="shared" si="237"/>
        <v>5.2453812125943272E-2</v>
      </c>
      <c r="I153" s="45">
        <f t="shared" si="237"/>
        <v>6.2207541976328107E-2</v>
      </c>
      <c r="J153" s="45">
        <f t="shared" si="237"/>
        <v>7.1140337767149897E-2</v>
      </c>
      <c r="K153" s="45">
        <f t="shared" si="237"/>
        <v>6.2905641537693457E-2</v>
      </c>
      <c r="L153" s="45">
        <f t="shared" si="237"/>
        <v>6.2274664044575552E-2</v>
      </c>
      <c r="M153" s="45">
        <f t="shared" si="237"/>
        <v>5.3545881872062127E-2</v>
      </c>
      <c r="N153" s="45">
        <f t="shared" si="237"/>
        <v>5.5059523809523808E-2</v>
      </c>
      <c r="O153" s="45">
        <f t="shared" si="237"/>
        <v>4.9700969272014846E-2</v>
      </c>
      <c r="P153" s="45">
        <f t="shared" si="237"/>
        <v>4.0442509974610082E-2</v>
      </c>
      <c r="Q153" s="45">
        <f>(4/3)*Q94/((Q42+P42+Q50+P50)*0.5)</f>
        <v>1.7422778442379067E-2</v>
      </c>
      <c r="R153" s="43">
        <f t="shared" si="233"/>
        <v>5.2204709794557283E-2</v>
      </c>
      <c r="S153" s="165"/>
      <c r="T153" s="73"/>
      <c r="U153" s="73"/>
      <c r="V153" s="73"/>
      <c r="W153" s="73"/>
      <c r="X153" s="73"/>
      <c r="Y153" s="73"/>
      <c r="Z153" s="180"/>
      <c r="AA153" s="180"/>
      <c r="AB153" s="205"/>
      <c r="AC153" s="205"/>
      <c r="AD153" s="205"/>
      <c r="AE153" s="205"/>
      <c r="AF153" s="205"/>
      <c r="AG153" s="205"/>
      <c r="AH153" s="205"/>
      <c r="AI153" s="205"/>
      <c r="AJ153" s="206"/>
    </row>
    <row r="154" spans="1:39" ht="15" x14ac:dyDescent="0.2">
      <c r="A154" s="72"/>
      <c r="B154" s="72"/>
      <c r="C154" s="72"/>
      <c r="D154" s="72"/>
      <c r="E154" s="72"/>
      <c r="F154" s="72"/>
      <c r="G154" s="72"/>
      <c r="H154" s="72"/>
      <c r="I154" s="72"/>
      <c r="J154" s="72"/>
      <c r="K154" s="143"/>
      <c r="L154" s="143"/>
      <c r="M154" s="143"/>
      <c r="N154" s="143"/>
      <c r="O154" s="143"/>
      <c r="P154" s="143"/>
      <c r="Q154" s="143"/>
      <c r="R154" s="116"/>
      <c r="S154" s="165" t="s">
        <v>186</v>
      </c>
      <c r="T154" s="73"/>
      <c r="U154" s="73"/>
      <c r="V154" s="73"/>
      <c r="W154" s="73"/>
      <c r="X154" s="73"/>
      <c r="Y154" s="174">
        <v>5.2</v>
      </c>
      <c r="Z154" s="180">
        <v>6.46</v>
      </c>
      <c r="AA154" s="193">
        <v>6.54</v>
      </c>
      <c r="AB154" s="204">
        <v>5.93</v>
      </c>
      <c r="AC154" s="204">
        <v>6.14</v>
      </c>
      <c r="AD154" s="204">
        <v>5.01</v>
      </c>
      <c r="AE154" s="204">
        <v>5.34</v>
      </c>
      <c r="AF154" s="204">
        <v>5.05</v>
      </c>
      <c r="AG154" s="204">
        <v>4.7699999999999996</v>
      </c>
      <c r="AH154" s="204">
        <v>5</v>
      </c>
      <c r="AI154" s="204"/>
      <c r="AJ154" s="206">
        <f>AVERAGE(AD154:AH154)</f>
        <v>5.0339999999999998</v>
      </c>
      <c r="AK154" s="203">
        <f>+Q85/18500</f>
        <v>5.8486486486486484</v>
      </c>
      <c r="AL154" t="s">
        <v>227</v>
      </c>
    </row>
    <row r="155" spans="1:39" ht="15.75" x14ac:dyDescent="0.25">
      <c r="A155" s="117" t="s">
        <v>117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116"/>
      <c r="S155" s="16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189"/>
      <c r="AF155" s="189"/>
      <c r="AG155" s="8"/>
      <c r="AH155" s="8"/>
      <c r="AI155" s="8"/>
      <c r="AJ155" s="167"/>
    </row>
    <row r="156" spans="1:39" ht="15" x14ac:dyDescent="0.2">
      <c r="A156" s="72" t="s">
        <v>61</v>
      </c>
      <c r="B156" s="43">
        <f t="shared" ref="B156:N156" si="238">(B43+B50)/(B$43+B$50+B$63)</f>
        <v>0.46069456359939637</v>
      </c>
      <c r="C156" s="43">
        <f t="shared" si="238"/>
        <v>0.46007001243211409</v>
      </c>
      <c r="D156" s="43">
        <f t="shared" si="238"/>
        <v>0.48229144279600428</v>
      </c>
      <c r="E156" s="43">
        <f t="shared" si="238"/>
        <v>0.47592964924819814</v>
      </c>
      <c r="F156" s="43">
        <f t="shared" si="238"/>
        <v>0.48413215138311549</v>
      </c>
      <c r="G156" s="43">
        <f t="shared" si="238"/>
        <v>0.46430861386020739</v>
      </c>
      <c r="H156" s="43">
        <f t="shared" si="238"/>
        <v>0.50364401256147417</v>
      </c>
      <c r="I156" s="43">
        <f t="shared" si="238"/>
        <v>0.49494330370824396</v>
      </c>
      <c r="J156" s="43">
        <f t="shared" si="238"/>
        <v>0.47881291112130947</v>
      </c>
      <c r="K156" s="43">
        <f t="shared" si="238"/>
        <v>0.49032600053008218</v>
      </c>
      <c r="L156" s="43">
        <f t="shared" si="238"/>
        <v>0.48114434330299088</v>
      </c>
      <c r="M156" s="43">
        <f t="shared" si="238"/>
        <v>0.47103755569700828</v>
      </c>
      <c r="N156" s="43">
        <f t="shared" si="238"/>
        <v>0.44856167723061918</v>
      </c>
      <c r="O156" s="43">
        <f>(O43+O50)/(O$43+O$50+O$63)</f>
        <v>0.47701599373671849</v>
      </c>
      <c r="P156" s="43">
        <f t="shared" ref="P156:Q156" si="239">(P43+P50)/(P$43+P$50+P$63)</f>
        <v>0.48118473172488296</v>
      </c>
      <c r="Q156" s="43">
        <f t="shared" si="239"/>
        <v>0.46816151353245161</v>
      </c>
      <c r="R156" s="43">
        <f t="shared" ref="R156:R158" si="240">AVERAGE(L156:P156)</f>
        <v>0.47178886033844397</v>
      </c>
      <c r="S156" s="165" t="s">
        <v>159</v>
      </c>
      <c r="T156" s="73"/>
      <c r="U156" s="73"/>
      <c r="V156" s="73"/>
      <c r="W156" s="73"/>
      <c r="X156" s="73"/>
      <c r="Y156" s="175">
        <v>0.03</v>
      </c>
      <c r="Z156" s="184">
        <v>-0.03</v>
      </c>
      <c r="AA156" s="184">
        <v>-0.02</v>
      </c>
      <c r="AB156" s="175">
        <v>0.02</v>
      </c>
      <c r="AC156" s="175">
        <v>0.08</v>
      </c>
      <c r="AD156" s="175">
        <v>0.05</v>
      </c>
      <c r="AE156" s="175">
        <v>0.01</v>
      </c>
      <c r="AF156" s="175">
        <v>7.0000000000000007E-2</v>
      </c>
      <c r="AG156" s="175">
        <v>-0.16</v>
      </c>
      <c r="AH156" s="175">
        <v>0.08</v>
      </c>
      <c r="AI156" s="175">
        <v>-0.16</v>
      </c>
      <c r="AJ156" s="227">
        <f>AVERAGE(AD156:AH156)</f>
        <v>0.01</v>
      </c>
      <c r="AK156" s="203">
        <f>+AH154-AG154</f>
        <v>0.23000000000000043</v>
      </c>
    </row>
    <row r="157" spans="1:39" ht="15" x14ac:dyDescent="0.2">
      <c r="A157" s="72" t="s">
        <v>118</v>
      </c>
      <c r="B157" s="51">
        <f t="shared" ref="B157:O157" si="241">B63/(B$43+B$50+B$63)</f>
        <v>0.53930543640060358</v>
      </c>
      <c r="C157" s="51">
        <f t="shared" si="241"/>
        <v>0.53992998756788591</v>
      </c>
      <c r="D157" s="51">
        <f t="shared" si="241"/>
        <v>0.51770855720399578</v>
      </c>
      <c r="E157" s="51">
        <f t="shared" si="241"/>
        <v>0.52407035075180186</v>
      </c>
      <c r="F157" s="51">
        <f t="shared" si="241"/>
        <v>0.51586784861688451</v>
      </c>
      <c r="G157" s="51">
        <f t="shared" si="241"/>
        <v>0.53569138613979261</v>
      </c>
      <c r="H157" s="51">
        <f t="shared" si="241"/>
        <v>0.49635598743852583</v>
      </c>
      <c r="I157" s="51">
        <f t="shared" si="241"/>
        <v>0.50505669629175609</v>
      </c>
      <c r="J157" s="51">
        <f t="shared" si="241"/>
        <v>0.52118708887869059</v>
      </c>
      <c r="K157" s="51">
        <f t="shared" si="241"/>
        <v>0.50967399946991787</v>
      </c>
      <c r="L157" s="51">
        <f t="shared" si="241"/>
        <v>0.51885565669700906</v>
      </c>
      <c r="M157" s="51">
        <f t="shared" si="241"/>
        <v>0.52896244430299177</v>
      </c>
      <c r="N157" s="51">
        <f t="shared" si="241"/>
        <v>0.55143832276938076</v>
      </c>
      <c r="O157" s="51">
        <f t="shared" si="241"/>
        <v>0.52298400626328156</v>
      </c>
      <c r="P157" s="51">
        <f t="shared" ref="P157:Q157" si="242">P63/(P$43+P$50+P$63)</f>
        <v>0.51881526827511704</v>
      </c>
      <c r="Q157" s="51">
        <f t="shared" si="242"/>
        <v>0.53183848646754839</v>
      </c>
      <c r="R157" s="51">
        <f t="shared" si="240"/>
        <v>0.52821113966155608</v>
      </c>
      <c r="S157" s="165" t="s">
        <v>185</v>
      </c>
      <c r="T157" s="73"/>
      <c r="U157" s="73"/>
      <c r="V157" s="73"/>
      <c r="W157" s="73"/>
      <c r="X157" s="73"/>
      <c r="Y157" s="166">
        <v>114.9</v>
      </c>
      <c r="Z157" s="166">
        <v>113.3</v>
      </c>
      <c r="AA157" s="166">
        <v>113.6</v>
      </c>
      <c r="AB157" s="166">
        <v>110.8</v>
      </c>
      <c r="AC157" s="166">
        <v>109.9</v>
      </c>
      <c r="AD157" s="166">
        <v>109</v>
      </c>
      <c r="AE157" s="166">
        <v>106.9</v>
      </c>
      <c r="AF157" s="166">
        <v>111.1</v>
      </c>
      <c r="AG157" s="166">
        <v>108.4</v>
      </c>
      <c r="AH157" s="166">
        <v>108</v>
      </c>
      <c r="AI157" s="166">
        <v>50</v>
      </c>
      <c r="AJ157" s="167">
        <f>AVERAGE(AD157:AH157)</f>
        <v>108.67999999999999</v>
      </c>
      <c r="AK157" s="143">
        <f>+AK156/AG154</f>
        <v>4.8218029350104913E-2</v>
      </c>
      <c r="AL157" s="212">
        <v>107.24</v>
      </c>
      <c r="AM157" s="212">
        <v>106.02</v>
      </c>
    </row>
    <row r="158" spans="1:39" ht="15" x14ac:dyDescent="0.2">
      <c r="A158" s="72"/>
      <c r="B158" s="43">
        <f>SUM(B156:B157)</f>
        <v>1</v>
      </c>
      <c r="C158" s="43">
        <f>SUM(C156:C157)</f>
        <v>1</v>
      </c>
      <c r="D158" s="43">
        <f t="shared" ref="D158:K158" si="243">SUM(D156:D157)</f>
        <v>1</v>
      </c>
      <c r="E158" s="43">
        <f t="shared" si="243"/>
        <v>1</v>
      </c>
      <c r="F158" s="43">
        <f t="shared" si="243"/>
        <v>1</v>
      </c>
      <c r="G158" s="43">
        <f t="shared" si="243"/>
        <v>1</v>
      </c>
      <c r="H158" s="43">
        <f t="shared" si="243"/>
        <v>1</v>
      </c>
      <c r="I158" s="43">
        <f t="shared" si="243"/>
        <v>1</v>
      </c>
      <c r="J158" s="43">
        <f t="shared" si="243"/>
        <v>1</v>
      </c>
      <c r="K158" s="43">
        <f t="shared" si="243"/>
        <v>1</v>
      </c>
      <c r="L158" s="43">
        <f t="shared" ref="L158:O158" si="244">SUM(L156:L157)</f>
        <v>1</v>
      </c>
      <c r="M158" s="43">
        <f t="shared" si="244"/>
        <v>1</v>
      </c>
      <c r="N158" s="43">
        <f t="shared" si="244"/>
        <v>1</v>
      </c>
      <c r="O158" s="43">
        <f t="shared" si="244"/>
        <v>1</v>
      </c>
      <c r="P158" s="43">
        <f t="shared" ref="P158:Q158" si="245">SUM(P156:P157)</f>
        <v>1</v>
      </c>
      <c r="Q158" s="43">
        <f t="shared" si="245"/>
        <v>1</v>
      </c>
      <c r="R158" s="43">
        <f t="shared" si="240"/>
        <v>1</v>
      </c>
      <c r="S158" s="165"/>
      <c r="T158" s="73"/>
      <c r="U158" s="73"/>
      <c r="V158" s="73"/>
      <c r="W158" s="73"/>
      <c r="X158" s="73"/>
      <c r="Y158" s="73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169"/>
    </row>
    <row r="159" spans="1:39" ht="15" x14ac:dyDescent="0.2">
      <c r="A159" s="72"/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181"/>
      <c r="S159" s="165" t="s">
        <v>158</v>
      </c>
      <c r="T159" s="73"/>
      <c r="U159" s="73"/>
      <c r="V159" s="73"/>
      <c r="W159" s="73"/>
      <c r="X159" s="73"/>
      <c r="Y159" s="166">
        <v>794.1</v>
      </c>
      <c r="Z159" s="166">
        <v>824.4</v>
      </c>
      <c r="AA159" s="166">
        <v>850.5</v>
      </c>
      <c r="AB159" s="166">
        <v>873.6</v>
      </c>
      <c r="AC159" s="166">
        <v>888.6</v>
      </c>
      <c r="AD159" s="166">
        <v>898.6</v>
      </c>
      <c r="AE159" s="166">
        <v>909.6</v>
      </c>
      <c r="AF159" s="166">
        <v>919</v>
      </c>
      <c r="AG159" s="166">
        <v>931</v>
      </c>
      <c r="AH159" s="166">
        <v>945.971</v>
      </c>
      <c r="AI159" s="166">
        <v>952.51599999999996</v>
      </c>
      <c r="AJ159" s="167"/>
    </row>
    <row r="160" spans="1:39" ht="15.75" x14ac:dyDescent="0.25">
      <c r="A160" s="117" t="s">
        <v>119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181"/>
      <c r="S160" s="173" t="s">
        <v>160</v>
      </c>
      <c r="T160" s="148"/>
      <c r="U160" s="148"/>
      <c r="V160" s="148"/>
      <c r="W160" s="148"/>
      <c r="X160" s="148"/>
      <c r="Y160" s="151">
        <v>3.8193364450000003E-2</v>
      </c>
      <c r="Z160" s="182">
        <f t="shared" ref="Z160:AA160" si="246">(+Z159-Y159)/Y159</f>
        <v>3.8156403475632733E-2</v>
      </c>
      <c r="AA160" s="182">
        <f t="shared" si="246"/>
        <v>3.1659388646288235E-2</v>
      </c>
      <c r="AB160" s="182">
        <f t="shared" ref="AB160:AI160" si="247">(+AB159-AA159)/AA159</f>
        <v>2.7160493827160521E-2</v>
      </c>
      <c r="AC160" s="182">
        <f t="shared" si="247"/>
        <v>1.7170329670329668E-2</v>
      </c>
      <c r="AD160" s="182">
        <f t="shared" si="247"/>
        <v>1.1253657438667566E-2</v>
      </c>
      <c r="AE160" s="182">
        <f t="shared" si="247"/>
        <v>1.2241264188738037E-2</v>
      </c>
      <c r="AF160" s="182">
        <f t="shared" si="247"/>
        <v>1.0334212840809121E-2</v>
      </c>
      <c r="AG160" s="182">
        <f t="shared" si="247"/>
        <v>1.3057671381936888E-2</v>
      </c>
      <c r="AH160" s="182">
        <f t="shared" si="247"/>
        <v>1.6080558539205158E-2</v>
      </c>
      <c r="AI160" s="182">
        <f t="shared" si="247"/>
        <v>6.918816750196316E-3</v>
      </c>
      <c r="AJ160" s="192">
        <f>AVERAGE(AD160:AH160)</f>
        <v>1.2593472877871353E-2</v>
      </c>
    </row>
    <row r="161" spans="1:39" ht="15" x14ac:dyDescent="0.2">
      <c r="A161" s="72" t="s">
        <v>120</v>
      </c>
      <c r="B161" s="43">
        <f>(B$42)/(B$42+B$43+B$58+B$63+B$50)</f>
        <v>0.13968817653203405</v>
      </c>
      <c r="C161" s="43">
        <f>(C$42)/(C$42+C$43+C$58+C$63+C$50)</f>
        <v>0.17758166065759026</v>
      </c>
      <c r="D161" s="43">
        <f t="shared" ref="D161:Q161" si="248">(D$42)/(D$42+D$43+D$58+D$63+D$50)</f>
        <v>0.10128830819629249</v>
      </c>
      <c r="E161" s="43">
        <f t="shared" si="248"/>
        <v>5.7302259975945645E-2</v>
      </c>
      <c r="F161" s="43">
        <f t="shared" si="248"/>
        <v>7.9734525510439233E-2</v>
      </c>
      <c r="G161" s="43">
        <f t="shared" si="248"/>
        <v>0.13935017733481075</v>
      </c>
      <c r="H161" s="43">
        <f t="shared" si="248"/>
        <v>0.10769055244975137</v>
      </c>
      <c r="I161" s="43">
        <f t="shared" si="248"/>
        <v>1.9825773505557226E-2</v>
      </c>
      <c r="J161" s="43">
        <f t="shared" si="248"/>
        <v>0.10033030553261767</v>
      </c>
      <c r="K161" s="43">
        <f t="shared" si="248"/>
        <v>0.1047573852177008</v>
      </c>
      <c r="L161" s="43">
        <f t="shared" si="248"/>
        <v>0.10163551401869159</v>
      </c>
      <c r="M161" s="43">
        <f t="shared" si="248"/>
        <v>0.16356085613885635</v>
      </c>
      <c r="N161" s="43">
        <f t="shared" si="248"/>
        <v>0.14816737618108192</v>
      </c>
      <c r="O161" s="43">
        <f t="shared" si="248"/>
        <v>0.15666855310318809</v>
      </c>
      <c r="P161" s="43">
        <f t="shared" si="248"/>
        <v>1.5684536996012407E-2</v>
      </c>
      <c r="Q161" s="43">
        <f t="shared" si="248"/>
        <v>0</v>
      </c>
      <c r="R161" s="43">
        <f t="shared" ref="R161:R169" si="249">AVERAGE(L161:P161)</f>
        <v>0.11714336728756605</v>
      </c>
      <c r="S161" s="241"/>
      <c r="T161" s="163"/>
      <c r="U161" s="163"/>
      <c r="V161" s="163"/>
      <c r="W161" s="163"/>
      <c r="X161" s="163"/>
      <c r="Y161" s="163"/>
      <c r="Z161" s="163"/>
      <c r="AA161" s="163"/>
      <c r="AB161" s="163"/>
      <c r="AC161" s="163"/>
      <c r="AD161" s="163"/>
      <c r="AE161" s="163"/>
      <c r="AF161" s="163"/>
      <c r="AG161" s="163"/>
      <c r="AH161" s="163"/>
      <c r="AI161" s="163"/>
      <c r="AJ161" s="164"/>
    </row>
    <row r="162" spans="1:39" ht="15.75" x14ac:dyDescent="0.25">
      <c r="A162" s="72" t="s">
        <v>61</v>
      </c>
      <c r="B162" s="43">
        <f t="shared" ref="B162:O162" si="250">(B$50+B43)/(B$42+B$43+B$58+B$63+B$50)</f>
        <v>0.39634098007197555</v>
      </c>
      <c r="C162" s="43">
        <f t="shared" si="250"/>
        <v>0.37837001560566108</v>
      </c>
      <c r="D162" s="43">
        <f t="shared" si="250"/>
        <v>0.43344095849764802</v>
      </c>
      <c r="E162" s="43">
        <f t="shared" si="250"/>
        <v>0.44865780475671729</v>
      </c>
      <c r="F162" s="43">
        <f t="shared" si="250"/>
        <v>0.44553010400823462</v>
      </c>
      <c r="G162" s="43">
        <f t="shared" si="250"/>
        <v>0.39960712618070732</v>
      </c>
      <c r="H162" s="43">
        <f t="shared" si="250"/>
        <v>0.44940631061071951</v>
      </c>
      <c r="I162" s="43">
        <f t="shared" si="250"/>
        <v>0.48513066987083209</v>
      </c>
      <c r="J162" s="43">
        <f t="shared" si="250"/>
        <v>0.4307734654555464</v>
      </c>
      <c r="K162" s="43">
        <f t="shared" si="250"/>
        <v>0.43896073081029779</v>
      </c>
      <c r="L162" s="43">
        <f t="shared" si="250"/>
        <v>0.43224299065420563</v>
      </c>
      <c r="M162" s="43">
        <f t="shared" si="250"/>
        <v>0.39399424981365139</v>
      </c>
      <c r="N162" s="43">
        <f t="shared" si="250"/>
        <v>0.382099470459973</v>
      </c>
      <c r="O162" s="43">
        <f t="shared" si="250"/>
        <v>0.4022825881909074</v>
      </c>
      <c r="P162" s="43">
        <f t="shared" ref="P162:Q162" si="251">(P$50+P43)/(P$42+P$43+P$58+P$63+P$50)</f>
        <v>0.47363757199822776</v>
      </c>
      <c r="Q162" s="43">
        <f t="shared" si="251"/>
        <v>0.46816151353245161</v>
      </c>
      <c r="R162" s="43">
        <f t="shared" si="249"/>
        <v>0.41685137422339302</v>
      </c>
      <c r="S162" s="252" t="s">
        <v>193</v>
      </c>
      <c r="T162" s="253"/>
      <c r="U162" s="253"/>
      <c r="V162" s="253"/>
      <c r="W162" s="253"/>
      <c r="X162" s="253"/>
      <c r="Y162" s="253"/>
      <c r="Z162" s="253"/>
      <c r="AA162" s="253"/>
      <c r="AB162" s="253"/>
      <c r="AC162" s="253"/>
      <c r="AD162" s="253"/>
      <c r="AE162" s="253"/>
      <c r="AF162" s="253"/>
      <c r="AG162" s="253"/>
      <c r="AH162" s="253"/>
      <c r="AI162" s="253"/>
      <c r="AJ162" s="254"/>
    </row>
    <row r="163" spans="1:39" ht="15.75" x14ac:dyDescent="0.25">
      <c r="A163" s="72" t="s">
        <v>5</v>
      </c>
      <c r="B163" s="43">
        <f>B$63/(B$42+B$43+B$58+B$63+B$50)</f>
        <v>0.46397084339599043</v>
      </c>
      <c r="C163" s="43">
        <f>C$63/(C$42+C$43+C$58+C$63+C$50)</f>
        <v>0.44404832373674863</v>
      </c>
      <c r="D163" s="43">
        <f t="shared" ref="D163:Q163" si="252">D$63/(D$42+D$43+D$58+D$63+D$50)</f>
        <v>0.4652707333060595</v>
      </c>
      <c r="E163" s="43">
        <f t="shared" si="252"/>
        <v>0.49403993526733708</v>
      </c>
      <c r="F163" s="43">
        <f t="shared" si="252"/>
        <v>0.47473537048132614</v>
      </c>
      <c r="G163" s="43">
        <f t="shared" si="252"/>
        <v>0.46104269648448193</v>
      </c>
      <c r="H163" s="43">
        <f t="shared" si="252"/>
        <v>0.4429031369395291</v>
      </c>
      <c r="I163" s="43">
        <f t="shared" si="252"/>
        <v>0.49504355662361071</v>
      </c>
      <c r="J163" s="43">
        <f t="shared" si="252"/>
        <v>0.46889622901183597</v>
      </c>
      <c r="K163" s="43">
        <f t="shared" si="252"/>
        <v>0.45628188397200142</v>
      </c>
      <c r="L163" s="43">
        <f t="shared" si="252"/>
        <v>0.46612149532710279</v>
      </c>
      <c r="M163" s="43">
        <f t="shared" si="252"/>
        <v>0.44244489404749227</v>
      </c>
      <c r="N163" s="43">
        <f t="shared" si="252"/>
        <v>0.46973315335894505</v>
      </c>
      <c r="O163" s="43">
        <f t="shared" si="252"/>
        <v>0.44104885870590455</v>
      </c>
      <c r="P163" s="43">
        <f t="shared" si="252"/>
        <v>0.51067789100575989</v>
      </c>
      <c r="Q163" s="43">
        <f t="shared" si="252"/>
        <v>0.53183848646754839</v>
      </c>
      <c r="R163" s="228">
        <f t="shared" si="249"/>
        <v>0.46600525848904084</v>
      </c>
      <c r="S163" s="242" t="s">
        <v>192</v>
      </c>
      <c r="T163" s="163"/>
      <c r="U163" s="163"/>
      <c r="V163" s="163"/>
      <c r="W163" s="163"/>
      <c r="X163" s="163"/>
      <c r="Y163" s="163"/>
      <c r="Z163" s="163"/>
      <c r="AA163" s="163"/>
      <c r="AB163" s="243">
        <v>0.34</v>
      </c>
      <c r="AC163" s="243">
        <v>0.49</v>
      </c>
      <c r="AD163" s="243">
        <v>0.51</v>
      </c>
      <c r="AE163" s="243">
        <v>0.51</v>
      </c>
      <c r="AF163" s="243">
        <v>0.52</v>
      </c>
      <c r="AG163" s="243">
        <v>0.68</v>
      </c>
      <c r="AH163" s="243">
        <v>0.59</v>
      </c>
      <c r="AI163" s="243">
        <v>0.41099999999999998</v>
      </c>
      <c r="AJ163" s="244">
        <f t="shared" ref="AJ163:AJ167" si="253">AVERAGE(AD163:AH163)</f>
        <v>0.56200000000000006</v>
      </c>
    </row>
    <row r="164" spans="1:39" ht="15.75" x14ac:dyDescent="0.25">
      <c r="A164" s="72"/>
      <c r="B164" s="80">
        <f>SUM(B161:B163)</f>
        <v>1</v>
      </c>
      <c r="C164" s="80">
        <f>SUM(C161:C163)</f>
        <v>1</v>
      </c>
      <c r="D164" s="80">
        <f t="shared" ref="D164:K164" si="254">SUM(D161:D163)</f>
        <v>1</v>
      </c>
      <c r="E164" s="80">
        <f t="shared" si="254"/>
        <v>1</v>
      </c>
      <c r="F164" s="80">
        <f t="shared" si="254"/>
        <v>1</v>
      </c>
      <c r="G164" s="80">
        <f t="shared" si="254"/>
        <v>1</v>
      </c>
      <c r="H164" s="80">
        <f t="shared" si="254"/>
        <v>1</v>
      </c>
      <c r="I164" s="80">
        <f t="shared" si="254"/>
        <v>1</v>
      </c>
      <c r="J164" s="80">
        <f t="shared" si="254"/>
        <v>1</v>
      </c>
      <c r="K164" s="80">
        <f t="shared" si="254"/>
        <v>1</v>
      </c>
      <c r="L164" s="80">
        <f t="shared" ref="L164:O164" si="255">SUM(L161:L163)</f>
        <v>1</v>
      </c>
      <c r="M164" s="80">
        <f t="shared" si="255"/>
        <v>1</v>
      </c>
      <c r="N164" s="80">
        <f t="shared" si="255"/>
        <v>1</v>
      </c>
      <c r="O164" s="80">
        <f t="shared" si="255"/>
        <v>1</v>
      </c>
      <c r="P164" s="80">
        <f t="shared" ref="P164:Q164" si="256">SUM(P161:P163)</f>
        <v>1</v>
      </c>
      <c r="Q164" s="80">
        <f t="shared" si="256"/>
        <v>1</v>
      </c>
      <c r="R164" s="43">
        <f t="shared" si="249"/>
        <v>1</v>
      </c>
      <c r="S164" s="221" t="s">
        <v>169</v>
      </c>
      <c r="T164" s="148"/>
      <c r="U164" s="148"/>
      <c r="V164" s="148"/>
      <c r="W164" s="148"/>
      <c r="X164" s="148"/>
      <c r="Y164" s="148"/>
      <c r="Z164" s="148"/>
      <c r="AA164" s="148"/>
      <c r="AB164" s="151">
        <f t="shared" ref="AB164:AF164" si="257">1-AB163</f>
        <v>0.65999999999999992</v>
      </c>
      <c r="AC164" s="151">
        <f t="shared" si="257"/>
        <v>0.51</v>
      </c>
      <c r="AD164" s="151">
        <f t="shared" si="257"/>
        <v>0.49</v>
      </c>
      <c r="AE164" s="151">
        <f t="shared" si="257"/>
        <v>0.49</v>
      </c>
      <c r="AF164" s="151">
        <f t="shared" si="257"/>
        <v>0.48</v>
      </c>
      <c r="AG164" s="151">
        <f>1-AG163</f>
        <v>0.31999999999999995</v>
      </c>
      <c r="AH164" s="151">
        <f>1-AH163</f>
        <v>0.41000000000000003</v>
      </c>
      <c r="AI164" s="151">
        <v>0.58899999999999997</v>
      </c>
      <c r="AJ164" s="245">
        <f t="shared" si="253"/>
        <v>0.438</v>
      </c>
    </row>
    <row r="165" spans="1:39" ht="15" x14ac:dyDescent="0.2">
      <c r="A165" s="72" t="s">
        <v>168</v>
      </c>
      <c r="B165" s="72" t="s">
        <v>112</v>
      </c>
      <c r="C165" s="76"/>
      <c r="D165" s="72"/>
      <c r="E165" s="72"/>
      <c r="F165" s="72"/>
      <c r="G165" s="158"/>
      <c r="H165" s="150">
        <f>(+H81-G81)/G81</f>
        <v>0.25956008495236149</v>
      </c>
      <c r="I165" s="150">
        <f t="shared" ref="I165:Q165" si="258">(+I81-H81)/H81</f>
        <v>0.10602391363746394</v>
      </c>
      <c r="J165" s="150">
        <f t="shared" si="258"/>
        <v>-0.12408416306594026</v>
      </c>
      <c r="K165" s="150">
        <f t="shared" si="258"/>
        <v>7.2707774798927607E-2</v>
      </c>
      <c r="L165" s="150">
        <f t="shared" si="258"/>
        <v>-8.0375887233829851E-2</v>
      </c>
      <c r="M165" s="150">
        <f t="shared" si="258"/>
        <v>-1.8480269594521145E-2</v>
      </c>
      <c r="N165" s="150">
        <f t="shared" si="258"/>
        <v>7.2987041754347101E-2</v>
      </c>
      <c r="O165" s="150">
        <f t="shared" si="258"/>
        <v>-0.11003303055326177</v>
      </c>
      <c r="P165" s="150">
        <f t="shared" si="258"/>
        <v>0.14335421016005567</v>
      </c>
      <c r="Q165" s="150">
        <f t="shared" si="258"/>
        <v>-0.59799147900182592</v>
      </c>
      <c r="R165" s="43">
        <f t="shared" si="249"/>
        <v>1.4904129065580029E-3</v>
      </c>
      <c r="S165" s="72" t="s">
        <v>165</v>
      </c>
      <c r="T165" s="72"/>
      <c r="U165" s="72"/>
      <c r="V165" s="72"/>
      <c r="W165" s="72"/>
      <c r="X165" s="72"/>
      <c r="Y165" s="156">
        <f t="shared" ref="Y165:AF165" si="259">+Y150-Y154</f>
        <v>2.12</v>
      </c>
      <c r="Z165" s="156">
        <f t="shared" si="259"/>
        <v>2.5499999999999998</v>
      </c>
      <c r="AA165" s="156">
        <f t="shared" si="259"/>
        <v>3.13</v>
      </c>
      <c r="AB165" s="156">
        <f t="shared" si="259"/>
        <v>2.33</v>
      </c>
      <c r="AC165" s="156">
        <f t="shared" si="259"/>
        <v>2.1100000000000003</v>
      </c>
      <c r="AD165" s="156">
        <f t="shared" si="259"/>
        <v>2.9800000000000004</v>
      </c>
      <c r="AE165" s="156">
        <f t="shared" si="259"/>
        <v>2.54</v>
      </c>
      <c r="AF165" s="156">
        <f t="shared" si="259"/>
        <v>2.83</v>
      </c>
      <c r="AG165" s="156">
        <f>+AG150-AG154</f>
        <v>3.42</v>
      </c>
      <c r="AH165" s="156">
        <f>+AH150-AH154</f>
        <v>2.92</v>
      </c>
      <c r="AI165" s="156">
        <f>+AI150-AI154</f>
        <v>8.57</v>
      </c>
      <c r="AJ165" s="229">
        <f t="shared" si="253"/>
        <v>2.9380000000000002</v>
      </c>
    </row>
    <row r="166" spans="1:39" ht="15" x14ac:dyDescent="0.2">
      <c r="A166" s="72" t="s">
        <v>169</v>
      </c>
      <c r="B166" s="72"/>
      <c r="C166" s="72"/>
      <c r="D166" s="72"/>
      <c r="E166" s="72"/>
      <c r="F166" s="72"/>
      <c r="G166" s="150">
        <f>+G84/(G$84+G$85)</f>
        <v>0.60506632744419242</v>
      </c>
      <c r="H166" s="150">
        <f>+H84/(H$84+H$85)</f>
        <v>0.67231345801633779</v>
      </c>
      <c r="I166" s="150">
        <f t="shared" ref="I166:L166" si="260">+I84/(I$84+I$85)</f>
        <v>0.69335604770017034</v>
      </c>
      <c r="J166" s="150">
        <f t="shared" si="260"/>
        <v>0.64202561117578583</v>
      </c>
      <c r="K166" s="150">
        <f t="shared" si="260"/>
        <v>0.4128104220382684</v>
      </c>
      <c r="L166" s="150">
        <f t="shared" si="260"/>
        <v>0.4877114586658155</v>
      </c>
      <c r="M166" s="150">
        <f>+M84/(M$84+M$85)</f>
        <v>0.47028031070584264</v>
      </c>
      <c r="N166" s="150">
        <f>+N84/(N$84+N$85)</f>
        <v>0.49310825460740282</v>
      </c>
      <c r="O166" s="150">
        <f>+O84/(O$84+O$85)</f>
        <v>0.34802175135945995</v>
      </c>
      <c r="P166" s="150">
        <f>+P84/(P$84+P$85)</f>
        <v>0.4299108515216723</v>
      </c>
      <c r="Q166" s="150">
        <f>+Q84/(Q$84+Q$85)</f>
        <v>0.57501963864886096</v>
      </c>
      <c r="R166" s="43">
        <f t="shared" si="249"/>
        <v>0.44580652537203863</v>
      </c>
      <c r="S166" s="72" t="s">
        <v>166</v>
      </c>
      <c r="T166" s="72"/>
      <c r="U166" s="72"/>
      <c r="V166" s="72"/>
      <c r="W166" s="72"/>
      <c r="X166" s="72"/>
      <c r="Y166" s="156">
        <f t="shared" ref="Y166:AG166" si="261">+Y151-Y154</f>
        <v>0.35999999999999943</v>
      </c>
      <c r="Z166" s="156">
        <f t="shared" si="261"/>
        <v>0.59999999999999964</v>
      </c>
      <c r="AA166" s="156">
        <f t="shared" si="261"/>
        <v>1.0999999999999996</v>
      </c>
      <c r="AB166" s="156">
        <f t="shared" si="261"/>
        <v>0.25</v>
      </c>
      <c r="AC166" s="156">
        <f t="shared" si="261"/>
        <v>0.85000000000000053</v>
      </c>
      <c r="AD166" s="156">
        <f t="shared" si="261"/>
        <v>1.4900000000000002</v>
      </c>
      <c r="AE166" s="156">
        <f t="shared" si="261"/>
        <v>0.54999999999999982</v>
      </c>
      <c r="AF166" s="156">
        <f t="shared" si="261"/>
        <v>0.98000000000000043</v>
      </c>
      <c r="AG166" s="156">
        <f t="shared" si="261"/>
        <v>1.0200000000000005</v>
      </c>
      <c r="AH166" s="156">
        <f t="shared" ref="AH166:AI166" si="262">+AH151-AH154</f>
        <v>1.4699999999999998</v>
      </c>
      <c r="AI166" s="156">
        <f t="shared" si="262"/>
        <v>6.63</v>
      </c>
      <c r="AJ166" s="229">
        <f t="shared" si="253"/>
        <v>1.1020000000000001</v>
      </c>
    </row>
    <row r="167" spans="1:39" ht="15.75" x14ac:dyDescent="0.25">
      <c r="A167" s="197" t="s">
        <v>170</v>
      </c>
      <c r="B167" s="198"/>
      <c r="C167" s="198"/>
      <c r="D167" s="198"/>
      <c r="E167" s="198"/>
      <c r="F167" s="198"/>
      <c r="G167" s="199">
        <f>+G85/(G$84+G$85)</f>
        <v>0.39493367255580758</v>
      </c>
      <c r="H167" s="199">
        <f>+H85/(H$84+H$85)</f>
        <v>0.32768654198366226</v>
      </c>
      <c r="I167" s="199">
        <f t="shared" ref="I167:L167" si="263">+I85/(I$84+I$85)</f>
        <v>0.30664395229982966</v>
      </c>
      <c r="J167" s="199">
        <f t="shared" si="263"/>
        <v>0.35797438882421423</v>
      </c>
      <c r="K167" s="199">
        <f t="shared" si="263"/>
        <v>0.58718957796173155</v>
      </c>
      <c r="L167" s="199">
        <f t="shared" si="263"/>
        <v>0.51228854133418444</v>
      </c>
      <c r="M167" s="199">
        <f t="shared" ref="M167" si="264">+M85/(M$84+M$85)</f>
        <v>0.52971968929415736</v>
      </c>
      <c r="N167" s="199">
        <f t="shared" ref="N167" si="265">+N85/(N$84+N$85)</f>
        <v>0.50689174539259718</v>
      </c>
      <c r="O167" s="199">
        <f>+O85/(O$84+O$85)</f>
        <v>0.65197824864053999</v>
      </c>
      <c r="P167" s="199">
        <f>+P85/(P$84+P$85)</f>
        <v>0.5700891484783277</v>
      </c>
      <c r="Q167" s="199">
        <f>+Q85/(Q$84+Q$85)</f>
        <v>0.42498036135113904</v>
      </c>
      <c r="R167" s="43">
        <f t="shared" si="249"/>
        <v>0.55419347462796131</v>
      </c>
      <c r="S167" s="72" t="s">
        <v>172</v>
      </c>
      <c r="T167" s="72"/>
      <c r="U167" s="72"/>
      <c r="V167" s="72"/>
      <c r="W167" s="72"/>
      <c r="X167" s="72"/>
      <c r="Y167" s="157">
        <f t="shared" ref="Y167:AE167" si="266">+Y165-Y166</f>
        <v>1.7600000000000007</v>
      </c>
      <c r="Z167" s="157">
        <f t="shared" si="266"/>
        <v>1.9500000000000002</v>
      </c>
      <c r="AA167" s="157">
        <f t="shared" si="266"/>
        <v>2.0300000000000002</v>
      </c>
      <c r="AB167" s="157">
        <f t="shared" si="266"/>
        <v>2.08</v>
      </c>
      <c r="AC167" s="157">
        <f t="shared" si="266"/>
        <v>1.2599999999999998</v>
      </c>
      <c r="AD167" s="157">
        <f t="shared" si="266"/>
        <v>1.4900000000000002</v>
      </c>
      <c r="AE167" s="157">
        <f t="shared" si="266"/>
        <v>1.9900000000000002</v>
      </c>
      <c r="AF167" s="157">
        <f t="shared" ref="AF167" si="267">+AF165-AF166</f>
        <v>1.8499999999999996</v>
      </c>
      <c r="AG167" s="157">
        <f t="shared" ref="AG167:AH167" si="268">+AG165-AG166</f>
        <v>2.3999999999999995</v>
      </c>
      <c r="AH167" s="157">
        <f t="shared" si="268"/>
        <v>1.4500000000000002</v>
      </c>
      <c r="AI167" s="157">
        <f t="shared" ref="AI167" si="269">+AI165-AI166</f>
        <v>1.9400000000000004</v>
      </c>
      <c r="AJ167" s="229">
        <f t="shared" si="253"/>
        <v>1.8359999999999999</v>
      </c>
    </row>
    <row r="168" spans="1:39" ht="15" x14ac:dyDescent="0.2">
      <c r="A168" s="72" t="s">
        <v>143</v>
      </c>
      <c r="B168" s="72"/>
      <c r="C168" s="72"/>
      <c r="D168" s="72"/>
      <c r="E168" s="72"/>
      <c r="F168" s="72"/>
      <c r="G168" s="158">
        <f>+G131</f>
        <v>0.2984390069000894</v>
      </c>
      <c r="H168" s="158">
        <f>+H131</f>
        <v>0.25180484693214983</v>
      </c>
      <c r="I168" s="158">
        <f t="shared" ref="I168:L168" si="270">+I131</f>
        <v>0.22806687957918467</v>
      </c>
      <c r="J168" s="158">
        <f t="shared" si="270"/>
        <v>0.26305630026809651</v>
      </c>
      <c r="K168" s="158">
        <f t="shared" si="270"/>
        <v>0.26332100369889033</v>
      </c>
      <c r="L168" s="158">
        <f t="shared" si="270"/>
        <v>0.31883900423959127</v>
      </c>
      <c r="M168" s="158">
        <f t="shared" ref="M168" si="271">+M131</f>
        <v>0.34411341233802195</v>
      </c>
      <c r="N168" s="158">
        <f t="shared" ref="N168:O168" si="272">+N131</f>
        <v>0.33350536746490506</v>
      </c>
      <c r="O168" s="158">
        <f t="shared" si="272"/>
        <v>0.38146601716539086</v>
      </c>
      <c r="P168" s="158">
        <f t="shared" ref="P168:Q168" si="273">+P131</f>
        <v>0.34002840332724693</v>
      </c>
      <c r="Q168" s="158">
        <f t="shared" si="273"/>
        <v>0.35755740600555136</v>
      </c>
      <c r="R168" s="43">
        <f t="shared" si="249"/>
        <v>0.34359044090703128</v>
      </c>
      <c r="S168" s="72"/>
      <c r="T168" s="72"/>
      <c r="U168" s="72"/>
      <c r="V168" s="72"/>
      <c r="W168" s="72"/>
      <c r="X168" s="72"/>
    </row>
    <row r="169" spans="1:39" ht="15" x14ac:dyDescent="0.2">
      <c r="A169" s="72" t="s">
        <v>171</v>
      </c>
      <c r="B169" s="72"/>
      <c r="C169" s="72"/>
      <c r="D169" s="72"/>
      <c r="E169" s="72"/>
      <c r="F169" s="72"/>
      <c r="G169" s="150"/>
      <c r="H169" s="150">
        <f>(+H103-G103)/G103</f>
        <v>0.14347922825085027</v>
      </c>
      <c r="I169" s="150">
        <f t="shared" ref="I169:Q169" si="274">(+I103-H103)/H103</f>
        <v>2.8492008339124391E-2</v>
      </c>
      <c r="J169" s="150">
        <f t="shared" si="274"/>
        <v>1.0810810810810811E-2</v>
      </c>
      <c r="K169" s="150">
        <f t="shared" si="274"/>
        <v>7.4866310160427801E-2</v>
      </c>
      <c r="L169" s="150">
        <f t="shared" si="274"/>
        <v>3.482587064676617E-2</v>
      </c>
      <c r="M169" s="150">
        <f t="shared" si="274"/>
        <v>5.5288461538461536E-2</v>
      </c>
      <c r="N169" s="150">
        <f t="shared" si="274"/>
        <v>5.011389521640091E-2</v>
      </c>
      <c r="O169" s="150">
        <f t="shared" si="274"/>
        <v>2.1691973969631236E-2</v>
      </c>
      <c r="P169" s="150">
        <f t="shared" si="274"/>
        <v>0.12101910828025478</v>
      </c>
      <c r="Q169" s="150">
        <f t="shared" si="274"/>
        <v>-0.25</v>
      </c>
      <c r="R169" s="43">
        <f t="shared" si="249"/>
        <v>5.6587861930302928E-2</v>
      </c>
      <c r="S169" s="72" t="str">
        <f>+S157</f>
        <v>Temp Adjusted Usage / Cust (Dth)</v>
      </c>
      <c r="AB169" s="45">
        <f t="shared" ref="AB169:AH169" si="275">(+AB157-AA157)/AA157</f>
        <v>-2.464788732394364E-2</v>
      </c>
      <c r="AC169" s="45">
        <f t="shared" si="275"/>
        <v>-8.1227436823103922E-3</v>
      </c>
      <c r="AD169" s="45">
        <f t="shared" si="275"/>
        <v>-8.1892629663330805E-3</v>
      </c>
      <c r="AE169" s="45">
        <f t="shared" si="275"/>
        <v>-1.9266055045871509E-2</v>
      </c>
      <c r="AF169" s="45">
        <f t="shared" si="275"/>
        <v>3.9289055191767897E-2</v>
      </c>
      <c r="AG169" s="45">
        <f t="shared" si="275"/>
        <v>-2.4302430243024201E-2</v>
      </c>
      <c r="AH169" s="45">
        <f t="shared" si="275"/>
        <v>-3.6900369003690561E-3</v>
      </c>
      <c r="AI169" s="45"/>
      <c r="AJ169" s="157"/>
    </row>
    <row r="170" spans="1:39" ht="15" x14ac:dyDescent="0.2">
      <c r="A170" s="72"/>
      <c r="B170" s="72"/>
      <c r="C170" s="72"/>
      <c r="D170" s="72"/>
      <c r="E170" s="72"/>
      <c r="F170" s="72"/>
      <c r="G170" s="72"/>
      <c r="H170" s="72"/>
      <c r="I170" s="72"/>
      <c r="J170" s="72"/>
      <c r="K170" s="72"/>
      <c r="L170" s="72"/>
      <c r="M170" s="72"/>
      <c r="N170" s="72"/>
      <c r="O170" s="72"/>
      <c r="P170" s="72"/>
      <c r="Q170" s="72"/>
      <c r="R170" s="43"/>
      <c r="AL170" s="214"/>
      <c r="AM170" s="214"/>
    </row>
    <row r="171" spans="1:39" ht="15.75" x14ac:dyDescent="0.25">
      <c r="A171" s="72" t="s">
        <v>183</v>
      </c>
      <c r="B171" s="72"/>
      <c r="C171" s="72"/>
      <c r="D171" s="72"/>
      <c r="E171" s="72"/>
      <c r="F171" s="72"/>
      <c r="G171" s="72"/>
      <c r="H171" s="72"/>
      <c r="I171" s="72"/>
      <c r="J171" s="102">
        <f t="shared" ref="J171:P171" si="276">+J106-I106</f>
        <v>500</v>
      </c>
      <c r="K171" s="102">
        <f t="shared" si="276"/>
        <v>500</v>
      </c>
      <c r="L171" s="102">
        <f t="shared" si="276"/>
        <v>700</v>
      </c>
      <c r="M171" s="102">
        <f t="shared" si="276"/>
        <v>600</v>
      </c>
      <c r="N171" s="102">
        <f t="shared" si="276"/>
        <v>1500</v>
      </c>
      <c r="O171" s="102">
        <f t="shared" si="276"/>
        <v>2700</v>
      </c>
      <c r="P171" s="102">
        <f t="shared" si="276"/>
        <v>2500</v>
      </c>
      <c r="Q171" s="102"/>
      <c r="R171" s="200">
        <f>AVERAGE(L171:P171)</f>
        <v>1600</v>
      </c>
      <c r="AK171" s="213"/>
      <c r="AL171" s="213"/>
      <c r="AM171" s="213"/>
    </row>
    <row r="172" spans="1:39" ht="15.75" x14ac:dyDescent="0.25">
      <c r="A172" s="72" t="s">
        <v>184</v>
      </c>
      <c r="B172" s="72"/>
      <c r="C172" s="72"/>
      <c r="D172" s="72"/>
      <c r="E172" s="72"/>
      <c r="F172" s="72"/>
      <c r="G172" s="72"/>
      <c r="H172" s="72"/>
      <c r="I172" s="72"/>
      <c r="J172" s="45">
        <f t="shared" ref="J172:P172" si="277">+J171/I106</f>
        <v>1.8867924528301886E-2</v>
      </c>
      <c r="K172" s="45">
        <f t="shared" si="277"/>
        <v>1.8518518518518517E-2</v>
      </c>
      <c r="L172" s="45">
        <f t="shared" si="277"/>
        <v>2.5454545454545455E-2</v>
      </c>
      <c r="M172" s="45">
        <f t="shared" si="277"/>
        <v>2.1276595744680851E-2</v>
      </c>
      <c r="N172" s="45">
        <f t="shared" si="277"/>
        <v>5.2083333333333336E-2</v>
      </c>
      <c r="O172" s="45">
        <f t="shared" si="277"/>
        <v>8.9108910891089105E-2</v>
      </c>
      <c r="P172" s="45">
        <f t="shared" si="277"/>
        <v>7.575757575757576E-2</v>
      </c>
      <c r="Q172" s="45"/>
      <c r="R172" s="22">
        <f t="shared" ref="R172:R173" si="278">AVERAGE(L172:P172)</f>
        <v>5.2736192236244907E-2</v>
      </c>
    </row>
    <row r="173" spans="1:39" ht="15.75" x14ac:dyDescent="0.25">
      <c r="A173" s="72" t="s">
        <v>224</v>
      </c>
      <c r="B173" s="72"/>
      <c r="C173" s="72"/>
      <c r="D173" s="72"/>
      <c r="E173" s="72"/>
      <c r="F173" s="72"/>
      <c r="G173" s="72"/>
      <c r="H173" s="72"/>
      <c r="I173" s="72"/>
      <c r="J173" s="72"/>
      <c r="K173" s="45">
        <f t="shared" ref="K173:O173" si="279">+K106/K103</f>
        <v>0.6840796019900498</v>
      </c>
      <c r="L173" s="45">
        <f t="shared" si="279"/>
        <v>0.67788461538461542</v>
      </c>
      <c r="M173" s="45">
        <f t="shared" si="279"/>
        <v>0.6560364464692483</v>
      </c>
      <c r="N173" s="45">
        <f t="shared" si="279"/>
        <v>0.65726681127982645</v>
      </c>
      <c r="O173" s="45">
        <f t="shared" si="279"/>
        <v>0.70063694267515919</v>
      </c>
      <c r="P173" s="45">
        <f>+P106/P103</f>
        <v>0.67234848484848486</v>
      </c>
      <c r="Q173" s="72"/>
      <c r="R173" s="22">
        <f t="shared" si="278"/>
        <v>0.67283466013146687</v>
      </c>
      <c r="S173" s="208"/>
      <c r="AD173" s="203"/>
      <c r="AE173" s="203"/>
      <c r="AH173" s="225"/>
      <c r="AI173" s="225" t="str">
        <f t="shared" ref="AI173" si="280">+AI116</f>
        <v>1st Qrtr</v>
      </c>
      <c r="AJ173" s="226" t="str">
        <f t="shared" ref="AG173:AJ174" si="281">+AJ116</f>
        <v>2009 to 2013</v>
      </c>
    </row>
    <row r="174" spans="1:39" ht="15.75" x14ac:dyDescent="0.25">
      <c r="A174" s="72"/>
      <c r="B174" s="72"/>
      <c r="C174" s="72"/>
      <c r="D174" s="72"/>
      <c r="E174" s="72"/>
      <c r="F174" s="72"/>
      <c r="G174" s="72"/>
      <c r="H174" s="72"/>
      <c r="I174" s="72"/>
      <c r="J174" s="72"/>
      <c r="K174" s="72"/>
      <c r="L174" s="72"/>
      <c r="M174" s="72"/>
      <c r="N174" s="72"/>
      <c r="O174" s="72"/>
      <c r="P174" s="72"/>
      <c r="Q174" s="72"/>
      <c r="R174" s="43"/>
      <c r="S174" s="117" t="s">
        <v>216</v>
      </c>
      <c r="T174" s="72"/>
      <c r="U174" s="72"/>
      <c r="V174" s="72"/>
      <c r="W174" s="72"/>
      <c r="X174" s="72"/>
      <c r="Y174" s="72"/>
      <c r="Z174" s="72"/>
      <c r="AA174" s="72"/>
      <c r="AB174" s="223">
        <f t="shared" ref="AB174:AD174" si="282">+AB117</f>
        <v>2007</v>
      </c>
      <c r="AC174" s="223">
        <f t="shared" si="282"/>
        <v>2008</v>
      </c>
      <c r="AD174" s="223">
        <f t="shared" si="282"/>
        <v>2009</v>
      </c>
      <c r="AE174" s="223">
        <f>+AE117</f>
        <v>2010</v>
      </c>
      <c r="AF174" s="223">
        <f>+AF117</f>
        <v>2011</v>
      </c>
      <c r="AG174" s="223">
        <f t="shared" si="281"/>
        <v>2012</v>
      </c>
      <c r="AH174" s="223">
        <f t="shared" si="281"/>
        <v>2013</v>
      </c>
      <c r="AI174" s="223">
        <f t="shared" ref="AI174" si="283">+AI117</f>
        <v>2014</v>
      </c>
      <c r="AJ174" s="223" t="str">
        <f t="shared" si="281"/>
        <v>Average</v>
      </c>
    </row>
    <row r="175" spans="1:39" ht="15.75" x14ac:dyDescent="0.25">
      <c r="A175" s="117" t="s">
        <v>194</v>
      </c>
      <c r="B175" s="72"/>
      <c r="C175" s="72"/>
      <c r="D175" s="72"/>
      <c r="E175" s="72"/>
      <c r="F175" s="72"/>
      <c r="G175" s="72"/>
      <c r="H175" s="72"/>
      <c r="I175" s="72"/>
      <c r="J175" s="72"/>
      <c r="K175" s="72"/>
      <c r="L175" s="72"/>
      <c r="M175" s="72"/>
      <c r="N175" s="72"/>
      <c r="O175" s="139"/>
      <c r="P175" s="72"/>
      <c r="Q175" s="72"/>
      <c r="R175" s="43"/>
      <c r="S175" s="72" t="s">
        <v>199</v>
      </c>
      <c r="T175" s="222"/>
      <c r="U175" s="222"/>
      <c r="V175" s="222"/>
      <c r="W175" s="222"/>
      <c r="X175" s="222"/>
      <c r="Y175" s="222"/>
      <c r="Z175" s="222"/>
      <c r="AA175" s="222"/>
      <c r="AB175" s="222"/>
      <c r="AC175" s="222"/>
      <c r="AD175" s="222"/>
      <c r="AE175" s="222">
        <v>245.4</v>
      </c>
      <c r="AF175" s="222">
        <v>221.2</v>
      </c>
      <c r="AG175" s="222">
        <v>104.2</v>
      </c>
      <c r="AH175" s="222">
        <v>186.6</v>
      </c>
      <c r="AI175" s="222">
        <v>92.7</v>
      </c>
      <c r="AJ175" s="166">
        <f t="shared" ref="AJ175:AJ182" si="284">AVERAGE(AC175:AI175)</f>
        <v>170.02000000000004</v>
      </c>
      <c r="AK175" s="222">
        <f>+AH175-AE175</f>
        <v>-58.800000000000011</v>
      </c>
      <c r="AL175" s="158">
        <f t="shared" ref="AL175:AL180" si="285">RATE(3,,-AE175,AH175)</f>
        <v>-8.726292095709115E-2</v>
      </c>
    </row>
    <row r="176" spans="1:39" ht="15" x14ac:dyDescent="0.2">
      <c r="A176" s="72" t="s">
        <v>195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216">
        <f t="shared" ref="K176:M176" si="286">+K92/K50</f>
        <v>0.22756756756756757</v>
      </c>
      <c r="L176" s="216">
        <f t="shared" si="286"/>
        <v>0.23486486486486485</v>
      </c>
      <c r="M176" s="216">
        <f t="shared" si="286"/>
        <v>0.24076086956521739</v>
      </c>
      <c r="N176" s="216">
        <f>+N92/N50</f>
        <v>0.34032549728752259</v>
      </c>
      <c r="O176" s="216">
        <f>+O92/O50</f>
        <v>0.24161248374512354</v>
      </c>
      <c r="P176" s="216">
        <f>+P92/P50</f>
        <v>0.19064546304957905</v>
      </c>
      <c r="Q176" s="216">
        <f>(P92+Q92)/2/Q50</f>
        <v>0.16061739943872777</v>
      </c>
      <c r="R176" s="239">
        <f t="shared" ref="R176:R179" si="287">AVERAGE(L176:P176)</f>
        <v>0.24964183570246151</v>
      </c>
      <c r="S176" s="72" t="s">
        <v>200</v>
      </c>
      <c r="T176" s="222"/>
      <c r="U176" s="222"/>
      <c r="V176" s="222"/>
      <c r="W176" s="222"/>
      <c r="X176" s="222"/>
      <c r="Y176" s="222"/>
      <c r="Z176" s="222"/>
      <c r="AA176" s="222"/>
      <c r="AB176" s="222"/>
      <c r="AC176" s="222"/>
      <c r="AD176" s="222"/>
      <c r="AE176" s="222">
        <v>240</v>
      </c>
      <c r="AF176" s="222">
        <v>253.4</v>
      </c>
      <c r="AG176" s="222">
        <v>274</v>
      </c>
      <c r="AH176" s="222">
        <v>294.60000000000002</v>
      </c>
      <c r="AI176" s="222">
        <v>89.1</v>
      </c>
      <c r="AJ176" s="166">
        <f t="shared" si="284"/>
        <v>230.21999999999997</v>
      </c>
      <c r="AK176" s="222">
        <f t="shared" ref="AK176:AK187" si="288">+AH176-AE176</f>
        <v>54.600000000000023</v>
      </c>
      <c r="AL176" s="158">
        <f t="shared" si="285"/>
        <v>7.071486860764449E-2</v>
      </c>
    </row>
    <row r="177" spans="1:38" ht="15" x14ac:dyDescent="0.2">
      <c r="A177" s="72" t="s">
        <v>196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216">
        <f t="shared" ref="K177:N177" si="289">(+K50+K43)/(+K43+K50+K63)</f>
        <v>0.49032600053008218</v>
      </c>
      <c r="L177" s="216">
        <f t="shared" si="289"/>
        <v>0.48114434330299088</v>
      </c>
      <c r="M177" s="216">
        <f t="shared" si="289"/>
        <v>0.47103755569700828</v>
      </c>
      <c r="N177" s="216">
        <f t="shared" si="289"/>
        <v>0.44856167723061918</v>
      </c>
      <c r="O177" s="216">
        <f>(+O50+O43)/(+O43+O50+O63)</f>
        <v>0.47701599373671849</v>
      </c>
      <c r="P177" s="216">
        <f>(+P50+P43)/(+P43+P50+P63)</f>
        <v>0.48118473172488296</v>
      </c>
      <c r="Q177" s="216">
        <f>(+Q50+Q43)/(+Q43+Q50+Q63)</f>
        <v>0.46816151353245161</v>
      </c>
      <c r="R177" s="239">
        <f t="shared" si="287"/>
        <v>0.47178886033844397</v>
      </c>
      <c r="S177" s="72" t="s">
        <v>201</v>
      </c>
      <c r="T177" s="222"/>
      <c r="U177" s="222"/>
      <c r="V177" s="222"/>
      <c r="W177" s="222"/>
      <c r="X177" s="222"/>
      <c r="Y177" s="222"/>
      <c r="Z177" s="222"/>
      <c r="AA177" s="222"/>
      <c r="AB177" s="222"/>
      <c r="AC177" s="222"/>
      <c r="AD177" s="222"/>
      <c r="AE177" s="222">
        <v>78.099999999999994</v>
      </c>
      <c r="AF177" s="222">
        <v>78.400000000000006</v>
      </c>
      <c r="AG177" s="222">
        <v>79.599999999999994</v>
      </c>
      <c r="AH177" s="222">
        <v>80.099999999999994</v>
      </c>
      <c r="AI177" s="222">
        <v>22.1</v>
      </c>
      <c r="AJ177" s="166">
        <f t="shared" si="284"/>
        <v>67.66</v>
      </c>
      <c r="AK177" s="222">
        <f t="shared" si="288"/>
        <v>2</v>
      </c>
      <c r="AL177" s="158">
        <f t="shared" si="285"/>
        <v>8.4642197244879924E-3</v>
      </c>
    </row>
    <row r="178" spans="1:38" ht="15" x14ac:dyDescent="0.2">
      <c r="A178" s="72" t="s">
        <v>197</v>
      </c>
      <c r="B178" s="72"/>
      <c r="C178" s="72"/>
      <c r="D178" s="72"/>
      <c r="E178" s="72"/>
      <c r="F178" s="72"/>
      <c r="G178" s="72"/>
      <c r="H178" s="72"/>
      <c r="I178" s="72"/>
      <c r="J178" s="72"/>
      <c r="K178" s="217">
        <f t="shared" ref="K178:N178" si="290">(+K50+K43)/(K92+K88)</f>
        <v>2.9435163086714398</v>
      </c>
      <c r="L178" s="217">
        <f t="shared" si="290"/>
        <v>2.8309104820198927</v>
      </c>
      <c r="M178" s="217">
        <f t="shared" si="290"/>
        <v>2.796674225245654</v>
      </c>
      <c r="N178" s="217">
        <f t="shared" si="290"/>
        <v>2.6551226551226552</v>
      </c>
      <c r="O178" s="217">
        <f>(+O50+O43)/(O92+O88)</f>
        <v>3.0442541042112778</v>
      </c>
      <c r="P178" s="217">
        <f>(+P50+P43)/(P92+P88)</f>
        <v>3.5257255936675462</v>
      </c>
      <c r="Q178" s="217">
        <f>(+Q50+Q43)/(Q92+Q88)</f>
        <v>6.4397590361445785</v>
      </c>
      <c r="R178" s="240">
        <f t="shared" si="287"/>
        <v>2.9705374120534054</v>
      </c>
      <c r="S178" s="72" t="s">
        <v>202</v>
      </c>
      <c r="T178" s="222"/>
      <c r="U178" s="222"/>
      <c r="V178" s="222"/>
      <c r="W178" s="222"/>
      <c r="X178" s="222"/>
      <c r="Y178" s="222"/>
      <c r="Z178" s="222"/>
      <c r="AA178" s="222"/>
      <c r="AB178" s="222"/>
      <c r="AC178" s="222"/>
      <c r="AD178" s="222"/>
      <c r="AE178" s="222">
        <v>23.6</v>
      </c>
      <c r="AF178" s="222">
        <v>25</v>
      </c>
      <c r="AG178" s="222">
        <v>20.5</v>
      </c>
      <c r="AH178" s="222">
        <v>18.8</v>
      </c>
      <c r="AI178" s="222">
        <v>4.9000000000000004</v>
      </c>
      <c r="AJ178" s="166">
        <f t="shared" si="284"/>
        <v>18.559999999999999</v>
      </c>
      <c r="AK178" s="222">
        <f t="shared" si="288"/>
        <v>-4.8000000000000007</v>
      </c>
      <c r="AL178" s="158">
        <f t="shared" si="285"/>
        <v>-7.2995272889513255E-2</v>
      </c>
    </row>
    <row r="179" spans="1:38" ht="15" x14ac:dyDescent="0.2">
      <c r="A179" s="72" t="s">
        <v>198</v>
      </c>
      <c r="B179" s="72"/>
      <c r="C179" s="72"/>
      <c r="D179" s="72"/>
      <c r="E179" s="72"/>
      <c r="F179" s="72"/>
      <c r="G179" s="72"/>
      <c r="H179" s="72"/>
      <c r="I179" s="72"/>
      <c r="J179" s="72"/>
      <c r="K179" s="72"/>
      <c r="L179" s="72"/>
      <c r="M179" s="72"/>
      <c r="N179" s="72"/>
      <c r="O179" s="217">
        <f>(O92-O106)/-'Historical CF - Exhibit 1B'!O30</f>
        <v>0.36952498457742133</v>
      </c>
      <c r="P179" s="217">
        <f>(P92-P106)/-'Historical CF - Exhibit 1B'!P30</f>
        <v>0.39951865222623345</v>
      </c>
      <c r="Q179" s="217">
        <f>(Q92-Q106)/-'Historical CF - Exhibit 1B'!R30</f>
        <v>-1077217.8061295764</v>
      </c>
      <c r="R179" s="240">
        <f t="shared" si="287"/>
        <v>0.38452181840182742</v>
      </c>
      <c r="S179" s="72" t="s">
        <v>203</v>
      </c>
      <c r="T179" s="222"/>
      <c r="U179" s="222"/>
      <c r="V179" s="222"/>
      <c r="W179" s="222"/>
      <c r="X179" s="222"/>
      <c r="Y179" s="222"/>
      <c r="Z179" s="222"/>
      <c r="AA179" s="222"/>
      <c r="AB179" s="222"/>
      <c r="AC179" s="222"/>
      <c r="AD179" s="222"/>
      <c r="AE179" s="222">
        <v>37.200000000000003</v>
      </c>
      <c r="AF179" s="222">
        <v>38.9</v>
      </c>
      <c r="AG179" s="222">
        <v>32</v>
      </c>
      <c r="AH179" s="222">
        <v>44.3</v>
      </c>
      <c r="AI179" s="222">
        <v>17.3</v>
      </c>
      <c r="AJ179" s="166">
        <f t="shared" si="284"/>
        <v>33.94</v>
      </c>
      <c r="AK179" s="222">
        <f t="shared" si="288"/>
        <v>7.0999999999999943</v>
      </c>
      <c r="AL179" s="158">
        <f t="shared" si="285"/>
        <v>5.9953781973041777E-2</v>
      </c>
    </row>
    <row r="180" spans="1:38" ht="15" x14ac:dyDescent="0.2">
      <c r="A180" s="72"/>
      <c r="B180" s="72"/>
      <c r="C180" s="72"/>
      <c r="D180" s="72"/>
      <c r="E180" s="72"/>
      <c r="F180" s="72"/>
      <c r="G180" s="72"/>
      <c r="H180" s="72"/>
      <c r="I180" s="72"/>
      <c r="J180" s="72"/>
      <c r="K180" s="72"/>
      <c r="L180" s="72"/>
      <c r="M180" s="72"/>
      <c r="N180" s="72"/>
      <c r="O180" s="72"/>
      <c r="P180" s="72"/>
      <c r="Q180" s="72"/>
      <c r="R180" s="43"/>
      <c r="S180" s="72" t="s">
        <v>204</v>
      </c>
      <c r="T180" s="222"/>
      <c r="U180" s="222"/>
      <c r="V180" s="222"/>
      <c r="W180" s="222"/>
      <c r="X180" s="222"/>
      <c r="Y180" s="222"/>
      <c r="Z180" s="222"/>
      <c r="AA180" s="222"/>
      <c r="AB180" s="222"/>
      <c r="AC180" s="222"/>
      <c r="AD180" s="222"/>
      <c r="AE180" s="222">
        <v>-0.8</v>
      </c>
      <c r="AF180" s="222">
        <v>3</v>
      </c>
      <c r="AG180" s="222">
        <v>1.9</v>
      </c>
      <c r="AH180" s="222">
        <v>-0.8</v>
      </c>
      <c r="AI180" s="222">
        <v>33</v>
      </c>
      <c r="AJ180" s="166">
        <f t="shared" si="284"/>
        <v>7.26</v>
      </c>
      <c r="AK180" s="222">
        <f t="shared" si="288"/>
        <v>0</v>
      </c>
      <c r="AL180" s="158">
        <f t="shared" si="285"/>
        <v>3.9405865189632455E-14</v>
      </c>
    </row>
    <row r="181" spans="1:38" ht="15" x14ac:dyDescent="0.2">
      <c r="A181" s="72" t="s">
        <v>213</v>
      </c>
      <c r="B181" s="72"/>
      <c r="C181" s="72"/>
      <c r="D181" s="72"/>
      <c r="E181" s="72"/>
      <c r="F181" s="72"/>
      <c r="G181" s="72"/>
      <c r="H181" s="72"/>
      <c r="I181" s="72"/>
      <c r="J181" s="72"/>
      <c r="K181" s="72"/>
      <c r="L181" s="72"/>
      <c r="M181" s="72"/>
      <c r="N181" s="72"/>
      <c r="O181" s="72"/>
      <c r="P181" s="72"/>
      <c r="Q181" s="72"/>
      <c r="R181" s="43"/>
      <c r="S181" s="72" t="s">
        <v>205</v>
      </c>
      <c r="T181" s="222"/>
      <c r="U181" s="222"/>
      <c r="V181" s="222"/>
      <c r="W181" s="222"/>
      <c r="X181" s="222"/>
      <c r="Y181" s="222"/>
      <c r="Z181" s="222"/>
      <c r="AA181" s="222"/>
      <c r="AB181" s="222"/>
      <c r="AC181" s="222"/>
      <c r="AD181" s="222"/>
      <c r="AE181" s="222">
        <v>-36.799999999999997</v>
      </c>
      <c r="AF181" s="222">
        <v>20.6</v>
      </c>
      <c r="AG181" s="222">
        <v>16.100000000000001</v>
      </c>
      <c r="AH181" s="222">
        <v>22</v>
      </c>
      <c r="AI181" s="222">
        <v>-5.6</v>
      </c>
      <c r="AJ181" s="166">
        <f t="shared" si="284"/>
        <v>3.2600000000000007</v>
      </c>
      <c r="AK181" s="222">
        <f t="shared" si="288"/>
        <v>58.8</v>
      </c>
      <c r="AL181" s="158"/>
    </row>
    <row r="182" spans="1:38" ht="15" x14ac:dyDescent="0.2">
      <c r="A182" s="72" t="s">
        <v>214</v>
      </c>
      <c r="B182" s="72"/>
      <c r="C182" s="72"/>
      <c r="D182" s="72"/>
      <c r="E182" s="72"/>
      <c r="F182" s="72"/>
      <c r="G182" s="72"/>
      <c r="H182" s="72"/>
      <c r="I182" s="72"/>
      <c r="J182" s="72"/>
      <c r="K182" s="72"/>
      <c r="L182" s="72"/>
      <c r="M182" s="72"/>
      <c r="N182" s="72"/>
      <c r="O182" s="72"/>
      <c r="P182" s="72"/>
      <c r="Q182" s="72"/>
      <c r="R182" s="43"/>
      <c r="S182" s="72" t="s">
        <v>66</v>
      </c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>
        <v>5.5</v>
      </c>
      <c r="AF182" s="149">
        <v>5.2</v>
      </c>
      <c r="AG182" s="149">
        <v>5</v>
      </c>
      <c r="AH182" s="149">
        <v>5</v>
      </c>
      <c r="AI182" s="149">
        <v>1.1000000000000001</v>
      </c>
      <c r="AJ182" s="149">
        <f t="shared" si="284"/>
        <v>4.3600000000000003</v>
      </c>
      <c r="AK182" s="149">
        <f t="shared" si="288"/>
        <v>-0.5</v>
      </c>
      <c r="AL182" s="236">
        <f t="shared" ref="AL182:AL187" si="291">RATE(3,,-AE182,AH182)</f>
        <v>-3.1270693846860653E-2</v>
      </c>
    </row>
    <row r="183" spans="1:38" ht="15" x14ac:dyDescent="0.2">
      <c r="A183" s="72"/>
      <c r="B183" s="72"/>
      <c r="C183" s="72"/>
      <c r="D183" s="72"/>
      <c r="E183" s="72"/>
      <c r="F183" s="72"/>
      <c r="G183" s="72"/>
      <c r="H183" s="72"/>
      <c r="I183" s="72"/>
      <c r="J183" s="72"/>
      <c r="K183" s="72"/>
      <c r="L183" s="72"/>
      <c r="M183" s="72"/>
      <c r="N183" s="72"/>
      <c r="O183" s="72"/>
      <c r="P183" s="72"/>
      <c r="Q183" s="72"/>
      <c r="R183" s="43"/>
      <c r="S183" s="72" t="s">
        <v>206</v>
      </c>
      <c r="T183" s="222">
        <f t="shared" ref="T183" si="292">SUM(T175:T182)</f>
        <v>0</v>
      </c>
      <c r="U183" s="222">
        <f t="shared" ref="U183" si="293">SUM(U175:U182)</f>
        <v>0</v>
      </c>
      <c r="V183" s="222">
        <f t="shared" ref="V183" si="294">SUM(V175:V182)</f>
        <v>0</v>
      </c>
      <c r="W183" s="222">
        <f t="shared" ref="W183" si="295">SUM(W175:W182)</f>
        <v>0</v>
      </c>
      <c r="X183" s="222">
        <f t="shared" ref="X183" si="296">SUM(X175:X182)</f>
        <v>0</v>
      </c>
      <c r="Y183" s="222">
        <f t="shared" ref="Y183" si="297">SUM(Y175:Y182)</f>
        <v>0</v>
      </c>
      <c r="Z183" s="222">
        <f t="shared" ref="Z183" si="298">SUM(Z175:Z182)</f>
        <v>0</v>
      </c>
      <c r="AA183" s="222">
        <f t="shared" ref="AA183" si="299">SUM(AA175:AA182)</f>
        <v>0</v>
      </c>
      <c r="AB183" s="222">
        <f t="shared" ref="AB183:AF183" si="300">SUM(AB175:AB182)</f>
        <v>0</v>
      </c>
      <c r="AC183" s="222">
        <f t="shared" si="300"/>
        <v>0</v>
      </c>
      <c r="AD183" s="222">
        <f t="shared" si="300"/>
        <v>0</v>
      </c>
      <c r="AE183" s="222">
        <f t="shared" si="300"/>
        <v>592.20000000000016</v>
      </c>
      <c r="AF183" s="222">
        <f t="shared" si="300"/>
        <v>645.70000000000005</v>
      </c>
      <c r="AG183" s="222">
        <f>SUM(AG175:AG182)</f>
        <v>533.29999999999995</v>
      </c>
      <c r="AH183" s="222">
        <f>SUM(AH175:AH182)</f>
        <v>650.6</v>
      </c>
      <c r="AI183" s="222">
        <f>SUM(AI175:AI182)</f>
        <v>254.60000000000002</v>
      </c>
      <c r="AJ183" s="222">
        <f>SUM(AJ175:AJ182)</f>
        <v>535.28</v>
      </c>
      <c r="AK183" s="222">
        <f t="shared" si="288"/>
        <v>58.399999999999864</v>
      </c>
      <c r="AL183" s="158">
        <f t="shared" si="291"/>
        <v>3.1846792808048342E-2</v>
      </c>
    </row>
    <row r="184" spans="1:38" ht="15" x14ac:dyDescent="0.2">
      <c r="A184" s="72"/>
      <c r="B184" s="72"/>
      <c r="C184" s="72"/>
      <c r="D184" s="72"/>
      <c r="E184" s="72"/>
      <c r="F184" s="72"/>
      <c r="G184" s="72"/>
      <c r="H184" s="72"/>
      <c r="I184" s="72"/>
      <c r="J184" s="72"/>
      <c r="K184" s="72"/>
      <c r="L184" s="72"/>
      <c r="M184" s="72"/>
      <c r="N184" s="72"/>
      <c r="O184" s="72"/>
      <c r="P184" s="72"/>
      <c r="Q184" s="72"/>
      <c r="R184" s="43"/>
      <c r="S184" s="72" t="s">
        <v>207</v>
      </c>
      <c r="T184" s="222"/>
      <c r="U184" s="222"/>
      <c r="V184" s="222"/>
      <c r="W184" s="222"/>
      <c r="X184" s="222"/>
      <c r="Y184" s="222"/>
      <c r="Z184" s="222"/>
      <c r="AA184" s="222"/>
      <c r="AB184" s="222"/>
      <c r="AC184" s="222"/>
      <c r="AD184" s="222"/>
      <c r="AE184" s="222">
        <v>-313.7</v>
      </c>
      <c r="AF184" s="222">
        <v>-327.3</v>
      </c>
      <c r="AG184" s="222">
        <v>-347.7</v>
      </c>
      <c r="AH184" s="222">
        <v>-370.9</v>
      </c>
      <c r="AI184" s="222">
        <v>-108.2</v>
      </c>
      <c r="AJ184" s="166">
        <f>AVERAGE(AC184:AI184)</f>
        <v>-293.56</v>
      </c>
      <c r="AK184" s="222">
        <f t="shared" si="288"/>
        <v>-57.199999999999989</v>
      </c>
      <c r="AL184" s="158">
        <f t="shared" si="291"/>
        <v>5.741979994968837E-2</v>
      </c>
    </row>
    <row r="185" spans="1:38" ht="15.75" x14ac:dyDescent="0.25">
      <c r="A185" s="72"/>
      <c r="B185" s="72"/>
      <c r="C185" s="72"/>
      <c r="D185" s="72"/>
      <c r="E185" s="72"/>
      <c r="F185" s="72"/>
      <c r="G185" s="72"/>
      <c r="H185" s="72"/>
      <c r="I185" s="72"/>
      <c r="J185" s="72"/>
      <c r="K185" s="72"/>
      <c r="L185" s="72"/>
      <c r="M185" s="72"/>
      <c r="N185" s="72"/>
      <c r="O185" s="72"/>
      <c r="P185" s="72"/>
      <c r="Q185" s="72"/>
      <c r="R185" s="43"/>
      <c r="S185" s="72" t="s">
        <v>208</v>
      </c>
      <c r="T185" s="222">
        <f t="shared" ref="T185" si="301">+T184+T183</f>
        <v>0</v>
      </c>
      <c r="U185" s="222">
        <f t="shared" ref="U185" si="302">+U184+U183</f>
        <v>0</v>
      </c>
      <c r="V185" s="222">
        <f t="shared" ref="V185" si="303">+V184+V183</f>
        <v>0</v>
      </c>
      <c r="W185" s="222">
        <f t="shared" ref="W185" si="304">+W184+W183</f>
        <v>0</v>
      </c>
      <c r="X185" s="222">
        <f t="shared" ref="X185" si="305">+X184+X183</f>
        <v>0</v>
      </c>
      <c r="Y185" s="222">
        <f t="shared" ref="Y185" si="306">+Y184+Y183</f>
        <v>0</v>
      </c>
      <c r="Z185" s="222">
        <f t="shared" ref="Z185" si="307">+Z184+Z183</f>
        <v>0</v>
      </c>
      <c r="AA185" s="222">
        <f t="shared" ref="AA185" si="308">+AA184+AA183</f>
        <v>0</v>
      </c>
      <c r="AB185" s="222">
        <f t="shared" ref="AB185:AF185" si="309">+AB184+AB183</f>
        <v>0</v>
      </c>
      <c r="AC185" s="222">
        <f t="shared" si="309"/>
        <v>0</v>
      </c>
      <c r="AD185" s="222">
        <f t="shared" si="309"/>
        <v>0</v>
      </c>
      <c r="AE185" s="224">
        <f t="shared" si="309"/>
        <v>278.50000000000017</v>
      </c>
      <c r="AF185" s="224">
        <f t="shared" si="309"/>
        <v>318.40000000000003</v>
      </c>
      <c r="AG185" s="224">
        <f>+AG184+AG183</f>
        <v>185.59999999999997</v>
      </c>
      <c r="AH185" s="224">
        <f>+AH184+AH183</f>
        <v>279.70000000000005</v>
      </c>
      <c r="AI185" s="224">
        <f>+AI184+AI183</f>
        <v>146.40000000000003</v>
      </c>
      <c r="AJ185" s="224">
        <f>+AJ184+AJ183</f>
        <v>241.71999999999997</v>
      </c>
      <c r="AK185" s="222">
        <f t="shared" si="288"/>
        <v>1.1999999999998749</v>
      </c>
      <c r="AL185" s="158">
        <f t="shared" si="291"/>
        <v>1.4342077738898474E-3</v>
      </c>
    </row>
    <row r="186" spans="1:38" ht="15" x14ac:dyDescent="0.2">
      <c r="A186" s="72"/>
      <c r="B186" s="72"/>
      <c r="C186" s="72"/>
      <c r="D186" s="72"/>
      <c r="E186" s="72"/>
      <c r="F186" s="72"/>
      <c r="G186" s="72"/>
      <c r="H186" s="72"/>
      <c r="I186" s="72"/>
      <c r="J186" s="72"/>
      <c r="K186" s="72"/>
      <c r="L186" s="72"/>
      <c r="M186" s="72"/>
      <c r="N186" s="72"/>
      <c r="O186" s="72"/>
      <c r="P186" s="72"/>
      <c r="Q186" s="72"/>
      <c r="R186" s="43"/>
      <c r="S186" s="72" t="s">
        <v>217</v>
      </c>
      <c r="T186" s="222"/>
      <c r="U186" s="222"/>
      <c r="V186" s="222"/>
      <c r="W186" s="222"/>
      <c r="X186" s="222"/>
      <c r="Y186" s="222"/>
      <c r="Z186" s="222"/>
      <c r="AA186" s="222"/>
      <c r="AB186" s="222"/>
      <c r="AC186" s="222"/>
      <c r="AD186" s="222"/>
      <c r="AE186" s="222">
        <v>2.4</v>
      </c>
      <c r="AF186" s="222">
        <v>3.1</v>
      </c>
      <c r="AG186" s="222">
        <v>6.7</v>
      </c>
      <c r="AH186" s="222">
        <v>6.1</v>
      </c>
      <c r="AI186" s="222">
        <v>1.8</v>
      </c>
      <c r="AJ186" s="166">
        <f>AVERAGE(AC186:AI186)</f>
        <v>4.0199999999999996</v>
      </c>
      <c r="AK186" s="222">
        <f t="shared" si="288"/>
        <v>3.6999999999999997</v>
      </c>
      <c r="AL186" s="158">
        <f t="shared" si="291"/>
        <v>0.36470735167667845</v>
      </c>
    </row>
    <row r="187" spans="1:38" ht="15" x14ac:dyDescent="0.2">
      <c r="A187" s="72"/>
      <c r="B187" s="72"/>
      <c r="C187" s="72"/>
      <c r="D187" s="72"/>
      <c r="E187" s="72"/>
      <c r="F187" s="72"/>
      <c r="G187" s="72"/>
      <c r="H187" s="72"/>
      <c r="I187" s="72"/>
      <c r="J187" s="72"/>
      <c r="K187" s="72"/>
      <c r="L187" s="72"/>
      <c r="M187" s="72"/>
      <c r="N187" s="72"/>
      <c r="O187" s="72"/>
      <c r="P187" s="72"/>
      <c r="Q187" s="72"/>
      <c r="R187" s="43"/>
      <c r="S187" s="72" t="s">
        <v>209</v>
      </c>
      <c r="T187" s="222">
        <f t="shared" ref="T187" si="310">+T186+T185</f>
        <v>0</v>
      </c>
      <c r="U187" s="222">
        <f t="shared" ref="U187" si="311">+U186+U185</f>
        <v>0</v>
      </c>
      <c r="V187" s="222">
        <f t="shared" ref="V187" si="312">+V186+V185</f>
        <v>0</v>
      </c>
      <c r="W187" s="222">
        <f t="shared" ref="W187" si="313">+W186+W185</f>
        <v>0</v>
      </c>
      <c r="X187" s="222">
        <f t="shared" ref="X187" si="314">+X186+X185</f>
        <v>0</v>
      </c>
      <c r="Y187" s="222">
        <f t="shared" ref="Y187" si="315">+Y186+Y185</f>
        <v>0</v>
      </c>
      <c r="Z187" s="222">
        <f t="shared" ref="Z187" si="316">+Z186+Z185</f>
        <v>0</v>
      </c>
      <c r="AA187" s="222">
        <f t="shared" ref="AA187" si="317">+AA186+AA185</f>
        <v>0</v>
      </c>
      <c r="AB187" s="222">
        <f t="shared" ref="AB187:AF187" si="318">+AB186+AB185</f>
        <v>0</v>
      </c>
      <c r="AC187" s="222">
        <f t="shared" si="318"/>
        <v>0</v>
      </c>
      <c r="AD187" s="222">
        <f t="shared" si="318"/>
        <v>0</v>
      </c>
      <c r="AE187" s="222">
        <f t="shared" si="318"/>
        <v>280.90000000000015</v>
      </c>
      <c r="AF187" s="222">
        <f t="shared" si="318"/>
        <v>321.50000000000006</v>
      </c>
      <c r="AG187" s="222">
        <f>+AG186+AG185</f>
        <v>192.29999999999995</v>
      </c>
      <c r="AH187" s="222">
        <f>+AH186+AH185</f>
        <v>285.80000000000007</v>
      </c>
      <c r="AI187" s="222">
        <f>+AI186+AI185</f>
        <v>148.20000000000005</v>
      </c>
      <c r="AJ187" s="222">
        <f>+AJ186+AJ185</f>
        <v>245.73999999999998</v>
      </c>
      <c r="AK187" s="222">
        <f t="shared" si="288"/>
        <v>4.8999999999999204</v>
      </c>
      <c r="AL187" s="158">
        <f t="shared" si="291"/>
        <v>5.7811572237489502E-3</v>
      </c>
    </row>
    <row r="188" spans="1:38" ht="15" x14ac:dyDescent="0.2">
      <c r="A188" s="72"/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2"/>
      <c r="O188" s="72"/>
      <c r="P188" s="72"/>
      <c r="Q188" s="72"/>
      <c r="R188" s="43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  <c r="AL188" s="72"/>
    </row>
    <row r="189" spans="1:38" ht="15.75" x14ac:dyDescent="0.25">
      <c r="A189" s="72"/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2"/>
      <c r="O189" s="72"/>
      <c r="P189" s="72"/>
      <c r="Q189" s="72"/>
      <c r="R189" s="43"/>
      <c r="S189" s="246" t="s">
        <v>223</v>
      </c>
      <c r="T189" s="232"/>
      <c r="U189" s="232"/>
      <c r="V189" s="232"/>
      <c r="W189" s="232"/>
      <c r="X189" s="232"/>
      <c r="Y189" s="232"/>
      <c r="Z189" s="233">
        <f>(+Z157-Y157)/Y157</f>
        <v>-1.3925152306353425E-2</v>
      </c>
      <c r="AA189" s="233">
        <f>(+AA157-Z157)/Z157</f>
        <v>2.647837599293885E-3</v>
      </c>
      <c r="AB189" s="233">
        <f>(+AB157-AA157)/AA157</f>
        <v>-2.464788732394364E-2</v>
      </c>
      <c r="AC189" s="234"/>
      <c r="AD189" s="234"/>
      <c r="AE189" s="234">
        <v>50.2</v>
      </c>
      <c r="AF189" s="234">
        <v>50.5</v>
      </c>
      <c r="AG189" s="234">
        <v>57.5</v>
      </c>
      <c r="AH189" s="224">
        <v>59.2</v>
      </c>
      <c r="AI189" s="234">
        <f>(+AI157-AH157)/AH157</f>
        <v>-0.53703703703703709</v>
      </c>
      <c r="AJ189" s="237">
        <f>AVERAGE(AC189:AH189)</f>
        <v>54.349999999999994</v>
      </c>
      <c r="AK189" s="72"/>
      <c r="AL189" s="158">
        <f>RATE(3,,-AE189,AH189)</f>
        <v>5.6507691689725269E-2</v>
      </c>
    </row>
    <row r="190" spans="1:38" ht="15" x14ac:dyDescent="0.2">
      <c r="A190" s="72"/>
      <c r="B190" s="72"/>
      <c r="C190" s="72"/>
      <c r="D190" s="72"/>
      <c r="E190" s="72"/>
      <c r="F190" s="72"/>
      <c r="G190" s="72"/>
      <c r="H190" s="72"/>
      <c r="I190" s="72"/>
      <c r="J190" s="72"/>
      <c r="K190" s="72"/>
      <c r="L190" s="72"/>
      <c r="M190" s="72"/>
      <c r="N190" s="72"/>
      <c r="O190" s="72"/>
      <c r="P190" s="72"/>
      <c r="Q190" s="72"/>
      <c r="R190" s="43"/>
      <c r="S190" s="247" t="s">
        <v>220</v>
      </c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  <c r="AL190" s="72"/>
    </row>
    <row r="191" spans="1:38" ht="15.75" x14ac:dyDescent="0.25">
      <c r="A191" s="72"/>
      <c r="B191" s="72"/>
      <c r="C191" s="72"/>
      <c r="D191" s="72"/>
      <c r="E191" s="72"/>
      <c r="F191" s="72"/>
      <c r="G191" s="72"/>
      <c r="H191" s="72"/>
      <c r="I191" s="72"/>
      <c r="J191" s="72"/>
      <c r="K191" s="72"/>
      <c r="L191" s="72"/>
      <c r="M191" s="72"/>
      <c r="N191" s="72"/>
      <c r="O191" s="72"/>
      <c r="P191" s="72"/>
      <c r="Q191" s="72"/>
      <c r="R191" s="43"/>
      <c r="S191" s="246" t="s">
        <v>219</v>
      </c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235">
        <f>+AE176/AE189</f>
        <v>4.7808764940239037</v>
      </c>
      <c r="AF191" s="235">
        <f>+AF176/AF189</f>
        <v>5.0178217821782178</v>
      </c>
      <c r="AG191" s="235">
        <f>+AG176/AG189</f>
        <v>4.7652173913043478</v>
      </c>
      <c r="AH191" s="235">
        <f>+AH176/AH189</f>
        <v>4.9763513513513518</v>
      </c>
      <c r="AI191" s="222"/>
      <c r="AJ191" s="238">
        <f>AVERAGE(AC191:AH191)</f>
        <v>4.8850667547144546</v>
      </c>
      <c r="AK191" s="72"/>
      <c r="AL191" s="158">
        <f>RATE(3,,-AE191,AH191)</f>
        <v>1.3447300979761472E-2</v>
      </c>
    </row>
    <row r="192" spans="1:38" ht="15" x14ac:dyDescent="0.2">
      <c r="AK192" s="72"/>
      <c r="AL192" s="72"/>
    </row>
    <row r="193" spans="31:36" x14ac:dyDescent="0.2">
      <c r="AE193" s="143"/>
      <c r="AF193" s="143"/>
      <c r="AG193" s="143"/>
      <c r="AH193" s="143"/>
      <c r="AI193" s="143"/>
      <c r="AJ193" s="143"/>
    </row>
  </sheetData>
  <mergeCells count="5">
    <mergeCell ref="S111:AJ111"/>
    <mergeCell ref="S112:AJ112"/>
    <mergeCell ref="S113:AJ113"/>
    <mergeCell ref="S162:AJ162"/>
    <mergeCell ref="S135:AJ135"/>
  </mergeCells>
  <phoneticPr fontId="4" type="noConversion"/>
  <printOptions horizontalCentered="1"/>
  <pageMargins left="0.5" right="0.5" top="1" bottom="1" header="0.5" footer="0.5"/>
  <pageSetup scale="65" fitToWidth="2" orientation="portrait" r:id="rId1"/>
  <headerFooter alignWithMargins="0"/>
  <rowBreaks count="2" manualBreakCount="2">
    <brk id="67" max="36" man="1"/>
    <brk id="108" max="31" man="1"/>
  </rowBreaks>
  <colBreaks count="1" manualBreakCount="1">
    <brk id="18" max="1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2"/>
  <sheetViews>
    <sheetView showGridLines="0" view="pageBreakPreview" topLeftCell="Q1" zoomScaleNormal="100" zoomScaleSheetLayoutView="100" workbookViewId="0">
      <selection activeCell="AI26" sqref="AI26"/>
    </sheetView>
  </sheetViews>
  <sheetFormatPr defaultRowHeight="12.75" x14ac:dyDescent="0.2"/>
  <cols>
    <col min="1" max="1" width="52.28515625" style="10" customWidth="1"/>
    <col min="2" max="5" width="10.7109375" style="9" hidden="1" customWidth="1"/>
    <col min="6" max="6" width="10.7109375" style="11" hidden="1" customWidth="1"/>
    <col min="7" max="10" width="10.7109375" style="9" hidden="1" customWidth="1"/>
    <col min="11" max="17" width="10.7109375" style="9" customWidth="1"/>
    <col min="18" max="18" width="11.28515625" style="12" customWidth="1"/>
    <col min="19" max="19" width="52.28515625" style="9" customWidth="1"/>
    <col min="20" max="26" width="11" style="9" hidden="1" customWidth="1"/>
    <col min="27" max="27" width="12.28515625" style="9" hidden="1" customWidth="1"/>
    <col min="28" max="28" width="11" style="9" hidden="1" customWidth="1"/>
    <col min="29" max="29" width="11.28515625" style="9" customWidth="1"/>
    <col min="30" max="35" width="11" style="9" customWidth="1"/>
    <col min="36" max="36" width="11.140625" style="9" customWidth="1"/>
    <col min="37" max="16384" width="9.140625" style="9"/>
  </cols>
  <sheetData>
    <row r="1" spans="1:37" ht="15.75" x14ac:dyDescent="0.25">
      <c r="R1" s="22" t="s">
        <v>114</v>
      </c>
      <c r="S1" s="15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23" t="s">
        <v>114</v>
      </c>
      <c r="AK1" s="12"/>
    </row>
    <row r="2" spans="1:37" ht="15.75" x14ac:dyDescent="0.25">
      <c r="R2" s="152" t="s">
        <v>176</v>
      </c>
      <c r="S2" s="12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52" t="s">
        <v>161</v>
      </c>
      <c r="AK2" s="12"/>
    </row>
    <row r="3" spans="1:37" ht="20.25" x14ac:dyDescent="0.3">
      <c r="A3" s="63" t="str">
        <f>+'Historical - Exhibit 1'!A3</f>
        <v>Questar Gas Company</v>
      </c>
      <c r="B3" s="13"/>
      <c r="C3" s="13"/>
      <c r="D3" s="13"/>
      <c r="E3" s="13"/>
      <c r="F3" s="14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63" t="str">
        <f>A3</f>
        <v>Questar Gas Company</v>
      </c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3"/>
      <c r="AK3" s="12"/>
    </row>
    <row r="4" spans="1:37" ht="15.75" x14ac:dyDescent="0.25">
      <c r="A4" s="21" t="s">
        <v>92</v>
      </c>
      <c r="B4" s="13"/>
      <c r="C4" s="13"/>
      <c r="D4" s="13"/>
      <c r="E4" s="13"/>
      <c r="F4" s="14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21" t="s">
        <v>113</v>
      </c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3"/>
      <c r="AK4" s="12"/>
    </row>
    <row r="5" spans="1:37" ht="15" customHeight="1" x14ac:dyDescent="0.25">
      <c r="A5" s="21" t="str">
        <f>'Historical - Exhibit 1'!A5</f>
        <v>Years Ended December 31</v>
      </c>
      <c r="B5" s="13"/>
      <c r="C5" s="13"/>
      <c r="D5" s="13"/>
      <c r="E5" s="13"/>
      <c r="F5" s="14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21" t="str">
        <f>A5</f>
        <v>Years Ended December 31</v>
      </c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3"/>
      <c r="AK5" s="12"/>
    </row>
    <row r="6" spans="1:37" ht="15" customHeight="1" x14ac:dyDescent="0.25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7" t="str">
        <f>'Historical - Exhibit 1'!R7</f>
        <v>2008 to 2013</v>
      </c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5"/>
      <c r="AK6" s="12"/>
    </row>
    <row r="7" spans="1:37" ht="15.75" x14ac:dyDescent="0.25">
      <c r="A7" s="128" t="s">
        <v>130</v>
      </c>
      <c r="B7" s="255"/>
      <c r="C7" s="255"/>
      <c r="D7" s="255"/>
      <c r="E7" s="255"/>
      <c r="F7" s="255"/>
      <c r="G7" s="255"/>
      <c r="H7" s="129"/>
      <c r="I7" s="130"/>
      <c r="J7" s="130"/>
      <c r="K7" s="130"/>
      <c r="L7" s="130"/>
      <c r="M7" s="144"/>
      <c r="N7" s="144"/>
      <c r="O7" s="190"/>
      <c r="P7" s="211"/>
      <c r="Q7" s="211" t="str">
        <f>+'Historical - Exhibit 1'!Q116</f>
        <v>1st Qrtr</v>
      </c>
      <c r="R7" s="131" t="s">
        <v>3</v>
      </c>
      <c r="S7" s="24"/>
      <c r="T7" s="24"/>
      <c r="U7" s="24"/>
      <c r="V7" s="24"/>
      <c r="W7" s="24"/>
      <c r="X7" s="135"/>
      <c r="Y7" s="135"/>
      <c r="Z7" s="89"/>
      <c r="AA7" s="89"/>
      <c r="AB7" s="89"/>
      <c r="AC7" s="89"/>
      <c r="AD7" s="89"/>
      <c r="AE7" s="145"/>
      <c r="AF7" s="145"/>
      <c r="AG7" s="145"/>
      <c r="AH7" s="145"/>
      <c r="AI7" s="145"/>
      <c r="AJ7" s="136" t="s">
        <v>228</v>
      </c>
      <c r="AK7" s="12"/>
    </row>
    <row r="8" spans="1:37" ht="15.75" x14ac:dyDescent="0.25">
      <c r="A8" s="128"/>
      <c r="B8" s="132">
        <f>'Historical - Exhibit 1'!B9</f>
        <v>1999</v>
      </c>
      <c r="C8" s="132">
        <f>'Historical - Exhibit 1'!C9</f>
        <v>2000</v>
      </c>
      <c r="D8" s="132">
        <f>'Historical - Exhibit 1'!D9</f>
        <v>2001</v>
      </c>
      <c r="E8" s="132">
        <f>'Historical - Exhibit 1'!E9</f>
        <v>2002</v>
      </c>
      <c r="F8" s="132">
        <f>'Historical - Exhibit 1'!F9</f>
        <v>2003</v>
      </c>
      <c r="G8" s="132">
        <f>'Historical - Exhibit 1'!G9</f>
        <v>2004</v>
      </c>
      <c r="H8" s="132">
        <f>'Historical - Exhibit 1'!H9</f>
        <v>2005</v>
      </c>
      <c r="I8" s="132">
        <f>'Historical - Exhibit 1'!I9</f>
        <v>2006</v>
      </c>
      <c r="J8" s="132">
        <f>'Historical - Exhibit 1'!J9</f>
        <v>2007</v>
      </c>
      <c r="K8" s="132">
        <f>'Historical - Exhibit 1'!K9</f>
        <v>2008</v>
      </c>
      <c r="L8" s="132">
        <f>+'Historical - Exhibit 1'!L9</f>
        <v>2009</v>
      </c>
      <c r="M8" s="132">
        <f>'Historical - Exhibit 1'!M9</f>
        <v>2010</v>
      </c>
      <c r="N8" s="132">
        <f>'Historical - Exhibit 1'!N9</f>
        <v>2011</v>
      </c>
      <c r="O8" s="132">
        <f>'Historical - Exhibit 1'!O9</f>
        <v>2012</v>
      </c>
      <c r="P8" s="132">
        <f>'Historical - Exhibit 1'!P9</f>
        <v>2013</v>
      </c>
      <c r="Q8" s="132">
        <f>'Historical - Exhibit 1'!Q9</f>
        <v>2014</v>
      </c>
      <c r="R8" s="133" t="s">
        <v>24</v>
      </c>
      <c r="S8" s="25"/>
      <c r="T8" s="29">
        <f t="shared" ref="T8:AB8" si="0">B8</f>
        <v>1999</v>
      </c>
      <c r="U8" s="29">
        <f t="shared" si="0"/>
        <v>2000</v>
      </c>
      <c r="V8" s="29">
        <f t="shared" si="0"/>
        <v>2001</v>
      </c>
      <c r="W8" s="29">
        <f t="shared" si="0"/>
        <v>2002</v>
      </c>
      <c r="X8" s="137">
        <f t="shared" si="0"/>
        <v>2003</v>
      </c>
      <c r="Y8" s="137">
        <f t="shared" si="0"/>
        <v>2004</v>
      </c>
      <c r="Z8" s="137">
        <f t="shared" si="0"/>
        <v>2005</v>
      </c>
      <c r="AA8" s="137">
        <f t="shared" si="0"/>
        <v>2006</v>
      </c>
      <c r="AB8" s="137">
        <f t="shared" si="0"/>
        <v>2007</v>
      </c>
      <c r="AC8" s="137">
        <f>K8</f>
        <v>2008</v>
      </c>
      <c r="AD8" s="137">
        <f>+L8</f>
        <v>2009</v>
      </c>
      <c r="AE8" s="137">
        <f>M8</f>
        <v>2010</v>
      </c>
      <c r="AF8" s="137">
        <f t="shared" ref="AF8:AI8" si="1">N8</f>
        <v>2011</v>
      </c>
      <c r="AG8" s="137">
        <f t="shared" si="1"/>
        <v>2012</v>
      </c>
      <c r="AH8" s="137">
        <f t="shared" si="1"/>
        <v>2013</v>
      </c>
      <c r="AI8" s="137">
        <f t="shared" si="1"/>
        <v>2014</v>
      </c>
      <c r="AJ8" s="138" t="s">
        <v>2</v>
      </c>
      <c r="AK8" s="12"/>
    </row>
    <row r="9" spans="1:37" ht="12.75" customHeight="1" x14ac:dyDescent="0.2">
      <c r="A9" s="26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1"/>
      <c r="S9" s="25"/>
      <c r="T9" s="32"/>
      <c r="U9" s="33"/>
      <c r="V9" s="33"/>
      <c r="W9" s="33"/>
      <c r="X9" s="33"/>
      <c r="Y9" s="33"/>
      <c r="Z9" s="34"/>
      <c r="AA9" s="33"/>
      <c r="AB9" s="33"/>
      <c r="AC9" s="33"/>
      <c r="AD9" s="33"/>
      <c r="AE9" s="33"/>
      <c r="AF9" s="33"/>
      <c r="AG9" s="33"/>
      <c r="AH9" s="33"/>
      <c r="AI9" s="33"/>
      <c r="AJ9" s="25"/>
      <c r="AK9" s="12"/>
    </row>
    <row r="10" spans="1:37" ht="15" x14ac:dyDescent="0.2">
      <c r="A10" s="26" t="str">
        <f>+S10</f>
        <v>Total Revenues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1"/>
      <c r="S10" s="25" t="s">
        <v>54</v>
      </c>
      <c r="T10" s="134">
        <f>'Historical - Exhibit 1'!B81</f>
        <v>449937</v>
      </c>
      <c r="U10" s="134">
        <f>'Historical - Exhibit 1'!C81</f>
        <v>536762</v>
      </c>
      <c r="V10" s="134">
        <f>'Historical - Exhibit 1'!D81</f>
        <v>704113</v>
      </c>
      <c r="W10" s="134">
        <f>'Historical - Exhibit 1'!E81</f>
        <v>595511</v>
      </c>
      <c r="X10" s="134">
        <f>'Historical - Exhibit 1'!F81</f>
        <v>620995</v>
      </c>
      <c r="Y10" s="134">
        <f>'Historical - Exhibit 1'!G81</f>
        <v>764193</v>
      </c>
      <c r="Z10" s="134">
        <f>'Historical - Exhibit 1'!H81</f>
        <v>962547</v>
      </c>
      <c r="AA10" s="134">
        <f>'Historical - Exhibit 1'!I81</f>
        <v>1064600</v>
      </c>
      <c r="AB10" s="134">
        <f>'Historical - Exhibit 1'!J81</f>
        <v>932500</v>
      </c>
      <c r="AC10" s="134">
        <f>'Historical - Exhibit 1'!K81</f>
        <v>1000300</v>
      </c>
      <c r="AD10" s="134">
        <f>'Historical - Exhibit 1'!L81</f>
        <v>919900</v>
      </c>
      <c r="AE10" s="134">
        <f>'Historical - Exhibit 1'!M81</f>
        <v>902900</v>
      </c>
      <c r="AF10" s="134">
        <f>'Historical - Exhibit 1'!N81</f>
        <v>968800</v>
      </c>
      <c r="AG10" s="134">
        <f>'Historical - Exhibit 1'!O81</f>
        <v>862200</v>
      </c>
      <c r="AH10" s="134">
        <f>'Historical - Exhibit 1'!P81</f>
        <v>985800</v>
      </c>
      <c r="AI10" s="134">
        <f>'Historical - Exhibit 1'!Q81</f>
        <v>396300</v>
      </c>
      <c r="AJ10" s="139">
        <f>AVERAGE(AD10:AH10)</f>
        <v>927920</v>
      </c>
      <c r="AK10" s="12"/>
    </row>
    <row r="11" spans="1:37" ht="15" x14ac:dyDescent="0.2">
      <c r="A11" s="36" t="s">
        <v>74</v>
      </c>
      <c r="B11" s="37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9"/>
      <c r="S11" s="40" t="s">
        <v>74</v>
      </c>
      <c r="T11" s="25"/>
      <c r="U11" s="25"/>
      <c r="V11" s="25"/>
      <c r="W11" s="25"/>
      <c r="X11" s="41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</row>
    <row r="12" spans="1:37" ht="15" x14ac:dyDescent="0.2">
      <c r="A12" s="42" t="s">
        <v>75</v>
      </c>
      <c r="B12" s="37">
        <f>'Historical - Exhibit 1'!B103</f>
        <v>19219</v>
      </c>
      <c r="C12" s="37">
        <f>'Historical - Exhibit 1'!C103</f>
        <v>24163</v>
      </c>
      <c r="D12" s="37">
        <f>'Historical - Exhibit 1'!D103</f>
        <v>25873</v>
      </c>
      <c r="E12" s="37">
        <f>'Historical - Exhibit 1'!E103</f>
        <v>32399</v>
      </c>
      <c r="F12" s="37">
        <f>'Historical - Exhibit 1'!F103</f>
        <v>20182</v>
      </c>
      <c r="G12" s="37">
        <f>'Historical - Exhibit 1'!G103</f>
        <v>31461</v>
      </c>
      <c r="H12" s="37">
        <f>'Historical - Exhibit 1'!H103</f>
        <v>35975</v>
      </c>
      <c r="I12" s="37">
        <f>'Historical - Exhibit 1'!I103</f>
        <v>37000</v>
      </c>
      <c r="J12" s="37">
        <f>'Historical - Exhibit 1'!J103</f>
        <v>37400</v>
      </c>
      <c r="K12" s="37">
        <f>'Historical - Exhibit 1'!K103</f>
        <v>40200</v>
      </c>
      <c r="L12" s="37">
        <v>41600</v>
      </c>
      <c r="M12" s="37">
        <f>'Historical - Exhibit 1'!M103</f>
        <v>43900</v>
      </c>
      <c r="N12" s="37">
        <f>'Historical - Exhibit 1'!N103</f>
        <v>46100</v>
      </c>
      <c r="O12" s="37">
        <f>'Historical - Exhibit 1'!O103</f>
        <v>47100</v>
      </c>
      <c r="P12" s="37">
        <f>'Historical - Exhibit 1'!P103</f>
        <v>52800</v>
      </c>
      <c r="Q12" s="37">
        <f>'Historical - Exhibit 1'!Q103</f>
        <v>39600</v>
      </c>
      <c r="R12" s="43">
        <f>RATE(5,,-K12,P12)</f>
        <v>5.604293121510194E-2</v>
      </c>
      <c r="S12" s="44" t="str">
        <f t="shared" ref="S12:S25" si="2">A12</f>
        <v xml:space="preserve">   Net income</v>
      </c>
      <c r="T12" s="45">
        <f t="shared" ref="T12:AI12" si="3">B12/T$10</f>
        <v>4.2714868970544766E-2</v>
      </c>
      <c r="U12" s="45">
        <f t="shared" si="3"/>
        <v>4.5016226931116586E-2</v>
      </c>
      <c r="V12" s="45">
        <f t="shared" si="3"/>
        <v>3.6745522380640605E-2</v>
      </c>
      <c r="W12" s="45">
        <f t="shared" si="3"/>
        <v>5.4405376223109231E-2</v>
      </c>
      <c r="X12" s="45">
        <f t="shared" si="3"/>
        <v>3.2499456517363266E-2</v>
      </c>
      <c r="Y12" s="45">
        <f t="shared" si="3"/>
        <v>4.1168919369845056E-2</v>
      </c>
      <c r="Z12" s="45">
        <f t="shared" si="3"/>
        <v>3.7374798321536506E-2</v>
      </c>
      <c r="AA12" s="45">
        <f t="shared" si="3"/>
        <v>3.4754837497651701E-2</v>
      </c>
      <c r="AB12" s="45">
        <f t="shared" si="3"/>
        <v>4.0107238605898127E-2</v>
      </c>
      <c r="AC12" s="45">
        <f t="shared" si="3"/>
        <v>4.0187943616914926E-2</v>
      </c>
      <c r="AD12" s="45">
        <f t="shared" si="3"/>
        <v>4.5222306772475268E-2</v>
      </c>
      <c r="AE12" s="45">
        <f t="shared" si="3"/>
        <v>4.8621109757448225E-2</v>
      </c>
      <c r="AF12" s="45">
        <f t="shared" si="3"/>
        <v>4.7584640792733279E-2</v>
      </c>
      <c r="AG12" s="45">
        <f t="shared" si="3"/>
        <v>5.4627696590118305E-2</v>
      </c>
      <c r="AH12" s="45">
        <f t="shared" si="3"/>
        <v>5.3560559951308581E-2</v>
      </c>
      <c r="AI12" s="45">
        <f t="shared" si="3"/>
        <v>9.9924299772899322E-2</v>
      </c>
      <c r="AJ12" s="45">
        <f>AVERAGE(AD12:AH12)</f>
        <v>4.9923262772816737E-2</v>
      </c>
    </row>
    <row r="13" spans="1:37" ht="15" x14ac:dyDescent="0.2">
      <c r="A13" s="36" t="s">
        <v>76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43"/>
      <c r="S13" s="44" t="str">
        <f t="shared" si="2"/>
        <v xml:space="preserve">   Adjustments to reconcile net income</v>
      </c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35"/>
    </row>
    <row r="14" spans="1:37" ht="15" x14ac:dyDescent="0.2">
      <c r="A14" s="42" t="s">
        <v>77</v>
      </c>
      <c r="B14" s="37">
        <v>39479</v>
      </c>
      <c r="C14" s="38">
        <v>37994</v>
      </c>
      <c r="D14" s="38">
        <v>38310</v>
      </c>
      <c r="E14" s="38">
        <v>42782</v>
      </c>
      <c r="F14" s="38">
        <v>43215</v>
      </c>
      <c r="G14" s="38">
        <v>45700</v>
      </c>
      <c r="H14" s="46">
        <v>50100</v>
      </c>
      <c r="I14" s="46">
        <v>44800</v>
      </c>
      <c r="J14" s="46">
        <f>42700</f>
        <v>42700</v>
      </c>
      <c r="K14" s="46">
        <v>45200</v>
      </c>
      <c r="L14" s="46">
        <v>47800</v>
      </c>
      <c r="M14" s="46">
        <v>48000</v>
      </c>
      <c r="N14" s="46">
        <v>49200</v>
      </c>
      <c r="O14" s="46">
        <v>52100</v>
      </c>
      <c r="P14" s="46">
        <v>54700</v>
      </c>
      <c r="Q14" s="46">
        <v>14600</v>
      </c>
      <c r="R14" s="43">
        <f t="shared" ref="R14:R15" si="4">RATE(5,,-K14,P14)</f>
        <v>3.8890508054365509E-2</v>
      </c>
      <c r="S14" s="44" t="str">
        <f t="shared" si="2"/>
        <v xml:space="preserve">       Depreciation and amortization</v>
      </c>
      <c r="T14" s="45">
        <f t="shared" ref="T14:AI15" si="5">B14/T$10</f>
        <v>8.7743395186437215E-2</v>
      </c>
      <c r="U14" s="45">
        <f t="shared" si="5"/>
        <v>7.0783699293169036E-2</v>
      </c>
      <c r="V14" s="45">
        <f t="shared" si="5"/>
        <v>5.4408880392777866E-2</v>
      </c>
      <c r="W14" s="45">
        <f t="shared" si="5"/>
        <v>7.1840822419736994E-2</v>
      </c>
      <c r="X14" s="45">
        <f t="shared" si="5"/>
        <v>6.9589932286089257E-2</v>
      </c>
      <c r="Y14" s="45">
        <f t="shared" si="5"/>
        <v>5.980164696614599E-2</v>
      </c>
      <c r="Z14" s="45">
        <f t="shared" si="5"/>
        <v>5.2049406418595665E-2</v>
      </c>
      <c r="AA14" s="45">
        <f t="shared" si="5"/>
        <v>4.2081532970129627E-2</v>
      </c>
      <c r="AB14" s="45">
        <f t="shared" si="5"/>
        <v>4.579088471849866E-2</v>
      </c>
      <c r="AC14" s="45">
        <f t="shared" si="5"/>
        <v>4.5186444066779963E-2</v>
      </c>
      <c r="AD14" s="45">
        <f t="shared" si="5"/>
        <v>5.1962169801065335E-2</v>
      </c>
      <c r="AE14" s="45">
        <f t="shared" si="5"/>
        <v>5.316203344777938E-2</v>
      </c>
      <c r="AF14" s="45">
        <f t="shared" si="5"/>
        <v>5.0784475639966971E-2</v>
      </c>
      <c r="AG14" s="45">
        <f t="shared" si="5"/>
        <v>6.0426815124101134E-2</v>
      </c>
      <c r="AH14" s="45">
        <f t="shared" si="5"/>
        <v>5.5487928585920068E-2</v>
      </c>
      <c r="AI14" s="45">
        <f t="shared" si="5"/>
        <v>3.6840777188998232E-2</v>
      </c>
      <c r="AJ14" s="45">
        <f t="shared" ref="AJ14:AJ15" si="6">AVERAGE(AD14:AH14)</f>
        <v>5.436468451976658E-2</v>
      </c>
    </row>
    <row r="15" spans="1:37" ht="15" x14ac:dyDescent="0.2">
      <c r="A15" s="42" t="s">
        <v>78</v>
      </c>
      <c r="B15" s="47">
        <v>5320</v>
      </c>
      <c r="C15" s="38">
        <v>13637</v>
      </c>
      <c r="D15" s="38">
        <v>-12374</v>
      </c>
      <c r="E15" s="38">
        <v>2243</v>
      </c>
      <c r="F15" s="38">
        <v>9636</v>
      </c>
      <c r="G15" s="38">
        <v>32300</v>
      </c>
      <c r="H15" s="38">
        <v>3700</v>
      </c>
      <c r="I15" s="38">
        <v>-15200</v>
      </c>
      <c r="J15" s="38">
        <f>4000</f>
        <v>4000</v>
      </c>
      <c r="K15" s="38">
        <v>30300</v>
      </c>
      <c r="L15" s="38">
        <v>34100</v>
      </c>
      <c r="M15" s="38">
        <v>43600</v>
      </c>
      <c r="N15" s="38">
        <v>25200</v>
      </c>
      <c r="O15" s="38">
        <v>45900</v>
      </c>
      <c r="P15" s="38">
        <v>37700</v>
      </c>
      <c r="Q15" s="38">
        <v>-100</v>
      </c>
      <c r="R15" s="43">
        <f t="shared" si="4"/>
        <v>4.4671494210009502E-2</v>
      </c>
      <c r="S15" s="44" t="str">
        <f t="shared" si="2"/>
        <v xml:space="preserve">       Deferred income taxes and investment tax credits - net</v>
      </c>
      <c r="T15" s="45">
        <f t="shared" si="5"/>
        <v>1.1823877565081334E-2</v>
      </c>
      <c r="U15" s="45">
        <f t="shared" si="5"/>
        <v>2.5406045882532667E-2</v>
      </c>
      <c r="V15" s="45">
        <f t="shared" si="5"/>
        <v>-1.7573883737411467E-2</v>
      </c>
      <c r="W15" s="45">
        <f t="shared" si="5"/>
        <v>3.7665131290605882E-3</v>
      </c>
      <c r="X15" s="45">
        <f t="shared" si="5"/>
        <v>1.5517033148415044E-2</v>
      </c>
      <c r="Y15" s="45">
        <f t="shared" si="5"/>
        <v>4.2266809562505808E-2</v>
      </c>
      <c r="Z15" s="45">
        <f t="shared" si="5"/>
        <v>3.8439681386986816E-3</v>
      </c>
      <c r="AA15" s="45">
        <f t="shared" si="5"/>
        <v>-1.4277662972008266E-2</v>
      </c>
      <c r="AB15" s="45">
        <f t="shared" si="5"/>
        <v>4.2895442359249334E-3</v>
      </c>
      <c r="AC15" s="45">
        <f t="shared" si="5"/>
        <v>3.0290912726182145E-2</v>
      </c>
      <c r="AD15" s="45">
        <f t="shared" si="5"/>
        <v>3.7069246657245356E-2</v>
      </c>
      <c r="AE15" s="45">
        <f t="shared" si="5"/>
        <v>4.82888470483996E-2</v>
      </c>
      <c r="AF15" s="45">
        <f t="shared" si="5"/>
        <v>2.6011560693641619E-2</v>
      </c>
      <c r="AG15" s="45">
        <f t="shared" si="5"/>
        <v>5.3235908141962419E-2</v>
      </c>
      <c r="AH15" s="45">
        <f t="shared" si="5"/>
        <v>3.8243051328869952E-2</v>
      </c>
      <c r="AI15" s="45">
        <f t="shared" si="5"/>
        <v>-2.5233409033560434E-4</v>
      </c>
      <c r="AJ15" s="45">
        <f t="shared" si="6"/>
        <v>4.0569722774023792E-2</v>
      </c>
    </row>
    <row r="16" spans="1:37" ht="15" x14ac:dyDescent="0.2">
      <c r="A16" s="48" t="s">
        <v>101</v>
      </c>
      <c r="B16" s="47">
        <v>0</v>
      </c>
      <c r="C16" s="38">
        <v>-103</v>
      </c>
      <c r="D16" s="38">
        <v>-1195</v>
      </c>
      <c r="E16" s="38">
        <v>422</v>
      </c>
      <c r="F16" s="38">
        <v>14</v>
      </c>
      <c r="G16" s="38">
        <v>200</v>
      </c>
      <c r="H16" s="38"/>
      <c r="I16" s="38">
        <v>300</v>
      </c>
      <c r="J16" s="38"/>
      <c r="K16" s="38"/>
      <c r="L16" s="38"/>
      <c r="M16" s="38"/>
      <c r="N16" s="38"/>
      <c r="O16" s="38"/>
      <c r="P16" s="38"/>
      <c r="Q16" s="38"/>
      <c r="R16" s="43"/>
      <c r="S16" s="44" t="str">
        <f t="shared" si="2"/>
        <v xml:space="preserve">       (Gain) Loss on sale of assets</v>
      </c>
      <c r="T16" s="45">
        <f t="shared" ref="T16:Y16" si="7">B16/T$10</f>
        <v>0</v>
      </c>
      <c r="U16" s="45">
        <f t="shared" si="7"/>
        <v>-1.9189137830174268E-4</v>
      </c>
      <c r="V16" s="45">
        <f t="shared" si="7"/>
        <v>-1.6971707666241073E-3</v>
      </c>
      <c r="W16" s="45">
        <f t="shared" si="7"/>
        <v>7.0863510497707011E-4</v>
      </c>
      <c r="X16" s="45">
        <f t="shared" si="7"/>
        <v>2.2544464931279639E-5</v>
      </c>
      <c r="Y16" s="45">
        <f t="shared" si="7"/>
        <v>2.6171399109910714E-4</v>
      </c>
      <c r="Z16" s="45"/>
      <c r="AA16" s="45">
        <f>I16/AA$10</f>
        <v>2.8179597971068947E-4</v>
      </c>
      <c r="AB16" s="45"/>
      <c r="AC16" s="45"/>
      <c r="AD16" s="45"/>
      <c r="AE16" s="45"/>
      <c r="AF16" s="45"/>
      <c r="AG16" s="45"/>
      <c r="AH16" s="45"/>
      <c r="AI16" s="45"/>
      <c r="AJ16" s="35"/>
    </row>
    <row r="17" spans="1:36" ht="15" x14ac:dyDescent="0.2">
      <c r="A17" s="48" t="s">
        <v>127</v>
      </c>
      <c r="B17" s="47">
        <v>0</v>
      </c>
      <c r="C17" s="38">
        <v>0</v>
      </c>
      <c r="D17" s="38">
        <v>0</v>
      </c>
      <c r="E17" s="38">
        <v>0</v>
      </c>
      <c r="F17" s="38">
        <v>334</v>
      </c>
      <c r="G17" s="38"/>
      <c r="H17" s="38"/>
      <c r="I17" s="38">
        <v>700</v>
      </c>
      <c r="J17" s="38">
        <v>700</v>
      </c>
      <c r="K17" s="38">
        <v>1200</v>
      </c>
      <c r="L17" s="38">
        <v>1000</v>
      </c>
      <c r="M17" s="38">
        <v>1400</v>
      </c>
      <c r="N17" s="38">
        <v>1100</v>
      </c>
      <c r="O17" s="38">
        <v>1200</v>
      </c>
      <c r="P17" s="38">
        <v>1400</v>
      </c>
      <c r="Q17" s="38">
        <v>300</v>
      </c>
      <c r="R17" s="43">
        <f>RATE(5,,-K17,P17)</f>
        <v>3.1310306478541626E-2</v>
      </c>
      <c r="S17" s="44" t="str">
        <f t="shared" si="2"/>
        <v xml:space="preserve">       Cumulative Affect of Accounting Chng and Other</v>
      </c>
      <c r="T17" s="45">
        <f>B17/T$10</f>
        <v>0</v>
      </c>
      <c r="U17" s="45">
        <f>C17/U$10</f>
        <v>0</v>
      </c>
      <c r="V17" s="45">
        <f>D17/V$10</f>
        <v>0</v>
      </c>
      <c r="W17" s="45">
        <f>E17/W$10</f>
        <v>0</v>
      </c>
      <c r="X17" s="45">
        <f>F17/X$10</f>
        <v>5.3784652050338565E-4</v>
      </c>
      <c r="Y17" s="45"/>
      <c r="Z17" s="45"/>
      <c r="AA17" s="45">
        <f>I17/AA$10</f>
        <v>6.5752395265827543E-4</v>
      </c>
      <c r="AB17" s="45">
        <f t="shared" ref="AB17:AI17" si="8">J17/AB$10</f>
        <v>7.5067024128686326E-4</v>
      </c>
      <c r="AC17" s="45">
        <f t="shared" si="8"/>
        <v>1.1996401079676098E-3</v>
      </c>
      <c r="AD17" s="45">
        <f t="shared" si="8"/>
        <v>1.0870746820306554E-3</v>
      </c>
      <c r="AE17" s="45">
        <f t="shared" si="8"/>
        <v>1.5505593088935652E-3</v>
      </c>
      <c r="AF17" s="45">
        <f t="shared" si="8"/>
        <v>1.1354252683732453E-3</v>
      </c>
      <c r="AG17" s="45">
        <f t="shared" si="8"/>
        <v>1.3917884481558804E-3</v>
      </c>
      <c r="AH17" s="45">
        <f t="shared" si="8"/>
        <v>1.4201663623453033E-3</v>
      </c>
      <c r="AI17" s="45">
        <f t="shared" si="8"/>
        <v>7.5700227100681302E-4</v>
      </c>
      <c r="AJ17" s="45">
        <f>AVERAGE(AD17:AH17)</f>
        <v>1.31700281395973E-3</v>
      </c>
    </row>
    <row r="18" spans="1:36" ht="15" x14ac:dyDescent="0.2">
      <c r="A18" s="36" t="s">
        <v>79</v>
      </c>
      <c r="B18" s="37"/>
      <c r="C18" s="38"/>
      <c r="D18" s="38"/>
      <c r="E18" s="49"/>
      <c r="F18" s="49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43"/>
      <c r="S18" s="44" t="str">
        <f t="shared" si="2"/>
        <v xml:space="preserve">   Changes in: </v>
      </c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35"/>
    </row>
    <row r="19" spans="1:36" ht="15" x14ac:dyDescent="0.2">
      <c r="A19" s="50" t="s">
        <v>100</v>
      </c>
      <c r="B19" s="30">
        <v>-2586</v>
      </c>
      <c r="C19" s="38">
        <v>-32003</v>
      </c>
      <c r="D19" s="38">
        <v>7402</v>
      </c>
      <c r="E19" s="38">
        <v>25099</v>
      </c>
      <c r="F19" s="38">
        <v>-22359</v>
      </c>
      <c r="G19" s="38">
        <v>-5800</v>
      </c>
      <c r="H19" s="38">
        <v>-53100</v>
      </c>
      <c r="I19" s="38">
        <v>36600</v>
      </c>
      <c r="J19" s="38"/>
      <c r="K19" s="38">
        <v>-21600</v>
      </c>
      <c r="L19" s="38">
        <v>7700</v>
      </c>
      <c r="M19" s="38">
        <v>-4400</v>
      </c>
      <c r="N19" s="38">
        <v>5000</v>
      </c>
      <c r="O19" s="38">
        <v>-12700</v>
      </c>
      <c r="P19" s="38">
        <v>-43700</v>
      </c>
      <c r="Q19" s="38">
        <v>45300</v>
      </c>
      <c r="R19" s="43">
        <f t="shared" ref="R19:R21" si="9">RATE(5,,-K19,P19)</f>
        <v>0.15134515347235084</v>
      </c>
      <c r="S19" s="44" t="str">
        <f t="shared" si="2"/>
        <v xml:space="preserve">      Accounts receivable</v>
      </c>
      <c r="T19" s="45">
        <f t="shared" ref="T19:AA21" si="10">B19/T$10</f>
        <v>-5.7474713126504373E-3</v>
      </c>
      <c r="U19" s="45">
        <f t="shared" si="10"/>
        <v>-5.9622327959132727E-2</v>
      </c>
      <c r="V19" s="45">
        <f t="shared" si="10"/>
        <v>1.0512517166988821E-2</v>
      </c>
      <c r="W19" s="45">
        <f t="shared" si="10"/>
        <v>4.2146996445069862E-2</v>
      </c>
      <c r="X19" s="45">
        <f t="shared" si="10"/>
        <v>-3.6005120814177248E-2</v>
      </c>
      <c r="Y19" s="45">
        <f t="shared" si="10"/>
        <v>-7.5897057418741077E-3</v>
      </c>
      <c r="Z19" s="45">
        <f t="shared" si="10"/>
        <v>-5.5166137341864867E-2</v>
      </c>
      <c r="AA19" s="45">
        <f t="shared" si="10"/>
        <v>3.4379109524704111E-2</v>
      </c>
      <c r="AB19" s="45"/>
      <c r="AC19" s="45">
        <f t="shared" ref="AC19:AI21" si="11">K19/AC$10</f>
        <v>-2.1593521943416974E-2</v>
      </c>
      <c r="AD19" s="45">
        <f t="shared" si="11"/>
        <v>8.3704750516360466E-3</v>
      </c>
      <c r="AE19" s="45">
        <f t="shared" si="11"/>
        <v>-4.8731863993797765E-3</v>
      </c>
      <c r="AF19" s="45">
        <f t="shared" si="11"/>
        <v>5.1610239471511152E-3</v>
      </c>
      <c r="AG19" s="45">
        <f t="shared" si="11"/>
        <v>-1.47297610763164E-2</v>
      </c>
      <c r="AH19" s="45">
        <f t="shared" si="11"/>
        <v>-4.4329478596064113E-2</v>
      </c>
      <c r="AI19" s="45">
        <f t="shared" si="11"/>
        <v>0.11430734292202877</v>
      </c>
      <c r="AJ19" s="45">
        <f t="shared" ref="AJ19:AJ21" si="12">AVERAGE(AD19:AH19)</f>
        <v>-1.0080185414594624E-2</v>
      </c>
    </row>
    <row r="20" spans="1:36" ht="15" x14ac:dyDescent="0.2">
      <c r="A20" s="50" t="s">
        <v>174</v>
      </c>
      <c r="B20" s="47">
        <v>616</v>
      </c>
      <c r="C20" s="38">
        <v>-4306</v>
      </c>
      <c r="D20" s="38">
        <v>-877</v>
      </c>
      <c r="E20" s="38">
        <v>208</v>
      </c>
      <c r="F20" s="38">
        <v>-1172</v>
      </c>
      <c r="G20" s="38">
        <v>-22000</v>
      </c>
      <c r="H20" s="38">
        <v>-14200</v>
      </c>
      <c r="I20" s="38">
        <v>6200</v>
      </c>
      <c r="J20" s="38">
        <f>8000</f>
        <v>8000</v>
      </c>
      <c r="K20" s="38">
        <v>-23600</v>
      </c>
      <c r="L20" s="38">
        <v>21200</v>
      </c>
      <c r="M20" s="38">
        <v>3400</v>
      </c>
      <c r="N20" s="38">
        <v>-1300</v>
      </c>
      <c r="O20" s="38">
        <v>700</v>
      </c>
      <c r="P20" s="38">
        <v>500</v>
      </c>
      <c r="Q20" s="38"/>
      <c r="R20" s="43"/>
      <c r="S20" s="44" t="str">
        <f t="shared" si="2"/>
        <v xml:space="preserve">      Inventories</v>
      </c>
      <c r="T20" s="45">
        <f t="shared" si="10"/>
        <v>1.3690805601673122E-3</v>
      </c>
      <c r="U20" s="45">
        <f t="shared" si="10"/>
        <v>-8.022177426867028E-3</v>
      </c>
      <c r="V20" s="45">
        <f t="shared" si="10"/>
        <v>-1.2455387132463112E-3</v>
      </c>
      <c r="W20" s="45">
        <f t="shared" si="10"/>
        <v>3.4927986216879288E-4</v>
      </c>
      <c r="X20" s="45">
        <f t="shared" si="10"/>
        <v>-1.8872937785328384E-3</v>
      </c>
      <c r="Y20" s="45">
        <f t="shared" si="10"/>
        <v>-2.8788539020901789E-2</v>
      </c>
      <c r="Z20" s="45">
        <f t="shared" si="10"/>
        <v>-1.4752526370140887E-2</v>
      </c>
      <c r="AA20" s="45">
        <f t="shared" si="10"/>
        <v>5.8237835806875821E-3</v>
      </c>
      <c r="AB20" s="45">
        <f>J20/AB$10</f>
        <v>8.5790884718498668E-3</v>
      </c>
      <c r="AC20" s="45">
        <f t="shared" si="11"/>
        <v>-2.3592922123362992E-2</v>
      </c>
      <c r="AD20" s="45">
        <f t="shared" si="11"/>
        <v>2.3045983259049895E-2</v>
      </c>
      <c r="AE20" s="45">
        <f t="shared" si="11"/>
        <v>3.7656440358843726E-3</v>
      </c>
      <c r="AF20" s="45">
        <f t="shared" si="11"/>
        <v>-1.3418662262592899E-3</v>
      </c>
      <c r="AG20" s="45">
        <f t="shared" si="11"/>
        <v>8.118765947575968E-4</v>
      </c>
      <c r="AH20" s="45">
        <f t="shared" si="11"/>
        <v>5.0720227226617976E-4</v>
      </c>
      <c r="AI20" s="45">
        <f t="shared" si="11"/>
        <v>0</v>
      </c>
      <c r="AJ20" s="45">
        <f t="shared" si="12"/>
        <v>5.3577679871397513E-3</v>
      </c>
    </row>
    <row r="21" spans="1:36" ht="15" x14ac:dyDescent="0.2">
      <c r="A21" s="50" t="s">
        <v>102</v>
      </c>
      <c r="B21" s="47">
        <v>-3019</v>
      </c>
      <c r="C21" s="38">
        <v>61717</v>
      </c>
      <c r="D21" s="38">
        <v>-47661</v>
      </c>
      <c r="E21" s="38">
        <v>-4164</v>
      </c>
      <c r="F21" s="38">
        <v>13832</v>
      </c>
      <c r="G21" s="38">
        <v>40200</v>
      </c>
      <c r="H21" s="38">
        <v>52200</v>
      </c>
      <c r="I21" s="38">
        <v>-27300</v>
      </c>
      <c r="J21" s="38">
        <f>10300</f>
        <v>10300</v>
      </c>
      <c r="K21" s="38">
        <v>4300</v>
      </c>
      <c r="L21" s="38">
        <f>-1400+800+7900</f>
        <v>7300</v>
      </c>
      <c r="M21" s="38">
        <v>-21600</v>
      </c>
      <c r="N21" s="38">
        <v>-1800</v>
      </c>
      <c r="O21" s="38">
        <v>7800</v>
      </c>
      <c r="P21" s="38">
        <v>29500</v>
      </c>
      <c r="Q21" s="38"/>
      <c r="R21" s="43">
        <f t="shared" si="9"/>
        <v>0.46984220005802502</v>
      </c>
      <c r="S21" s="44" t="str">
        <f t="shared" si="2"/>
        <v xml:space="preserve">      Accounts payable and accrued expenses</v>
      </c>
      <c r="T21" s="45">
        <f t="shared" si="10"/>
        <v>-6.7098282648459674E-3</v>
      </c>
      <c r="U21" s="45">
        <f t="shared" si="10"/>
        <v>0.11498019606455002</v>
      </c>
      <c r="V21" s="45">
        <f t="shared" si="10"/>
        <v>-6.7689419169934373E-2</v>
      </c>
      <c r="W21" s="45">
        <f t="shared" si="10"/>
        <v>-6.9923141638021796E-3</v>
      </c>
      <c r="X21" s="45">
        <f t="shared" si="10"/>
        <v>2.2273931352104284E-2</v>
      </c>
      <c r="Y21" s="45">
        <f t="shared" si="10"/>
        <v>5.2604512210920537E-2</v>
      </c>
      <c r="Z21" s="45">
        <f t="shared" si="10"/>
        <v>5.4231118064884107E-2</v>
      </c>
      <c r="AA21" s="45">
        <f t="shared" si="10"/>
        <v>-2.5643434153672741E-2</v>
      </c>
      <c r="AB21" s="45">
        <f>J21/AB$10</f>
        <v>1.1045576407506702E-2</v>
      </c>
      <c r="AC21" s="45">
        <f t="shared" si="11"/>
        <v>4.2987103868839345E-3</v>
      </c>
      <c r="AD21" s="45">
        <f t="shared" si="11"/>
        <v>7.9356451788237855E-3</v>
      </c>
      <c r="AE21" s="45">
        <f t="shared" si="11"/>
        <v>-2.392291505150072E-2</v>
      </c>
      <c r="AF21" s="45">
        <f t="shared" si="11"/>
        <v>-1.8579686209744012E-3</v>
      </c>
      <c r="AG21" s="45">
        <f t="shared" si="11"/>
        <v>9.046624913013222E-3</v>
      </c>
      <c r="AH21" s="45">
        <f t="shared" si="11"/>
        <v>2.9924934063704604E-2</v>
      </c>
      <c r="AI21" s="45">
        <f t="shared" si="11"/>
        <v>0</v>
      </c>
      <c r="AJ21" s="45">
        <f t="shared" si="12"/>
        <v>4.2252640966132975E-3</v>
      </c>
    </row>
    <row r="22" spans="1:36" ht="15" x14ac:dyDescent="0.2">
      <c r="A22" s="50" t="s">
        <v>103</v>
      </c>
      <c r="B22" s="47">
        <v>0</v>
      </c>
      <c r="C22" s="38">
        <v>0</v>
      </c>
      <c r="D22" s="38">
        <v>0</v>
      </c>
      <c r="E22" s="38">
        <v>0</v>
      </c>
      <c r="F22" s="38">
        <v>24939</v>
      </c>
      <c r="G22" s="38">
        <v>-4300</v>
      </c>
      <c r="H22" s="38">
        <v>-20600</v>
      </c>
      <c r="I22" s="38"/>
      <c r="J22" s="38"/>
      <c r="K22" s="38"/>
      <c r="L22" s="38"/>
      <c r="M22" s="38"/>
      <c r="N22" s="38"/>
      <c r="O22" s="38"/>
      <c r="P22" s="38"/>
      <c r="Q22" s="38"/>
      <c r="R22" s="43"/>
      <c r="S22" s="44" t="str">
        <f t="shared" si="2"/>
        <v xml:space="preserve">      Rate-refund obligation</v>
      </c>
      <c r="T22" s="45">
        <f t="shared" ref="T22:Z24" si="13">B22/T$10</f>
        <v>0</v>
      </c>
      <c r="U22" s="45">
        <f t="shared" si="13"/>
        <v>0</v>
      </c>
      <c r="V22" s="45">
        <f t="shared" si="13"/>
        <v>0</v>
      </c>
      <c r="W22" s="45">
        <f t="shared" si="13"/>
        <v>0</v>
      </c>
      <c r="X22" s="45">
        <f t="shared" si="13"/>
        <v>4.0159743637227352E-2</v>
      </c>
      <c r="Y22" s="45">
        <f t="shared" si="13"/>
        <v>-5.6268508086308039E-3</v>
      </c>
      <c r="Z22" s="45">
        <f t="shared" si="13"/>
        <v>-2.1401552339781849E-2</v>
      </c>
      <c r="AA22" s="45"/>
      <c r="AB22" s="45"/>
      <c r="AC22" s="45"/>
      <c r="AD22" s="45"/>
      <c r="AE22" s="45"/>
      <c r="AF22" s="45"/>
      <c r="AG22" s="45"/>
      <c r="AH22" s="45"/>
      <c r="AI22" s="45"/>
      <c r="AJ22" s="35"/>
    </row>
    <row r="23" spans="1:36" ht="15" x14ac:dyDescent="0.2">
      <c r="A23" s="50" t="s">
        <v>104</v>
      </c>
      <c r="B23" s="47">
        <v>1635</v>
      </c>
      <c r="C23" s="38">
        <v>-35133</v>
      </c>
      <c r="D23" s="38">
        <v>27246</v>
      </c>
      <c r="E23" s="38">
        <v>21578</v>
      </c>
      <c r="F23" s="38">
        <v>-13834</v>
      </c>
      <c r="G23" s="38">
        <v>-35300</v>
      </c>
      <c r="H23" s="38">
        <v>-4000</v>
      </c>
      <c r="I23" s="38">
        <v>81700</v>
      </c>
      <c r="J23" s="38">
        <f>16200</f>
        <v>16200</v>
      </c>
      <c r="K23" s="38">
        <v>-12300</v>
      </c>
      <c r="L23" s="38">
        <v>-23700</v>
      </c>
      <c r="M23" s="38"/>
      <c r="N23" s="38"/>
      <c r="O23" s="38"/>
      <c r="P23" s="38"/>
      <c r="Q23" s="38"/>
      <c r="R23" s="43"/>
      <c r="S23" s="44" t="str">
        <f t="shared" si="2"/>
        <v xml:space="preserve">      Purchased-gas adjustments</v>
      </c>
      <c r="T23" s="45">
        <f t="shared" si="13"/>
        <v>3.6338420712233046E-3</v>
      </c>
      <c r="U23" s="45">
        <f t="shared" si="13"/>
        <v>-6.5453590231797337E-2</v>
      </c>
      <c r="V23" s="45">
        <f t="shared" si="13"/>
        <v>3.8695493479029647E-2</v>
      </c>
      <c r="W23" s="45">
        <f t="shared" si="13"/>
        <v>3.6234427239799097E-2</v>
      </c>
      <c r="X23" s="45">
        <f t="shared" si="13"/>
        <v>-2.2277151989951609E-2</v>
      </c>
      <c r="Y23" s="45">
        <f t="shared" si="13"/>
        <v>-4.6192519428992412E-2</v>
      </c>
      <c r="Z23" s="45">
        <f t="shared" si="13"/>
        <v>-4.1556412310256021E-3</v>
      </c>
      <c r="AA23" s="45">
        <f t="shared" ref="AA23:AD24" si="14">I23/AA$10</f>
        <v>7.6742438474544428E-2</v>
      </c>
      <c r="AB23" s="45">
        <f t="shared" si="14"/>
        <v>1.7372654155495978E-2</v>
      </c>
      <c r="AC23" s="45">
        <f t="shared" si="14"/>
        <v>-1.2296311106668E-2</v>
      </c>
      <c r="AD23" s="45">
        <f t="shared" si="14"/>
        <v>-2.5763669964126535E-2</v>
      </c>
      <c r="AE23" s="45"/>
      <c r="AF23" s="45"/>
      <c r="AG23" s="45"/>
      <c r="AH23" s="45"/>
      <c r="AI23" s="45"/>
      <c r="AJ23" s="45">
        <f t="shared" ref="AJ23:AJ24" si="15">AVERAGE(AD23:AH23)</f>
        <v>-2.5763669964126535E-2</v>
      </c>
    </row>
    <row r="24" spans="1:36" ht="15" x14ac:dyDescent="0.2">
      <c r="A24" s="50" t="s">
        <v>122</v>
      </c>
      <c r="B24" s="47">
        <f>-330+2875</f>
        <v>2545</v>
      </c>
      <c r="C24" s="38">
        <f>2395-6156-562</f>
        <v>-4323</v>
      </c>
      <c r="D24" s="38">
        <f>-340+3328+2549</f>
        <v>5537</v>
      </c>
      <c r="E24" s="38">
        <f>-377+4522-371</f>
        <v>3774</v>
      </c>
      <c r="F24" s="38">
        <f>-306-3798+5469</f>
        <v>1365</v>
      </c>
      <c r="G24" s="38">
        <f>4600-9100-400</f>
        <v>-4900</v>
      </c>
      <c r="H24" s="38">
        <f>10900+1200+0</f>
        <v>12100</v>
      </c>
      <c r="I24" s="38">
        <f>5300+6300+800</f>
        <v>12400</v>
      </c>
      <c r="J24" s="38">
        <f>500-500-4800</f>
        <v>-4800</v>
      </c>
      <c r="K24" s="38">
        <f>500-3100-8400</f>
        <v>-11000</v>
      </c>
      <c r="L24" s="38">
        <v>-17700</v>
      </c>
      <c r="M24" s="38">
        <f>-8500+500</f>
        <v>-8000</v>
      </c>
      <c r="N24" s="38">
        <v>6000</v>
      </c>
      <c r="O24" s="38">
        <f>1500-100</f>
        <v>1400</v>
      </c>
      <c r="P24" s="38">
        <f>-2800+200</f>
        <v>-2600</v>
      </c>
      <c r="Q24" s="38"/>
      <c r="R24" s="43"/>
      <c r="S24" s="44" t="str">
        <f t="shared" si="2"/>
        <v xml:space="preserve">      Other Assets and Liabilities</v>
      </c>
      <c r="T24" s="45">
        <f t="shared" si="13"/>
        <v>5.6563474441977436E-3</v>
      </c>
      <c r="U24" s="45">
        <f t="shared" si="13"/>
        <v>-8.0538488194022671E-3</v>
      </c>
      <c r="V24" s="45">
        <f t="shared" si="13"/>
        <v>7.8637945897888552E-3</v>
      </c>
      <c r="W24" s="45">
        <f t="shared" si="13"/>
        <v>6.337414422235693E-3</v>
      </c>
      <c r="X24" s="45">
        <f t="shared" si="13"/>
        <v>2.198085330799765E-3</v>
      </c>
      <c r="Y24" s="45">
        <f t="shared" si="13"/>
        <v>-6.4119927819281256E-3</v>
      </c>
      <c r="Z24" s="45">
        <f t="shared" si="13"/>
        <v>1.2570814723852446E-2</v>
      </c>
      <c r="AA24" s="45">
        <f t="shared" si="14"/>
        <v>1.1647567161375164E-2</v>
      </c>
      <c r="AB24" s="45">
        <f t="shared" si="14"/>
        <v>-5.1474530831099197E-3</v>
      </c>
      <c r="AC24" s="45">
        <f t="shared" si="14"/>
        <v>-1.0996700989703088E-2</v>
      </c>
      <c r="AD24" s="45">
        <f t="shared" si="14"/>
        <v>-1.9241221871942601E-2</v>
      </c>
      <c r="AE24" s="45">
        <f>M24/AE$10</f>
        <v>-8.8603389079632295E-3</v>
      </c>
      <c r="AF24" s="45">
        <f>N24/AF$10</f>
        <v>6.1932287365813379E-3</v>
      </c>
      <c r="AG24" s="45">
        <f>O24/AG$10</f>
        <v>1.6237531895151936E-3</v>
      </c>
      <c r="AH24" s="45">
        <f>P24/AH$10</f>
        <v>-2.6374518157841345E-3</v>
      </c>
      <c r="AI24" s="45">
        <f>Q24/AI$10</f>
        <v>0</v>
      </c>
      <c r="AJ24" s="45">
        <f t="shared" si="15"/>
        <v>-4.5844061339186861E-3</v>
      </c>
    </row>
    <row r="25" spans="1:36" ht="15" x14ac:dyDescent="0.2">
      <c r="A25" s="176" t="s">
        <v>175</v>
      </c>
      <c r="B25" s="47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>
        <v>-37000</v>
      </c>
      <c r="N25" s="38">
        <v>17400</v>
      </c>
      <c r="O25" s="38">
        <f>-24400-6400</f>
        <v>-30800</v>
      </c>
      <c r="P25" s="38">
        <f>17600+5400</f>
        <v>23000</v>
      </c>
      <c r="Q25" s="38"/>
      <c r="R25" s="43"/>
      <c r="S25" s="44" t="str">
        <f t="shared" si="2"/>
        <v xml:space="preserve">      Regulatory Assets, Liabilities &amp; Other</v>
      </c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35"/>
    </row>
    <row r="26" spans="1:36" ht="12.75" customHeight="1" x14ac:dyDescent="0.2">
      <c r="A26" s="42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51"/>
      <c r="S26" s="44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125"/>
    </row>
    <row r="27" spans="1:36" ht="15" x14ac:dyDescent="0.2">
      <c r="A27" s="42" t="s">
        <v>80</v>
      </c>
      <c r="B27" s="52">
        <f t="shared" ref="B27:I27" si="16">SUM(B11:B26)</f>
        <v>63209</v>
      </c>
      <c r="C27" s="52">
        <f t="shared" si="16"/>
        <v>61643</v>
      </c>
      <c r="D27" s="52">
        <f t="shared" si="16"/>
        <v>42261</v>
      </c>
      <c r="E27" s="52">
        <f t="shared" si="16"/>
        <v>124341</v>
      </c>
      <c r="F27" s="52">
        <f t="shared" si="16"/>
        <v>76152</v>
      </c>
      <c r="G27" s="52">
        <f t="shared" si="16"/>
        <v>77561</v>
      </c>
      <c r="H27" s="52">
        <f t="shared" si="16"/>
        <v>62175</v>
      </c>
      <c r="I27" s="52">
        <f t="shared" si="16"/>
        <v>177200</v>
      </c>
      <c r="J27" s="52">
        <f>SUM(J11:J26)</f>
        <v>114500</v>
      </c>
      <c r="K27" s="52">
        <f t="shared" ref="K27:O27" si="17">SUM(K11:K26)</f>
        <v>52700</v>
      </c>
      <c r="L27" s="52">
        <f t="shared" si="17"/>
        <v>119300</v>
      </c>
      <c r="M27" s="52">
        <f t="shared" si="17"/>
        <v>69300</v>
      </c>
      <c r="N27" s="52">
        <f t="shared" ref="N27" si="18">SUM(N11:N26)</f>
        <v>146900</v>
      </c>
      <c r="O27" s="52">
        <f t="shared" si="17"/>
        <v>112700</v>
      </c>
      <c r="P27" s="52">
        <f t="shared" ref="P27:Q27" si="19">SUM(P11:P26)</f>
        <v>153300</v>
      </c>
      <c r="Q27" s="52">
        <f t="shared" si="19"/>
        <v>99700</v>
      </c>
      <c r="R27" s="43">
        <f>RATE(5,,-K27,P27)</f>
        <v>0.23807315781431904</v>
      </c>
      <c r="S27" s="44" t="s">
        <v>80</v>
      </c>
      <c r="T27" s="53">
        <f t="shared" ref="T27:AI27" si="20">(B27/T$10)</f>
        <v>0.14048411222015528</v>
      </c>
      <c r="U27" s="53">
        <f t="shared" si="20"/>
        <v>0.11484233235586722</v>
      </c>
      <c r="V27" s="53">
        <f t="shared" si="20"/>
        <v>6.0020195622009533E-2</v>
      </c>
      <c r="W27" s="53">
        <f t="shared" si="20"/>
        <v>0.20879715068235516</v>
      </c>
      <c r="X27" s="53">
        <f t="shared" si="20"/>
        <v>0.12262900667477195</v>
      </c>
      <c r="Y27" s="53">
        <f t="shared" si="20"/>
        <v>0.10149399431818926</v>
      </c>
      <c r="Z27" s="53">
        <f t="shared" si="20"/>
        <v>6.4594248384754194E-2</v>
      </c>
      <c r="AA27" s="53">
        <f t="shared" si="20"/>
        <v>0.16644749201578057</v>
      </c>
      <c r="AB27" s="53">
        <f t="shared" si="20"/>
        <v>0.12278820375335121</v>
      </c>
      <c r="AC27" s="53">
        <f t="shared" si="20"/>
        <v>5.2684194741577525E-2</v>
      </c>
      <c r="AD27" s="53">
        <f t="shared" si="20"/>
        <v>0.1296880095662572</v>
      </c>
      <c r="AE27" s="53">
        <f t="shared" si="20"/>
        <v>7.6752685790231479E-2</v>
      </c>
      <c r="AF27" s="53">
        <f t="shared" si="20"/>
        <v>0.15163088356729976</v>
      </c>
      <c r="AG27" s="53">
        <f t="shared" si="20"/>
        <v>0.1307121317559731</v>
      </c>
      <c r="AH27" s="53">
        <f t="shared" si="20"/>
        <v>0.15550821667681072</v>
      </c>
      <c r="AI27" s="53">
        <f t="shared" si="20"/>
        <v>0.25157708806459755</v>
      </c>
      <c r="AJ27" s="45">
        <f>AVERAGE(AD27:AH27)</f>
        <v>0.12885838547131445</v>
      </c>
    </row>
    <row r="28" spans="1:36" ht="12" customHeight="1" x14ac:dyDescent="0.2">
      <c r="A28" s="42"/>
      <c r="B28" s="47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43"/>
      <c r="S28" s="44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35"/>
    </row>
    <row r="29" spans="1:36" ht="15" x14ac:dyDescent="0.2">
      <c r="A29" s="36" t="s">
        <v>81</v>
      </c>
      <c r="B29" s="37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43"/>
      <c r="S29" s="40" t="s">
        <v>81</v>
      </c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35"/>
    </row>
    <row r="30" spans="1:36" ht="15" x14ac:dyDescent="0.2">
      <c r="A30" s="42" t="s">
        <v>82</v>
      </c>
      <c r="B30" s="30">
        <v>-68447</v>
      </c>
      <c r="C30" s="38">
        <v>-65767</v>
      </c>
      <c r="D30" s="38">
        <v>-78791</v>
      </c>
      <c r="E30" s="38">
        <v>-72019</v>
      </c>
      <c r="F30" s="38">
        <v>-71383</v>
      </c>
      <c r="G30" s="38">
        <v>-77000</v>
      </c>
      <c r="H30" s="38">
        <v>-67900</v>
      </c>
      <c r="I30" s="38">
        <v>-86700</v>
      </c>
      <c r="J30" s="38">
        <f>-135900</f>
        <v>-135900</v>
      </c>
      <c r="K30" s="38">
        <v>-126300</v>
      </c>
      <c r="L30" s="38">
        <f>-82600</f>
        <v>-82600</v>
      </c>
      <c r="M30" s="38">
        <v>-108600</v>
      </c>
      <c r="N30" s="38">
        <v>-121500</v>
      </c>
      <c r="O30" s="38">
        <v>-162100</v>
      </c>
      <c r="P30" s="38">
        <v>-166200</v>
      </c>
      <c r="Q30" s="38">
        <v>-48900</v>
      </c>
      <c r="R30" s="43">
        <f t="shared" ref="R30:R31" si="21">RATE(5,,-K30,P30)</f>
        <v>5.6441696056300145E-2</v>
      </c>
      <c r="S30" s="40" t="str">
        <f>A30</f>
        <v xml:space="preserve">     Capital expenditures</v>
      </c>
      <c r="T30" s="45">
        <f t="shared" ref="T30:AI31" si="22">(B30/T$10)</f>
        <v>-0.15212574204833121</v>
      </c>
      <c r="U30" s="45">
        <f t="shared" si="22"/>
        <v>-0.12252543958029816</v>
      </c>
      <c r="V30" s="45">
        <f t="shared" si="22"/>
        <v>-0.1119010726971381</v>
      </c>
      <c r="W30" s="45">
        <f t="shared" si="22"/>
        <v>-0.12093647304583795</v>
      </c>
      <c r="X30" s="45">
        <f t="shared" si="22"/>
        <v>-0.11494939572782389</v>
      </c>
      <c r="Y30" s="45">
        <f t="shared" si="22"/>
        <v>-0.10075988657315625</v>
      </c>
      <c r="Z30" s="45">
        <f t="shared" si="22"/>
        <v>-7.0542009896659597E-2</v>
      </c>
      <c r="AA30" s="45">
        <f t="shared" si="22"/>
        <v>-8.1439038136389252E-2</v>
      </c>
      <c r="AB30" s="45">
        <f t="shared" si="22"/>
        <v>-0.1457372654155496</v>
      </c>
      <c r="AC30" s="45">
        <f t="shared" si="22"/>
        <v>-0.12626212136359091</v>
      </c>
      <c r="AD30" s="45">
        <f t="shared" si="22"/>
        <v>-8.9792368735732139E-2</v>
      </c>
      <c r="AE30" s="45">
        <f t="shared" si="22"/>
        <v>-0.12027910067560084</v>
      </c>
      <c r="AF30" s="45">
        <f t="shared" si="22"/>
        <v>-0.1254128819157721</v>
      </c>
      <c r="AG30" s="45">
        <f t="shared" si="22"/>
        <v>-0.18800742287172351</v>
      </c>
      <c r="AH30" s="45">
        <f t="shared" si="22"/>
        <v>-0.16859403530127814</v>
      </c>
      <c r="AI30" s="45">
        <f t="shared" si="22"/>
        <v>-0.12339137017411052</v>
      </c>
      <c r="AJ30" s="45">
        <f t="shared" ref="AJ30:AJ32" si="23">AVERAGE(AD30:AH30)</f>
        <v>-0.13841716190002135</v>
      </c>
    </row>
    <row r="31" spans="1:36" ht="15" x14ac:dyDescent="0.2">
      <c r="A31" s="42" t="s">
        <v>83</v>
      </c>
      <c r="B31" s="37">
        <v>2103</v>
      </c>
      <c r="C31" s="38">
        <v>498</v>
      </c>
      <c r="D31" s="38">
        <v>3014</v>
      </c>
      <c r="E31" s="38">
        <v>1005</v>
      </c>
      <c r="F31" s="38">
        <v>632</v>
      </c>
      <c r="G31" s="38">
        <v>-3200</v>
      </c>
      <c r="H31" s="38">
        <v>600</v>
      </c>
      <c r="I31" s="38">
        <v>600</v>
      </c>
      <c r="J31" s="38">
        <f>-2800</f>
        <v>-2800</v>
      </c>
      <c r="K31" s="38">
        <f>-3400+300</f>
        <v>-3100</v>
      </c>
      <c r="L31" s="38">
        <v>-1300</v>
      </c>
      <c r="M31" s="38">
        <v>-1000</v>
      </c>
      <c r="N31" s="38">
        <v>-2000</v>
      </c>
      <c r="O31" s="38">
        <f>-2300+400</f>
        <v>-1900</v>
      </c>
      <c r="P31" s="38">
        <f>300-3900</f>
        <v>-3600</v>
      </c>
      <c r="Q31" s="38">
        <v>-900</v>
      </c>
      <c r="R31" s="43">
        <f t="shared" si="21"/>
        <v>3.0358033102810131E-2</v>
      </c>
      <c r="S31" s="40" t="str">
        <f>A31</f>
        <v xml:space="preserve">     Proceeds from sales of assets</v>
      </c>
      <c r="T31" s="45">
        <f t="shared" si="22"/>
        <v>4.673987691610159E-3</v>
      </c>
      <c r="U31" s="45">
        <f t="shared" si="22"/>
        <v>9.2778549897347428E-4</v>
      </c>
      <c r="V31" s="45">
        <f t="shared" si="22"/>
        <v>4.2805629210084179E-3</v>
      </c>
      <c r="W31" s="45">
        <f t="shared" si="22"/>
        <v>1.6876262571136386E-3</v>
      </c>
      <c r="X31" s="45">
        <f t="shared" si="22"/>
        <v>1.0177215597549094E-3</v>
      </c>
      <c r="Y31" s="45">
        <f t="shared" si="22"/>
        <v>-4.1874238575857143E-3</v>
      </c>
      <c r="Z31" s="45">
        <f t="shared" si="22"/>
        <v>6.2334618465384028E-4</v>
      </c>
      <c r="AA31" s="45">
        <f t="shared" si="22"/>
        <v>5.6359195942137894E-4</v>
      </c>
      <c r="AB31" s="45">
        <f t="shared" si="22"/>
        <v>-3.002680965147453E-3</v>
      </c>
      <c r="AC31" s="45">
        <f t="shared" si="22"/>
        <v>-3.0990702789163251E-3</v>
      </c>
      <c r="AD31" s="45">
        <f t="shared" si="22"/>
        <v>-1.4131970866398521E-3</v>
      </c>
      <c r="AE31" s="45">
        <f t="shared" si="22"/>
        <v>-1.1075423634954037E-3</v>
      </c>
      <c r="AF31" s="45">
        <f t="shared" si="22"/>
        <v>-2.0644095788604458E-3</v>
      </c>
      <c r="AG31" s="45">
        <f t="shared" si="22"/>
        <v>-2.2036650429134771E-3</v>
      </c>
      <c r="AH31" s="45">
        <f t="shared" si="22"/>
        <v>-3.6518563603164943E-3</v>
      </c>
      <c r="AI31" s="45">
        <f t="shared" si="22"/>
        <v>-2.2710068130204391E-3</v>
      </c>
      <c r="AJ31" s="45">
        <f t="shared" si="23"/>
        <v>-2.0881340864451346E-3</v>
      </c>
    </row>
    <row r="32" spans="1:36" ht="15" x14ac:dyDescent="0.2">
      <c r="A32" s="42" t="s">
        <v>84</v>
      </c>
      <c r="B32" s="37">
        <v>0</v>
      </c>
      <c r="C32" s="38">
        <v>0</v>
      </c>
      <c r="D32" s="38">
        <v>0</v>
      </c>
      <c r="E32" s="38">
        <v>0</v>
      </c>
      <c r="F32" s="38">
        <v>0</v>
      </c>
      <c r="G32" s="38">
        <v>0</v>
      </c>
      <c r="H32" s="38">
        <v>0</v>
      </c>
      <c r="I32" s="38">
        <v>0</v>
      </c>
      <c r="J32" s="38">
        <v>2000</v>
      </c>
      <c r="K32" s="38">
        <v>500</v>
      </c>
      <c r="L32" s="38">
        <v>100</v>
      </c>
      <c r="M32" s="38"/>
      <c r="N32" s="38">
        <v>100</v>
      </c>
      <c r="O32" s="38"/>
      <c r="P32" s="38">
        <v>10800</v>
      </c>
      <c r="Q32" s="38"/>
      <c r="R32" s="43"/>
      <c r="S32" s="40" t="str">
        <f>A32</f>
        <v xml:space="preserve">     Other</v>
      </c>
      <c r="T32" s="45">
        <f>(B32/T$10)</f>
        <v>0</v>
      </c>
      <c r="U32" s="45">
        <f>(C32/U$10)</f>
        <v>0</v>
      </c>
      <c r="V32" s="45">
        <f>(D32/V$10)</f>
        <v>0</v>
      </c>
      <c r="W32" s="45">
        <f>(E32/W$10)</f>
        <v>0</v>
      </c>
      <c r="X32" s="45">
        <f>(F32/X$10)</f>
        <v>0</v>
      </c>
      <c r="Y32" s="45"/>
      <c r="Z32" s="45"/>
      <c r="AA32" s="45"/>
      <c r="AB32" s="45">
        <f t="shared" ref="AB32:AH32" si="24">(J32/AB$10)</f>
        <v>2.1447721179624667E-3</v>
      </c>
      <c r="AC32" s="45">
        <f t="shared" si="24"/>
        <v>4.9985004498650403E-4</v>
      </c>
      <c r="AD32" s="45">
        <f t="shared" si="24"/>
        <v>1.0870746820306555E-4</v>
      </c>
      <c r="AE32" s="45"/>
      <c r="AF32" s="45">
        <f t="shared" si="24"/>
        <v>1.0322047894302229E-4</v>
      </c>
      <c r="AG32" s="45"/>
      <c r="AH32" s="45">
        <f t="shared" si="24"/>
        <v>1.0955569080949483E-2</v>
      </c>
      <c r="AI32" s="45"/>
      <c r="AJ32" s="45">
        <f t="shared" si="23"/>
        <v>3.7224990093651903E-3</v>
      </c>
    </row>
    <row r="33" spans="1:36" ht="12.75" customHeight="1" x14ac:dyDescent="0.2">
      <c r="A33" s="42"/>
      <c r="B33" s="37"/>
      <c r="C33" s="38"/>
      <c r="D33" s="38"/>
      <c r="E33" s="38"/>
      <c r="F33" s="38"/>
      <c r="G33" s="38"/>
      <c r="H33" s="38"/>
      <c r="I33" s="38"/>
      <c r="J33" s="38"/>
      <c r="K33" s="124"/>
      <c r="L33" s="124"/>
      <c r="M33" s="124"/>
      <c r="N33" s="124"/>
      <c r="O33" s="124"/>
      <c r="P33" s="124"/>
      <c r="Q33" s="124"/>
      <c r="R33" s="51"/>
      <c r="S33" s="44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125"/>
    </row>
    <row r="34" spans="1:36" ht="15" x14ac:dyDescent="0.2">
      <c r="A34" s="42" t="s">
        <v>85</v>
      </c>
      <c r="B34" s="52">
        <f t="shared" ref="B34:J34" si="25">SUM(B29:B33)</f>
        <v>-66344</v>
      </c>
      <c r="C34" s="52">
        <f t="shared" si="25"/>
        <v>-65269</v>
      </c>
      <c r="D34" s="52">
        <f t="shared" si="25"/>
        <v>-75777</v>
      </c>
      <c r="E34" s="52">
        <f t="shared" si="25"/>
        <v>-71014</v>
      </c>
      <c r="F34" s="52">
        <f t="shared" si="25"/>
        <v>-70751</v>
      </c>
      <c r="G34" s="52">
        <f t="shared" si="25"/>
        <v>-80200</v>
      </c>
      <c r="H34" s="52">
        <f t="shared" si="25"/>
        <v>-67300</v>
      </c>
      <c r="I34" s="52">
        <f t="shared" si="25"/>
        <v>-86100</v>
      </c>
      <c r="J34" s="52">
        <f t="shared" si="25"/>
        <v>-136700</v>
      </c>
      <c r="K34" s="37">
        <f t="shared" ref="K34:O34" si="26">SUM(K29:K33)</f>
        <v>-128900</v>
      </c>
      <c r="L34" s="37">
        <f t="shared" si="26"/>
        <v>-83800</v>
      </c>
      <c r="M34" s="37">
        <f t="shared" si="26"/>
        <v>-109600</v>
      </c>
      <c r="N34" s="37">
        <f t="shared" ref="N34" si="27">SUM(N29:N33)</f>
        <v>-123400</v>
      </c>
      <c r="O34" s="37">
        <f t="shared" si="26"/>
        <v>-164000</v>
      </c>
      <c r="P34" s="37">
        <f t="shared" ref="P34:Q34" si="28">SUM(P29:P33)</f>
        <v>-159000</v>
      </c>
      <c r="Q34" s="37">
        <f t="shared" si="28"/>
        <v>-49800</v>
      </c>
      <c r="R34" s="43">
        <f>RATE(5,,-K34,P34)</f>
        <v>4.2866799087449219E-2</v>
      </c>
      <c r="S34" s="44" t="s">
        <v>85</v>
      </c>
      <c r="T34" s="53">
        <f t="shared" ref="T34:AI34" si="29">B34/T$10</f>
        <v>-0.14745175435672106</v>
      </c>
      <c r="U34" s="53">
        <f t="shared" si="29"/>
        <v>-0.12159765408132468</v>
      </c>
      <c r="V34" s="53">
        <f t="shared" si="29"/>
        <v>-0.10762050977612968</v>
      </c>
      <c r="W34" s="53">
        <f t="shared" si="29"/>
        <v>-0.1192488467887243</v>
      </c>
      <c r="X34" s="53">
        <f t="shared" si="29"/>
        <v>-0.11393167416806899</v>
      </c>
      <c r="Y34" s="53">
        <f t="shared" si="29"/>
        <v>-0.10494731043074197</v>
      </c>
      <c r="Z34" s="53">
        <f t="shared" si="29"/>
        <v>-6.9918663712005752E-2</v>
      </c>
      <c r="AA34" s="53">
        <f t="shared" si="29"/>
        <v>-8.0875446176967875E-2</v>
      </c>
      <c r="AB34" s="53">
        <f t="shared" si="29"/>
        <v>-0.14659517426273458</v>
      </c>
      <c r="AC34" s="53">
        <f t="shared" si="29"/>
        <v>-0.12886134159752075</v>
      </c>
      <c r="AD34" s="53">
        <f t="shared" si="29"/>
        <v>-9.1096858354168933E-2</v>
      </c>
      <c r="AE34" s="53">
        <f t="shared" si="29"/>
        <v>-0.12138664303909624</v>
      </c>
      <c r="AF34" s="53">
        <f t="shared" si="29"/>
        <v>-0.12737407101568951</v>
      </c>
      <c r="AG34" s="53">
        <f t="shared" si="29"/>
        <v>-0.19021108791463698</v>
      </c>
      <c r="AH34" s="53">
        <f t="shared" si="29"/>
        <v>-0.16129032258064516</v>
      </c>
      <c r="AI34" s="53">
        <f t="shared" si="29"/>
        <v>-0.12566237698713095</v>
      </c>
      <c r="AJ34" s="45">
        <f>AVERAGE(AD34:AH34)</f>
        <v>-0.13827179658084734</v>
      </c>
    </row>
    <row r="35" spans="1:36" ht="13.5" customHeight="1" x14ac:dyDescent="0.2">
      <c r="A35" s="42"/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43"/>
      <c r="S35" s="44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35"/>
    </row>
    <row r="36" spans="1:36" ht="15" x14ac:dyDescent="0.2">
      <c r="A36" s="36" t="s">
        <v>86</v>
      </c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43"/>
      <c r="S36" s="40" t="s">
        <v>86</v>
      </c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35"/>
    </row>
    <row r="37" spans="1:36" ht="15" x14ac:dyDescent="0.2">
      <c r="A37" s="50" t="s">
        <v>109</v>
      </c>
      <c r="B37" s="37">
        <v>40000</v>
      </c>
      <c r="C37" s="38"/>
      <c r="D37" s="38">
        <v>40000</v>
      </c>
      <c r="E37" s="38"/>
      <c r="F37" s="38"/>
      <c r="G37" s="38"/>
      <c r="H37" s="38"/>
      <c r="I37" s="38"/>
      <c r="J37" s="38"/>
      <c r="K37" s="38">
        <v>30000</v>
      </c>
      <c r="L37" s="38"/>
      <c r="M37" s="38"/>
      <c r="N37" s="38">
        <v>20000</v>
      </c>
      <c r="O37" s="38"/>
      <c r="P37" s="38"/>
      <c r="Q37" s="38"/>
      <c r="R37" s="43"/>
      <c r="S37" s="40" t="str">
        <f t="shared" ref="S37:S43" si="30">A37</f>
        <v xml:space="preserve">     Issuance of Common Stock</v>
      </c>
      <c r="T37" s="45">
        <f t="shared" ref="T37:X43" si="31">B37/T$10</f>
        <v>8.8901335075799504E-2</v>
      </c>
      <c r="U37" s="45">
        <f t="shared" si="31"/>
        <v>0</v>
      </c>
      <c r="V37" s="45">
        <f t="shared" si="31"/>
        <v>5.6809063317961747E-2</v>
      </c>
      <c r="W37" s="45">
        <f t="shared" si="31"/>
        <v>0</v>
      </c>
      <c r="X37" s="45">
        <f t="shared" si="31"/>
        <v>0</v>
      </c>
      <c r="Y37" s="45"/>
      <c r="Z37" s="45"/>
      <c r="AA37" s="45"/>
      <c r="AB37" s="45"/>
      <c r="AC37" s="45">
        <f>K37/AC$10</f>
        <v>2.9991002699190243E-2</v>
      </c>
      <c r="AD37" s="45"/>
      <c r="AE37" s="45"/>
      <c r="AF37" s="45">
        <f>N37/AF$10</f>
        <v>2.0644095788604461E-2</v>
      </c>
      <c r="AG37" s="45"/>
      <c r="AH37" s="45"/>
      <c r="AI37" s="45"/>
      <c r="AJ37" s="45">
        <f t="shared" ref="AJ37:AJ42" si="32">AVERAGE(AD37:AH37)</f>
        <v>2.0644095788604461E-2</v>
      </c>
    </row>
    <row r="38" spans="1:36" ht="15" x14ac:dyDescent="0.2">
      <c r="A38" s="50" t="s">
        <v>105</v>
      </c>
      <c r="B38" s="37"/>
      <c r="C38" s="38"/>
      <c r="D38" s="38">
        <v>60000</v>
      </c>
      <c r="E38" s="38"/>
      <c r="F38" s="38">
        <v>110000</v>
      </c>
      <c r="G38" s="38"/>
      <c r="H38" s="38">
        <v>50000</v>
      </c>
      <c r="I38" s="38"/>
      <c r="J38" s="38"/>
      <c r="K38" s="38">
        <v>148400</v>
      </c>
      <c r="L38" s="38"/>
      <c r="M38" s="38"/>
      <c r="N38" s="38"/>
      <c r="O38" s="38">
        <v>148800</v>
      </c>
      <c r="P38" s="38">
        <v>149000</v>
      </c>
      <c r="Q38" s="38"/>
      <c r="R38" s="43"/>
      <c r="S38" s="44" t="str">
        <f t="shared" si="30"/>
        <v xml:space="preserve">     Proceeds from long-term debt</v>
      </c>
      <c r="T38" s="45">
        <f t="shared" si="31"/>
        <v>0</v>
      </c>
      <c r="U38" s="45">
        <f t="shared" si="31"/>
        <v>0</v>
      </c>
      <c r="V38" s="45">
        <f t="shared" si="31"/>
        <v>8.5213594976942628E-2</v>
      </c>
      <c r="W38" s="45">
        <f t="shared" si="31"/>
        <v>0</v>
      </c>
      <c r="X38" s="45">
        <f t="shared" si="31"/>
        <v>0.17713508160291144</v>
      </c>
      <c r="Y38" s="45"/>
      <c r="Z38" s="45">
        <f>H38/Z$10</f>
        <v>5.1945515387820024E-2</v>
      </c>
      <c r="AA38" s="45"/>
      <c r="AB38" s="45"/>
      <c r="AC38" s="45">
        <f>K38/AC$10</f>
        <v>0.14835549335199441</v>
      </c>
      <c r="AD38" s="45"/>
      <c r="AE38" s="45"/>
      <c r="AF38" s="45"/>
      <c r="AG38" s="45"/>
      <c r="AH38" s="45"/>
      <c r="AI38" s="45"/>
      <c r="AJ38" s="45"/>
    </row>
    <row r="39" spans="1:36" ht="15" x14ac:dyDescent="0.2">
      <c r="A39" s="50" t="s">
        <v>106</v>
      </c>
      <c r="B39" s="37"/>
      <c r="C39" s="38"/>
      <c r="D39" s="38"/>
      <c r="E39" s="38"/>
      <c r="F39" s="38">
        <v>-105000</v>
      </c>
      <c r="G39" s="38">
        <v>-17000</v>
      </c>
      <c r="H39" s="38"/>
      <c r="I39" s="38"/>
      <c r="J39" s="38">
        <v>-10000</v>
      </c>
      <c r="K39" s="38">
        <v>-93000</v>
      </c>
      <c r="L39" s="38"/>
      <c r="M39" s="38"/>
      <c r="N39" s="38">
        <v>-2000</v>
      </c>
      <c r="O39" s="38">
        <v>-91500</v>
      </c>
      <c r="P39" s="38">
        <v>-42000</v>
      </c>
      <c r="Q39" s="38"/>
      <c r="R39" s="43">
        <f t="shared" ref="R39:R42" si="33">RATE(5,,-K39,P39)</f>
        <v>-0.14699167765067048</v>
      </c>
      <c r="S39" s="44" t="str">
        <f t="shared" si="30"/>
        <v xml:space="preserve">     Long-term debt repaid</v>
      </c>
      <c r="T39" s="45">
        <f t="shared" si="31"/>
        <v>0</v>
      </c>
      <c r="U39" s="45">
        <f t="shared" si="31"/>
        <v>0</v>
      </c>
      <c r="V39" s="45">
        <f t="shared" si="31"/>
        <v>0</v>
      </c>
      <c r="W39" s="45">
        <f t="shared" si="31"/>
        <v>0</v>
      </c>
      <c r="X39" s="45">
        <f t="shared" si="31"/>
        <v>-0.1690834869845973</v>
      </c>
      <c r="Y39" s="45">
        <f>G39/Y$10</f>
        <v>-2.224568924342411E-2</v>
      </c>
      <c r="Z39" s="45"/>
      <c r="AA39" s="45"/>
      <c r="AB39" s="45">
        <f>J39/AB$10</f>
        <v>-1.0723860589812333E-2</v>
      </c>
      <c r="AC39" s="45">
        <f>K39/AC$10</f>
        <v>-9.2972108367489759E-2</v>
      </c>
      <c r="AD39" s="45"/>
      <c r="AE39" s="45"/>
      <c r="AF39" s="45">
        <f t="shared" ref="AF39:AI42" si="34">N39/AF$10</f>
        <v>-2.0644095788604458E-3</v>
      </c>
      <c r="AG39" s="45">
        <f t="shared" si="34"/>
        <v>-0.10612386917188588</v>
      </c>
      <c r="AH39" s="45">
        <f t="shared" si="34"/>
        <v>-4.26049908703591E-2</v>
      </c>
      <c r="AI39" s="45">
        <f t="shared" si="34"/>
        <v>0</v>
      </c>
      <c r="AJ39" s="45">
        <f t="shared" si="32"/>
        <v>-5.0264423207035142E-2</v>
      </c>
    </row>
    <row r="40" spans="1:36" ht="15" x14ac:dyDescent="0.2">
      <c r="A40" s="176" t="s">
        <v>226</v>
      </c>
      <c r="B40" s="37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>
        <v>-30600</v>
      </c>
      <c r="R40" s="43"/>
      <c r="S40" s="42" t="str">
        <f>+A40</f>
        <v xml:space="preserve">     Change in note receivable from Questar</v>
      </c>
      <c r="T40" s="45"/>
      <c r="U40" s="45"/>
      <c r="V40" s="45"/>
      <c r="W40" s="45"/>
      <c r="X40" s="45"/>
      <c r="Y40" s="45"/>
      <c r="Z40" s="45"/>
      <c r="AA40" s="45"/>
      <c r="AB40" s="45"/>
      <c r="AC40" s="45"/>
      <c r="AD40" s="45"/>
      <c r="AE40" s="45"/>
      <c r="AF40" s="45"/>
      <c r="AG40" s="45"/>
      <c r="AH40" s="45"/>
      <c r="AI40" s="45">
        <f t="shared" si="34"/>
        <v>-7.7214231642694933E-2</v>
      </c>
      <c r="AJ40" s="45"/>
    </row>
    <row r="41" spans="1:36" ht="15" x14ac:dyDescent="0.2">
      <c r="A41" s="50" t="s">
        <v>107</v>
      </c>
      <c r="B41" s="37">
        <v>-17400</v>
      </c>
      <c r="C41" s="38">
        <v>26300</v>
      </c>
      <c r="D41" s="38">
        <v>-39000</v>
      </c>
      <c r="E41" s="38">
        <v>-30200</v>
      </c>
      <c r="F41" s="38">
        <v>15500</v>
      </c>
      <c r="G41" s="38">
        <v>43300</v>
      </c>
      <c r="H41" s="38">
        <v>-17800</v>
      </c>
      <c r="I41" s="38">
        <v>-64200</v>
      </c>
      <c r="J41" s="38">
        <v>59700</v>
      </c>
      <c r="K41" s="38">
        <v>15400</v>
      </c>
      <c r="L41" s="38">
        <v>-1300</v>
      </c>
      <c r="M41" s="38">
        <v>66600</v>
      </c>
      <c r="N41" s="38">
        <v>-10900</v>
      </c>
      <c r="O41" s="38">
        <v>23400</v>
      </c>
      <c r="P41" s="38">
        <v>-58400</v>
      </c>
      <c r="Q41" s="38">
        <v>-17700</v>
      </c>
      <c r="R41" s="43"/>
      <c r="S41" s="44" t="str">
        <f t="shared" si="30"/>
        <v xml:space="preserve">     Change in note payable to Questar</v>
      </c>
      <c r="T41" s="45">
        <f t="shared" si="31"/>
        <v>-3.8672080757972786E-2</v>
      </c>
      <c r="U41" s="45">
        <f t="shared" si="31"/>
        <v>4.899750727510517E-2</v>
      </c>
      <c r="V41" s="45">
        <f t="shared" si="31"/>
        <v>-5.5388836735012707E-2</v>
      </c>
      <c r="W41" s="45">
        <f t="shared" si="31"/>
        <v>-5.0712749218738196E-2</v>
      </c>
      <c r="X41" s="45">
        <f t="shared" si="31"/>
        <v>2.4959943316773887E-2</v>
      </c>
      <c r="Y41" s="45">
        <f t="shared" ref="Y41:AE42" si="35">G41/Y$10</f>
        <v>5.6661079072956699E-2</v>
      </c>
      <c r="Z41" s="45">
        <f t="shared" si="35"/>
        <v>-1.8492603478063929E-2</v>
      </c>
      <c r="AA41" s="45">
        <f t="shared" si="35"/>
        <v>-6.0304339658087541E-2</v>
      </c>
      <c r="AB41" s="45">
        <f t="shared" si="35"/>
        <v>6.4021447721179625E-2</v>
      </c>
      <c r="AC41" s="45">
        <f t="shared" si="35"/>
        <v>1.5395381385584325E-2</v>
      </c>
      <c r="AD41" s="45">
        <f t="shared" si="35"/>
        <v>-1.4131970866398521E-3</v>
      </c>
      <c r="AE41" s="45">
        <f t="shared" si="35"/>
        <v>7.3762321408793879E-2</v>
      </c>
      <c r="AF41" s="45">
        <f t="shared" si="34"/>
        <v>-1.125103220478943E-2</v>
      </c>
      <c r="AG41" s="45">
        <f t="shared" si="34"/>
        <v>2.7139874739039668E-2</v>
      </c>
      <c r="AH41" s="45">
        <f t="shared" si="34"/>
        <v>-5.9241225400689795E-2</v>
      </c>
      <c r="AI41" s="45">
        <f t="shared" si="34"/>
        <v>-4.4663133989401971E-2</v>
      </c>
      <c r="AJ41" s="45">
        <f t="shared" si="32"/>
        <v>5.7993482911428947E-3</v>
      </c>
    </row>
    <row r="42" spans="1:36" ht="12.75" customHeight="1" x14ac:dyDescent="0.2">
      <c r="A42" s="42" t="s">
        <v>87</v>
      </c>
      <c r="B42" s="47">
        <v>-23000</v>
      </c>
      <c r="C42" s="38">
        <v>-23500</v>
      </c>
      <c r="D42" s="38">
        <v>-24000</v>
      </c>
      <c r="E42" s="38">
        <v>-24500</v>
      </c>
      <c r="F42" s="38">
        <v>-25000</v>
      </c>
      <c r="G42" s="38">
        <v>-25500</v>
      </c>
      <c r="H42" s="38">
        <v>-26000</v>
      </c>
      <c r="I42" s="38">
        <v>-26500</v>
      </c>
      <c r="J42" s="38">
        <v>-27000</v>
      </c>
      <c r="K42" s="38">
        <v>-27500</v>
      </c>
      <c r="L42" s="38">
        <v>-28200</v>
      </c>
      <c r="M42" s="38">
        <v>-28800</v>
      </c>
      <c r="N42" s="38">
        <v>-30300</v>
      </c>
      <c r="O42" s="38">
        <v>-33000</v>
      </c>
      <c r="P42" s="38">
        <v>-35500</v>
      </c>
      <c r="Q42" s="38">
        <v>-9000</v>
      </c>
      <c r="R42" s="43">
        <f t="shared" si="33"/>
        <v>5.2395862158424567E-2</v>
      </c>
      <c r="S42" s="44" t="str">
        <f t="shared" si="30"/>
        <v xml:space="preserve">     Dividends paid</v>
      </c>
      <c r="T42" s="45">
        <f t="shared" si="31"/>
        <v>-5.111826766858471E-2</v>
      </c>
      <c r="U42" s="45">
        <f t="shared" si="31"/>
        <v>-4.3781042622242257E-2</v>
      </c>
      <c r="V42" s="45">
        <f t="shared" si="31"/>
        <v>-3.4085437990777047E-2</v>
      </c>
      <c r="W42" s="45">
        <f t="shared" si="31"/>
        <v>-4.1141137611228007E-2</v>
      </c>
      <c r="X42" s="45">
        <f t="shared" si="31"/>
        <v>-4.0257973091570788E-2</v>
      </c>
      <c r="Y42" s="45">
        <f t="shared" si="35"/>
        <v>-3.3368533865136163E-2</v>
      </c>
      <c r="Z42" s="45">
        <f t="shared" si="35"/>
        <v>-2.7011668001666413E-2</v>
      </c>
      <c r="AA42" s="45">
        <f t="shared" si="35"/>
        <v>-2.4891978207777568E-2</v>
      </c>
      <c r="AB42" s="45">
        <f t="shared" si="35"/>
        <v>-2.8954423592493297E-2</v>
      </c>
      <c r="AC42" s="45">
        <f t="shared" si="35"/>
        <v>-2.7491752474257721E-2</v>
      </c>
      <c r="AD42" s="45">
        <f t="shared" si="35"/>
        <v>-3.0655506033264484E-2</v>
      </c>
      <c r="AE42" s="45">
        <f t="shared" si="35"/>
        <v>-3.1897220068667624E-2</v>
      </c>
      <c r="AF42" s="45">
        <f t="shared" si="34"/>
        <v>-3.1275805119735753E-2</v>
      </c>
      <c r="AG42" s="45">
        <f t="shared" si="34"/>
        <v>-3.8274182324286705E-2</v>
      </c>
      <c r="AH42" s="45">
        <f t="shared" si="34"/>
        <v>-3.6011361330898765E-2</v>
      </c>
      <c r="AI42" s="45">
        <f t="shared" si="34"/>
        <v>-2.2710068130204392E-2</v>
      </c>
      <c r="AJ42" s="45">
        <f t="shared" si="32"/>
        <v>-3.3622814975370667E-2</v>
      </c>
    </row>
    <row r="43" spans="1:36" ht="12.75" customHeight="1" x14ac:dyDescent="0.2">
      <c r="A43" s="42" t="s">
        <v>84</v>
      </c>
      <c r="B43" s="37">
        <v>0</v>
      </c>
      <c r="C43" s="38">
        <v>0</v>
      </c>
      <c r="D43" s="38">
        <v>0</v>
      </c>
      <c r="E43" s="38">
        <v>0</v>
      </c>
      <c r="F43" s="38">
        <v>0</v>
      </c>
      <c r="G43" s="38">
        <v>0</v>
      </c>
      <c r="H43" s="38">
        <v>0</v>
      </c>
      <c r="I43" s="38"/>
      <c r="J43" s="38"/>
      <c r="K43" s="38"/>
      <c r="L43" s="38"/>
      <c r="M43" s="38"/>
      <c r="N43" s="38"/>
      <c r="O43" s="38"/>
      <c r="P43" s="38"/>
      <c r="Q43" s="38"/>
      <c r="R43" s="43"/>
      <c r="S43" s="44" t="str">
        <f t="shared" si="30"/>
        <v xml:space="preserve">     Other</v>
      </c>
      <c r="T43" s="45">
        <f t="shared" si="31"/>
        <v>0</v>
      </c>
      <c r="U43" s="45">
        <f t="shared" si="31"/>
        <v>0</v>
      </c>
      <c r="V43" s="45">
        <f t="shared" si="31"/>
        <v>0</v>
      </c>
      <c r="W43" s="45">
        <f t="shared" si="31"/>
        <v>0</v>
      </c>
      <c r="X43" s="45">
        <f t="shared" si="31"/>
        <v>0</v>
      </c>
      <c r="Y43" s="45"/>
      <c r="Z43" s="45"/>
      <c r="AA43" s="45"/>
      <c r="AB43" s="45"/>
      <c r="AC43" s="45"/>
      <c r="AD43" s="45"/>
      <c r="AE43" s="45"/>
      <c r="AF43" s="45"/>
      <c r="AG43" s="45">
        <f>O43/AG$10</f>
        <v>0</v>
      </c>
      <c r="AH43" s="45">
        <f>P43/AH$10</f>
        <v>0</v>
      </c>
      <c r="AI43" s="45">
        <f>Q43/AI$10</f>
        <v>0</v>
      </c>
      <c r="AJ43" s="35"/>
    </row>
    <row r="44" spans="1:36" ht="12.75" customHeight="1" x14ac:dyDescent="0.2">
      <c r="A44" s="42"/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51"/>
      <c r="S44" s="44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125"/>
    </row>
    <row r="45" spans="1:36" ht="12.75" customHeight="1" x14ac:dyDescent="0.2">
      <c r="A45" s="42" t="s">
        <v>88</v>
      </c>
      <c r="B45" s="54">
        <f t="shared" ref="B45:J45" si="36">SUM(B36:B44)</f>
        <v>-400</v>
      </c>
      <c r="C45" s="54">
        <f t="shared" si="36"/>
        <v>2800</v>
      </c>
      <c r="D45" s="54">
        <f t="shared" si="36"/>
        <v>37000</v>
      </c>
      <c r="E45" s="54">
        <f t="shared" si="36"/>
        <v>-54700</v>
      </c>
      <c r="F45" s="54">
        <f t="shared" si="36"/>
        <v>-4500</v>
      </c>
      <c r="G45" s="54">
        <f t="shared" si="36"/>
        <v>800</v>
      </c>
      <c r="H45" s="54">
        <f t="shared" si="36"/>
        <v>6200</v>
      </c>
      <c r="I45" s="54">
        <f t="shared" si="36"/>
        <v>-90700</v>
      </c>
      <c r="J45" s="54">
        <f t="shared" si="36"/>
        <v>22700</v>
      </c>
      <c r="K45" s="54">
        <f t="shared" ref="K45:M45" si="37">SUM(K36:K44)</f>
        <v>73300</v>
      </c>
      <c r="L45" s="54">
        <f t="shared" si="37"/>
        <v>-29500</v>
      </c>
      <c r="M45" s="54">
        <f t="shared" si="37"/>
        <v>37800</v>
      </c>
      <c r="N45" s="54">
        <f t="shared" ref="N45" si="38">SUM(N36:N44)</f>
        <v>-23200</v>
      </c>
      <c r="O45" s="54">
        <f t="shared" ref="O45:P45" si="39">SUM(O36:O44)</f>
        <v>47700</v>
      </c>
      <c r="P45" s="54">
        <f t="shared" si="39"/>
        <v>13100</v>
      </c>
      <c r="Q45" s="54">
        <f t="shared" ref="Q45" si="40">SUM(Q36:Q44)</f>
        <v>-57300</v>
      </c>
      <c r="R45" s="43">
        <f>RATE(5,,-K45,P45)</f>
        <v>-0.2913472705356398</v>
      </c>
      <c r="S45" s="44" t="s">
        <v>88</v>
      </c>
      <c r="T45" s="53">
        <f t="shared" ref="T45:AI45" si="41">B45/T$10</f>
        <v>-8.8901335075799504E-4</v>
      </c>
      <c r="U45" s="53">
        <f t="shared" si="41"/>
        <v>5.2164646528629075E-3</v>
      </c>
      <c r="V45" s="53">
        <f t="shared" si="41"/>
        <v>5.2548383569114614E-2</v>
      </c>
      <c r="W45" s="53">
        <f t="shared" si="41"/>
        <v>-9.1853886829966203E-2</v>
      </c>
      <c r="X45" s="53">
        <f t="shared" si="41"/>
        <v>-7.2464351564827416E-3</v>
      </c>
      <c r="Y45" s="53">
        <f t="shared" si="41"/>
        <v>1.0468559643964286E-3</v>
      </c>
      <c r="Z45" s="53">
        <f t="shared" si="41"/>
        <v>6.4412439080896826E-3</v>
      </c>
      <c r="AA45" s="53">
        <f t="shared" si="41"/>
        <v>-8.5196317865865109E-2</v>
      </c>
      <c r="AB45" s="53">
        <f t="shared" si="41"/>
        <v>2.4343163538873995E-2</v>
      </c>
      <c r="AC45" s="53">
        <f t="shared" si="41"/>
        <v>7.3278016595021492E-2</v>
      </c>
      <c r="AD45" s="53">
        <f t="shared" si="41"/>
        <v>-3.206870311990434E-2</v>
      </c>
      <c r="AE45" s="53">
        <f t="shared" si="41"/>
        <v>4.1865101340126262E-2</v>
      </c>
      <c r="AF45" s="53">
        <f t="shared" si="41"/>
        <v>-2.3947151114781174E-2</v>
      </c>
      <c r="AG45" s="53">
        <f t="shared" si="41"/>
        <v>5.5323590814196244E-2</v>
      </c>
      <c r="AH45" s="53">
        <f t="shared" si="41"/>
        <v>1.328869953337391E-2</v>
      </c>
      <c r="AI45" s="53">
        <f t="shared" si="41"/>
        <v>-0.14458743376230129</v>
      </c>
      <c r="AJ45" s="45">
        <f>AVERAGE(AD45:AH45)</f>
        <v>1.0892307490602181E-2</v>
      </c>
    </row>
    <row r="46" spans="1:36" ht="12.75" customHeight="1" x14ac:dyDescent="0.2">
      <c r="A46" s="42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51"/>
      <c r="S46" s="44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125"/>
    </row>
    <row r="47" spans="1:36" ht="12.75" customHeight="1" x14ac:dyDescent="0.2">
      <c r="A47" s="42" t="s">
        <v>89</v>
      </c>
      <c r="B47" s="55">
        <f t="shared" ref="B47:J47" si="42">B27+B34+B45</f>
        <v>-3535</v>
      </c>
      <c r="C47" s="55">
        <f t="shared" si="42"/>
        <v>-826</v>
      </c>
      <c r="D47" s="55">
        <f t="shared" si="42"/>
        <v>3484</v>
      </c>
      <c r="E47" s="55">
        <f t="shared" si="42"/>
        <v>-1373</v>
      </c>
      <c r="F47" s="55">
        <f t="shared" si="42"/>
        <v>901</v>
      </c>
      <c r="G47" s="55">
        <f t="shared" si="42"/>
        <v>-1839</v>
      </c>
      <c r="H47" s="55">
        <f t="shared" si="42"/>
        <v>1075</v>
      </c>
      <c r="I47" s="55">
        <f t="shared" si="42"/>
        <v>400</v>
      </c>
      <c r="J47" s="55">
        <f t="shared" si="42"/>
        <v>500</v>
      </c>
      <c r="K47" s="55">
        <f>K27+K34+K45</f>
        <v>-2900</v>
      </c>
      <c r="L47" s="55">
        <f>L27+L34+L45</f>
        <v>6000</v>
      </c>
      <c r="M47" s="55">
        <f t="shared" ref="M47:O47" si="43">M27+M34+M45</f>
        <v>-2500</v>
      </c>
      <c r="N47" s="55">
        <f t="shared" ref="N47" si="44">N27+N34+N45</f>
        <v>300</v>
      </c>
      <c r="O47" s="55">
        <f t="shared" si="43"/>
        <v>-3600</v>
      </c>
      <c r="P47" s="55">
        <f t="shared" ref="P47:Q47" si="45">P27+P34+P45</f>
        <v>7400</v>
      </c>
      <c r="Q47" s="55">
        <f t="shared" si="45"/>
        <v>-7400</v>
      </c>
      <c r="R47" s="43"/>
      <c r="S47" s="44" t="s">
        <v>89</v>
      </c>
      <c r="T47" s="53">
        <f t="shared" ref="T47:AI47" si="46">B47/T$10</f>
        <v>-7.8566554873237809E-3</v>
      </c>
      <c r="U47" s="53">
        <f t="shared" si="46"/>
        <v>-1.5388570725945578E-3</v>
      </c>
      <c r="V47" s="53">
        <f t="shared" si="46"/>
        <v>4.9480694149944679E-3</v>
      </c>
      <c r="W47" s="53">
        <f t="shared" si="46"/>
        <v>-2.3055829363353491E-3</v>
      </c>
      <c r="X47" s="53">
        <f t="shared" si="46"/>
        <v>1.4508973502202112E-3</v>
      </c>
      <c r="Y47" s="53">
        <f t="shared" si="46"/>
        <v>-2.4064601481562902E-3</v>
      </c>
      <c r="Z47" s="53">
        <f t="shared" si="46"/>
        <v>1.1168285808381305E-3</v>
      </c>
      <c r="AA47" s="53">
        <f t="shared" si="46"/>
        <v>3.7572797294758596E-4</v>
      </c>
      <c r="AB47" s="53">
        <f t="shared" si="46"/>
        <v>5.3619302949061668E-4</v>
      </c>
      <c r="AC47" s="53">
        <f t="shared" si="46"/>
        <v>-2.8991302609217237E-3</v>
      </c>
      <c r="AD47" s="53">
        <f t="shared" si="46"/>
        <v>6.5224480921839334E-3</v>
      </c>
      <c r="AE47" s="53">
        <f t="shared" si="46"/>
        <v>-2.7688559087385091E-3</v>
      </c>
      <c r="AF47" s="53">
        <f t="shared" si="46"/>
        <v>3.0966143682906687E-4</v>
      </c>
      <c r="AG47" s="53">
        <f t="shared" si="46"/>
        <v>-4.1753653444676405E-3</v>
      </c>
      <c r="AH47" s="53">
        <f t="shared" si="46"/>
        <v>7.5065936295394603E-3</v>
      </c>
      <c r="AI47" s="53">
        <f t="shared" si="46"/>
        <v>-1.8672722684834723E-2</v>
      </c>
      <c r="AJ47" s="45">
        <f>AVERAGE(AD47:AH47)</f>
        <v>1.478896381069262E-3</v>
      </c>
    </row>
    <row r="48" spans="1:36" ht="12" customHeight="1" x14ac:dyDescent="0.2">
      <c r="A48" s="42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51"/>
      <c r="S48" s="44"/>
      <c r="T48" s="45"/>
      <c r="U48" s="45"/>
      <c r="V48" s="45"/>
      <c r="W48" s="45"/>
      <c r="X48" s="45"/>
      <c r="Y48" s="45"/>
      <c r="Z48" s="45"/>
      <c r="AA48" s="45"/>
      <c r="AB48" s="45"/>
      <c r="AC48" s="45"/>
      <c r="AD48" s="45"/>
      <c r="AE48" s="45"/>
      <c r="AF48" s="45"/>
      <c r="AG48" s="45"/>
      <c r="AH48" s="45"/>
      <c r="AI48" s="45"/>
      <c r="AJ48" s="125"/>
    </row>
    <row r="49" spans="1:36" ht="12.75" customHeight="1" x14ac:dyDescent="0.2">
      <c r="A49" s="42" t="s">
        <v>90</v>
      </c>
      <c r="B49" s="52">
        <v>3326</v>
      </c>
      <c r="C49" s="55">
        <v>1708</v>
      </c>
      <c r="D49" s="55">
        <f t="shared" ref="D49:J49" si="47">C51</f>
        <v>882</v>
      </c>
      <c r="E49" s="55">
        <f t="shared" si="47"/>
        <v>4366</v>
      </c>
      <c r="F49" s="55">
        <f t="shared" si="47"/>
        <v>2993</v>
      </c>
      <c r="G49" s="55">
        <f t="shared" si="47"/>
        <v>3894</v>
      </c>
      <c r="H49" s="55">
        <f t="shared" si="47"/>
        <v>2131</v>
      </c>
      <c r="I49" s="55">
        <f t="shared" si="47"/>
        <v>3206</v>
      </c>
      <c r="J49" s="55">
        <f t="shared" si="47"/>
        <v>3606</v>
      </c>
      <c r="K49" s="55">
        <f t="shared" ref="K49:L49" si="48">J51</f>
        <v>4106</v>
      </c>
      <c r="L49" s="55">
        <f t="shared" si="48"/>
        <v>1206</v>
      </c>
      <c r="M49" s="55">
        <f>L51</f>
        <v>7206</v>
      </c>
      <c r="N49" s="55">
        <f>M51</f>
        <v>4700</v>
      </c>
      <c r="O49" s="55">
        <f>N51</f>
        <v>5000</v>
      </c>
      <c r="P49" s="55">
        <f>O51</f>
        <v>1400</v>
      </c>
      <c r="Q49" s="55">
        <f>P51</f>
        <v>8800</v>
      </c>
      <c r="R49" s="43">
        <f>RATE(5,,-K49,P49)</f>
        <v>-0.19361615584449121</v>
      </c>
      <c r="S49" s="44" t="s">
        <v>90</v>
      </c>
      <c r="T49" s="53">
        <f t="shared" ref="T49:AI49" si="49">B49/T$10</f>
        <v>7.3921460115527289E-3</v>
      </c>
      <c r="U49" s="53">
        <f t="shared" si="49"/>
        <v>3.1820434382463735E-3</v>
      </c>
      <c r="V49" s="53">
        <f t="shared" si="49"/>
        <v>1.2526398461610566E-3</v>
      </c>
      <c r="W49" s="53">
        <f t="shared" si="49"/>
        <v>7.3315186453314883E-3</v>
      </c>
      <c r="X49" s="53">
        <f t="shared" si="49"/>
        <v>4.8196845385228542E-3</v>
      </c>
      <c r="Y49" s="53">
        <f t="shared" si="49"/>
        <v>5.0955714066996168E-3</v>
      </c>
      <c r="Z49" s="53">
        <f t="shared" si="49"/>
        <v>2.2139178658288892E-3</v>
      </c>
      <c r="AA49" s="53">
        <f t="shared" si="49"/>
        <v>3.0114597031749013E-3</v>
      </c>
      <c r="AB49" s="53">
        <f t="shared" si="49"/>
        <v>3.8670241286863269E-3</v>
      </c>
      <c r="AC49" s="53">
        <f t="shared" si="49"/>
        <v>4.1047685694291713E-3</v>
      </c>
      <c r="AD49" s="53">
        <f t="shared" si="49"/>
        <v>1.3110120665289706E-3</v>
      </c>
      <c r="AE49" s="53">
        <f t="shared" si="49"/>
        <v>7.9809502713478787E-3</v>
      </c>
      <c r="AF49" s="53">
        <f t="shared" si="49"/>
        <v>4.8513625103220482E-3</v>
      </c>
      <c r="AG49" s="53">
        <f t="shared" si="49"/>
        <v>5.7991185339828343E-3</v>
      </c>
      <c r="AH49" s="53">
        <f t="shared" si="49"/>
        <v>1.4201663623453033E-3</v>
      </c>
      <c r="AI49" s="53">
        <f t="shared" si="49"/>
        <v>2.2205399949533182E-2</v>
      </c>
      <c r="AJ49" s="45">
        <f>AVERAGE(AD49:AH49)</f>
        <v>4.272521948905407E-3</v>
      </c>
    </row>
    <row r="50" spans="1:36" ht="12" customHeight="1" x14ac:dyDescent="0.2">
      <c r="A50" s="42"/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51"/>
      <c r="S50" s="44"/>
      <c r="T50" s="45"/>
      <c r="U50" s="45"/>
      <c r="V50" s="45"/>
      <c r="W50" s="45"/>
      <c r="X50" s="45"/>
      <c r="Y50" s="45"/>
      <c r="Z50" s="45"/>
      <c r="AA50" s="45"/>
      <c r="AB50" s="45"/>
      <c r="AC50" s="45"/>
      <c r="AD50" s="45"/>
      <c r="AE50" s="45"/>
      <c r="AF50" s="45"/>
      <c r="AG50" s="45"/>
      <c r="AH50" s="45"/>
      <c r="AI50" s="45"/>
      <c r="AJ50" s="125"/>
    </row>
    <row r="51" spans="1:36" ht="12.75" customHeight="1" thickBot="1" x14ac:dyDescent="0.25">
      <c r="A51" s="42" t="s">
        <v>91</v>
      </c>
      <c r="B51" s="56">
        <f>B47+B49</f>
        <v>-209</v>
      </c>
      <c r="C51" s="55">
        <v>882</v>
      </c>
      <c r="D51" s="55">
        <v>4366</v>
      </c>
      <c r="E51" s="55">
        <v>2993</v>
      </c>
      <c r="F51" s="55">
        <v>3894</v>
      </c>
      <c r="G51" s="55">
        <v>2131</v>
      </c>
      <c r="H51" s="55">
        <f>H47+H49</f>
        <v>3206</v>
      </c>
      <c r="I51" s="55">
        <f>I47+I49</f>
        <v>3606</v>
      </c>
      <c r="J51" s="55">
        <f>J47+J49</f>
        <v>4106</v>
      </c>
      <c r="K51" s="55">
        <f t="shared" ref="K51:L51" si="50">K47+K49</f>
        <v>1206</v>
      </c>
      <c r="L51" s="55">
        <f t="shared" si="50"/>
        <v>7206</v>
      </c>
      <c r="M51" s="55">
        <f>M47+M49-6</f>
        <v>4700</v>
      </c>
      <c r="N51" s="55">
        <f>N47+N49</f>
        <v>5000</v>
      </c>
      <c r="O51" s="55">
        <f t="shared" ref="O51:P51" si="51">O47+O49</f>
        <v>1400</v>
      </c>
      <c r="P51" s="55">
        <f t="shared" si="51"/>
        <v>8800</v>
      </c>
      <c r="Q51" s="55">
        <f t="shared" ref="Q51" si="52">Q47+Q49</f>
        <v>1400</v>
      </c>
      <c r="R51" s="43">
        <f>RATE(5,,-K51,P51)</f>
        <v>0.48808271757774097</v>
      </c>
      <c r="S51" s="44" t="s">
        <v>91</v>
      </c>
      <c r="T51" s="53">
        <f t="shared" ref="T51:AI51" si="53">B51/T$10</f>
        <v>-4.6450947577105238E-4</v>
      </c>
      <c r="U51" s="53">
        <f t="shared" si="53"/>
        <v>1.6431863656518159E-3</v>
      </c>
      <c r="V51" s="53">
        <f t="shared" si="53"/>
        <v>6.2007092611555247E-3</v>
      </c>
      <c r="W51" s="53">
        <f t="shared" si="53"/>
        <v>5.0259357089961392E-3</v>
      </c>
      <c r="X51" s="53">
        <f t="shared" si="53"/>
        <v>6.2705818887430652E-3</v>
      </c>
      <c r="Y51" s="53">
        <f t="shared" si="53"/>
        <v>2.7885625751609866E-3</v>
      </c>
      <c r="Z51" s="53">
        <f t="shared" si="53"/>
        <v>3.3307464466670201E-3</v>
      </c>
      <c r="AA51" s="53">
        <f t="shared" si="53"/>
        <v>3.3871876761224873E-3</v>
      </c>
      <c r="AB51" s="53">
        <f t="shared" si="53"/>
        <v>4.4032171581769438E-3</v>
      </c>
      <c r="AC51" s="53">
        <f t="shared" si="53"/>
        <v>1.2056383085074479E-3</v>
      </c>
      <c r="AD51" s="53">
        <f t="shared" si="53"/>
        <v>7.8334601587129044E-3</v>
      </c>
      <c r="AE51" s="53">
        <f t="shared" si="53"/>
        <v>5.2054491084283974E-3</v>
      </c>
      <c r="AF51" s="53">
        <f t="shared" si="53"/>
        <v>5.1610239471511152E-3</v>
      </c>
      <c r="AG51" s="53">
        <f t="shared" si="53"/>
        <v>1.6237531895151936E-3</v>
      </c>
      <c r="AH51" s="53">
        <f t="shared" si="53"/>
        <v>8.9267599918847629E-3</v>
      </c>
      <c r="AI51" s="53">
        <f t="shared" si="53"/>
        <v>3.5326772646984608E-3</v>
      </c>
      <c r="AJ51" s="45">
        <f>AVERAGE(AD51:AH51)</f>
        <v>5.7500892791384744E-3</v>
      </c>
    </row>
    <row r="52" spans="1:36" ht="12.75" customHeight="1" thickTop="1" x14ac:dyDescent="0.2">
      <c r="A52" s="57"/>
      <c r="B52" s="58"/>
      <c r="C52" s="59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60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2"/>
    </row>
  </sheetData>
  <mergeCells count="1">
    <mergeCell ref="B7:G7"/>
  </mergeCells>
  <phoneticPr fontId="0" type="noConversion"/>
  <printOptions horizontalCentered="1"/>
  <pageMargins left="0.75" right="0.75" top="1" bottom="1" header="0.5" footer="0.5"/>
  <pageSetup scale="65" fitToWidth="2" orientation="portrait" r:id="rId1"/>
  <headerFooter alignWithMargins="0"/>
  <colBreaks count="1" manualBreakCount="1">
    <brk id="18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Historical - Exhibit 1</vt:lpstr>
      <vt:lpstr>Historical CF - Exhibit 1B</vt:lpstr>
      <vt:lpstr>'Historical - Exhibit 1'!Print_Area</vt:lpstr>
      <vt:lpstr>'Historical CF - Exhibit 1B'!Print_Area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Peterson</dc:creator>
  <cp:lastModifiedBy>mpaschal</cp:lastModifiedBy>
  <cp:lastPrinted>2014-02-26T17:24:16Z</cp:lastPrinted>
  <dcterms:created xsi:type="dcterms:W3CDTF">2005-09-19T14:11:29Z</dcterms:created>
  <dcterms:modified xsi:type="dcterms:W3CDTF">2014-06-16T22:47:25Z</dcterms:modified>
</cp:coreProperties>
</file>