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5docs\1599902\"/>
    </mc:Choice>
  </mc:AlternateContent>
  <bookViews>
    <workbookView xWindow="0" yWindow="0" windowWidth="19200" windowHeight="12180"/>
  </bookViews>
  <sheets>
    <sheet name="Historical - Exhibit 1" sheetId="5" r:id="rId1"/>
    <sheet name="Historical CF - Exhibit 1B" sheetId="6" r:id="rId2"/>
  </sheets>
  <definedNames>
    <definedName name="OSF">'Historical - Exhibit 1'!$T$178:$AN$205</definedName>
    <definedName name="_xlnm.Print_Area" localSheetId="0">'Historical - Exhibit 1'!$A$1:$AL$204</definedName>
    <definedName name="_xlnm.Print_Area" localSheetId="1">'Historical CF - Exhibit 1B'!$A$1:$S$54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R154" i="5" l="1"/>
  <c r="R152" i="5"/>
  <c r="AK143" i="5"/>
  <c r="Q204" i="5" l="1"/>
  <c r="Q199" i="5"/>
  <c r="R32" i="6" l="1"/>
  <c r="R65" i="5"/>
  <c r="R57" i="5"/>
  <c r="R14" i="5"/>
  <c r="R82" i="5"/>
  <c r="S177" i="5" l="1"/>
  <c r="S195" i="5"/>
  <c r="S67" i="5"/>
  <c r="Q156" i="5"/>
  <c r="Q155" i="5"/>
  <c r="Q154" i="5"/>
  <c r="S215" i="5"/>
  <c r="Q109" i="5"/>
  <c r="P204" i="5" l="1"/>
  <c r="O204" i="5"/>
  <c r="N204" i="5"/>
  <c r="M204" i="5"/>
  <c r="L204" i="5"/>
  <c r="S202" i="5"/>
  <c r="S201" i="5"/>
  <c r="L202" i="5"/>
  <c r="L201" i="5"/>
  <c r="P202" i="5"/>
  <c r="O202" i="5"/>
  <c r="N202" i="5"/>
  <c r="M202" i="5"/>
  <c r="Q202" i="5"/>
  <c r="Q201" i="5"/>
  <c r="S12" i="5"/>
  <c r="S204" i="5" l="1"/>
  <c r="S197" i="5"/>
  <c r="Q197" i="5"/>
  <c r="P197" i="5"/>
  <c r="P196" i="5" s="1"/>
  <c r="O197" i="5"/>
  <c r="N197" i="5"/>
  <c r="M197" i="5"/>
  <c r="Q196" i="5"/>
  <c r="O196" i="5"/>
  <c r="N196" i="5"/>
  <c r="M196" i="5"/>
  <c r="S196" i="5" s="1"/>
  <c r="L196" i="5"/>
  <c r="L197" i="5"/>
  <c r="M199" i="5"/>
  <c r="P201" i="5"/>
  <c r="O201" i="5"/>
  <c r="N201" i="5"/>
  <c r="M201" i="5"/>
  <c r="Q209" i="5"/>
  <c r="P227" i="5"/>
  <c r="O227" i="5"/>
  <c r="N227" i="5"/>
  <c r="M227" i="5"/>
  <c r="L227" i="5"/>
  <c r="Q226" i="5"/>
  <c r="AJ166" i="5"/>
  <c r="Q227" i="5" s="1"/>
  <c r="L199" i="5"/>
  <c r="K199" i="5"/>
  <c r="S186" i="5"/>
  <c r="S183" i="5"/>
  <c r="S182" i="5"/>
  <c r="S181" i="5"/>
  <c r="S180" i="5"/>
  <c r="S179" i="5"/>
  <c r="S178" i="5"/>
  <c r="S176" i="5"/>
  <c r="Q228" i="5" l="1"/>
  <c r="S78" i="5"/>
  <c r="AL159" i="5"/>
  <c r="AL142" i="5"/>
  <c r="AL141" i="5"/>
  <c r="AL140" i="5"/>
  <c r="AL126" i="5"/>
  <c r="AL125" i="5"/>
  <c r="AL124" i="5"/>
  <c r="AL123" i="5"/>
  <c r="AL122" i="5"/>
  <c r="S139" i="5"/>
  <c r="S109" i="5"/>
  <c r="S105" i="5"/>
  <c r="S98" i="5"/>
  <c r="S97" i="5"/>
  <c r="S93" i="5"/>
  <c r="S91" i="5"/>
  <c r="S90" i="5"/>
  <c r="S88" i="5"/>
  <c r="S87" i="5"/>
  <c r="S66" i="5"/>
  <c r="S55" i="5"/>
  <c r="S54" i="5"/>
  <c r="S48" i="5"/>
  <c r="S47" i="5"/>
  <c r="S46" i="5"/>
  <c r="S42" i="5"/>
  <c r="S36" i="5"/>
  <c r="S35" i="5"/>
  <c r="S34" i="5"/>
  <c r="S29" i="5"/>
  <c r="S25" i="5"/>
  <c r="S19" i="5"/>
  <c r="S16" i="5"/>
  <c r="S15" i="5"/>
  <c r="Q208" i="5"/>
  <c r="U190" i="5"/>
  <c r="U186" i="5"/>
  <c r="U183" i="5"/>
  <c r="U182" i="5"/>
  <c r="U181" i="5"/>
  <c r="U180" i="5"/>
  <c r="U179" i="5"/>
  <c r="U178" i="5"/>
  <c r="U177" i="5"/>
  <c r="U176" i="5"/>
  <c r="Q31" i="6"/>
  <c r="Q25" i="6"/>
  <c r="Q24" i="6"/>
  <c r="Q65" i="5"/>
  <c r="Q57" i="5"/>
  <c r="Q51" i="5"/>
  <c r="Q24" i="5"/>
  <c r="Q14" i="5"/>
  <c r="Q82" i="5"/>
  <c r="R45" i="6" l="1"/>
  <c r="R34" i="6"/>
  <c r="R184" i="5"/>
  <c r="R188" i="5" s="1"/>
  <c r="R192" i="5" s="1"/>
  <c r="AJ211" i="5"/>
  <c r="AK208" i="5"/>
  <c r="AK207" i="5"/>
  <c r="AK163" i="5"/>
  <c r="AK149" i="5"/>
  <c r="AK148" i="5"/>
  <c r="AK147" i="5"/>
  <c r="AK127" i="5"/>
  <c r="AK135" i="5" s="1"/>
  <c r="AK8" i="5"/>
  <c r="R213" i="5"/>
  <c r="R214" i="5" s="1"/>
  <c r="R209" i="5"/>
  <c r="R208" i="5"/>
  <c r="R101" i="5"/>
  <c r="R94" i="5"/>
  <c r="R84" i="5"/>
  <c r="AK98" i="5" s="1"/>
  <c r="R78" i="5"/>
  <c r="AK78" i="5" s="1"/>
  <c r="R67" i="5"/>
  <c r="R165" i="5" s="1"/>
  <c r="R58" i="5"/>
  <c r="R52" i="5"/>
  <c r="R124" i="5" s="1"/>
  <c r="R37" i="5"/>
  <c r="R27" i="5"/>
  <c r="R31" i="5" s="1"/>
  <c r="R21" i="5"/>
  <c r="AK209" i="5" l="1"/>
  <c r="AK101" i="5"/>
  <c r="AK90" i="5"/>
  <c r="R159" i="5"/>
  <c r="R161" i="5" s="1"/>
  <c r="AK83" i="5"/>
  <c r="AK94" i="5"/>
  <c r="AK84" i="5"/>
  <c r="R153" i="5"/>
  <c r="R160" i="5"/>
  <c r="R164" i="5"/>
  <c r="R134" i="5"/>
  <c r="R210" i="5" s="1"/>
  <c r="R166" i="5"/>
  <c r="R219" i="5"/>
  <c r="AK89" i="5"/>
  <c r="AK136" i="5"/>
  <c r="U195" i="5"/>
  <c r="R119" i="5"/>
  <c r="R129" i="5"/>
  <c r="AK87" i="5"/>
  <c r="AK91" i="5"/>
  <c r="AK97" i="5"/>
  <c r="AK105" i="5"/>
  <c r="R95" i="5"/>
  <c r="R103" i="5" s="1"/>
  <c r="R123" i="5"/>
  <c r="R130" i="5"/>
  <c r="AK82" i="5"/>
  <c r="AK88" i="5"/>
  <c r="AK93" i="5"/>
  <c r="AK150" i="5"/>
  <c r="AK132" i="5"/>
  <c r="AK133" i="5"/>
  <c r="AK134" i="5"/>
  <c r="AK131" i="5"/>
  <c r="R60" i="5"/>
  <c r="R38" i="5"/>
  <c r="R39" i="5"/>
  <c r="AK58" i="5" s="1"/>
  <c r="Q213" i="5"/>
  <c r="Q214" i="5" s="1"/>
  <c r="P199" i="5"/>
  <c r="AI211" i="5"/>
  <c r="R167" i="5" l="1"/>
  <c r="AJ167" i="5"/>
  <c r="AL166" i="5"/>
  <c r="R106" i="5"/>
  <c r="AK103" i="5"/>
  <c r="R131" i="5"/>
  <c r="R221" i="5"/>
  <c r="R220" i="5"/>
  <c r="AK95" i="5"/>
  <c r="AK55" i="5"/>
  <c r="AK48" i="5"/>
  <c r="AK42" i="5"/>
  <c r="AK36" i="5"/>
  <c r="AK29" i="5"/>
  <c r="AK14" i="5"/>
  <c r="AK67" i="5"/>
  <c r="AK54" i="5"/>
  <c r="AK47" i="5"/>
  <c r="AK39" i="5"/>
  <c r="AK35" i="5"/>
  <c r="AK27" i="5"/>
  <c r="AK20" i="5"/>
  <c r="AK13" i="5"/>
  <c r="AK66" i="5"/>
  <c r="AK57" i="5"/>
  <c r="AK46" i="5"/>
  <c r="AK34" i="5"/>
  <c r="AK25" i="5"/>
  <c r="AK19" i="5"/>
  <c r="AK12" i="5"/>
  <c r="AK65" i="5"/>
  <c r="AK56" i="5"/>
  <c r="AK51" i="5"/>
  <c r="AK44" i="5"/>
  <c r="AK31" i="5"/>
  <c r="AK24" i="5"/>
  <c r="AK16" i="5"/>
  <c r="AK21" i="5"/>
  <c r="AK38" i="5"/>
  <c r="AK52" i="5"/>
  <c r="R68" i="5"/>
  <c r="AK60" i="5"/>
  <c r="R128" i="5"/>
  <c r="R7" i="6"/>
  <c r="AK119" i="5"/>
  <c r="R174" i="5" s="1"/>
  <c r="AK37" i="5"/>
  <c r="T43" i="5"/>
  <c r="R69" i="5" l="1"/>
  <c r="AK68" i="5"/>
  <c r="AK106" i="5"/>
  <c r="R155" i="5"/>
  <c r="R135" i="5"/>
  <c r="R12" i="6"/>
  <c r="R27" i="6" s="1"/>
  <c r="R47" i="6" s="1"/>
  <c r="AK109" i="5"/>
  <c r="R215" i="5"/>
  <c r="T56" i="5"/>
  <c r="AM159" i="5"/>
  <c r="AM160" i="5" s="1"/>
  <c r="AM157" i="5"/>
  <c r="T40" i="6" l="1"/>
  <c r="T13" i="5" l="1"/>
  <c r="Q84" i="5"/>
  <c r="P82" i="5"/>
  <c r="Q142" i="5" l="1"/>
  <c r="R207" i="5"/>
  <c r="R125" i="5"/>
  <c r="AJ10" i="6"/>
  <c r="AJ17" i="6" s="1"/>
  <c r="O209" i="5"/>
  <c r="O226" i="5" s="1"/>
  <c r="O228" i="5" s="1"/>
  <c r="AI143" i="5"/>
  <c r="P31" i="6"/>
  <c r="P25" i="6"/>
  <c r="P24" i="6"/>
  <c r="P65" i="5"/>
  <c r="P57" i="5"/>
  <c r="O57" i="5"/>
  <c r="P51" i="5"/>
  <c r="P24" i="5"/>
  <c r="P20" i="5"/>
  <c r="P14" i="5"/>
  <c r="Q143" i="5" s="1"/>
  <c r="P87" i="5"/>
  <c r="O199" i="5"/>
  <c r="N199" i="5"/>
  <c r="P94" i="5" l="1"/>
  <c r="P209" i="5"/>
  <c r="P226" i="5" s="1"/>
  <c r="P228" i="5" s="1"/>
  <c r="U199" i="5"/>
  <c r="AJ24" i="6"/>
  <c r="AJ15" i="6"/>
  <c r="AJ39" i="6"/>
  <c r="AJ31" i="6"/>
  <c r="AJ14" i="6"/>
  <c r="AJ42" i="6"/>
  <c r="AJ20" i="6"/>
  <c r="AJ19" i="6"/>
  <c r="AJ41" i="6"/>
  <c r="AJ30" i="6"/>
  <c r="AJ43" i="6"/>
  <c r="AJ40" i="6"/>
  <c r="AJ21" i="6"/>
  <c r="S42" i="6"/>
  <c r="S39" i="6"/>
  <c r="S30" i="6"/>
  <c r="S21" i="6"/>
  <c r="S19" i="6"/>
  <c r="S17" i="6"/>
  <c r="S15" i="6"/>
  <c r="S14" i="6"/>
  <c r="Q45" i="6"/>
  <c r="AJ45" i="6" s="1"/>
  <c r="Q34" i="6"/>
  <c r="AJ34" i="6" s="1"/>
  <c r="AL160" i="5"/>
  <c r="AL157" i="5"/>
  <c r="AL155" i="5"/>
  <c r="AL154" i="5"/>
  <c r="AL153" i="5"/>
  <c r="AL78" i="5"/>
  <c r="AL119" i="5" s="1"/>
  <c r="P156" i="5"/>
  <c r="P213" i="5"/>
  <c r="AJ208" i="5"/>
  <c r="AJ207" i="5"/>
  <c r="Q184" i="5"/>
  <c r="Q188" i="5" s="1"/>
  <c r="AI208" i="5"/>
  <c r="AI207" i="5"/>
  <c r="AI167" i="5"/>
  <c r="AJ163" i="5"/>
  <c r="AJ143" i="5"/>
  <c r="AJ127" i="5"/>
  <c r="Q101" i="5"/>
  <c r="Q94" i="5"/>
  <c r="AJ94" i="5" s="1"/>
  <c r="AJ98" i="5"/>
  <c r="Q67" i="5"/>
  <c r="Q58" i="5"/>
  <c r="Q52" i="5"/>
  <c r="Q37" i="5"/>
  <c r="Q27" i="5"/>
  <c r="Q31" i="5" s="1"/>
  <c r="Q21" i="5"/>
  <c r="AB192" i="5"/>
  <c r="AB195" i="5" s="1"/>
  <c r="AB200" i="5" s="1"/>
  <c r="AA192" i="5"/>
  <c r="AA195" i="5" s="1"/>
  <c r="AA200" i="5" s="1"/>
  <c r="Z192" i="5"/>
  <c r="Z195" i="5" s="1"/>
  <c r="Z200" i="5" s="1"/>
  <c r="Y192" i="5"/>
  <c r="Y195" i="5" s="1"/>
  <c r="Y200" i="5" s="1"/>
  <c r="X192" i="5"/>
  <c r="X195" i="5" s="1"/>
  <c r="X200" i="5" s="1"/>
  <c r="W192" i="5"/>
  <c r="W195" i="5" s="1"/>
  <c r="W200" i="5" s="1"/>
  <c r="V192" i="5"/>
  <c r="V195" i="5" s="1"/>
  <c r="V200" i="5" s="1"/>
  <c r="U200" i="5"/>
  <c r="P184" i="5"/>
  <c r="N184" i="5"/>
  <c r="N188" i="5" s="1"/>
  <c r="N192" i="5" s="1"/>
  <c r="M184" i="5"/>
  <c r="AC192" i="5"/>
  <c r="AC195" i="5" s="1"/>
  <c r="AC200" i="5" s="1"/>
  <c r="O184" i="5"/>
  <c r="O188" i="5" s="1"/>
  <c r="O192" i="5" s="1"/>
  <c r="AJ150" i="5" l="1"/>
  <c r="AJ147" i="5"/>
  <c r="AJ144" i="5"/>
  <c r="S184" i="5"/>
  <c r="AJ136" i="5"/>
  <c r="U184" i="5"/>
  <c r="R138" i="5"/>
  <c r="R137" i="5"/>
  <c r="AJ131" i="5"/>
  <c r="AJ209" i="5"/>
  <c r="Q38" i="5"/>
  <c r="AJ101" i="5"/>
  <c r="Q134" i="5"/>
  <c r="Q210" i="5" s="1"/>
  <c r="M188" i="5"/>
  <c r="S188" i="5" s="1"/>
  <c r="Q123" i="5"/>
  <c r="Q130" i="5"/>
  <c r="Q159" i="5"/>
  <c r="Q164" i="5"/>
  <c r="Q166" i="5"/>
  <c r="AJ83" i="5"/>
  <c r="AJ87" i="5"/>
  <c r="AJ89" i="5"/>
  <c r="AJ91" i="5"/>
  <c r="AJ97" i="5"/>
  <c r="AJ105" i="5"/>
  <c r="P188" i="5"/>
  <c r="Q124" i="5"/>
  <c r="Q129" i="5"/>
  <c r="Q153" i="5"/>
  <c r="Q160" i="5"/>
  <c r="Q165" i="5"/>
  <c r="Q219" i="5"/>
  <c r="AJ82" i="5"/>
  <c r="AJ84" i="5"/>
  <c r="AJ88" i="5"/>
  <c r="AJ90" i="5"/>
  <c r="AJ93" i="5"/>
  <c r="AJ135" i="5"/>
  <c r="AI209" i="5"/>
  <c r="P214" i="5"/>
  <c r="AJ133" i="5"/>
  <c r="AJ149" i="5"/>
  <c r="AJ148" i="5"/>
  <c r="AJ132" i="5"/>
  <c r="AJ134" i="5"/>
  <c r="Q95" i="5"/>
  <c r="Q60" i="5"/>
  <c r="Q39" i="5"/>
  <c r="AH207" i="5"/>
  <c r="Q192" i="5" l="1"/>
  <c r="U188" i="5"/>
  <c r="AJ50" i="5"/>
  <c r="AJ49" i="5"/>
  <c r="AJ56" i="5"/>
  <c r="R136" i="5"/>
  <c r="Q221" i="5"/>
  <c r="R218" i="5"/>
  <c r="Q161" i="5"/>
  <c r="Q167" i="5"/>
  <c r="AJ52" i="5"/>
  <c r="AJ12" i="5"/>
  <c r="Q103" i="5"/>
  <c r="Q152" i="5" s="1"/>
  <c r="AJ95" i="5"/>
  <c r="Q220" i="5"/>
  <c r="P192" i="5"/>
  <c r="Q68" i="5"/>
  <c r="AJ68" i="5" s="1"/>
  <c r="AJ60" i="5"/>
  <c r="M192" i="5"/>
  <c r="S192" i="5" s="1"/>
  <c r="AJ31" i="5"/>
  <c r="AJ27" i="5"/>
  <c r="AJ58" i="5"/>
  <c r="AJ21" i="5"/>
  <c r="AJ65" i="5"/>
  <c r="AJ55" i="5"/>
  <c r="AJ48" i="5"/>
  <c r="AJ46" i="5"/>
  <c r="AJ42" i="5"/>
  <c r="AJ36" i="5"/>
  <c r="AJ34" i="5"/>
  <c r="AJ29" i="5"/>
  <c r="AJ25" i="5"/>
  <c r="AJ19" i="5"/>
  <c r="AJ14" i="5"/>
  <c r="AJ66" i="5"/>
  <c r="AJ57" i="5"/>
  <c r="AJ54" i="5"/>
  <c r="AJ51" i="5"/>
  <c r="AJ47" i="5"/>
  <c r="AJ44" i="5"/>
  <c r="AJ39" i="5"/>
  <c r="AJ35" i="5"/>
  <c r="AJ24" i="5"/>
  <c r="AJ20" i="5"/>
  <c r="AJ16" i="5"/>
  <c r="Q128" i="5"/>
  <c r="AJ38" i="5"/>
  <c r="AJ37" i="5"/>
  <c r="AJ67" i="5"/>
  <c r="U192" i="5" l="1"/>
  <c r="Q69" i="5"/>
  <c r="Q106" i="5"/>
  <c r="AJ103" i="5"/>
  <c r="Q131" i="5"/>
  <c r="AM144" i="5"/>
  <c r="AM145" i="5" s="1"/>
  <c r="AO144" i="5"/>
  <c r="AO145" i="5" s="1"/>
  <c r="AN144" i="5"/>
  <c r="AN145" i="5" s="1"/>
  <c r="AP144" i="5"/>
  <c r="AP145" i="5" s="1"/>
  <c r="Q215" i="5" l="1"/>
  <c r="R211" i="5"/>
  <c r="AJ106" i="5"/>
  <c r="Q135" i="5"/>
  <c r="Q12" i="6"/>
  <c r="AJ109" i="5"/>
  <c r="AA205" i="5"/>
  <c r="AC205" i="5"/>
  <c r="AB205" i="5"/>
  <c r="Q27" i="6" l="1"/>
  <c r="AJ12" i="6"/>
  <c r="P45" i="6"/>
  <c r="P34" i="6"/>
  <c r="AI163" i="5"/>
  <c r="AI150" i="5"/>
  <c r="AI127" i="5"/>
  <c r="P208" i="5"/>
  <c r="P101" i="5"/>
  <c r="P84" i="5"/>
  <c r="P142" i="5" s="1"/>
  <c r="P67" i="5"/>
  <c r="P58" i="5"/>
  <c r="P52" i="5"/>
  <c r="P37" i="5"/>
  <c r="P27" i="5"/>
  <c r="AC167" i="5"/>
  <c r="AD167" i="5"/>
  <c r="AE167" i="5"/>
  <c r="AG167" i="5"/>
  <c r="AF167" i="5"/>
  <c r="AL167" i="5" s="1"/>
  <c r="AH167" i="5"/>
  <c r="Q138" i="5" l="1"/>
  <c r="Q137" i="5"/>
  <c r="AJ128" i="5"/>
  <c r="AI10" i="6"/>
  <c r="Q47" i="6"/>
  <c r="AJ47" i="6" s="1"/>
  <c r="AJ27" i="6"/>
  <c r="AI135" i="5"/>
  <c r="P219" i="5"/>
  <c r="P124" i="5"/>
  <c r="P31" i="5"/>
  <c r="Q145" i="5" s="1"/>
  <c r="Q207" i="5"/>
  <c r="Q125" i="5"/>
  <c r="P153" i="5"/>
  <c r="P38" i="5"/>
  <c r="AI105" i="5"/>
  <c r="AI147" i="5"/>
  <c r="AI149" i="5"/>
  <c r="P60" i="5"/>
  <c r="AI84" i="5"/>
  <c r="AI90" i="5"/>
  <c r="AI98" i="5"/>
  <c r="AI82" i="5"/>
  <c r="AI88" i="5"/>
  <c r="AI93" i="5"/>
  <c r="AI83" i="5"/>
  <c r="AI87" i="5"/>
  <c r="AI89" i="5"/>
  <c r="AI91" i="5"/>
  <c r="AI94" i="5"/>
  <c r="AI97" i="5"/>
  <c r="AI101" i="5"/>
  <c r="AI148" i="5"/>
  <c r="AI132" i="5"/>
  <c r="AI134" i="5"/>
  <c r="AI136" i="5"/>
  <c r="AI131" i="5"/>
  <c r="AI133" i="5"/>
  <c r="P134" i="5"/>
  <c r="P95" i="5"/>
  <c r="P165" i="5"/>
  <c r="P159" i="5"/>
  <c r="P129" i="5"/>
  <c r="P166" i="5"/>
  <c r="P164" i="5"/>
  <c r="P160" i="5"/>
  <c r="P130" i="5"/>
  <c r="P21" i="5"/>
  <c r="Q144" i="5" s="1"/>
  <c r="AH211" i="5"/>
  <c r="AM86" i="5"/>
  <c r="AM85" i="5"/>
  <c r="AM88" i="5"/>
  <c r="AM87" i="5"/>
  <c r="AH143" i="5"/>
  <c r="O31" i="6"/>
  <c r="O25" i="6"/>
  <c r="O24" i="6"/>
  <c r="O65" i="5"/>
  <c r="O51" i="5"/>
  <c r="O24" i="5"/>
  <c r="O20" i="5"/>
  <c r="O14" i="5"/>
  <c r="P143" i="5" s="1"/>
  <c r="O82" i="5"/>
  <c r="AG208" i="5"/>
  <c r="AG207" i="5"/>
  <c r="AI45" i="6" l="1"/>
  <c r="AI14" i="6"/>
  <c r="AI42" i="6"/>
  <c r="AI43" i="6"/>
  <c r="AI20" i="6"/>
  <c r="AI15" i="6"/>
  <c r="AI17" i="6"/>
  <c r="AI19" i="6"/>
  <c r="AI39" i="6"/>
  <c r="AI30" i="6"/>
  <c r="AI32" i="6"/>
  <c r="AI21" i="6"/>
  <c r="AI41" i="6"/>
  <c r="AI31" i="6"/>
  <c r="AI24" i="6"/>
  <c r="AI34" i="6"/>
  <c r="AI144" i="5"/>
  <c r="AM143" i="5"/>
  <c r="AN86" i="5"/>
  <c r="AN88" i="5" s="1"/>
  <c r="P68" i="5"/>
  <c r="P123" i="5"/>
  <c r="P210" i="5"/>
  <c r="P221" i="5"/>
  <c r="Q218" i="5"/>
  <c r="P220" i="5"/>
  <c r="P218" i="5"/>
  <c r="P128" i="5"/>
  <c r="P103" i="5"/>
  <c r="AI95" i="5"/>
  <c r="P39" i="5"/>
  <c r="P161" i="5"/>
  <c r="P167" i="5"/>
  <c r="O213" i="5"/>
  <c r="O208" i="5"/>
  <c r="K24" i="5"/>
  <c r="K65" i="5"/>
  <c r="N54" i="5"/>
  <c r="N65" i="5"/>
  <c r="M156" i="5"/>
  <c r="L156" i="5"/>
  <c r="AH163" i="5"/>
  <c r="T211" i="5"/>
  <c r="AF211" i="5"/>
  <c r="AE211" i="5"/>
  <c r="AD211" i="5"/>
  <c r="AC211" i="5"/>
  <c r="AG211" i="5"/>
  <c r="N82" i="5"/>
  <c r="N83" i="5"/>
  <c r="N57" i="5"/>
  <c r="N51" i="5"/>
  <c r="N24" i="5"/>
  <c r="Q146" i="5" l="1"/>
  <c r="Q136" i="5"/>
  <c r="N156" i="5"/>
  <c r="P69" i="5"/>
  <c r="AI25" i="5"/>
  <c r="AI44" i="5"/>
  <c r="AI103" i="5"/>
  <c r="P131" i="5"/>
  <c r="P152" i="5"/>
  <c r="O156" i="5"/>
  <c r="O214" i="5"/>
  <c r="AI67" i="5"/>
  <c r="AI65" i="5"/>
  <c r="AI58" i="5"/>
  <c r="AI55" i="5"/>
  <c r="AI52" i="5"/>
  <c r="AI48" i="5"/>
  <c r="AI46" i="5"/>
  <c r="AI39" i="5"/>
  <c r="AI37" i="5"/>
  <c r="AI31" i="5"/>
  <c r="AI14" i="5"/>
  <c r="AI68" i="5"/>
  <c r="AI66" i="5"/>
  <c r="AI60" i="5"/>
  <c r="AI57" i="5"/>
  <c r="AI54" i="5"/>
  <c r="AI51" i="5"/>
  <c r="AI47" i="5"/>
  <c r="AI42" i="5"/>
  <c r="AI38" i="5"/>
  <c r="AI36" i="5"/>
  <c r="AI34" i="5"/>
  <c r="AI29" i="5"/>
  <c r="AI24" i="5"/>
  <c r="AI20" i="5"/>
  <c r="AI16" i="5"/>
  <c r="AI12" i="5"/>
  <c r="AI35" i="5"/>
  <c r="AI27" i="5"/>
  <c r="AI19" i="5"/>
  <c r="AI21" i="5"/>
  <c r="P106" i="5"/>
  <c r="N20" i="5"/>
  <c r="N14" i="5"/>
  <c r="N45" i="6"/>
  <c r="N34" i="6"/>
  <c r="AG163" i="5"/>
  <c r="AG143" i="5"/>
  <c r="AG127" i="5"/>
  <c r="N213" i="5"/>
  <c r="N214" i="5" s="1"/>
  <c r="N209" i="5"/>
  <c r="N226" i="5" s="1"/>
  <c r="N228" i="5" s="1"/>
  <c r="N208" i="5"/>
  <c r="N101" i="5"/>
  <c r="N94" i="5"/>
  <c r="N84" i="5"/>
  <c r="N67" i="5"/>
  <c r="N219" i="5" s="1"/>
  <c r="N58" i="5"/>
  <c r="N52" i="5"/>
  <c r="N37" i="5"/>
  <c r="N27" i="5"/>
  <c r="N31" i="5" s="1"/>
  <c r="M213" i="5"/>
  <c r="L213" i="5"/>
  <c r="K213" i="5"/>
  <c r="K214" i="5" s="1"/>
  <c r="J213" i="5"/>
  <c r="J214" i="5" s="1"/>
  <c r="O27" i="5"/>
  <c r="O67" i="5"/>
  <c r="O84" i="5"/>
  <c r="O45" i="6"/>
  <c r="O34" i="6"/>
  <c r="AH150" i="5"/>
  <c r="AH127" i="5"/>
  <c r="AI128" i="5" s="1"/>
  <c r="O101" i="5"/>
  <c r="O94" i="5"/>
  <c r="O58" i="5"/>
  <c r="O52" i="5"/>
  <c r="O37" i="5"/>
  <c r="S156" i="5" l="1"/>
  <c r="P215" i="5"/>
  <c r="P138" i="5"/>
  <c r="M214" i="5"/>
  <c r="S214" i="5" s="1"/>
  <c r="S213" i="5"/>
  <c r="AG150" i="5"/>
  <c r="AH144" i="5"/>
  <c r="AH128" i="5"/>
  <c r="AG135" i="5"/>
  <c r="L214" i="5"/>
  <c r="P155" i="5"/>
  <c r="P137" i="5"/>
  <c r="Q211" i="5"/>
  <c r="O219" i="5"/>
  <c r="O159" i="5"/>
  <c r="O142" i="5"/>
  <c r="O134" i="5"/>
  <c r="P207" i="5"/>
  <c r="O143" i="5"/>
  <c r="AM84" i="5"/>
  <c r="P125" i="5"/>
  <c r="N142" i="5"/>
  <c r="N134" i="5"/>
  <c r="N210" i="5" s="1"/>
  <c r="AG10" i="6"/>
  <c r="N124" i="5"/>
  <c r="AI109" i="5"/>
  <c r="P12" i="6"/>
  <c r="AI106" i="5"/>
  <c r="P135" i="5"/>
  <c r="O129" i="5"/>
  <c r="O124" i="5"/>
  <c r="O31" i="5"/>
  <c r="O207" i="5"/>
  <c r="AH135" i="5"/>
  <c r="O166" i="5"/>
  <c r="O164" i="5"/>
  <c r="O153" i="5"/>
  <c r="O165" i="5"/>
  <c r="O160" i="5"/>
  <c r="N166" i="5"/>
  <c r="N165" i="5"/>
  <c r="N164" i="5"/>
  <c r="N160" i="5"/>
  <c r="N159" i="5"/>
  <c r="N153" i="5"/>
  <c r="N130" i="5"/>
  <c r="N129" i="5"/>
  <c r="AH10" i="6"/>
  <c r="O125" i="5"/>
  <c r="AG209" i="5"/>
  <c r="AG147" i="5"/>
  <c r="AG149" i="5"/>
  <c r="AG83" i="5"/>
  <c r="AG87" i="5"/>
  <c r="AG89" i="5"/>
  <c r="AG91" i="5"/>
  <c r="AG94" i="5"/>
  <c r="AG97" i="5"/>
  <c r="AG101" i="5"/>
  <c r="AG105" i="5"/>
  <c r="AG82" i="5"/>
  <c r="AG84" i="5"/>
  <c r="AG88" i="5"/>
  <c r="AG90" i="5"/>
  <c r="AG93" i="5"/>
  <c r="AG98" i="5"/>
  <c r="N60" i="5"/>
  <c r="N38" i="5"/>
  <c r="AG148" i="5"/>
  <c r="AG132" i="5"/>
  <c r="AG134" i="5"/>
  <c r="AG136" i="5"/>
  <c r="AG131" i="5"/>
  <c r="AG133" i="5"/>
  <c r="N21" i="5"/>
  <c r="N123" i="5" s="1"/>
  <c r="N95" i="5"/>
  <c r="AH147" i="5"/>
  <c r="O95" i="5"/>
  <c r="AH149" i="5"/>
  <c r="O60" i="5"/>
  <c r="O21" i="5"/>
  <c r="P144" i="5" s="1"/>
  <c r="AH83" i="5"/>
  <c r="AH87" i="5"/>
  <c r="AH89" i="5"/>
  <c r="AH91" i="5"/>
  <c r="AH94" i="5"/>
  <c r="AH97" i="5"/>
  <c r="AH101" i="5"/>
  <c r="AH105" i="5"/>
  <c r="AH82" i="5"/>
  <c r="AH84" i="5"/>
  <c r="AH88" i="5"/>
  <c r="AH90" i="5"/>
  <c r="AH93" i="5"/>
  <c r="AH98" i="5"/>
  <c r="AH148" i="5"/>
  <c r="AH132" i="5"/>
  <c r="AH134" i="5"/>
  <c r="AH136" i="5"/>
  <c r="AH131" i="5"/>
  <c r="AH133" i="5"/>
  <c r="M24" i="6"/>
  <c r="T25" i="6"/>
  <c r="M65" i="5"/>
  <c r="M57" i="5"/>
  <c r="L51" i="5"/>
  <c r="S51" i="5" s="1"/>
  <c r="M51" i="5"/>
  <c r="M24" i="5"/>
  <c r="M20" i="5"/>
  <c r="M14" i="5"/>
  <c r="P27" i="6" l="1"/>
  <c r="AI12" i="6"/>
  <c r="P145" i="5"/>
  <c r="O38" i="5"/>
  <c r="N218" i="5"/>
  <c r="N220" i="5"/>
  <c r="O145" i="5"/>
  <c r="O144" i="5"/>
  <c r="O218" i="5"/>
  <c r="O220" i="5"/>
  <c r="O221" i="5"/>
  <c r="S221" i="5" s="1"/>
  <c r="AM95" i="5"/>
  <c r="AN95" i="5" s="1"/>
  <c r="AG39" i="6"/>
  <c r="AG14" i="6"/>
  <c r="AG31" i="6"/>
  <c r="AG42" i="6"/>
  <c r="AG19" i="6"/>
  <c r="AG37" i="6"/>
  <c r="AK37" i="6" s="1"/>
  <c r="AG24" i="6"/>
  <c r="AG32" i="6"/>
  <c r="AG20" i="6"/>
  <c r="AG17" i="6"/>
  <c r="AG34" i="6"/>
  <c r="AG45" i="6"/>
  <c r="AG21" i="6"/>
  <c r="AG15" i="6"/>
  <c r="AG30" i="6"/>
  <c r="AG41" i="6"/>
  <c r="N143" i="5"/>
  <c r="O128" i="5"/>
  <c r="O167" i="5"/>
  <c r="O130" i="5"/>
  <c r="O123" i="5"/>
  <c r="O103" i="5"/>
  <c r="O152" i="5" s="1"/>
  <c r="O210" i="5"/>
  <c r="O161" i="5"/>
  <c r="N161" i="5"/>
  <c r="N167" i="5"/>
  <c r="N68" i="5"/>
  <c r="N128" i="5"/>
  <c r="AH42" i="6"/>
  <c r="AH34" i="6"/>
  <c r="AH15" i="6"/>
  <c r="AH19" i="6"/>
  <c r="AH45" i="6"/>
  <c r="AH39" i="6"/>
  <c r="AH31" i="6"/>
  <c r="AH21" i="6"/>
  <c r="AH14" i="6"/>
  <c r="AH20" i="6"/>
  <c r="AH30" i="6"/>
  <c r="AH43" i="6"/>
  <c r="AH17" i="6"/>
  <c r="AH24" i="6"/>
  <c r="AH41" i="6"/>
  <c r="AH95" i="5"/>
  <c r="N103" i="5"/>
  <c r="N106" i="5" s="1"/>
  <c r="N215" i="5" s="1"/>
  <c r="AG95" i="5"/>
  <c r="N39" i="5"/>
  <c r="AH208" i="5"/>
  <c r="O39" i="5"/>
  <c r="P136" i="5" s="1"/>
  <c r="O68" i="5"/>
  <c r="M208" i="5"/>
  <c r="S208" i="5" s="1"/>
  <c r="AF207" i="5"/>
  <c r="M209" i="5"/>
  <c r="AF208" i="5"/>
  <c r="S209" i="5" l="1"/>
  <c r="M226" i="5"/>
  <c r="M228" i="5" s="1"/>
  <c r="AK39" i="6"/>
  <c r="P154" i="5"/>
  <c r="AI27" i="6"/>
  <c r="P47" i="6"/>
  <c r="AI47" i="6" s="1"/>
  <c r="AG25" i="5"/>
  <c r="AG44" i="5"/>
  <c r="O131" i="5"/>
  <c r="AH103" i="5"/>
  <c r="AH44" i="5"/>
  <c r="AH25" i="5"/>
  <c r="P146" i="5"/>
  <c r="O69" i="5"/>
  <c r="N12" i="6"/>
  <c r="AG12" i="6" s="1"/>
  <c r="N135" i="5"/>
  <c r="N155" i="5"/>
  <c r="AG103" i="5"/>
  <c r="N152" i="5"/>
  <c r="N131" i="5"/>
  <c r="O146" i="5"/>
  <c r="AH209" i="5"/>
  <c r="AH14" i="5"/>
  <c r="O106" i="5"/>
  <c r="AH46" i="5"/>
  <c r="AH48" i="5"/>
  <c r="AH38" i="5"/>
  <c r="AH21" i="5"/>
  <c r="AH19" i="5"/>
  <c r="AH20" i="5"/>
  <c r="AH57" i="5"/>
  <c r="AH24" i="5"/>
  <c r="AH54" i="5"/>
  <c r="AH35" i="5"/>
  <c r="AH65" i="5"/>
  <c r="AH51" i="5"/>
  <c r="AH52" i="5"/>
  <c r="AH58" i="5"/>
  <c r="AH16" i="5"/>
  <c r="AH34" i="5"/>
  <c r="AH47" i="5"/>
  <c r="AH60" i="5"/>
  <c r="AH27" i="5"/>
  <c r="AH39" i="5"/>
  <c r="AH55" i="5"/>
  <c r="AH36" i="5"/>
  <c r="AH66" i="5"/>
  <c r="AH37" i="5"/>
  <c r="AH29" i="5"/>
  <c r="AH31" i="5"/>
  <c r="AH42" i="5"/>
  <c r="AH68" i="5"/>
  <c r="AG106" i="5"/>
  <c r="AG109" i="5"/>
  <c r="AG67" i="5"/>
  <c r="AG65" i="5"/>
  <c r="AG58" i="5"/>
  <c r="AG55" i="5"/>
  <c r="AG52" i="5"/>
  <c r="AG48" i="5"/>
  <c r="AG46" i="5"/>
  <c r="AG39" i="5"/>
  <c r="AG37" i="5"/>
  <c r="AG35" i="5"/>
  <c r="AG31" i="5"/>
  <c r="AG27" i="5"/>
  <c r="AG19" i="5"/>
  <c r="AG14" i="5"/>
  <c r="AG68" i="5"/>
  <c r="AG66" i="5"/>
  <c r="AG60" i="5"/>
  <c r="AG57" i="5"/>
  <c r="AG54" i="5"/>
  <c r="AG51" i="5"/>
  <c r="AG47" i="5"/>
  <c r="AG42" i="5"/>
  <c r="AG38" i="5"/>
  <c r="AG36" i="5"/>
  <c r="AG34" i="5"/>
  <c r="AG29" i="5"/>
  <c r="AG24" i="5"/>
  <c r="AG20" i="5"/>
  <c r="AG16" i="5"/>
  <c r="AG12" i="5"/>
  <c r="AG21" i="5"/>
  <c r="AH67" i="5"/>
  <c r="AH12" i="5"/>
  <c r="O12" i="6"/>
  <c r="O215" i="5" l="1"/>
  <c r="N27" i="6"/>
  <c r="N47" i="6" s="1"/>
  <c r="AG47" i="6" s="1"/>
  <c r="O155" i="5"/>
  <c r="AM106" i="5"/>
  <c r="AN106" i="5" s="1"/>
  <c r="O136" i="5"/>
  <c r="O137" i="5"/>
  <c r="O138" i="5"/>
  <c r="O135" i="5"/>
  <c r="P211" i="5"/>
  <c r="AH106" i="5"/>
  <c r="O211" i="5"/>
  <c r="AH109" i="5"/>
  <c r="O27" i="6"/>
  <c r="AH12" i="6"/>
  <c r="L209" i="5"/>
  <c r="L226" i="5" s="1"/>
  <c r="L228" i="5" s="1"/>
  <c r="K209" i="5"/>
  <c r="J209" i="5"/>
  <c r="I209" i="5"/>
  <c r="L208" i="5"/>
  <c r="K208" i="5"/>
  <c r="J208" i="5"/>
  <c r="I208" i="5"/>
  <c r="G209" i="5"/>
  <c r="G208" i="5"/>
  <c r="H209" i="5"/>
  <c r="H208" i="5"/>
  <c r="AF209" i="5"/>
  <c r="AL120" i="5"/>
  <c r="H89" i="5"/>
  <c r="I89" i="5"/>
  <c r="K89" i="5"/>
  <c r="L89" i="5"/>
  <c r="S89" i="5" s="1"/>
  <c r="T18" i="5"/>
  <c r="T15" i="5"/>
  <c r="T90" i="5"/>
  <c r="AE208" i="5"/>
  <c r="AL208" i="5" s="1"/>
  <c r="AD208" i="5"/>
  <c r="AC208" i="5"/>
  <c r="AB208" i="5"/>
  <c r="AA208" i="5"/>
  <c r="AE207" i="5"/>
  <c r="AL207" i="5" s="1"/>
  <c r="AD207" i="5"/>
  <c r="AC207" i="5"/>
  <c r="AB207" i="5"/>
  <c r="AA207" i="5"/>
  <c r="Z208" i="5"/>
  <c r="Z207" i="5"/>
  <c r="A10" i="6"/>
  <c r="AL112" i="5"/>
  <c r="AB163" i="5"/>
  <c r="AA163" i="5"/>
  <c r="AC163" i="5"/>
  <c r="AF163" i="5"/>
  <c r="AL163" i="5" s="1"/>
  <c r="AE163" i="5"/>
  <c r="AD163" i="5"/>
  <c r="T150" i="5"/>
  <c r="AE143" i="5"/>
  <c r="AD143" i="5"/>
  <c r="AC143" i="5"/>
  <c r="AC150" i="5" s="1"/>
  <c r="AB143" i="5"/>
  <c r="AB150" i="5" s="1"/>
  <c r="AA143" i="5"/>
  <c r="AA150" i="5" s="1"/>
  <c r="Z143" i="5"/>
  <c r="Z150" i="5" s="1"/>
  <c r="AF143" i="5"/>
  <c r="AL143" i="5" s="1"/>
  <c r="T136" i="5"/>
  <c r="T135" i="5"/>
  <c r="T134" i="5"/>
  <c r="T133" i="5"/>
  <c r="T142" i="5" s="1"/>
  <c r="T149" i="5" s="1"/>
  <c r="T155" i="5" s="1"/>
  <c r="T132" i="5"/>
  <c r="T141" i="5" s="1"/>
  <c r="T131" i="5"/>
  <c r="T140" i="5" s="1"/>
  <c r="AE127" i="5"/>
  <c r="AD127" i="5"/>
  <c r="AC127" i="5"/>
  <c r="AC136" i="5" s="1"/>
  <c r="AB127" i="5"/>
  <c r="AB136" i="5" s="1"/>
  <c r="AA127" i="5"/>
  <c r="Z127" i="5"/>
  <c r="Z136" i="5" s="1"/>
  <c r="AF127" i="5"/>
  <c r="AG128" i="5" l="1"/>
  <c r="AL127" i="5"/>
  <c r="T148" i="5"/>
  <c r="T154" i="5" s="1"/>
  <c r="T147" i="5"/>
  <c r="T153" i="5" s="1"/>
  <c r="AD144" i="5"/>
  <c r="AE136" i="5"/>
  <c r="AE128" i="5"/>
  <c r="AF150" i="5"/>
  <c r="AL150" i="5" s="1"/>
  <c r="AF144" i="5"/>
  <c r="AG144" i="5"/>
  <c r="AE144" i="5"/>
  <c r="AE150" i="5"/>
  <c r="N154" i="5"/>
  <c r="AG27" i="6"/>
  <c r="AD136" i="5"/>
  <c r="AF128" i="5"/>
  <c r="AL128" i="5" s="1"/>
  <c r="AA136" i="5"/>
  <c r="AA128" i="5"/>
  <c r="AB128" i="5"/>
  <c r="AD128" i="5"/>
  <c r="AC128" i="5"/>
  <c r="AD150" i="5"/>
  <c r="Z209" i="5"/>
  <c r="AA209" i="5"/>
  <c r="AC209" i="5"/>
  <c r="AE209" i="5"/>
  <c r="AL209" i="5" s="1"/>
  <c r="AD209" i="5"/>
  <c r="AB209" i="5"/>
  <c r="O47" i="6"/>
  <c r="O154" i="5"/>
  <c r="AH27" i="6"/>
  <c r="AF136" i="5"/>
  <c r="AL136" i="5" s="1"/>
  <c r="AF133" i="5"/>
  <c r="AL133" i="5" s="1"/>
  <c r="AF131" i="5"/>
  <c r="AL131" i="5" s="1"/>
  <c r="AF135" i="5"/>
  <c r="AL135" i="5" s="1"/>
  <c r="AF132" i="5"/>
  <c r="AL132" i="5" s="1"/>
  <c r="AF134" i="5"/>
  <c r="AL134" i="5" s="1"/>
  <c r="AA131" i="5"/>
  <c r="AC131" i="5"/>
  <c r="AE131" i="5"/>
  <c r="AA132" i="5"/>
  <c r="AC132" i="5"/>
  <c r="AE132" i="5"/>
  <c r="AA133" i="5"/>
  <c r="AC133" i="5"/>
  <c r="AE133" i="5"/>
  <c r="AA134" i="5"/>
  <c r="AC134" i="5"/>
  <c r="AE134" i="5"/>
  <c r="AA135" i="5"/>
  <c r="AC135" i="5"/>
  <c r="AE135" i="5"/>
  <c r="AF147" i="5"/>
  <c r="AL147" i="5" s="1"/>
  <c r="AF149" i="5"/>
  <c r="AL149" i="5" s="1"/>
  <c r="Z147" i="5"/>
  <c r="AB147" i="5"/>
  <c r="AD147" i="5"/>
  <c r="Z148" i="5"/>
  <c r="AB148" i="5"/>
  <c r="AD148" i="5"/>
  <c r="Z149" i="5"/>
  <c r="AB149" i="5"/>
  <c r="AD149" i="5"/>
  <c r="Z131" i="5"/>
  <c r="AB131" i="5"/>
  <c r="AD131" i="5"/>
  <c r="Z132" i="5"/>
  <c r="AB132" i="5"/>
  <c r="AD132" i="5"/>
  <c r="Z133" i="5"/>
  <c r="AB133" i="5"/>
  <c r="AD133" i="5"/>
  <c r="Z134" i="5"/>
  <c r="AB134" i="5"/>
  <c r="AD134" i="5"/>
  <c r="Z135" i="5"/>
  <c r="AB135" i="5"/>
  <c r="AD135" i="5"/>
  <c r="AF148" i="5"/>
  <c r="AL148" i="5" s="1"/>
  <c r="AA147" i="5"/>
  <c r="AC147" i="5"/>
  <c r="AE147" i="5"/>
  <c r="AA148" i="5"/>
  <c r="AC148" i="5"/>
  <c r="AE148" i="5"/>
  <c r="AA149" i="5"/>
  <c r="AC149" i="5"/>
  <c r="AE149" i="5"/>
  <c r="AL144" i="5" l="1"/>
  <c r="AH47" i="6"/>
  <c r="A3" i="6"/>
  <c r="L30" i="6"/>
  <c r="L21" i="6"/>
  <c r="L82" i="5"/>
  <c r="S82" i="5" s="1"/>
  <c r="L83" i="5"/>
  <c r="S83" i="5" s="1"/>
  <c r="L65" i="5"/>
  <c r="S65" i="5" s="1"/>
  <c r="L57" i="5"/>
  <c r="S57" i="5" s="1"/>
  <c r="L24" i="5"/>
  <c r="S24" i="5" s="1"/>
  <c r="L20" i="5"/>
  <c r="S20" i="5" s="1"/>
  <c r="L14" i="5"/>
  <c r="S14" i="5" s="1"/>
  <c r="T19" i="5"/>
  <c r="T17" i="5"/>
  <c r="F156" i="5" l="1"/>
  <c r="E156" i="5"/>
  <c r="D156" i="5"/>
  <c r="C156" i="5"/>
  <c r="G156" i="5"/>
  <c r="H156" i="5"/>
  <c r="I156" i="5"/>
  <c r="L45" i="6" l="1"/>
  <c r="L34" i="6"/>
  <c r="L101" i="5"/>
  <c r="S101" i="5" s="1"/>
  <c r="L94" i="5"/>
  <c r="S94" i="5" s="1"/>
  <c r="L84" i="5"/>
  <c r="S84" i="5" s="1"/>
  <c r="L67" i="5"/>
  <c r="L58" i="5"/>
  <c r="S58" i="5" s="1"/>
  <c r="L52" i="5"/>
  <c r="S52" i="5" s="1"/>
  <c r="L37" i="5"/>
  <c r="S37" i="5" s="1"/>
  <c r="L27" i="5"/>
  <c r="S27" i="5" s="1"/>
  <c r="L21" i="5"/>
  <c r="S21" i="5" s="1"/>
  <c r="K31" i="6"/>
  <c r="S31" i="6" s="1"/>
  <c r="K24" i="6"/>
  <c r="K57" i="5"/>
  <c r="K58" i="5" s="1"/>
  <c r="K51" i="5"/>
  <c r="K16" i="5"/>
  <c r="K14" i="5"/>
  <c r="M45" i="6"/>
  <c r="K45" i="6"/>
  <c r="S45" i="6" s="1"/>
  <c r="M34" i="6"/>
  <c r="M101" i="5"/>
  <c r="M94" i="5"/>
  <c r="M84" i="5"/>
  <c r="M67" i="5"/>
  <c r="M58" i="5"/>
  <c r="M52" i="5"/>
  <c r="M37" i="5"/>
  <c r="M27" i="5"/>
  <c r="M21" i="5"/>
  <c r="J84" i="5"/>
  <c r="AC82" i="5" s="1"/>
  <c r="I84" i="5"/>
  <c r="AB98" i="5" s="1"/>
  <c r="H84" i="5"/>
  <c r="AA83" i="5" s="1"/>
  <c r="G84" i="5"/>
  <c r="Z82" i="5" s="1"/>
  <c r="F84" i="5"/>
  <c r="F134" i="5" s="1"/>
  <c r="E83" i="5"/>
  <c r="E82" i="5" s="1"/>
  <c r="E84" i="5" s="1"/>
  <c r="X105" i="5" s="1"/>
  <c r="D83" i="5"/>
  <c r="D82" i="5" s="1"/>
  <c r="D84" i="5" s="1"/>
  <c r="D142" i="5" s="1"/>
  <c r="C83" i="5"/>
  <c r="C82" i="5" s="1"/>
  <c r="C84" i="5" s="1"/>
  <c r="V99" i="5" s="1"/>
  <c r="B83" i="5"/>
  <c r="B82" i="5" s="1"/>
  <c r="D94" i="5"/>
  <c r="D101" i="5"/>
  <c r="E94" i="5"/>
  <c r="E101" i="5"/>
  <c r="F94" i="5"/>
  <c r="F101" i="5"/>
  <c r="G89" i="5"/>
  <c r="G101" i="5"/>
  <c r="H94" i="5"/>
  <c r="H101" i="5"/>
  <c r="AA101" i="5" s="1"/>
  <c r="I94" i="5"/>
  <c r="I101" i="5"/>
  <c r="C94" i="5"/>
  <c r="C101" i="5"/>
  <c r="D24" i="6"/>
  <c r="E24" i="6"/>
  <c r="F24" i="6"/>
  <c r="G24" i="6"/>
  <c r="H24" i="6"/>
  <c r="I24" i="6"/>
  <c r="J14" i="6"/>
  <c r="J15" i="6"/>
  <c r="J20" i="6"/>
  <c r="J21" i="6"/>
  <c r="J23" i="6"/>
  <c r="J24" i="6"/>
  <c r="C24" i="6"/>
  <c r="S6" i="6"/>
  <c r="I34" i="6"/>
  <c r="I45" i="6"/>
  <c r="H34" i="6"/>
  <c r="H45" i="6"/>
  <c r="H49" i="6"/>
  <c r="J30" i="6"/>
  <c r="J34" i="6" s="1"/>
  <c r="J31" i="6"/>
  <c r="J45" i="6"/>
  <c r="C9" i="5"/>
  <c r="D9" i="5" s="1"/>
  <c r="B94" i="5"/>
  <c r="B101" i="5"/>
  <c r="B24" i="6"/>
  <c r="B34" i="6"/>
  <c r="B45" i="6"/>
  <c r="D49" i="6"/>
  <c r="E49" i="6"/>
  <c r="F49" i="6"/>
  <c r="G49" i="6"/>
  <c r="C34" i="6"/>
  <c r="C45" i="6"/>
  <c r="D34" i="6"/>
  <c r="D45" i="6"/>
  <c r="E34" i="6"/>
  <c r="E45" i="6"/>
  <c r="F34" i="6"/>
  <c r="F45" i="6"/>
  <c r="G34" i="6"/>
  <c r="G45" i="6"/>
  <c r="B8" i="6"/>
  <c r="U8" i="6" s="1"/>
  <c r="A5" i="6"/>
  <c r="T5" i="6" s="1"/>
  <c r="T3" i="6"/>
  <c r="J24" i="5"/>
  <c r="C24" i="5"/>
  <c r="C27" i="5" s="1"/>
  <c r="C31" i="5" s="1"/>
  <c r="H24" i="5"/>
  <c r="H27" i="5" s="1"/>
  <c r="H31" i="5" s="1"/>
  <c r="I24" i="5"/>
  <c r="I27" i="5" s="1"/>
  <c r="I31" i="5" s="1"/>
  <c r="D24" i="5"/>
  <c r="D27" i="5" s="1"/>
  <c r="D31" i="5" s="1"/>
  <c r="E24" i="5"/>
  <c r="E27" i="5" s="1"/>
  <c r="E31" i="5" s="1"/>
  <c r="F24" i="5"/>
  <c r="F27" i="5" s="1"/>
  <c r="G24" i="5"/>
  <c r="G27" i="5" s="1"/>
  <c r="G31" i="5" s="1"/>
  <c r="J55" i="5"/>
  <c r="F14" i="5"/>
  <c r="F16" i="5"/>
  <c r="F20" i="5"/>
  <c r="F37" i="5"/>
  <c r="G14" i="5"/>
  <c r="G16" i="5"/>
  <c r="G20" i="5"/>
  <c r="G37" i="5"/>
  <c r="H14" i="5"/>
  <c r="H16" i="5"/>
  <c r="H20" i="5"/>
  <c r="H37" i="5"/>
  <c r="I14" i="5"/>
  <c r="I16" i="5"/>
  <c r="I20" i="5"/>
  <c r="I37" i="5"/>
  <c r="J48" i="5"/>
  <c r="J14" i="5"/>
  <c r="J16" i="5"/>
  <c r="J20" i="5"/>
  <c r="J25" i="5"/>
  <c r="J29" i="5"/>
  <c r="J34" i="5"/>
  <c r="J35" i="5"/>
  <c r="J36" i="5"/>
  <c r="J46" i="5"/>
  <c r="K27" i="5"/>
  <c r="K35" i="5"/>
  <c r="C14" i="5"/>
  <c r="C65" i="5"/>
  <c r="C67" i="5" s="1"/>
  <c r="C153" i="5" s="1"/>
  <c r="B65" i="5"/>
  <c r="B67" i="5" s="1"/>
  <c r="D65" i="5"/>
  <c r="D67" i="5" s="1"/>
  <c r="D153" i="5" s="1"/>
  <c r="E65" i="5"/>
  <c r="E67" i="5" s="1"/>
  <c r="F65" i="5"/>
  <c r="F67" i="5" s="1"/>
  <c r="F153" i="5" s="1"/>
  <c r="G65" i="5"/>
  <c r="H65" i="5"/>
  <c r="H67" i="5" s="1"/>
  <c r="I65" i="5"/>
  <c r="I67" i="5" s="1"/>
  <c r="J94" i="5"/>
  <c r="J101" i="5"/>
  <c r="J65" i="5"/>
  <c r="J66" i="5"/>
  <c r="J42" i="5"/>
  <c r="J54" i="5"/>
  <c r="K67" i="5"/>
  <c r="K84" i="5"/>
  <c r="AD91" i="5" s="1"/>
  <c r="J57" i="5"/>
  <c r="J51" i="5"/>
  <c r="J47" i="5"/>
  <c r="K94" i="5"/>
  <c r="K101" i="5"/>
  <c r="C109" i="5"/>
  <c r="D109" i="5"/>
  <c r="E109" i="5"/>
  <c r="F109" i="5"/>
  <c r="G109" i="5"/>
  <c r="H109" i="5"/>
  <c r="C57" i="5"/>
  <c r="C58" i="5" s="1"/>
  <c r="C51" i="5"/>
  <c r="C52" i="5" s="1"/>
  <c r="C124" i="5" s="1"/>
  <c r="D57" i="5"/>
  <c r="D58" i="5" s="1"/>
  <c r="D51" i="5"/>
  <c r="D52" i="5" s="1"/>
  <c r="E57" i="5"/>
  <c r="E58" i="5" s="1"/>
  <c r="E51" i="5"/>
  <c r="E52" i="5" s="1"/>
  <c r="F57" i="5"/>
  <c r="F58" i="5" s="1"/>
  <c r="F51" i="5"/>
  <c r="F52" i="5" s="1"/>
  <c r="G57" i="5"/>
  <c r="G51" i="5"/>
  <c r="H57" i="5"/>
  <c r="H58" i="5" s="1"/>
  <c r="H51" i="5"/>
  <c r="H52" i="5" s="1"/>
  <c r="I57" i="5"/>
  <c r="I58" i="5" s="1"/>
  <c r="I51" i="5"/>
  <c r="I52" i="5" s="1"/>
  <c r="C16" i="5"/>
  <c r="C20" i="5"/>
  <c r="C37" i="5"/>
  <c r="D14" i="5"/>
  <c r="D16" i="5"/>
  <c r="D20" i="5"/>
  <c r="D37" i="5"/>
  <c r="E14" i="5"/>
  <c r="E16" i="5"/>
  <c r="E20" i="5"/>
  <c r="E37" i="5"/>
  <c r="T33" i="5"/>
  <c r="U9" i="5"/>
  <c r="V9" i="5" s="1"/>
  <c r="B79" i="5"/>
  <c r="C79" i="5" s="1"/>
  <c r="B14" i="5"/>
  <c r="B16" i="5"/>
  <c r="B20" i="5"/>
  <c r="B24" i="5"/>
  <c r="B27" i="5" s="1"/>
  <c r="B31" i="5" s="1"/>
  <c r="B37" i="5"/>
  <c r="B51" i="5"/>
  <c r="B52" i="5" s="1"/>
  <c r="T44" i="5"/>
  <c r="AC105" i="5"/>
  <c r="T83" i="5"/>
  <c r="T84" i="5"/>
  <c r="T82" i="5"/>
  <c r="B57" i="5"/>
  <c r="B58" i="5" s="1"/>
  <c r="B109" i="5"/>
  <c r="T31" i="5"/>
  <c r="T98" i="5"/>
  <c r="T99" i="5"/>
  <c r="T100" i="5"/>
  <c r="T101" i="5"/>
  <c r="T103" i="5"/>
  <c r="T104" i="5"/>
  <c r="T105" i="5"/>
  <c r="T106" i="5"/>
  <c r="T108" i="5"/>
  <c r="T109" i="5"/>
  <c r="T97" i="5"/>
  <c r="T88" i="5"/>
  <c r="T89" i="5"/>
  <c r="T91" i="5"/>
  <c r="T92" i="5"/>
  <c r="T93" i="5"/>
  <c r="T87" i="5"/>
  <c r="A116" i="5"/>
  <c r="A75" i="5"/>
  <c r="S77" i="5"/>
  <c r="T37" i="6"/>
  <c r="T68" i="5"/>
  <c r="T67" i="5"/>
  <c r="T66" i="5"/>
  <c r="T65" i="5"/>
  <c r="T64" i="5"/>
  <c r="T62" i="5"/>
  <c r="T60" i="5"/>
  <c r="T55" i="5"/>
  <c r="T57" i="5"/>
  <c r="T58" i="5"/>
  <c r="T54" i="5"/>
  <c r="T35" i="5"/>
  <c r="T36" i="5"/>
  <c r="T34" i="5"/>
  <c r="T29" i="5"/>
  <c r="T25" i="5"/>
  <c r="T26" i="5"/>
  <c r="T27" i="5"/>
  <c r="T24" i="5"/>
  <c r="T43" i="6"/>
  <c r="T42" i="6"/>
  <c r="T41" i="6"/>
  <c r="T39" i="6"/>
  <c r="T38" i="6"/>
  <c r="T32" i="6"/>
  <c r="T31" i="6"/>
  <c r="T30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Z97" i="5"/>
  <c r="Z87" i="5"/>
  <c r="T46" i="5"/>
  <c r="T47" i="5"/>
  <c r="T48" i="5"/>
  <c r="T51" i="5"/>
  <c r="T42" i="5"/>
  <c r="T14" i="5"/>
  <c r="T16" i="5"/>
  <c r="T20" i="5"/>
  <c r="T21" i="5"/>
  <c r="T12" i="5"/>
  <c r="A114" i="5"/>
  <c r="M144" i="5" l="1"/>
  <c r="W101" i="5"/>
  <c r="AB99" i="5"/>
  <c r="AD98" i="5"/>
  <c r="Y83" i="5"/>
  <c r="Y89" i="5"/>
  <c r="Y99" i="5"/>
  <c r="AC88" i="5"/>
  <c r="V84" i="5"/>
  <c r="V92" i="5"/>
  <c r="V104" i="5"/>
  <c r="Z93" i="5"/>
  <c r="Y87" i="5"/>
  <c r="Y92" i="5"/>
  <c r="AC87" i="5"/>
  <c r="M31" i="5"/>
  <c r="M130" i="5" s="1"/>
  <c r="S130" i="5" s="1"/>
  <c r="G125" i="5"/>
  <c r="AL89" i="5"/>
  <c r="AL98" i="5"/>
  <c r="AL93" i="5"/>
  <c r="AL88" i="5"/>
  <c r="AL105" i="5"/>
  <c r="AL97" i="5"/>
  <c r="AL91" i="5"/>
  <c r="AL90" i="5"/>
  <c r="AL84" i="5"/>
  <c r="AL87" i="5"/>
  <c r="AL82" i="5"/>
  <c r="AL83" i="5"/>
  <c r="J67" i="5"/>
  <c r="J153" i="5" s="1"/>
  <c r="M124" i="5"/>
  <c r="S124" i="5" s="1"/>
  <c r="AL94" i="5"/>
  <c r="T114" i="5"/>
  <c r="A170" i="5"/>
  <c r="T116" i="5"/>
  <c r="A172" i="5"/>
  <c r="AL101" i="5"/>
  <c r="AA91" i="5"/>
  <c r="W93" i="5"/>
  <c r="AB84" i="5"/>
  <c r="Y97" i="5"/>
  <c r="W104" i="5"/>
  <c r="AB93" i="5"/>
  <c r="AB82" i="5"/>
  <c r="AD84" i="5"/>
  <c r="K52" i="5"/>
  <c r="K124" i="5" s="1"/>
  <c r="V83" i="5"/>
  <c r="Z84" i="5"/>
  <c r="V88" i="5"/>
  <c r="Z89" i="5"/>
  <c r="V98" i="5"/>
  <c r="Z99" i="5"/>
  <c r="V82" i="5"/>
  <c r="V101" i="5"/>
  <c r="V87" i="5"/>
  <c r="Z88" i="5"/>
  <c r="V91" i="5"/>
  <c r="V97" i="5"/>
  <c r="Z98" i="5"/>
  <c r="V100" i="5"/>
  <c r="V105" i="5"/>
  <c r="V93" i="5"/>
  <c r="Z83" i="5"/>
  <c r="V89" i="5"/>
  <c r="Z91" i="5"/>
  <c r="Z101" i="5"/>
  <c r="Z105" i="5"/>
  <c r="AA88" i="5"/>
  <c r="I129" i="5"/>
  <c r="V94" i="5"/>
  <c r="I124" i="5"/>
  <c r="W87" i="5"/>
  <c r="W92" i="5"/>
  <c r="W97" i="5"/>
  <c r="AA97" i="5"/>
  <c r="AC98" i="5"/>
  <c r="Y93" i="5"/>
  <c r="F142" i="5"/>
  <c r="AC91" i="5"/>
  <c r="J58" i="5"/>
  <c r="Y94" i="5"/>
  <c r="W83" i="5"/>
  <c r="W89" i="5"/>
  <c r="W94" i="5"/>
  <c r="W99" i="5"/>
  <c r="Y104" i="5"/>
  <c r="AC83" i="5"/>
  <c r="B38" i="5"/>
  <c r="X84" i="5"/>
  <c r="X98" i="5"/>
  <c r="AB87" i="5"/>
  <c r="AB94" i="5"/>
  <c r="AB105" i="5"/>
  <c r="AB88" i="5"/>
  <c r="K21" i="5"/>
  <c r="X88" i="5"/>
  <c r="X94" i="5"/>
  <c r="AB89" i="5"/>
  <c r="AB97" i="5"/>
  <c r="X82" i="5"/>
  <c r="X93" i="5"/>
  <c r="J125" i="5"/>
  <c r="F125" i="5"/>
  <c r="X83" i="5"/>
  <c r="X87" i="5"/>
  <c r="X89" i="5"/>
  <c r="X91" i="5"/>
  <c r="X92" i="5"/>
  <c r="X97" i="5"/>
  <c r="X99" i="5"/>
  <c r="X100" i="5"/>
  <c r="X101" i="5"/>
  <c r="X104" i="5"/>
  <c r="AB83" i="5"/>
  <c r="AB91" i="5"/>
  <c r="I125" i="5"/>
  <c r="Y101" i="5"/>
  <c r="K34" i="6"/>
  <c r="S34" i="6" s="1"/>
  <c r="K134" i="5"/>
  <c r="L123" i="5"/>
  <c r="B21" i="5"/>
  <c r="B39" i="5" s="1"/>
  <c r="U58" i="5" s="1"/>
  <c r="H60" i="5"/>
  <c r="H68" i="5" s="1"/>
  <c r="H125" i="5"/>
  <c r="AB101" i="5"/>
  <c r="L124" i="5"/>
  <c r="K142" i="5"/>
  <c r="K143" i="5"/>
  <c r="K207" i="5"/>
  <c r="AD90" i="5"/>
  <c r="J164" i="5"/>
  <c r="J95" i="5"/>
  <c r="J103" i="5" s="1"/>
  <c r="K37" i="5"/>
  <c r="H134" i="5"/>
  <c r="H210" i="5" s="1"/>
  <c r="H143" i="5"/>
  <c r="H145" i="5"/>
  <c r="H142" i="5"/>
  <c r="AA90" i="5"/>
  <c r="H207" i="5"/>
  <c r="AA89" i="5"/>
  <c r="J134" i="5"/>
  <c r="J210" i="5" s="1"/>
  <c r="J143" i="5"/>
  <c r="J142" i="5"/>
  <c r="AC90" i="5"/>
  <c r="J207" i="5"/>
  <c r="M219" i="5"/>
  <c r="S219" i="5" s="1"/>
  <c r="M166" i="5"/>
  <c r="S166" i="5" s="1"/>
  <c r="M165" i="5"/>
  <c r="S165" i="5" s="1"/>
  <c r="M164" i="5"/>
  <c r="S164" i="5" s="1"/>
  <c r="M160" i="5"/>
  <c r="S160" i="5" s="1"/>
  <c r="M159" i="5"/>
  <c r="S159" i="5" s="1"/>
  <c r="M153" i="5"/>
  <c r="S153" i="5" s="1"/>
  <c r="M129" i="5"/>
  <c r="S129" i="5" s="1"/>
  <c r="N137" i="5"/>
  <c r="N138" i="5"/>
  <c r="L125" i="5"/>
  <c r="L143" i="5"/>
  <c r="L142" i="5"/>
  <c r="L134" i="5"/>
  <c r="AE90" i="5"/>
  <c r="L207" i="5"/>
  <c r="M125" i="5"/>
  <c r="K219" i="5"/>
  <c r="G134" i="5"/>
  <c r="G210" i="5" s="1"/>
  <c r="G142" i="5"/>
  <c r="G143" i="5"/>
  <c r="Z92" i="5"/>
  <c r="I134" i="5"/>
  <c r="I210" i="5" s="1"/>
  <c r="I142" i="5"/>
  <c r="I143" i="5"/>
  <c r="I145" i="5"/>
  <c r="I207" i="5"/>
  <c r="AB90" i="5"/>
  <c r="M123" i="5"/>
  <c r="S123" i="5" s="1"/>
  <c r="N144" i="5"/>
  <c r="M207" i="5"/>
  <c r="M142" i="5"/>
  <c r="S142" i="5" s="1"/>
  <c r="M134" i="5"/>
  <c r="M143" i="5"/>
  <c r="S143" i="5" s="1"/>
  <c r="N207" i="5"/>
  <c r="N125" i="5"/>
  <c r="L219" i="5"/>
  <c r="L129" i="5"/>
  <c r="L166" i="5"/>
  <c r="L165" i="5"/>
  <c r="L164" i="5"/>
  <c r="L160" i="5"/>
  <c r="L159" i="5"/>
  <c r="L153" i="5"/>
  <c r="W84" i="5"/>
  <c r="Y84" i="5"/>
  <c r="W88" i="5"/>
  <c r="Y88" i="5"/>
  <c r="W91" i="5"/>
  <c r="Y91" i="5"/>
  <c r="W98" i="5"/>
  <c r="Y98" i="5"/>
  <c r="W100" i="5"/>
  <c r="Y100" i="5"/>
  <c r="Y105" i="5"/>
  <c r="W105" i="5"/>
  <c r="AA84" i="5"/>
  <c r="AA93" i="5"/>
  <c r="AA98" i="5"/>
  <c r="AA105" i="5"/>
  <c r="U79" i="5"/>
  <c r="B120" i="5"/>
  <c r="AA87" i="5"/>
  <c r="AC84" i="5"/>
  <c r="AC97" i="5"/>
  <c r="AC101" i="5"/>
  <c r="AA82" i="5"/>
  <c r="Y82" i="5"/>
  <c r="W82" i="5"/>
  <c r="F143" i="5"/>
  <c r="AC93" i="5"/>
  <c r="AC89" i="5"/>
  <c r="AC94" i="5"/>
  <c r="AD82" i="5"/>
  <c r="AD88" i="5"/>
  <c r="AD93" i="5"/>
  <c r="AD105" i="5"/>
  <c r="H124" i="5"/>
  <c r="F124" i="5"/>
  <c r="K153" i="5"/>
  <c r="K31" i="5"/>
  <c r="AF90" i="5"/>
  <c r="E164" i="5"/>
  <c r="E153" i="5"/>
  <c r="E129" i="5"/>
  <c r="H95" i="5"/>
  <c r="AA95" i="5" s="1"/>
  <c r="AA94" i="5"/>
  <c r="D21" i="5"/>
  <c r="D123" i="5" s="1"/>
  <c r="K160" i="5"/>
  <c r="J21" i="5"/>
  <c r="I95" i="5"/>
  <c r="AB95" i="5" s="1"/>
  <c r="B166" i="5"/>
  <c r="B164" i="5"/>
  <c r="B165" i="5"/>
  <c r="B160" i="5"/>
  <c r="B159" i="5"/>
  <c r="B153" i="5"/>
  <c r="E21" i="5"/>
  <c r="E39" i="5" s="1"/>
  <c r="J37" i="5"/>
  <c r="V79" i="5"/>
  <c r="B129" i="5"/>
  <c r="B60" i="5"/>
  <c r="B128" i="5" s="1"/>
  <c r="W9" i="5"/>
  <c r="C120" i="5"/>
  <c r="E38" i="5"/>
  <c r="E130" i="5"/>
  <c r="C38" i="5"/>
  <c r="C145" i="5"/>
  <c r="C165" i="5"/>
  <c r="C164" i="5"/>
  <c r="C160" i="5"/>
  <c r="C129" i="5"/>
  <c r="C166" i="5"/>
  <c r="C130" i="5"/>
  <c r="B124" i="5"/>
  <c r="E145" i="5"/>
  <c r="D38" i="5"/>
  <c r="B130" i="5"/>
  <c r="I21" i="5"/>
  <c r="I123" i="5" s="1"/>
  <c r="D143" i="5"/>
  <c r="D125" i="5"/>
  <c r="E124" i="5"/>
  <c r="C21" i="5"/>
  <c r="C123" i="5" s="1"/>
  <c r="G52" i="5"/>
  <c r="G58" i="5"/>
  <c r="D124" i="5"/>
  <c r="E160" i="5"/>
  <c r="E165" i="5"/>
  <c r="G67" i="5"/>
  <c r="G130" i="5" s="1"/>
  <c r="J27" i="5"/>
  <c r="H21" i="5"/>
  <c r="H123" i="5" s="1"/>
  <c r="F21" i="5"/>
  <c r="F123" i="5" s="1"/>
  <c r="AF10" i="6"/>
  <c r="H153" i="5"/>
  <c r="H165" i="5"/>
  <c r="H159" i="5"/>
  <c r="H129" i="5"/>
  <c r="H164" i="5"/>
  <c r="H166" i="5"/>
  <c r="H160" i="5"/>
  <c r="D164" i="5"/>
  <c r="D166" i="5"/>
  <c r="D160" i="5"/>
  <c r="D129" i="5"/>
  <c r="D130" i="5"/>
  <c r="D165" i="5"/>
  <c r="D159" i="5"/>
  <c r="D161" i="5" s="1"/>
  <c r="B84" i="5"/>
  <c r="U82" i="5" s="1"/>
  <c r="D134" i="5"/>
  <c r="W10" i="6"/>
  <c r="D95" i="5"/>
  <c r="E125" i="5"/>
  <c r="D145" i="5"/>
  <c r="I60" i="5"/>
  <c r="I128" i="5" s="1"/>
  <c r="F60" i="5"/>
  <c r="E60" i="5"/>
  <c r="E68" i="5" s="1"/>
  <c r="D60" i="5"/>
  <c r="C60" i="5"/>
  <c r="C68" i="5" s="1"/>
  <c r="I153" i="5"/>
  <c r="I165" i="5"/>
  <c r="I159" i="5"/>
  <c r="I164" i="5"/>
  <c r="I166" i="5"/>
  <c r="I160" i="5"/>
  <c r="F164" i="5"/>
  <c r="F166" i="5"/>
  <c r="F160" i="5"/>
  <c r="F129" i="5"/>
  <c r="F165" i="5"/>
  <c r="F159" i="5"/>
  <c r="C134" i="5"/>
  <c r="V10" i="6"/>
  <c r="C142" i="5"/>
  <c r="C143" i="5"/>
  <c r="C95" i="5"/>
  <c r="E134" i="5"/>
  <c r="X10" i="6"/>
  <c r="E95" i="5"/>
  <c r="E142" i="5"/>
  <c r="E143" i="5"/>
  <c r="K156" i="5"/>
  <c r="J156" i="5"/>
  <c r="AE10" i="6"/>
  <c r="D79" i="5"/>
  <c r="AD83" i="5"/>
  <c r="AD87" i="5"/>
  <c r="AD89" i="5"/>
  <c r="AD97" i="5"/>
  <c r="K125" i="5"/>
  <c r="J52" i="5"/>
  <c r="AD101" i="5"/>
  <c r="C159" i="5"/>
  <c r="K159" i="5"/>
  <c r="E159" i="5"/>
  <c r="K165" i="5"/>
  <c r="E166" i="5"/>
  <c r="G21" i="5"/>
  <c r="G39" i="5" s="1"/>
  <c r="G94" i="5"/>
  <c r="F95" i="5"/>
  <c r="Y10" i="6"/>
  <c r="Z10" i="6"/>
  <c r="AA10" i="6"/>
  <c r="AB10" i="6"/>
  <c r="AC10" i="6"/>
  <c r="L31" i="5"/>
  <c r="S31" i="5" s="1"/>
  <c r="AE83" i="5"/>
  <c r="AE87" i="5"/>
  <c r="AE89" i="5"/>
  <c r="AE94" i="5"/>
  <c r="AE97" i="5"/>
  <c r="AE101" i="5"/>
  <c r="L95" i="5"/>
  <c r="S95" i="5" s="1"/>
  <c r="AE82" i="5"/>
  <c r="AE84" i="5"/>
  <c r="AE88" i="5"/>
  <c r="AE91" i="5"/>
  <c r="AE93" i="5"/>
  <c r="AE98" i="5"/>
  <c r="AE105" i="5"/>
  <c r="L60" i="5"/>
  <c r="S60" i="5" s="1"/>
  <c r="L38" i="5"/>
  <c r="S38" i="5" s="1"/>
  <c r="D8" i="6"/>
  <c r="W8" i="6" s="1"/>
  <c r="E9" i="5"/>
  <c r="C8" i="6"/>
  <c r="V8" i="6" s="1"/>
  <c r="K166" i="5"/>
  <c r="K164" i="5"/>
  <c r="K129" i="5"/>
  <c r="AD94" i="5"/>
  <c r="K95" i="5"/>
  <c r="AD10" i="6"/>
  <c r="M60" i="5"/>
  <c r="I38" i="5"/>
  <c r="I130" i="5"/>
  <c r="H38" i="5"/>
  <c r="H130" i="5"/>
  <c r="G38" i="5"/>
  <c r="F31" i="5"/>
  <c r="G145" i="5" s="1"/>
  <c r="M95" i="5"/>
  <c r="AL95" i="5" s="1"/>
  <c r="AF82" i="5"/>
  <c r="AF84" i="5"/>
  <c r="AF88" i="5"/>
  <c r="AF91" i="5"/>
  <c r="AF93" i="5"/>
  <c r="AF98" i="5"/>
  <c r="AF105" i="5"/>
  <c r="AF83" i="5"/>
  <c r="AF87" i="5"/>
  <c r="AF89" i="5"/>
  <c r="AF94" i="5"/>
  <c r="AF97" i="5"/>
  <c r="AF101" i="5"/>
  <c r="T3" i="5"/>
  <c r="T73" i="5"/>
  <c r="A73" i="5"/>
  <c r="M38" i="5" l="1"/>
  <c r="K60" i="5"/>
  <c r="J159" i="5"/>
  <c r="J165" i="5"/>
  <c r="D39" i="5"/>
  <c r="W31" i="5" s="1"/>
  <c r="M39" i="5"/>
  <c r="AL16" i="5" s="1"/>
  <c r="S207" i="5"/>
  <c r="J129" i="5"/>
  <c r="M128" i="5"/>
  <c r="S128" i="5" s="1"/>
  <c r="AL60" i="5"/>
  <c r="M210" i="5"/>
  <c r="S210" i="5" s="1"/>
  <c r="S134" i="5"/>
  <c r="AL44" i="5"/>
  <c r="AL42" i="5"/>
  <c r="AL35" i="5"/>
  <c r="AL39" i="5"/>
  <c r="AL24" i="5"/>
  <c r="AL51" i="5"/>
  <c r="S125" i="5"/>
  <c r="AL27" i="5"/>
  <c r="J166" i="5"/>
  <c r="J160" i="5"/>
  <c r="S144" i="5"/>
  <c r="N145" i="5"/>
  <c r="K123" i="5"/>
  <c r="K130" i="5"/>
  <c r="B123" i="5"/>
  <c r="I103" i="5"/>
  <c r="I152" i="5" s="1"/>
  <c r="G165" i="5"/>
  <c r="G159" i="5"/>
  <c r="H103" i="5"/>
  <c r="H152" i="5" s="1"/>
  <c r="C144" i="5"/>
  <c r="E167" i="5"/>
  <c r="I144" i="5"/>
  <c r="B161" i="5"/>
  <c r="AC95" i="5"/>
  <c r="H39" i="5"/>
  <c r="AA31" i="5" s="1"/>
  <c r="B68" i="5"/>
  <c r="U68" i="5" s="1"/>
  <c r="AE41" i="6"/>
  <c r="AK10" i="6"/>
  <c r="K39" i="5"/>
  <c r="AD44" i="5" s="1"/>
  <c r="E161" i="5"/>
  <c r="H128" i="5"/>
  <c r="L144" i="5"/>
  <c r="B167" i="5"/>
  <c r="Z31" i="5"/>
  <c r="L68" i="5"/>
  <c r="S68" i="5" s="1"/>
  <c r="Z38" i="5"/>
  <c r="L128" i="5"/>
  <c r="L130" i="5"/>
  <c r="M145" i="5"/>
  <c r="L210" i="5"/>
  <c r="AE34" i="6"/>
  <c r="N136" i="5"/>
  <c r="M220" i="5"/>
  <c r="S220" i="5" s="1"/>
  <c r="M218" i="5"/>
  <c r="S218" i="5" s="1"/>
  <c r="J152" i="5"/>
  <c r="K210" i="5"/>
  <c r="K220" i="5"/>
  <c r="K218" i="5"/>
  <c r="L220" i="5"/>
  <c r="L218" i="5"/>
  <c r="I39" i="5"/>
  <c r="AB38" i="5" s="1"/>
  <c r="K38" i="5"/>
  <c r="K161" i="5"/>
  <c r="K144" i="5"/>
  <c r="C161" i="5"/>
  <c r="E144" i="5"/>
  <c r="E123" i="5"/>
  <c r="L161" i="5"/>
  <c r="L167" i="5"/>
  <c r="M161" i="5"/>
  <c r="S161" i="5" s="1"/>
  <c r="M167" i="5"/>
  <c r="S167" i="5" s="1"/>
  <c r="AE31" i="6"/>
  <c r="AE15" i="6"/>
  <c r="AE19" i="6"/>
  <c r="AE20" i="6"/>
  <c r="AE45" i="6"/>
  <c r="AE23" i="6"/>
  <c r="AK23" i="6" s="1"/>
  <c r="AD31" i="6"/>
  <c r="AE17" i="6"/>
  <c r="AE24" i="6"/>
  <c r="AE42" i="6"/>
  <c r="AE14" i="6"/>
  <c r="AE21" i="6"/>
  <c r="AE32" i="6"/>
  <c r="AK32" i="6" s="1"/>
  <c r="L145" i="5"/>
  <c r="AF21" i="6"/>
  <c r="AF19" i="6"/>
  <c r="AF20" i="6"/>
  <c r="M103" i="5"/>
  <c r="AL103" i="5" s="1"/>
  <c r="AE30" i="6"/>
  <c r="X21" i="5"/>
  <c r="F161" i="5"/>
  <c r="F167" i="5"/>
  <c r="I167" i="5"/>
  <c r="C125" i="5"/>
  <c r="X68" i="5"/>
  <c r="M68" i="5"/>
  <c r="AF42" i="6"/>
  <c r="AF24" i="6"/>
  <c r="AF15" i="6"/>
  <c r="AF31" i="6"/>
  <c r="AF17" i="6"/>
  <c r="AF45" i="6"/>
  <c r="AF41" i="6"/>
  <c r="AF30" i="6"/>
  <c r="AF14" i="6"/>
  <c r="AF34" i="6"/>
  <c r="G60" i="5"/>
  <c r="Z60" i="5" s="1"/>
  <c r="G124" i="5"/>
  <c r="X44" i="5"/>
  <c r="X37" i="5"/>
  <c r="X24" i="5"/>
  <c r="X67" i="5"/>
  <c r="X65" i="5"/>
  <c r="X58" i="5"/>
  <c r="X55" i="5"/>
  <c r="X52" i="5"/>
  <c r="X48" i="5"/>
  <c r="X46" i="5"/>
  <c r="X39" i="5"/>
  <c r="X34" i="5"/>
  <c r="X27" i="5"/>
  <c r="X25" i="5"/>
  <c r="X20" i="5"/>
  <c r="X14" i="5"/>
  <c r="X62" i="5"/>
  <c r="X54" i="5"/>
  <c r="X51" i="5"/>
  <c r="X47" i="5"/>
  <c r="X42" i="5"/>
  <c r="X35" i="5"/>
  <c r="X26" i="5"/>
  <c r="X16" i="5"/>
  <c r="X12" i="5"/>
  <c r="X29" i="5"/>
  <c r="X36" i="5"/>
  <c r="X66" i="5"/>
  <c r="X57" i="5"/>
  <c r="X9" i="5"/>
  <c r="D120" i="5"/>
  <c r="K167" i="5"/>
  <c r="I68" i="5"/>
  <c r="H161" i="5"/>
  <c r="H167" i="5"/>
  <c r="C167" i="5"/>
  <c r="X31" i="5"/>
  <c r="X38" i="5"/>
  <c r="J31" i="5"/>
  <c r="K145" i="5" s="1"/>
  <c r="G153" i="5"/>
  <c r="G166" i="5"/>
  <c r="G129" i="5"/>
  <c r="G164" i="5"/>
  <c r="G160" i="5"/>
  <c r="C39" i="5"/>
  <c r="V68" i="5" s="1"/>
  <c r="D144" i="5"/>
  <c r="W62" i="5"/>
  <c r="W16" i="5"/>
  <c r="W24" i="5"/>
  <c r="W20" i="5"/>
  <c r="F144" i="5"/>
  <c r="AB14" i="6"/>
  <c r="AB15" i="6"/>
  <c r="AB16" i="6"/>
  <c r="AB17" i="6"/>
  <c r="AB19" i="6"/>
  <c r="AB20" i="6"/>
  <c r="AB21" i="6"/>
  <c r="AB23" i="6"/>
  <c r="AB24" i="6"/>
  <c r="AB30" i="6"/>
  <c r="AB31" i="6"/>
  <c r="AB34" i="6"/>
  <c r="AB41" i="6"/>
  <c r="AB42" i="6"/>
  <c r="AB45" i="6"/>
  <c r="Z49" i="6"/>
  <c r="Z51" i="6"/>
  <c r="Z14" i="6"/>
  <c r="Z15" i="6"/>
  <c r="Z16" i="6"/>
  <c r="Z19" i="6"/>
  <c r="Z20" i="6"/>
  <c r="Z21" i="6"/>
  <c r="Z22" i="6"/>
  <c r="Z23" i="6"/>
  <c r="Z24" i="6"/>
  <c r="Z30" i="6"/>
  <c r="Z31" i="6"/>
  <c r="Z34" i="6"/>
  <c r="Z39" i="6"/>
  <c r="Z41" i="6"/>
  <c r="Z42" i="6"/>
  <c r="Z45" i="6"/>
  <c r="F103" i="5"/>
  <c r="F152" i="5" s="1"/>
  <c r="Y95" i="5"/>
  <c r="G123" i="5"/>
  <c r="H144" i="5"/>
  <c r="J124" i="5"/>
  <c r="J60" i="5"/>
  <c r="J123" i="5"/>
  <c r="J144" i="5"/>
  <c r="E79" i="5"/>
  <c r="W79" i="5"/>
  <c r="X49" i="6"/>
  <c r="X51" i="6"/>
  <c r="X14" i="6"/>
  <c r="X15" i="6"/>
  <c r="X16" i="6"/>
  <c r="X17" i="6"/>
  <c r="X19" i="6"/>
  <c r="X20" i="6"/>
  <c r="X21" i="6"/>
  <c r="X22" i="6"/>
  <c r="X23" i="6"/>
  <c r="X24" i="6"/>
  <c r="X30" i="6"/>
  <c r="X31" i="6"/>
  <c r="X32" i="6"/>
  <c r="X34" i="6"/>
  <c r="X37" i="6"/>
  <c r="X38" i="6"/>
  <c r="X39" i="6"/>
  <c r="X41" i="6"/>
  <c r="X42" i="6"/>
  <c r="X43" i="6"/>
  <c r="X45" i="6"/>
  <c r="C103" i="5"/>
  <c r="C152" i="5" s="1"/>
  <c r="V95" i="5"/>
  <c r="C128" i="5"/>
  <c r="E128" i="5"/>
  <c r="X60" i="5"/>
  <c r="U67" i="5"/>
  <c r="U65" i="5"/>
  <c r="U60" i="5"/>
  <c r="U57" i="5"/>
  <c r="U54" i="5"/>
  <c r="U51" i="5"/>
  <c r="U47" i="5"/>
  <c r="U42" i="5"/>
  <c r="U37" i="5"/>
  <c r="U35" i="5"/>
  <c r="U31" i="5"/>
  <c r="U24" i="5"/>
  <c r="U26" i="5"/>
  <c r="U21" i="5"/>
  <c r="U16" i="5"/>
  <c r="U12" i="5"/>
  <c r="U66" i="5"/>
  <c r="U62" i="5"/>
  <c r="U55" i="5"/>
  <c r="U52" i="5"/>
  <c r="U48" i="5"/>
  <c r="U46" i="5"/>
  <c r="U39" i="5"/>
  <c r="U36" i="5"/>
  <c r="U34" i="5"/>
  <c r="U29" i="5"/>
  <c r="U27" i="5"/>
  <c r="U25" i="5"/>
  <c r="U20" i="5"/>
  <c r="U14" i="5"/>
  <c r="D103" i="5"/>
  <c r="D152" i="5" s="1"/>
  <c r="W95" i="5"/>
  <c r="G144" i="5"/>
  <c r="D167" i="5"/>
  <c r="U38" i="5"/>
  <c r="AC14" i="6"/>
  <c r="AC15" i="6"/>
  <c r="AC17" i="6"/>
  <c r="AC20" i="6"/>
  <c r="AC21" i="6"/>
  <c r="AC23" i="6"/>
  <c r="AC24" i="6"/>
  <c r="AC30" i="6"/>
  <c r="AC31" i="6"/>
  <c r="AC32" i="6"/>
  <c r="AC34" i="6"/>
  <c r="AC39" i="6"/>
  <c r="AC41" i="6"/>
  <c r="AC42" i="6"/>
  <c r="AC45" i="6"/>
  <c r="AA14" i="6"/>
  <c r="AA15" i="6"/>
  <c r="AA19" i="6"/>
  <c r="AA20" i="6"/>
  <c r="AA21" i="6"/>
  <c r="AA22" i="6"/>
  <c r="AA23" i="6"/>
  <c r="AA24" i="6"/>
  <c r="AA30" i="6"/>
  <c r="AA31" i="6"/>
  <c r="AA34" i="6"/>
  <c r="AA38" i="6"/>
  <c r="AA41" i="6"/>
  <c r="AA42" i="6"/>
  <c r="AA45" i="6"/>
  <c r="AA49" i="6"/>
  <c r="Y14" i="6"/>
  <c r="Y15" i="6"/>
  <c r="Y16" i="6"/>
  <c r="Y17" i="6"/>
  <c r="Y19" i="6"/>
  <c r="Y20" i="6"/>
  <c r="Y21" i="6"/>
  <c r="Y22" i="6"/>
  <c r="Y23" i="6"/>
  <c r="Y24" i="6"/>
  <c r="Y30" i="6"/>
  <c r="Y31" i="6"/>
  <c r="Y32" i="6"/>
  <c r="Y34" i="6"/>
  <c r="Y37" i="6"/>
  <c r="Y38" i="6"/>
  <c r="Y39" i="6"/>
  <c r="Y41" i="6"/>
  <c r="Y42" i="6"/>
  <c r="Y43" i="6"/>
  <c r="Y45" i="6"/>
  <c r="Y49" i="6"/>
  <c r="Y51" i="6"/>
  <c r="G95" i="5"/>
  <c r="Z94" i="5"/>
  <c r="E103" i="5"/>
  <c r="E152" i="5" s="1"/>
  <c r="X95" i="5"/>
  <c r="V49" i="6"/>
  <c r="V51" i="6"/>
  <c r="V14" i="6"/>
  <c r="V15" i="6"/>
  <c r="V16" i="6"/>
  <c r="V17" i="6"/>
  <c r="V19" i="6"/>
  <c r="V20" i="6"/>
  <c r="V21" i="6"/>
  <c r="V22" i="6"/>
  <c r="V23" i="6"/>
  <c r="V24" i="6"/>
  <c r="V30" i="6"/>
  <c r="V31" i="6"/>
  <c r="V32" i="6"/>
  <c r="V34" i="6"/>
  <c r="V37" i="6"/>
  <c r="V38" i="6"/>
  <c r="V39" i="6"/>
  <c r="V41" i="6"/>
  <c r="V42" i="6"/>
  <c r="V43" i="6"/>
  <c r="V45" i="6"/>
  <c r="D128" i="5"/>
  <c r="F68" i="5"/>
  <c r="F128" i="5"/>
  <c r="W14" i="6"/>
  <c r="W15" i="6"/>
  <c r="W16" i="6"/>
  <c r="W17" i="6"/>
  <c r="W19" i="6"/>
  <c r="W20" i="6"/>
  <c r="W21" i="6"/>
  <c r="W22" i="6"/>
  <c r="W23" i="6"/>
  <c r="W24" i="6"/>
  <c r="W30" i="6"/>
  <c r="W31" i="6"/>
  <c r="W32" i="6"/>
  <c r="W34" i="6"/>
  <c r="W37" i="6"/>
  <c r="W38" i="6"/>
  <c r="W39" i="6"/>
  <c r="W41" i="6"/>
  <c r="W42" i="6"/>
  <c r="W43" i="6"/>
  <c r="W45" i="6"/>
  <c r="W51" i="6"/>
  <c r="W49" i="6"/>
  <c r="B134" i="5"/>
  <c r="U10" i="6"/>
  <c r="B95" i="5"/>
  <c r="B145" i="5"/>
  <c r="B143" i="5"/>
  <c r="B125" i="5"/>
  <c r="U105" i="5"/>
  <c r="U101" i="5"/>
  <c r="U99" i="5"/>
  <c r="U97" i="5"/>
  <c r="U94" i="5"/>
  <c r="U92" i="5"/>
  <c r="U89" i="5"/>
  <c r="U87" i="5"/>
  <c r="U83" i="5"/>
  <c r="B146" i="5"/>
  <c r="B144" i="5"/>
  <c r="B142" i="5"/>
  <c r="U104" i="5"/>
  <c r="U100" i="5"/>
  <c r="U98" i="5"/>
  <c r="U93" i="5"/>
  <c r="U91" i="5"/>
  <c r="U88" i="5"/>
  <c r="U84" i="5"/>
  <c r="I161" i="5"/>
  <c r="D68" i="5"/>
  <c r="L39" i="5"/>
  <c r="S39" i="5" s="1"/>
  <c r="AE95" i="5"/>
  <c r="L103" i="5"/>
  <c r="S103" i="5" s="1"/>
  <c r="F9" i="5"/>
  <c r="E8" i="6"/>
  <c r="X8" i="6" s="1"/>
  <c r="AF95" i="5"/>
  <c r="AD42" i="6"/>
  <c r="AD41" i="6"/>
  <c r="AD39" i="6"/>
  <c r="AD38" i="6"/>
  <c r="AD37" i="6"/>
  <c r="AD32" i="6"/>
  <c r="AD30" i="6"/>
  <c r="AD23" i="6"/>
  <c r="AD21" i="6"/>
  <c r="AD20" i="6"/>
  <c r="AD19" i="6"/>
  <c r="AD17" i="6"/>
  <c r="AD15" i="6"/>
  <c r="AD14" i="6"/>
  <c r="AD34" i="6"/>
  <c r="AD45" i="6"/>
  <c r="AD24" i="6"/>
  <c r="AD95" i="5"/>
  <c r="K103" i="5"/>
  <c r="K128" i="5"/>
  <c r="K68" i="5"/>
  <c r="AB66" i="5"/>
  <c r="AB58" i="5"/>
  <c r="AB42" i="5"/>
  <c r="AB48" i="5"/>
  <c r="AB44" i="5"/>
  <c r="AB57" i="5"/>
  <c r="AB37" i="5"/>
  <c r="AB29" i="5"/>
  <c r="AA34" i="5"/>
  <c r="Z29" i="5"/>
  <c r="Z47" i="5"/>
  <c r="Z46" i="5"/>
  <c r="Z42" i="5"/>
  <c r="Z39" i="5"/>
  <c r="Z35" i="5"/>
  <c r="Z34" i="5"/>
  <c r="Z27" i="5"/>
  <c r="Z25" i="5"/>
  <c r="Z21" i="5"/>
  <c r="Z20" i="5"/>
  <c r="Z16" i="5"/>
  <c r="Z14" i="5"/>
  <c r="Z12" i="5"/>
  <c r="Z48" i="5"/>
  <c r="Z36" i="5"/>
  <c r="Z37" i="5"/>
  <c r="Z24" i="5"/>
  <c r="Z67" i="5"/>
  <c r="Z66" i="5"/>
  <c r="Z65" i="5"/>
  <c r="Z58" i="5"/>
  <c r="Z57" i="5"/>
  <c r="Z55" i="5"/>
  <c r="Z54" i="5"/>
  <c r="Z52" i="5"/>
  <c r="Z51" i="5"/>
  <c r="F38" i="5"/>
  <c r="F145" i="5"/>
  <c r="F39" i="5"/>
  <c r="G146" i="5" s="1"/>
  <c r="F130" i="5"/>
  <c r="AF57" i="5"/>
  <c r="AF37" i="5"/>
  <c r="AF16" i="5"/>
  <c r="AF55" i="5"/>
  <c r="AF42" i="5"/>
  <c r="AF29" i="5"/>
  <c r="AF21" i="5"/>
  <c r="J106" i="5"/>
  <c r="AC109" i="5" s="1"/>
  <c r="J131" i="5"/>
  <c r="AC103" i="5"/>
  <c r="J167" i="5" l="1"/>
  <c r="W27" i="5"/>
  <c r="W37" i="5"/>
  <c r="W26" i="5"/>
  <c r="W66" i="5"/>
  <c r="W68" i="5"/>
  <c r="W60" i="5"/>
  <c r="W52" i="5"/>
  <c r="W34" i="5"/>
  <c r="W47" i="5"/>
  <c r="E146" i="5"/>
  <c r="AB54" i="5"/>
  <c r="AB27" i="5"/>
  <c r="W55" i="5"/>
  <c r="W46" i="5"/>
  <c r="W51" i="5"/>
  <c r="W38" i="5"/>
  <c r="J161" i="5"/>
  <c r="AF14" i="5"/>
  <c r="AF34" i="5"/>
  <c r="AF46" i="5"/>
  <c r="AF58" i="5"/>
  <c r="AF27" i="5"/>
  <c r="AF39" i="5"/>
  <c r="AF60" i="5"/>
  <c r="AA60" i="5"/>
  <c r="N146" i="5"/>
  <c r="AF25" i="5"/>
  <c r="AL31" i="5"/>
  <c r="AL21" i="5"/>
  <c r="AL57" i="5"/>
  <c r="AL54" i="5"/>
  <c r="AL19" i="5"/>
  <c r="AL47" i="5"/>
  <c r="AL48" i="5"/>
  <c r="AL66" i="5"/>
  <c r="AF20" i="5"/>
  <c r="AF36" i="5"/>
  <c r="AF48" i="5"/>
  <c r="AF66" i="5"/>
  <c r="AF31" i="5"/>
  <c r="AF47" i="5"/>
  <c r="AF65" i="5"/>
  <c r="AA55" i="5"/>
  <c r="W39" i="5"/>
  <c r="W65" i="5"/>
  <c r="W44" i="5"/>
  <c r="W58" i="5"/>
  <c r="W35" i="5"/>
  <c r="W54" i="5"/>
  <c r="W36" i="5"/>
  <c r="AF19" i="5"/>
  <c r="AF44" i="5"/>
  <c r="AL65" i="5"/>
  <c r="AL25" i="5"/>
  <c r="AL34" i="5"/>
  <c r="AL29" i="5"/>
  <c r="AL55" i="5"/>
  <c r="I106" i="5"/>
  <c r="J211" i="5" s="1"/>
  <c r="AF24" i="5"/>
  <c r="AF38" i="5"/>
  <c r="AF52" i="5"/>
  <c r="AF12" i="5"/>
  <c r="AF35" i="5"/>
  <c r="AF54" i="5"/>
  <c r="AF67" i="5"/>
  <c r="AA12" i="5"/>
  <c r="AA29" i="5"/>
  <c r="W14" i="5"/>
  <c r="W48" i="5"/>
  <c r="W67" i="5"/>
  <c r="W25" i="5"/>
  <c r="W12" i="5"/>
  <c r="W42" i="5"/>
  <c r="W57" i="5"/>
  <c r="W29" i="5"/>
  <c r="AF51" i="5"/>
  <c r="W21" i="5"/>
  <c r="AL37" i="5"/>
  <c r="AL38" i="5"/>
  <c r="AL14" i="5"/>
  <c r="AL20" i="5"/>
  <c r="AL12" i="5"/>
  <c r="AL46" i="5"/>
  <c r="AL36" i="5"/>
  <c r="AB20" i="5"/>
  <c r="AB39" i="5"/>
  <c r="AB60" i="5"/>
  <c r="AB16" i="5"/>
  <c r="AB47" i="5"/>
  <c r="AB35" i="5"/>
  <c r="S145" i="5"/>
  <c r="I131" i="5"/>
  <c r="AA14" i="5"/>
  <c r="AB24" i="5"/>
  <c r="AB46" i="5"/>
  <c r="AB67" i="5"/>
  <c r="AB21" i="5"/>
  <c r="AB52" i="5"/>
  <c r="AD14" i="5"/>
  <c r="AL67" i="5"/>
  <c r="AL52" i="5"/>
  <c r="AL58" i="5"/>
  <c r="AA39" i="5"/>
  <c r="AA20" i="5"/>
  <c r="AA35" i="5"/>
  <c r="AA38" i="5"/>
  <c r="G161" i="5"/>
  <c r="AA57" i="5"/>
  <c r="AA47" i="5"/>
  <c r="AF68" i="5"/>
  <c r="AL68" i="5"/>
  <c r="AD21" i="5"/>
  <c r="AA103" i="5"/>
  <c r="AA21" i="5"/>
  <c r="AA46" i="5"/>
  <c r="AA65" i="5"/>
  <c r="AA36" i="5"/>
  <c r="AA58" i="5"/>
  <c r="AA25" i="5"/>
  <c r="AD27" i="5"/>
  <c r="AB103" i="5"/>
  <c r="H131" i="5"/>
  <c r="AA27" i="5"/>
  <c r="AA51" i="5"/>
  <c r="AA48" i="5"/>
  <c r="AA42" i="5"/>
  <c r="AA66" i="5"/>
  <c r="AB14" i="5"/>
  <c r="AB34" i="5"/>
  <c r="AB51" i="5"/>
  <c r="AB65" i="5"/>
  <c r="AB12" i="5"/>
  <c r="AB36" i="5"/>
  <c r="AB55" i="5"/>
  <c r="AB25" i="5"/>
  <c r="AB68" i="5"/>
  <c r="I146" i="5"/>
  <c r="H146" i="5"/>
  <c r="AD39" i="5"/>
  <c r="AD54" i="5"/>
  <c r="G167" i="5"/>
  <c r="H106" i="5"/>
  <c r="H12" i="6" s="1"/>
  <c r="AA16" i="5"/>
  <c r="AA37" i="5"/>
  <c r="AA54" i="5"/>
  <c r="AA67" i="5"/>
  <c r="AA24" i="5"/>
  <c r="AA52" i="5"/>
  <c r="AA68" i="5"/>
  <c r="AD52" i="5"/>
  <c r="AD60" i="5"/>
  <c r="AD24" i="5"/>
  <c r="AD58" i="5"/>
  <c r="AD37" i="5"/>
  <c r="AD67" i="5"/>
  <c r="AD34" i="5"/>
  <c r="AD12" i="5"/>
  <c r="AD46" i="5"/>
  <c r="AD17" i="5"/>
  <c r="AD38" i="5"/>
  <c r="AD29" i="5"/>
  <c r="AD48" i="5"/>
  <c r="AD66" i="5"/>
  <c r="AD25" i="5"/>
  <c r="AD42" i="5"/>
  <c r="AD57" i="5"/>
  <c r="AD47" i="5"/>
  <c r="AD31" i="5"/>
  <c r="AD20" i="5"/>
  <c r="AD36" i="5"/>
  <c r="AD55" i="5"/>
  <c r="AD16" i="5"/>
  <c r="AD35" i="5"/>
  <c r="AD51" i="5"/>
  <c r="AD65" i="5"/>
  <c r="AD19" i="5"/>
  <c r="AK30" i="6"/>
  <c r="AK14" i="6"/>
  <c r="AK19" i="6"/>
  <c r="AK41" i="6"/>
  <c r="AK24" i="6"/>
  <c r="AK45" i="6"/>
  <c r="AK31" i="6"/>
  <c r="AK34" i="6"/>
  <c r="AK21" i="6"/>
  <c r="AK42" i="6"/>
  <c r="AK17" i="6"/>
  <c r="AK20" i="6"/>
  <c r="AK15" i="6"/>
  <c r="K152" i="5"/>
  <c r="M146" i="5"/>
  <c r="S146" i="5" s="1"/>
  <c r="AE44" i="5"/>
  <c r="V60" i="5"/>
  <c r="L146" i="5"/>
  <c r="Y31" i="5"/>
  <c r="M152" i="5"/>
  <c r="S152" i="5" s="1"/>
  <c r="M131" i="5"/>
  <c r="S131" i="5" s="1"/>
  <c r="L152" i="5"/>
  <c r="L131" i="5"/>
  <c r="J145" i="5"/>
  <c r="AB31" i="5"/>
  <c r="AF103" i="5"/>
  <c r="M106" i="5"/>
  <c r="AE19" i="5"/>
  <c r="I211" i="5"/>
  <c r="G128" i="5"/>
  <c r="G68" i="5"/>
  <c r="V21" i="5"/>
  <c r="V44" i="5"/>
  <c r="V37" i="5"/>
  <c r="V24" i="5"/>
  <c r="V65" i="5"/>
  <c r="V58" i="5"/>
  <c r="V55" i="5"/>
  <c r="V52" i="5"/>
  <c r="V48" i="5"/>
  <c r="V46" i="5"/>
  <c r="V39" i="5"/>
  <c r="V34" i="5"/>
  <c r="V27" i="5"/>
  <c r="V25" i="5"/>
  <c r="V20" i="5"/>
  <c r="V14" i="5"/>
  <c r="V66" i="5"/>
  <c r="V57" i="5"/>
  <c r="V51" i="5"/>
  <c r="V16" i="5"/>
  <c r="D146" i="5"/>
  <c r="V36" i="5"/>
  <c r="V29" i="5"/>
  <c r="V62" i="5"/>
  <c r="V54" i="5"/>
  <c r="V47" i="5"/>
  <c r="V42" i="5"/>
  <c r="V35" i="5"/>
  <c r="V26" i="5"/>
  <c r="V12" i="5"/>
  <c r="V31" i="5"/>
  <c r="V67" i="5"/>
  <c r="C146" i="5"/>
  <c r="J38" i="5"/>
  <c r="J130" i="5"/>
  <c r="J39" i="5"/>
  <c r="J146" i="5" s="1"/>
  <c r="Y9" i="5"/>
  <c r="E120" i="5"/>
  <c r="V38" i="5"/>
  <c r="I135" i="5"/>
  <c r="H135" i="5"/>
  <c r="U17" i="6"/>
  <c r="U49" i="6"/>
  <c r="U43" i="6"/>
  <c r="U41" i="6"/>
  <c r="U38" i="6"/>
  <c r="U32" i="6"/>
  <c r="U30" i="6"/>
  <c r="U24" i="6"/>
  <c r="U22" i="6"/>
  <c r="U20" i="6"/>
  <c r="U16" i="6"/>
  <c r="U14" i="6"/>
  <c r="U37" i="6"/>
  <c r="U45" i="6"/>
  <c r="U42" i="6"/>
  <c r="U39" i="6"/>
  <c r="U34" i="6"/>
  <c r="U31" i="6"/>
  <c r="U23" i="6"/>
  <c r="U21" i="6"/>
  <c r="U19" i="6"/>
  <c r="U15" i="6"/>
  <c r="D106" i="5"/>
  <c r="D155" i="5" s="1"/>
  <c r="W103" i="5"/>
  <c r="D131" i="5"/>
  <c r="C106" i="5"/>
  <c r="C155" i="5" s="1"/>
  <c r="C131" i="5"/>
  <c r="V103" i="5"/>
  <c r="F106" i="5"/>
  <c r="F155" i="5" s="1"/>
  <c r="F131" i="5"/>
  <c r="Y103" i="5"/>
  <c r="J135" i="5"/>
  <c r="J155" i="5"/>
  <c r="B103" i="5"/>
  <c r="B152" i="5" s="1"/>
  <c r="U95" i="5"/>
  <c r="E131" i="5"/>
  <c r="E106" i="5"/>
  <c r="E155" i="5" s="1"/>
  <c r="X103" i="5"/>
  <c r="G103" i="5"/>
  <c r="Z95" i="5"/>
  <c r="F79" i="5"/>
  <c r="X79" i="5"/>
  <c r="J128" i="5"/>
  <c r="J68" i="5"/>
  <c r="AE16" i="5"/>
  <c r="AE67" i="5"/>
  <c r="AE47" i="5"/>
  <c r="AE38" i="5"/>
  <c r="AE35" i="5"/>
  <c r="AE60" i="5"/>
  <c r="AE52" i="5"/>
  <c r="AE27" i="5"/>
  <c r="AE39" i="5"/>
  <c r="AE54" i="5"/>
  <c r="AE68" i="5"/>
  <c r="AE20" i="5"/>
  <c r="AE34" i="5"/>
  <c r="AE46" i="5"/>
  <c r="AE58" i="5"/>
  <c r="AE21" i="5"/>
  <c r="AE12" i="5"/>
  <c r="AE25" i="5"/>
  <c r="AE31" i="5"/>
  <c r="AE37" i="5"/>
  <c r="AE51" i="5"/>
  <c r="AE57" i="5"/>
  <c r="AE66" i="5"/>
  <c r="AE14" i="5"/>
  <c r="AE24" i="5"/>
  <c r="AE29" i="5"/>
  <c r="AE36" i="5"/>
  <c r="AE42" i="5"/>
  <c r="AE48" i="5"/>
  <c r="AE55" i="5"/>
  <c r="AE65" i="5"/>
  <c r="L106" i="5"/>
  <c r="S106" i="5" s="1"/>
  <c r="AE103" i="5"/>
  <c r="F8" i="6"/>
  <c r="Y8" i="6" s="1"/>
  <c r="G9" i="5"/>
  <c r="AD68" i="5"/>
  <c r="AD103" i="5"/>
  <c r="K131" i="5"/>
  <c r="K106" i="5"/>
  <c r="Y48" i="5"/>
  <c r="F146" i="5"/>
  <c r="Y44" i="5"/>
  <c r="Y36" i="5"/>
  <c r="Y68" i="5"/>
  <c r="Y66" i="5"/>
  <c r="Y58" i="5"/>
  <c r="Y55" i="5"/>
  <c r="Y52" i="5"/>
  <c r="Y46" i="5"/>
  <c r="Y39" i="5"/>
  <c r="Y34" i="5"/>
  <c r="Y27" i="5"/>
  <c r="Y25" i="5"/>
  <c r="Y20" i="5"/>
  <c r="Y14" i="5"/>
  <c r="Y29" i="5"/>
  <c r="Y37" i="5"/>
  <c r="Y24" i="5"/>
  <c r="Y67" i="5"/>
  <c r="Y65" i="5"/>
  <c r="Y60" i="5"/>
  <c r="Y57" i="5"/>
  <c r="Y54" i="5"/>
  <c r="Y51" i="5"/>
  <c r="Y47" i="5"/>
  <c r="Y42" i="5"/>
  <c r="Y35" i="5"/>
  <c r="Y26" i="5"/>
  <c r="Y21" i="5"/>
  <c r="Y16" i="5"/>
  <c r="Y12" i="5"/>
  <c r="Y38" i="5"/>
  <c r="I136" i="5"/>
  <c r="AB106" i="5"/>
  <c r="I138" i="5"/>
  <c r="I137" i="5"/>
  <c r="AB109" i="5"/>
  <c r="AC106" i="5"/>
  <c r="J12" i="6"/>
  <c r="J138" i="5"/>
  <c r="J137" i="5"/>
  <c r="I12" i="6" l="1"/>
  <c r="I27" i="6" s="1"/>
  <c r="I155" i="5"/>
  <c r="M215" i="5"/>
  <c r="AL109" i="5"/>
  <c r="AL106" i="5"/>
  <c r="AA106" i="5"/>
  <c r="H137" i="5"/>
  <c r="H155" i="5"/>
  <c r="H138" i="5"/>
  <c r="H136" i="5"/>
  <c r="AA109" i="5"/>
  <c r="M12" i="6"/>
  <c r="AF12" i="6" s="1"/>
  <c r="N211" i="5"/>
  <c r="K211" i="5"/>
  <c r="K215" i="5"/>
  <c r="L215" i="5"/>
  <c r="L138" i="5"/>
  <c r="M138" i="5"/>
  <c r="S138" i="5" s="1"/>
  <c r="M155" i="5"/>
  <c r="S155" i="5" s="1"/>
  <c r="M137" i="5"/>
  <c r="S137" i="5" s="1"/>
  <c r="M136" i="5"/>
  <c r="S136" i="5" s="1"/>
  <c r="M135" i="5"/>
  <c r="S135" i="5" s="1"/>
  <c r="AF109" i="5"/>
  <c r="AF106" i="5"/>
  <c r="AC68" i="5"/>
  <c r="K146" i="5"/>
  <c r="M211" i="5"/>
  <c r="L155" i="5"/>
  <c r="L135" i="5"/>
  <c r="L137" i="5"/>
  <c r="L136" i="5"/>
  <c r="J136" i="5"/>
  <c r="F136" i="5"/>
  <c r="AC60" i="5"/>
  <c r="L211" i="5"/>
  <c r="Z9" i="5"/>
  <c r="F120" i="5"/>
  <c r="AC31" i="5"/>
  <c r="AC66" i="5"/>
  <c r="AC47" i="5"/>
  <c r="AC34" i="5"/>
  <c r="AC20" i="5"/>
  <c r="AC65" i="5"/>
  <c r="AC46" i="5"/>
  <c r="AC16" i="5"/>
  <c r="AC44" i="5"/>
  <c r="AC58" i="5"/>
  <c r="AC52" i="5"/>
  <c r="AC42" i="5"/>
  <c r="AC36" i="5"/>
  <c r="AC29" i="5"/>
  <c r="AC24" i="5"/>
  <c r="AC14" i="5"/>
  <c r="AC67" i="5"/>
  <c r="AC57" i="5"/>
  <c r="AC51" i="5"/>
  <c r="AC39" i="5"/>
  <c r="AC35" i="5"/>
  <c r="AC27" i="5"/>
  <c r="AC21" i="5"/>
  <c r="AC12" i="5"/>
  <c r="AC55" i="5"/>
  <c r="AC48" i="5"/>
  <c r="AC54" i="5"/>
  <c r="AC37" i="5"/>
  <c r="AC25" i="5"/>
  <c r="Z68" i="5"/>
  <c r="AC38" i="5"/>
  <c r="K135" i="5"/>
  <c r="AD109" i="5"/>
  <c r="K155" i="5"/>
  <c r="G79" i="5"/>
  <c r="Y79" i="5"/>
  <c r="B106" i="5"/>
  <c r="B155" i="5" s="1"/>
  <c r="U103" i="5"/>
  <c r="B131" i="5"/>
  <c r="F135" i="5"/>
  <c r="F12" i="6"/>
  <c r="F138" i="5"/>
  <c r="F137" i="5"/>
  <c r="Y108" i="5"/>
  <c r="Y106" i="5"/>
  <c r="Y109" i="5"/>
  <c r="D135" i="5"/>
  <c r="D12" i="6"/>
  <c r="D136" i="5"/>
  <c r="D138" i="5"/>
  <c r="W108" i="5"/>
  <c r="D137" i="5"/>
  <c r="W106" i="5"/>
  <c r="W109" i="5"/>
  <c r="G152" i="5"/>
  <c r="G106" i="5"/>
  <c r="G131" i="5"/>
  <c r="Z103" i="5"/>
  <c r="E135" i="5"/>
  <c r="E12" i="6"/>
  <c r="E138" i="5"/>
  <c r="E137" i="5"/>
  <c r="E136" i="5"/>
  <c r="X106" i="5"/>
  <c r="X109" i="5"/>
  <c r="X108" i="5"/>
  <c r="M27" i="6"/>
  <c r="M154" i="5" s="1"/>
  <c r="C135" i="5"/>
  <c r="C138" i="5"/>
  <c r="C137" i="5"/>
  <c r="C12" i="6"/>
  <c r="V109" i="5"/>
  <c r="C136" i="5"/>
  <c r="V106" i="5"/>
  <c r="V108" i="5"/>
  <c r="AE109" i="5"/>
  <c r="AE106" i="5"/>
  <c r="H9" i="5"/>
  <c r="G8" i="6"/>
  <c r="Z8" i="6" s="1"/>
  <c r="K138" i="5"/>
  <c r="K137" i="5"/>
  <c r="K12" i="6"/>
  <c r="S12" i="6" s="1"/>
  <c r="AD106" i="5"/>
  <c r="K136" i="5"/>
  <c r="H27" i="6"/>
  <c r="AA12" i="6"/>
  <c r="AB12" i="6"/>
  <c r="J27" i="6"/>
  <c r="AC12" i="6"/>
  <c r="S211" i="5" l="1"/>
  <c r="J154" i="5"/>
  <c r="I154" i="5"/>
  <c r="H154" i="5"/>
  <c r="H211" i="5"/>
  <c r="AA9" i="5"/>
  <c r="G120" i="5"/>
  <c r="Z120" i="5" s="1"/>
  <c r="E27" i="6"/>
  <c r="E154" i="5" s="1"/>
  <c r="X12" i="6"/>
  <c r="D27" i="6"/>
  <c r="D154" i="5" s="1"/>
  <c r="W12" i="6"/>
  <c r="F27" i="6"/>
  <c r="F154" i="5" s="1"/>
  <c r="Y12" i="6"/>
  <c r="C27" i="6"/>
  <c r="C154" i="5" s="1"/>
  <c r="V12" i="6"/>
  <c r="AF27" i="6"/>
  <c r="M47" i="6"/>
  <c r="AF47" i="6" s="1"/>
  <c r="G135" i="5"/>
  <c r="G155" i="5"/>
  <c r="G138" i="5"/>
  <c r="G137" i="5"/>
  <c r="G12" i="6"/>
  <c r="Z106" i="5"/>
  <c r="Z109" i="5"/>
  <c r="G136" i="5"/>
  <c r="B135" i="5"/>
  <c r="B12" i="6"/>
  <c r="U106" i="5"/>
  <c r="B138" i="5"/>
  <c r="B136" i="5"/>
  <c r="B137" i="5"/>
  <c r="U108" i="5"/>
  <c r="U109" i="5"/>
  <c r="H79" i="5"/>
  <c r="Z79" i="5"/>
  <c r="L27" i="6"/>
  <c r="L154" i="5" s="1"/>
  <c r="AE12" i="6"/>
  <c r="AK12" i="6" s="1"/>
  <c r="H8" i="6"/>
  <c r="AA8" i="6" s="1"/>
  <c r="I9" i="5"/>
  <c r="K27" i="6"/>
  <c r="AD12" i="6"/>
  <c r="H47" i="6"/>
  <c r="AA27" i="6"/>
  <c r="I47" i="6"/>
  <c r="AB27" i="6"/>
  <c r="J47" i="6"/>
  <c r="AC27" i="6"/>
  <c r="K154" i="5" l="1"/>
  <c r="S27" i="6"/>
  <c r="S154" i="5" s="1"/>
  <c r="AB9" i="5"/>
  <c r="H120" i="5"/>
  <c r="AA120" i="5" s="1"/>
  <c r="I79" i="5"/>
  <c r="AA79" i="5"/>
  <c r="B27" i="6"/>
  <c r="B154" i="5" s="1"/>
  <c r="U12" i="6"/>
  <c r="G27" i="6"/>
  <c r="Z12" i="6"/>
  <c r="C47" i="6"/>
  <c r="V47" i="6" s="1"/>
  <c r="V27" i="6"/>
  <c r="Y27" i="6"/>
  <c r="F47" i="6"/>
  <c r="Y47" i="6" s="1"/>
  <c r="W27" i="6"/>
  <c r="D47" i="6"/>
  <c r="W47" i="6" s="1"/>
  <c r="X27" i="6"/>
  <c r="E47" i="6"/>
  <c r="X47" i="6" s="1"/>
  <c r="AE27" i="6"/>
  <c r="AK27" i="6" s="1"/>
  <c r="L47" i="6"/>
  <c r="J9" i="5"/>
  <c r="I8" i="6"/>
  <c r="AB8" i="6" s="1"/>
  <c r="AD27" i="6"/>
  <c r="K47" i="6"/>
  <c r="H51" i="6"/>
  <c r="AA47" i="6"/>
  <c r="AB47" i="6"/>
  <c r="AC47" i="6"/>
  <c r="AD47" i="6" l="1"/>
  <c r="AC9" i="5"/>
  <c r="I120" i="5"/>
  <c r="AB120" i="5" s="1"/>
  <c r="G154" i="5"/>
  <c r="G47" i="6"/>
  <c r="Z47" i="6" s="1"/>
  <c r="Z27" i="6"/>
  <c r="U27" i="6"/>
  <c r="B47" i="6"/>
  <c r="J79" i="5"/>
  <c r="AB79" i="5"/>
  <c r="AE47" i="6"/>
  <c r="AK47" i="6" s="1"/>
  <c r="K9" i="5"/>
  <c r="L9" i="5" s="1"/>
  <c r="J8" i="6"/>
  <c r="AC8" i="6" s="1"/>
  <c r="I49" i="6"/>
  <c r="AA51" i="6"/>
  <c r="AD9" i="5" l="1"/>
  <c r="K120" i="5" s="1"/>
  <c r="AD120" i="5" s="1"/>
  <c r="K175" i="5" s="1"/>
  <c r="J120" i="5"/>
  <c r="AC120" i="5" s="1"/>
  <c r="AC180" i="5" s="1"/>
  <c r="M9" i="5"/>
  <c r="L8" i="6"/>
  <c r="AE8" i="6" s="1"/>
  <c r="AE9" i="5"/>
  <c r="L79" i="5"/>
  <c r="K79" i="5"/>
  <c r="AC79" i="5"/>
  <c r="U47" i="6"/>
  <c r="B51" i="6"/>
  <c r="U51" i="6" s="1"/>
  <c r="K8" i="6"/>
  <c r="AD8" i="6" s="1"/>
  <c r="AB49" i="6"/>
  <c r="I51" i="6"/>
  <c r="AF9" i="5" l="1"/>
  <c r="AF79" i="5" s="1"/>
  <c r="N9" i="5"/>
  <c r="AD79" i="5"/>
  <c r="AE79" i="5"/>
  <c r="L120" i="5"/>
  <c r="AE120" i="5" s="1"/>
  <c r="L175" i="5" s="1"/>
  <c r="M120" i="5"/>
  <c r="AF120" i="5" s="1"/>
  <c r="M175" i="5" s="1"/>
  <c r="M8" i="6"/>
  <c r="AF8" i="6" s="1"/>
  <c r="M79" i="5"/>
  <c r="AB51" i="6"/>
  <c r="J49" i="6"/>
  <c r="N79" i="5" l="1"/>
  <c r="AG9" i="5"/>
  <c r="AG79" i="5" s="1"/>
  <c r="N8" i="6"/>
  <c r="AG8" i="6" s="1"/>
  <c r="N120" i="5"/>
  <c r="AG120" i="5" s="1"/>
  <c r="N175" i="5" s="1"/>
  <c r="O9" i="5"/>
  <c r="AC49" i="6"/>
  <c r="J51" i="6"/>
  <c r="K49" i="6" s="1"/>
  <c r="P9" i="5" l="1"/>
  <c r="Q9" i="5" s="1"/>
  <c r="O8" i="6"/>
  <c r="AH8" i="6" s="1"/>
  <c r="O120" i="5"/>
  <c r="AH120" i="5" s="1"/>
  <c r="O175" i="5" s="1"/>
  <c r="AH9" i="5"/>
  <c r="AH79" i="5" s="1"/>
  <c r="O79" i="5"/>
  <c r="AD49" i="6"/>
  <c r="K51" i="6"/>
  <c r="AC51" i="6"/>
  <c r="R9" i="5" l="1"/>
  <c r="Q8" i="6"/>
  <c r="AJ8" i="6" s="1"/>
  <c r="AJ9" i="5"/>
  <c r="AJ79" i="5" s="1"/>
  <c r="Q79" i="5"/>
  <c r="Q120" i="5" s="1"/>
  <c r="AJ120" i="5" s="1"/>
  <c r="Q175" i="5" s="1"/>
  <c r="L49" i="6"/>
  <c r="AE49" i="6" s="1"/>
  <c r="P120" i="5"/>
  <c r="AI120" i="5" s="1"/>
  <c r="P175" i="5" s="1"/>
  <c r="P8" i="6"/>
  <c r="AI8" i="6" s="1"/>
  <c r="AI9" i="5"/>
  <c r="AI79" i="5" s="1"/>
  <c r="P79" i="5"/>
  <c r="AD51" i="6"/>
  <c r="AK9" i="5" l="1"/>
  <c r="AK79" i="5" s="1"/>
  <c r="R79" i="5"/>
  <c r="R120" i="5" s="1"/>
  <c r="AK120" i="5" s="1"/>
  <c r="R175" i="5" s="1"/>
  <c r="R8" i="6"/>
  <c r="L51" i="6"/>
  <c r="M49" i="6" s="1"/>
  <c r="M51" i="6" s="1"/>
  <c r="AF49" i="6" l="1"/>
  <c r="AE51" i="6"/>
  <c r="N49" i="6"/>
  <c r="AF51" i="6"/>
  <c r="N51" i="6" l="1"/>
  <c r="AG49" i="6"/>
  <c r="AG51" i="6" l="1"/>
  <c r="O49" i="6"/>
  <c r="O51" i="6" l="1"/>
  <c r="P49" i="6" s="1"/>
  <c r="AI49" i="6" s="1"/>
  <c r="AH49" i="6"/>
  <c r="AK49" i="6" l="1"/>
  <c r="P51" i="6"/>
  <c r="AI51" i="6" s="1"/>
  <c r="S49" i="6"/>
  <c r="AH51" i="6"/>
  <c r="AK51" i="6" l="1"/>
  <c r="Q49" i="6"/>
  <c r="S51" i="6"/>
  <c r="Q51" i="6" l="1"/>
  <c r="AJ49" i="6"/>
  <c r="AJ51" i="6" l="1"/>
  <c r="R49" i="6"/>
  <c r="R51" i="6" s="1"/>
</calcChain>
</file>

<file path=xl/sharedStrings.xml><?xml version="1.0" encoding="utf-8"?>
<sst xmlns="http://schemas.openxmlformats.org/spreadsheetml/2006/main" count="319" uniqueCount="248">
  <si>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</si>
  <si>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</si>
  <si>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</si>
  <si>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</si>
  <si>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</si>
  <si>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</si>
  <si>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</si>
  <si>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</si>
  <si>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</si>
  <si>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</si>
  <si>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</si>
  <si>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</si>
  <si>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</si>
  <si>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</si>
  <si>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</si>
  <si>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</si>
  <si>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</si>
  <si>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</si>
  <si>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</si>
  <si>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</si>
  <si>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</si>
  <si>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</si>
  <si>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</si>
  <si>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</si>
  <si>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</si>
  <si>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</si>
  <si>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</si>
  <si>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</si>
  <si>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</si>
  <si>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</si>
  <si>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</si>
  <si>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</si>
  <si>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</si>
  <si>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</si>
  <si>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</si>
  <si>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</si>
  <si>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</si>
  <si>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</si>
  <si>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</si>
  <si>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</si>
  <si>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</si>
  <si>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</si>
  <si>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</si>
  <si>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</si>
  <si>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</si>
  <si>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</si>
  <si>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</si>
  <si>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</si>
  <si>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</si>
  <si>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</si>
  <si>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</si>
  <si>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</si>
  <si>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</si>
  <si>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</si>
  <si>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</si>
  <si>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</si>
  <si>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</si>
  <si>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</si>
  <si>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</si>
  <si>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</si>
  <si>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</si>
  <si>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</si>
  <si>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</si>
  <si>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</si>
  <si>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</si>
  <si>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</si>
  <si>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</si>
  <si>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</si>
  <si>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</si>
  <si>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</si>
  <si>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</si>
  <si>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</si>
  <si>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</si>
  <si>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</si>
  <si>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</si>
  <si>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</si>
  <si>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</si>
  <si>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</si>
  <si>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</si>
  <si>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</si>
  <si>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</si>
  <si>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</si>
  <si>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</si>
  <si>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</si>
  <si>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</si>
  <si>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</si>
  <si>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</si>
  <si>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</si>
  <si>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</si>
  <si>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</si>
  <si>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</si>
  <si>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</si>
  <si>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</si>
  <si>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</si>
  <si>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</si>
  <si>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</si>
  <si>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</si>
  <si>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</si>
  <si>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</si>
  <si>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</si>
  <si>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</si>
  <si>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</si>
  <si>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</si>
  <si>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</si>
  <si>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</si>
  <si>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</si>
  <si>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</si>
  <si>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</si>
  <si>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</si>
  <si>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</si>
  <si>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</si>
  <si>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</si>
  <si>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</si>
  <si>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</si>
  <si>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</si>
  <si>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</si>
  <si>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</si>
  <si>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</si>
  <si>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</si>
  <si>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</si>
  <si>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</si>
  <si>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</si>
  <si>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</si>
  <si>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</si>
  <si>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</si>
  <si>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</si>
  <si>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</si>
  <si>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</si>
  <si>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</si>
  <si>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</si>
  <si>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</si>
  <si>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</si>
  <si>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</si>
  <si>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</si>
  <si>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</si>
  <si>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</si>
  <si>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</si>
  <si>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</si>
  <si>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</si>
  <si>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</si>
  <si>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</si>
  <si>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</si>
  <si>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</si>
  <si>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</si>
  <si>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</si>
  <si>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</si>
  <si>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</si>
  <si>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</si>
  <si>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</si>
  <si>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</si>
  <si>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</si>
  <si>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</si>
  <si>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</si>
  <si>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</si>
  <si>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</si>
  <si>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</si>
  <si>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</si>
  <si>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</si>
  <si>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</si>
  <si>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</si>
  <si>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</si>
  <si>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</si>
  <si>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</si>
  <si>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</si>
  <si>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</si>
  <si>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</si>
  <si>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</si>
  <si>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</si>
  <si>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</si>
  <si>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</si>
  <si>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</si>
  <si>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</si>
  <si>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</si>
  <si>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</si>
  <si>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</si>
  <si>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Dividend Increase</t>
  </si>
  <si>
    <t>Percent Increase</t>
  </si>
  <si>
    <t>Temp Adjusted Usage / Cust (Dth)</t>
  </si>
  <si>
    <t xml:space="preserve">   System Natural Gas Cost (per Dth)</t>
  </si>
  <si>
    <t>Natural Gas Volumes (MMDth)</t>
  </si>
  <si>
    <t>Natural Gas Revenue (per Dth)</t>
  </si>
  <si>
    <t>Accounts Payable</t>
  </si>
  <si>
    <t>Accounts Payable, Affiliates</t>
  </si>
  <si>
    <t>Customer-Credit Balances</t>
  </si>
  <si>
    <t>WEXPRO Gas</t>
  </si>
  <si>
    <t xml:space="preserve">Natural Gas Supply </t>
  </si>
  <si>
    <t xml:space="preserve">STANDARD &amp; POOR CREDIT RATING </t>
  </si>
  <si>
    <t>FFO / Total Debt</t>
  </si>
  <si>
    <t>Total Debt / Total Capital</t>
  </si>
  <si>
    <t>Debt to EBITDA</t>
  </si>
  <si>
    <t>FFO less Dividend / Capital Spending</t>
  </si>
  <si>
    <t>Gas Purchases</t>
  </si>
  <si>
    <t>Operator Service Fee</t>
  </si>
  <si>
    <t>Transportation and Storage</t>
  </si>
  <si>
    <t>Gathering</t>
  </si>
  <si>
    <t>Royalties</t>
  </si>
  <si>
    <t>Storage (Injection) Withdrawal, Net</t>
  </si>
  <si>
    <t xml:space="preserve">Purchased Gas Account Adjustment </t>
  </si>
  <si>
    <t>Elimination of Gas From Affiliated Parties</t>
  </si>
  <si>
    <t xml:space="preserve">   Total Gas From Unaffilated Parties</t>
  </si>
  <si>
    <t>Total Cost of Sales</t>
  </si>
  <si>
    <t>MOODY'S FINANCIAL RATIOS</t>
  </si>
  <si>
    <t>Debt / EBITDA</t>
  </si>
  <si>
    <t>Annual Volume Growth</t>
  </si>
  <si>
    <t>From 10-K and 10-Q (Note 1-F)</t>
  </si>
  <si>
    <t>Questar Pipeline Cost of Sales</t>
  </si>
  <si>
    <t>Noncurrent Regulatory Liabilities</t>
  </si>
  <si>
    <t>Return On Equity (Regulatory)</t>
  </si>
  <si>
    <t xml:space="preserve">Return On Equity (SEC) </t>
  </si>
  <si>
    <t>Dividend Payout Ratio</t>
  </si>
  <si>
    <t>Notes Receivable from Questar</t>
  </si>
  <si>
    <t xml:space="preserve">     Change in note receivable from Questar</t>
  </si>
  <si>
    <t>My Calculation</t>
  </si>
  <si>
    <t xml:space="preserve">5 year </t>
  </si>
  <si>
    <t>Short Term Debt</t>
  </si>
  <si>
    <t>Other Cost of Sales</t>
  </si>
  <si>
    <t>1st Qrtr</t>
  </si>
  <si>
    <t>Dividends Payable to Questar</t>
  </si>
  <si>
    <t>Current Regulatory Liabilities</t>
  </si>
  <si>
    <t>Accrued Expenses</t>
  </si>
  <si>
    <t xml:space="preserve">Annual </t>
  </si>
  <si>
    <t>% Increase</t>
  </si>
  <si>
    <t>Purchased Gas - DOLLARS</t>
  </si>
  <si>
    <t>Wexpro Gas - DOLLARS</t>
  </si>
  <si>
    <t xml:space="preserve">5 Year </t>
  </si>
  <si>
    <t>2010 to 2014</t>
  </si>
  <si>
    <t xml:space="preserve">5 Year Avg </t>
  </si>
  <si>
    <t>Annual</t>
  </si>
  <si>
    <t xml:space="preserve">   TOTAL COST OF GAS SOLD</t>
  </si>
  <si>
    <t xml:space="preserve">4 Year Avg </t>
  </si>
  <si>
    <t>Cost of Gas Sold Comparison</t>
  </si>
  <si>
    <t>page 7 of 8</t>
  </si>
  <si>
    <t>page 5 of 8</t>
  </si>
  <si>
    <t>page 6 of 8</t>
  </si>
  <si>
    <t>page 4 of 8</t>
  </si>
  <si>
    <t>page 1 of 8</t>
  </si>
  <si>
    <t>page 2 of 8</t>
  </si>
  <si>
    <t>page 3 of 8</t>
  </si>
  <si>
    <t>Wexpro Cost as % of Total</t>
  </si>
  <si>
    <t>Wexpro Production as % of Total</t>
  </si>
  <si>
    <t>Cost of Service Price / Bcf</t>
  </si>
  <si>
    <t>Purchase Gas Cost / Bcf</t>
  </si>
  <si>
    <t>Total Cost of Gas Sold / Bcf</t>
  </si>
  <si>
    <t>Operator Service Fee / Bcf</t>
  </si>
  <si>
    <t>Cost-of-service production (Bcf)</t>
  </si>
  <si>
    <t>Purchased Gas (Bcf)</t>
  </si>
  <si>
    <t xml:space="preserve">   Total Residential &amp; Industrial Sales</t>
  </si>
  <si>
    <t>Cost of Service Gas Production (Item 2 Production - Page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</si>
</sst>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u/>
      <sz val="12"/>
      <name val="Arial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61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70" fontId="11" fillId="2" borderId="14" xfId="0" applyNumberFormat="1" applyFont="1" applyFill="1" applyBorder="1"/>
    <xf numFmtId="4" fontId="11" fillId="2" borderId="0" xfId="0" applyNumberFormat="1" applyFont="1" applyFill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10" fontId="11" fillId="2" borderId="11" xfId="9" applyFont="1" applyBorder="1"/>
    <xf numFmtId="10" fontId="11" fillId="2" borderId="14" xfId="9" applyFont="1" applyBorder="1"/>
    <xf numFmtId="7" fontId="11" fillId="2" borderId="0" xfId="2" applyNumberFormat="1" applyFont="1" applyBorder="1"/>
    <xf numFmtId="5" fontId="17" fillId="2" borderId="0" xfId="0" applyNumberFormat="1" applyFont="1" applyFill="1"/>
    <xf numFmtId="37" fontId="18" fillId="2" borderId="5" xfId="0" applyNumberFormat="1" applyFont="1" applyFill="1" applyBorder="1"/>
    <xf numFmtId="37" fontId="18" fillId="2" borderId="0" xfId="9" applyNumberFormat="1" applyFont="1"/>
    <xf numFmtId="5" fontId="2" fillId="4" borderId="0" xfId="0" applyNumberFormat="1" applyFont="1" applyFill="1"/>
    <xf numFmtId="5" fontId="2" fillId="2" borderId="0" xfId="0" applyNumberFormat="1" applyFont="1" applyFill="1"/>
    <xf numFmtId="171" fontId="2" fillId="2" borderId="0" xfId="9" applyNumberFormat="1" applyFont="1"/>
    <xf numFmtId="5" fontId="11" fillId="2" borderId="0" xfId="2" applyNumberFormat="1" applyFont="1"/>
    <xf numFmtId="10" fontId="3" fillId="2" borderId="0" xfId="9" applyNumberFormat="1" applyFont="1"/>
    <xf numFmtId="171" fontId="3" fillId="2" borderId="0" xfId="9" applyNumberFormat="1" applyFont="1"/>
    <xf numFmtId="43" fontId="0" fillId="2" borderId="0" xfId="11" applyFont="1" applyFill="1"/>
    <xf numFmtId="44" fontId="11" fillId="2" borderId="0" xfId="2" applyNumberFormat="1" applyFont="1" applyBorder="1"/>
    <xf numFmtId="44" fontId="11" fillId="2" borderId="0" xfId="0" applyNumberFormat="1" applyFont="1" applyFill="1" applyBorder="1"/>
    <xf numFmtId="44" fontId="11" fillId="2" borderId="11" xfId="0" applyNumberFormat="1" applyFont="1" applyFill="1" applyBorder="1"/>
    <xf numFmtId="43" fontId="11" fillId="2" borderId="0" xfId="11" applyFont="1" applyFill="1" applyBorder="1"/>
    <xf numFmtId="5" fontId="7" fillId="2" borderId="0" xfId="0" applyNumberFormat="1" applyFont="1" applyFill="1"/>
    <xf numFmtId="16" fontId="10" fillId="2" borderId="0" xfId="0" applyNumberFormat="1" applyFont="1" applyFill="1" applyBorder="1" applyAlignment="1">
      <alignment horizontal="right"/>
    </xf>
    <xf numFmtId="16" fontId="2" fillId="2" borderId="0" xfId="11" applyNumberFormat="1" applyFont="1" applyFill="1" applyBorder="1" applyAlignment="1">
      <alignment horizontal="right"/>
    </xf>
    <xf numFmtId="16" fontId="10" fillId="0" borderId="0" xfId="8" applyNumberFormat="1" applyFont="1" applyFill="1" applyBorder="1" applyAlignment="1">
      <alignment horizontal="right"/>
    </xf>
    <xf numFmtId="2" fontId="0" fillId="2" borderId="0" xfId="0" applyNumberFormat="1" applyFill="1"/>
    <xf numFmtId="10" fontId="19" fillId="4" borderId="0" xfId="9" applyFont="1" applyFill="1"/>
    <xf numFmtId="0" fontId="0" fillId="2" borderId="0" xfId="0" applyNumberFormat="1" applyFill="1"/>
    <xf numFmtId="43" fontId="3" fillId="2" borderId="0" xfId="11" applyFont="1" applyFill="1"/>
    <xf numFmtId="10" fontId="20" fillId="2" borderId="0" xfId="9" applyFont="1"/>
    <xf numFmtId="43" fontId="20" fillId="2" borderId="0" xfId="11" applyFont="1" applyFill="1"/>
    <xf numFmtId="5" fontId="11" fillId="0" borderId="0" xfId="0" applyNumberFormat="1" applyFont="1" applyFill="1"/>
    <xf numFmtId="5" fontId="0" fillId="0" borderId="0" xfId="0" applyNumberFormat="1" applyFill="1"/>
    <xf numFmtId="10" fontId="11" fillId="0" borderId="0" xfId="9" applyFont="1" applyFill="1"/>
    <xf numFmtId="5" fontId="2" fillId="2" borderId="12" xfId="0" applyNumberFormat="1" applyFont="1" applyFill="1" applyBorder="1"/>
    <xf numFmtId="170" fontId="11" fillId="2" borderId="0" xfId="11" applyNumberFormat="1" applyFont="1" applyFill="1"/>
    <xf numFmtId="0" fontId="2" fillId="2" borderId="3" xfId="9" applyNumberFormat="1" applyFont="1" applyBorder="1" applyAlignment="1">
      <alignment horizontal="center"/>
    </xf>
    <xf numFmtId="170" fontId="2" fillId="2" borderId="0" xfId="11" applyNumberFormat="1" applyFont="1" applyFill="1"/>
    <xf numFmtId="0" fontId="2" fillId="2" borderId="0" xfId="9" applyNumberFormat="1" applyFont="1" applyBorder="1" applyAlignment="1">
      <alignment horizontal="center"/>
    </xf>
    <xf numFmtId="10" fontId="11" fillId="2" borderId="14" xfId="0" applyNumberFormat="1" applyFont="1" applyFill="1" applyBorder="1"/>
    <xf numFmtId="43" fontId="11" fillId="2" borderId="11" xfId="0" applyNumberFormat="1" applyFont="1" applyFill="1" applyBorder="1"/>
    <xf numFmtId="43" fontId="11" fillId="2" borderId="11" xfId="11" applyFont="1" applyFill="1" applyBorder="1"/>
    <xf numFmtId="43" fontId="7" fillId="2" borderId="0" xfId="11" applyFont="1" applyFill="1"/>
    <xf numFmtId="43" fontId="21" fillId="4" borderId="0" xfId="11" applyFont="1" applyFill="1"/>
    <xf numFmtId="171" fontId="11" fillId="2" borderId="3" xfId="0" applyNumberFormat="1" applyFont="1" applyFill="1" applyBorder="1"/>
    <xf numFmtId="2" fontId="20" fillId="2" borderId="0" xfId="0" applyNumberFormat="1" applyFont="1" applyFill="1"/>
    <xf numFmtId="5" fontId="0" fillId="2" borderId="8" xfId="0" applyNumberFormat="1" applyFill="1" applyBorder="1"/>
    <xf numFmtId="5" fontId="2" fillId="2" borderId="8" xfId="0" applyNumberFormat="1" applyFont="1" applyFill="1" applyBorder="1"/>
    <xf numFmtId="171" fontId="11" fillId="2" borderId="4" xfId="9" applyNumberFormat="1" applyFont="1" applyBorder="1"/>
    <xf numFmtId="0" fontId="11" fillId="2" borderId="0" xfId="11" applyNumberFormat="1" applyFont="1" applyFill="1"/>
    <xf numFmtId="0" fontId="3" fillId="2" borderId="0" xfId="9" applyNumberFormat="1" applyFont="1"/>
    <xf numFmtId="170" fontId="0" fillId="2" borderId="0" xfId="11" applyNumberFormat="1" applyFont="1" applyFill="1"/>
    <xf numFmtId="171" fontId="2" fillId="2" borderId="0" xfId="0" applyNumberFormat="1" applyFont="1" applyFill="1"/>
    <xf numFmtId="5" fontId="13" fillId="2" borderId="3" xfId="0" applyNumberFormat="1" applyFont="1" applyFill="1" applyBorder="1" applyAlignment="1">
      <alignment horizontal="right"/>
    </xf>
    <xf numFmtId="170" fontId="11" fillId="0" borderId="0" xfId="11" applyNumberFormat="1" applyFont="1" applyFill="1" applyBorder="1"/>
    <xf numFmtId="170" fontId="11" fillId="0" borderId="3" xfId="11" applyNumberFormat="1" applyFont="1" applyFill="1" applyBorder="1"/>
    <xf numFmtId="10" fontId="13" fillId="2" borderId="0" xfId="0" applyNumberFormat="1" applyFont="1" applyFill="1" applyAlignment="1">
      <alignment horizontal="center"/>
    </xf>
    <xf numFmtId="171" fontId="2" fillId="2" borderId="4" xfId="9" applyNumberFormat="1" applyFont="1" applyBorder="1"/>
    <xf numFmtId="10" fontId="2" fillId="2" borderId="11" xfId="9" applyFont="1" applyBorder="1"/>
    <xf numFmtId="0" fontId="11" fillId="2" borderId="0" xfId="0" applyNumberFormat="1" applyFont="1" applyFill="1"/>
    <xf numFmtId="170" fontId="11" fillId="0" borderId="0" xfId="11" applyNumberFormat="1" applyFont="1" applyFill="1"/>
    <xf numFmtId="44" fontId="11" fillId="2" borderId="0" xfId="2" applyNumberFormat="1" applyFont="1"/>
    <xf numFmtId="5" fontId="13" fillId="2" borderId="0" xfId="0" applyNumberFormat="1" applyFont="1" applyFill="1"/>
    <xf numFmtId="2" fontId="11" fillId="0" borderId="0" xfId="0" applyNumberFormat="1" applyFont="1" applyFill="1"/>
    <xf numFmtId="43" fontId="2" fillId="2" borderId="0" xfId="11" applyFont="1" applyFill="1"/>
    <xf numFmtId="0" fontId="2" fillId="2" borderId="0" xfId="11" applyNumberFormat="1" applyFont="1" applyFill="1"/>
    <xf numFmtId="10" fontId="6" fillId="2" borderId="0" xfId="9"/>
    <xf numFmtId="5" fontId="11" fillId="0" borderId="0" xfId="0" applyNumberFormat="1" applyFont="1" applyFill="1" applyAlignment="1">
      <alignment horizontal="right"/>
    </xf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2" xfId="0" applyNumberFormat="1" applyFont="1" applyFill="1" applyBorder="1" applyAlignment="1">
      <alignment horizontal="center"/>
    </xf>
    <xf numFmtId="5" fontId="2" fillId="2" borderId="3" xfId="0" applyNumberFormat="1" applyFont="1" applyFill="1" applyBorder="1" applyAlignment="1">
      <alignment horizontal="center"/>
    </xf>
    <xf numFmtId="5" fontId="2" fillId="2" borderId="14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8"/>
  <sheetViews>
    <sheetView showGridLines="0" tabSelected="1" view="pageBreakPreview" topLeftCell="A22" zoomScaleNormal="100" zoomScaleSheetLayoutView="100" workbookViewId="0">
      <selection activeCell="T199" sqref="T199"/>
    </sheetView>
  </sheetViews>
  <sheetFormatPr defaultColWidth="13.7109375" defaultRowHeight="12.75" x14ac:dyDescent="0.2"/>
  <cols>
    <col min="1" max="1" width="37.28515625" customWidth="1"/>
    <col min="2" max="2" width="12.5703125" hidden="1" customWidth="1"/>
    <col min="3" max="5" width="11.140625" hidden="1" customWidth="1"/>
    <col min="6" max="11" width="11.85546875" hidden="1" customWidth="1"/>
    <col min="12" max="18" width="11.85546875" customWidth="1"/>
    <col min="19" max="19" width="11.140625" style="1" customWidth="1"/>
    <col min="20" max="20" width="36.85546875" customWidth="1"/>
    <col min="21" max="30" width="10.7109375" hidden="1" customWidth="1"/>
    <col min="31" max="37" width="10.7109375" customWidth="1"/>
    <col min="38" max="38" width="11.42578125" customWidth="1"/>
    <col min="39" max="40" width="12.7109375" customWidth="1"/>
  </cols>
  <sheetData>
    <row r="1" spans="1:39" ht="15.75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91" t="s">
        <v>114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91" t="s">
        <v>114</v>
      </c>
      <c r="AM1" s="20"/>
    </row>
    <row r="2" spans="1:39" ht="15.75" x14ac:dyDescent="0.25">
      <c r="A2" s="123"/>
      <c r="B2" s="123"/>
      <c r="C2" s="123"/>
      <c r="D2" s="123"/>
      <c r="E2" s="123"/>
      <c r="F2" s="140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52" t="s">
        <v>236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52" t="s">
        <v>161</v>
      </c>
      <c r="AM2" s="2"/>
    </row>
    <row r="3" spans="1:39" ht="20.25" x14ac:dyDescent="0.3">
      <c r="A3" s="64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4" t="str">
        <f>A3</f>
        <v>Questar Gas Company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2"/>
    </row>
    <row r="4" spans="1:39" ht="15.75" x14ac:dyDescent="0.2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86"/>
      <c r="T4" s="65" t="s">
        <v>45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86"/>
      <c r="AM4" s="2"/>
    </row>
    <row r="5" spans="1:39" ht="15.75" x14ac:dyDescent="0.25">
      <c r="A5" s="68" t="s">
        <v>110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86"/>
      <c r="T5" s="65" t="s">
        <v>46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86"/>
      <c r="AM5" s="7"/>
    </row>
    <row r="6" spans="1:39" ht="15.75" x14ac:dyDescent="0.2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86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86"/>
      <c r="AM6" s="2"/>
    </row>
    <row r="7" spans="1:39" ht="15.75" x14ac:dyDescent="0.25">
      <c r="A7" s="128" t="s">
        <v>130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19" t="s">
        <v>226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184"/>
      <c r="AI7" s="184"/>
      <c r="AJ7" s="184"/>
      <c r="AK7" s="184"/>
      <c r="AL7" s="88"/>
      <c r="AM7" s="2"/>
    </row>
    <row r="8" spans="1:39" ht="15.75" x14ac:dyDescent="0.2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2"/>
      <c r="M8" s="142"/>
      <c r="N8" s="142"/>
      <c r="O8" s="142"/>
      <c r="P8" s="142"/>
      <c r="Q8" s="142"/>
      <c r="R8" s="142" t="s">
        <v>216</v>
      </c>
      <c r="S8" s="242" t="s">
        <v>227</v>
      </c>
      <c r="T8" s="87"/>
      <c r="U8" s="87"/>
      <c r="V8" s="87"/>
      <c r="W8" s="87"/>
      <c r="X8" s="87"/>
      <c r="Y8" s="87"/>
      <c r="Z8" s="87"/>
      <c r="AA8" s="89"/>
      <c r="AB8" s="89"/>
      <c r="AC8" s="89"/>
      <c r="AD8" s="92"/>
      <c r="AE8" s="92"/>
      <c r="AF8" s="90"/>
      <c r="AG8" s="90"/>
      <c r="AH8" s="185"/>
      <c r="AI8" s="208"/>
      <c r="AJ8" s="208"/>
      <c r="AK8" s="208" t="str">
        <f>+R8</f>
        <v>1st Qrtr</v>
      </c>
      <c r="AL8" s="122" t="s">
        <v>225</v>
      </c>
      <c r="AM8" s="2"/>
    </row>
    <row r="9" spans="1:39" ht="15.75" x14ac:dyDescent="0.25">
      <c r="A9" s="93" t="s">
        <v>0</v>
      </c>
      <c r="B9" s="93">
        <v>1999</v>
      </c>
      <c r="C9" s="93">
        <f t="shared" ref="C9:L9" si="0">B9+1</f>
        <v>2000</v>
      </c>
      <c r="D9" s="93">
        <f t="shared" si="0"/>
        <v>2001</v>
      </c>
      <c r="E9" s="93">
        <f t="shared" si="0"/>
        <v>2002</v>
      </c>
      <c r="F9" s="93">
        <f t="shared" si="0"/>
        <v>2003</v>
      </c>
      <c r="G9" s="93">
        <f t="shared" si="0"/>
        <v>2004</v>
      </c>
      <c r="H9" s="93">
        <f t="shared" si="0"/>
        <v>2005</v>
      </c>
      <c r="I9" s="93">
        <f t="shared" si="0"/>
        <v>2006</v>
      </c>
      <c r="J9" s="93">
        <f t="shared" si="0"/>
        <v>2007</v>
      </c>
      <c r="K9" s="93">
        <f t="shared" si="0"/>
        <v>2008</v>
      </c>
      <c r="L9" s="93">
        <f t="shared" si="0"/>
        <v>2009</v>
      </c>
      <c r="M9" s="93">
        <f>L9+1</f>
        <v>2010</v>
      </c>
      <c r="N9" s="93">
        <f>M9+1</f>
        <v>2011</v>
      </c>
      <c r="O9" s="93">
        <f>N9+1</f>
        <v>2012</v>
      </c>
      <c r="P9" s="93">
        <f>O9+1</f>
        <v>2013</v>
      </c>
      <c r="Q9" s="93">
        <f>+P9+1</f>
        <v>2014</v>
      </c>
      <c r="R9" s="93">
        <f>+Q9+1</f>
        <v>2015</v>
      </c>
      <c r="S9" s="120" t="s">
        <v>24</v>
      </c>
      <c r="T9" s="94" t="s">
        <v>0</v>
      </c>
      <c r="U9" s="93">
        <f>B9</f>
        <v>1999</v>
      </c>
      <c r="V9" s="93">
        <f t="shared" ref="V9:AC9" si="1">U9+1</f>
        <v>2000</v>
      </c>
      <c r="W9" s="93">
        <f t="shared" si="1"/>
        <v>2001</v>
      </c>
      <c r="X9" s="93">
        <f t="shared" si="1"/>
        <v>2002</v>
      </c>
      <c r="Y9" s="93">
        <f t="shared" si="1"/>
        <v>2003</v>
      </c>
      <c r="Z9" s="93">
        <f t="shared" si="1"/>
        <v>2004</v>
      </c>
      <c r="AA9" s="93">
        <f t="shared" si="1"/>
        <v>2005</v>
      </c>
      <c r="AB9" s="93">
        <f t="shared" si="1"/>
        <v>2006</v>
      </c>
      <c r="AC9" s="93">
        <f t="shared" si="1"/>
        <v>2007</v>
      </c>
      <c r="AD9" s="93">
        <f>AC9+1</f>
        <v>2008</v>
      </c>
      <c r="AE9" s="93">
        <f t="shared" ref="AE9:AJ9" si="2">+L9</f>
        <v>2009</v>
      </c>
      <c r="AF9" s="93">
        <f t="shared" si="2"/>
        <v>2010</v>
      </c>
      <c r="AG9" s="93">
        <f t="shared" si="2"/>
        <v>2011</v>
      </c>
      <c r="AH9" s="186">
        <f t="shared" si="2"/>
        <v>2012</v>
      </c>
      <c r="AI9" s="186">
        <f t="shared" si="2"/>
        <v>2013</v>
      </c>
      <c r="AJ9" s="186">
        <f t="shared" si="2"/>
        <v>2014</v>
      </c>
      <c r="AK9" s="186">
        <f>+R9</f>
        <v>2015</v>
      </c>
      <c r="AL9" s="120" t="s">
        <v>44</v>
      </c>
      <c r="AM9" s="2"/>
    </row>
    <row r="10" spans="1:39" ht="12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73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5"/>
      <c r="AM10" s="2"/>
    </row>
    <row r="11" spans="1:39" ht="15.75" x14ac:dyDescent="0.2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43"/>
      <c r="T11" s="153" t="s">
        <v>7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43"/>
      <c r="AM11" s="2"/>
    </row>
    <row r="12" spans="1:39" ht="15" x14ac:dyDescent="0.2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>
        <v>5000</v>
      </c>
      <c r="O12" s="95">
        <v>1400</v>
      </c>
      <c r="P12" s="95">
        <v>8800</v>
      </c>
      <c r="Q12" s="95">
        <v>19800</v>
      </c>
      <c r="R12" s="95"/>
      <c r="S12" s="43">
        <f>RATE(5,,-L12,Q12)</f>
        <v>0.22423992536425913</v>
      </c>
      <c r="T12" s="72" t="str">
        <f>A12</f>
        <v>Cash &amp; Equivalents</v>
      </c>
      <c r="U12" s="43">
        <f t="shared" ref="U12:AK12" si="3">B12/B$39</f>
        <v>2.3605767104506654E-3</v>
      </c>
      <c r="V12" s="43">
        <f t="shared" si="3"/>
        <v>1.0622333878500733E-3</v>
      </c>
      <c r="W12" s="43">
        <f t="shared" si="3"/>
        <v>5.2359913844795911E-3</v>
      </c>
      <c r="X12" s="43">
        <f t="shared" si="3"/>
        <v>3.5982596589768344E-3</v>
      </c>
      <c r="Y12" s="43">
        <f t="shared" si="3"/>
        <v>4.2800050999547163E-3</v>
      </c>
      <c r="Z12" s="43">
        <f t="shared" si="3"/>
        <v>2.1065055534247768E-3</v>
      </c>
      <c r="AA12" s="43">
        <f t="shared" si="3"/>
        <v>2.8971127370847598E-3</v>
      </c>
      <c r="AB12" s="43">
        <f t="shared" si="3"/>
        <v>3.3541414329637566E-3</v>
      </c>
      <c r="AC12" s="43">
        <f t="shared" si="3"/>
        <v>3.5111758157060891E-3</v>
      </c>
      <c r="AD12" s="43">
        <f t="shared" si="3"/>
        <v>9.1954022988505744E-4</v>
      </c>
      <c r="AE12" s="43">
        <f t="shared" si="3"/>
        <v>5.3767455753864534E-3</v>
      </c>
      <c r="AF12" s="43">
        <f t="shared" si="3"/>
        <v>3.3302628781974068E-3</v>
      </c>
      <c r="AG12" s="43">
        <f t="shared" si="3"/>
        <v>3.4537542308489327E-3</v>
      </c>
      <c r="AH12" s="43">
        <f t="shared" si="3"/>
        <v>8.6137943764228147E-4</v>
      </c>
      <c r="AI12" s="43">
        <f t="shared" si="3"/>
        <v>4.9096183887525104E-3</v>
      </c>
      <c r="AJ12" s="43">
        <f t="shared" si="3"/>
        <v>1.0055865921787709E-2</v>
      </c>
      <c r="AK12" s="43">
        <f t="shared" si="3"/>
        <v>0</v>
      </c>
      <c r="AL12" s="43">
        <f>SUM(M12:Q12)/SUM(M$39:Q$39)</f>
        <v>4.8146306559782677E-3</v>
      </c>
      <c r="AM12" s="146"/>
    </row>
    <row r="13" spans="1:39" ht="15" x14ac:dyDescent="0.2">
      <c r="A13" s="72" t="s">
        <v>210</v>
      </c>
      <c r="B13" s="72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43"/>
      <c r="T13" s="72" t="str">
        <f>+A13</f>
        <v>Notes Receivable from Questar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>
        <f>R13/R$39</f>
        <v>0</v>
      </c>
      <c r="AL13" s="43"/>
      <c r="AM13" s="146"/>
    </row>
    <row r="14" spans="1:39" ht="15" x14ac:dyDescent="0.2">
      <c r="A14" s="76" t="s">
        <v>108</v>
      </c>
      <c r="B14" s="72">
        <f>44549+37287+1262</f>
        <v>83098</v>
      </c>
      <c r="C14" s="95">
        <f>69808+45293</f>
        <v>115101</v>
      </c>
      <c r="D14" s="95">
        <f>53697+53613+576</f>
        <v>107886</v>
      </c>
      <c r="E14" s="95">
        <f>50570+39788+380</f>
        <v>90738</v>
      </c>
      <c r="F14" s="95">
        <f>80227+49722+281</f>
        <v>130230</v>
      </c>
      <c r="G14" s="95">
        <f>76352+59160+544</f>
        <v>136056</v>
      </c>
      <c r="H14" s="95">
        <f>101188+86161+2102</f>
        <v>189451</v>
      </c>
      <c r="I14" s="95">
        <f>83300+67500+2100</f>
        <v>152900</v>
      </c>
      <c r="J14" s="95">
        <f>72100+78200+2700</f>
        <v>153000</v>
      </c>
      <c r="K14" s="95">
        <f>76600+95800+2200</f>
        <v>174600</v>
      </c>
      <c r="L14" s="95">
        <f>77000+86600+3300</f>
        <v>166900</v>
      </c>
      <c r="M14" s="95">
        <f>85300+81500+4500</f>
        <v>171300</v>
      </c>
      <c r="N14" s="95">
        <f>76100+75200+1800</f>
        <v>153100</v>
      </c>
      <c r="O14" s="95">
        <f>67000+78200+31800</f>
        <v>177000</v>
      </c>
      <c r="P14" s="95">
        <f>86100+93400+30400</f>
        <v>209900</v>
      </c>
      <c r="Q14" s="95">
        <f>66400+93700+45200</f>
        <v>205300</v>
      </c>
      <c r="R14" s="95">
        <f>81200+41500+56300</f>
        <v>179000</v>
      </c>
      <c r="S14" s="43">
        <f t="shared" ref="S14:S16" si="4">RATE(5,,-L14,Q14)</f>
        <v>4.2285083655835255E-2</v>
      </c>
      <c r="T14" s="72" t="str">
        <f>A14</f>
        <v>Accounts Receivable, net</v>
      </c>
      <c r="U14" s="43">
        <f t="shared" ref="U14:AI14" si="5">B14/B$39</f>
        <v>0.11484730883198443</v>
      </c>
      <c r="V14" s="43">
        <f t="shared" si="5"/>
        <v>0.13862145711443458</v>
      </c>
      <c r="W14" s="43">
        <f t="shared" si="5"/>
        <v>0.12938391353778406</v>
      </c>
      <c r="X14" s="43">
        <f t="shared" si="5"/>
        <v>0.10908749914341463</v>
      </c>
      <c r="Y14" s="43">
        <f t="shared" si="5"/>
        <v>0.14313946177891695</v>
      </c>
      <c r="Z14" s="43">
        <f t="shared" si="5"/>
        <v>0.13449212556394247</v>
      </c>
      <c r="AA14" s="43">
        <f t="shared" si="5"/>
        <v>0.17119803654193538</v>
      </c>
      <c r="AB14" s="43">
        <f t="shared" si="5"/>
        <v>0.14245784030559955</v>
      </c>
      <c r="AC14" s="43">
        <f t="shared" si="5"/>
        <v>0.1310268048300077</v>
      </c>
      <c r="AD14" s="43">
        <f t="shared" si="5"/>
        <v>0.13379310344827586</v>
      </c>
      <c r="AE14" s="43">
        <f t="shared" si="5"/>
        <v>0.12463594951833321</v>
      </c>
      <c r="AF14" s="43">
        <f t="shared" si="5"/>
        <v>0.12137745341174803</v>
      </c>
      <c r="AG14" s="43">
        <f t="shared" si="5"/>
        <v>0.10575395454859432</v>
      </c>
      <c r="AH14" s="43">
        <f t="shared" si="5"/>
        <v>0.10890297175905987</v>
      </c>
      <c r="AI14" s="43">
        <f t="shared" si="5"/>
        <v>0.11710555679535818</v>
      </c>
      <c r="AJ14" s="43">
        <f>Q14/Q$39</f>
        <v>0.10426612493651599</v>
      </c>
      <c r="AK14" s="43">
        <f>R14/R$39</f>
        <v>9.4759131815775541E-2</v>
      </c>
      <c r="AL14" s="43">
        <f>SUM(M14:Q14)/SUM(M$39:Q$39)</f>
        <v>0.1111609687473471</v>
      </c>
      <c r="AM14" s="2"/>
    </row>
    <row r="15" spans="1:39" ht="15" x14ac:dyDescent="0.2">
      <c r="A15" s="83" t="s">
        <v>172</v>
      </c>
      <c r="B15" s="72"/>
      <c r="C15" s="95"/>
      <c r="D15" s="95"/>
      <c r="E15" s="95"/>
      <c r="F15" s="95"/>
      <c r="G15" s="95"/>
      <c r="H15" s="95"/>
      <c r="I15" s="95"/>
      <c r="J15" s="95"/>
      <c r="K15" s="95"/>
      <c r="L15" s="95">
        <v>42500</v>
      </c>
      <c r="M15" s="95">
        <v>43300</v>
      </c>
      <c r="N15" s="95">
        <v>40300</v>
      </c>
      <c r="O15" s="95">
        <v>38300</v>
      </c>
      <c r="P15" s="95">
        <v>39200</v>
      </c>
      <c r="Q15" s="95">
        <v>40300</v>
      </c>
      <c r="R15" s="95">
        <v>9500</v>
      </c>
      <c r="S15" s="43">
        <f t="shared" si="4"/>
        <v>-1.057421709428814E-2</v>
      </c>
      <c r="T15" s="72" t="str">
        <f>+A15</f>
        <v>Gas Stored Underground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2"/>
    </row>
    <row r="16" spans="1:39" ht="15" x14ac:dyDescent="0.2">
      <c r="A16" s="76" t="s">
        <v>94</v>
      </c>
      <c r="B16" s="72">
        <f>18497+3183</f>
        <v>21680</v>
      </c>
      <c r="C16" s="95">
        <f>22444+3542</f>
        <v>25986</v>
      </c>
      <c r="D16" s="95">
        <f>22810+4213</f>
        <v>27023</v>
      </c>
      <c r="E16" s="95">
        <f>22742+4073</f>
        <v>26815</v>
      </c>
      <c r="F16" s="95">
        <f>23126+4861</f>
        <v>27987</v>
      </c>
      <c r="G16" s="95">
        <f>44340+5660</f>
        <v>50000</v>
      </c>
      <c r="H16" s="95">
        <f>57526+6649</f>
        <v>64175</v>
      </c>
      <c r="I16" s="95">
        <f>50200+7800</f>
        <v>58000</v>
      </c>
      <c r="J16" s="95">
        <f>42900+9300</f>
        <v>52200</v>
      </c>
      <c r="K16" s="95">
        <f>61900+13900</f>
        <v>75800</v>
      </c>
      <c r="L16" s="95">
        <v>12100</v>
      </c>
      <c r="M16" s="95">
        <v>7900</v>
      </c>
      <c r="N16" s="95">
        <v>12200</v>
      </c>
      <c r="O16" s="95">
        <v>13500</v>
      </c>
      <c r="P16" s="95">
        <v>12100</v>
      </c>
      <c r="Q16" s="95">
        <v>19200</v>
      </c>
      <c r="R16" s="95">
        <v>17300</v>
      </c>
      <c r="S16" s="43">
        <f t="shared" si="4"/>
        <v>9.6738708163631643E-2</v>
      </c>
      <c r="T16" s="72" t="str">
        <f>A16</f>
        <v>Material and Supplies</v>
      </c>
      <c r="U16" s="43">
        <f t="shared" ref="U16:AK16" si="6">B16/B$39</f>
        <v>2.9963292202910087E-2</v>
      </c>
      <c r="V16" s="43">
        <f t="shared" si="6"/>
        <v>3.1296141515501141E-2</v>
      </c>
      <c r="W16" s="43">
        <f t="shared" si="6"/>
        <v>3.2407740536599172E-2</v>
      </c>
      <c r="X16" s="43">
        <f t="shared" si="6"/>
        <v>3.2237665471254194E-2</v>
      </c>
      <c r="Y16" s="43">
        <f t="shared" si="6"/>
        <v>3.0761300136731545E-2</v>
      </c>
      <c r="Z16" s="43">
        <f t="shared" si="6"/>
        <v>4.9425282811468248E-2</v>
      </c>
      <c r="AA16" s="43">
        <f t="shared" si="6"/>
        <v>5.7991955677609008E-2</v>
      </c>
      <c r="AB16" s="43">
        <f t="shared" si="6"/>
        <v>5.4038945308860525E-2</v>
      </c>
      <c r="AC16" s="43">
        <f t="shared" si="6"/>
        <v>4.470326282435557E-2</v>
      </c>
      <c r="AD16" s="43">
        <f t="shared" si="6"/>
        <v>5.8084291187739466E-2</v>
      </c>
      <c r="AE16" s="43">
        <f t="shared" si="6"/>
        <v>9.0359196475244576E-3</v>
      </c>
      <c r="AF16" s="43">
        <f t="shared" si="6"/>
        <v>5.5976759016509604E-3</v>
      </c>
      <c r="AG16" s="43">
        <f t="shared" si="6"/>
        <v>8.4271603232713953E-3</v>
      </c>
      <c r="AH16" s="43">
        <f t="shared" si="6"/>
        <v>8.3061588629791423E-3</v>
      </c>
      <c r="AI16" s="43">
        <f t="shared" si="6"/>
        <v>6.7507252845347022E-3</v>
      </c>
      <c r="AJ16" s="43">
        <f t="shared" si="6"/>
        <v>9.751142712036566E-3</v>
      </c>
      <c r="AK16" s="43">
        <f t="shared" si="6"/>
        <v>9.1582848067760722E-3</v>
      </c>
      <c r="AL16" s="43">
        <f>SUM(M16:Q16)/SUM(M$39:Q$39)</f>
        <v>7.8707690068763117E-3</v>
      </c>
      <c r="AM16" s="2"/>
    </row>
    <row r="17" spans="1:41" ht="15" x14ac:dyDescent="0.2">
      <c r="A17" s="83" t="s">
        <v>145</v>
      </c>
      <c r="B17" s="72"/>
      <c r="C17" s="95"/>
      <c r="D17" s="95"/>
      <c r="E17" s="95"/>
      <c r="F17" s="95"/>
      <c r="G17" s="95"/>
      <c r="H17" s="95"/>
      <c r="I17" s="95"/>
      <c r="J17" s="95"/>
      <c r="K17" s="95">
        <v>7100</v>
      </c>
      <c r="L17" s="95"/>
      <c r="M17" s="95">
        <v>7700</v>
      </c>
      <c r="N17" s="95">
        <v>1500</v>
      </c>
      <c r="O17" s="95"/>
      <c r="P17" s="95">
        <v>2800</v>
      </c>
      <c r="Q17" s="95"/>
      <c r="R17" s="95"/>
      <c r="S17" s="43"/>
      <c r="T17" s="72" t="str">
        <f>+A17</f>
        <v>Income Tax Receivable</v>
      </c>
      <c r="U17" s="43"/>
      <c r="V17" s="43"/>
      <c r="W17" s="43"/>
      <c r="X17" s="43"/>
      <c r="Y17" s="43"/>
      <c r="Z17" s="43"/>
      <c r="AA17" s="43"/>
      <c r="AB17" s="43"/>
      <c r="AC17" s="43"/>
      <c r="AD17" s="43">
        <f>K17/K$39</f>
        <v>5.4406130268199234E-3</v>
      </c>
      <c r="AE17" s="43"/>
      <c r="AF17" s="43"/>
      <c r="AG17" s="43"/>
      <c r="AH17" s="43"/>
      <c r="AI17" s="43"/>
      <c r="AJ17" s="43"/>
      <c r="AK17" s="43"/>
      <c r="AL17" s="43"/>
      <c r="AM17" s="2"/>
    </row>
    <row r="18" spans="1:41" ht="15" x14ac:dyDescent="0.2">
      <c r="A18" s="83" t="s">
        <v>163</v>
      </c>
      <c r="B18" s="72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43"/>
      <c r="T18" s="72" t="str">
        <f>+A18</f>
        <v>Purchased-Gas Adjustment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2"/>
    </row>
    <row r="19" spans="1:41" ht="15" x14ac:dyDescent="0.2">
      <c r="A19" s="83" t="s">
        <v>60</v>
      </c>
      <c r="B19" s="72"/>
      <c r="C19" s="95"/>
      <c r="D19" s="95"/>
      <c r="E19" s="95"/>
      <c r="F19" s="95"/>
      <c r="G19" s="95"/>
      <c r="H19" s="95"/>
      <c r="I19" s="95"/>
      <c r="J19" s="95"/>
      <c r="K19" s="95">
        <v>20600</v>
      </c>
      <c r="L19" s="95">
        <v>43300</v>
      </c>
      <c r="M19" s="95">
        <v>52700</v>
      </c>
      <c r="N19" s="95">
        <v>26500</v>
      </c>
      <c r="O19" s="95">
        <v>41000</v>
      </c>
      <c r="P19" s="95">
        <v>30200</v>
      </c>
      <c r="Q19" s="95">
        <v>78300</v>
      </c>
      <c r="R19" s="95">
        <v>42100</v>
      </c>
      <c r="S19" s="43">
        <f t="shared" ref="S19:S21" si="7">RATE(5,,-L19,Q19)</f>
        <v>0.12578322519822405</v>
      </c>
      <c r="T19" s="72" t="str">
        <f>+A19</f>
        <v>Regulatory Assets</v>
      </c>
      <c r="U19" s="43"/>
      <c r="V19" s="43"/>
      <c r="W19" s="43"/>
      <c r="X19" s="43"/>
      <c r="Y19" s="43"/>
      <c r="Z19" s="43"/>
      <c r="AA19" s="43"/>
      <c r="AB19" s="43"/>
      <c r="AC19" s="43"/>
      <c r="AD19" s="43">
        <f t="shared" ref="AD19:AK21" si="8">K19/K$39</f>
        <v>1.5785440613026822E-2</v>
      </c>
      <c r="AE19" s="43">
        <f t="shared" si="8"/>
        <v>3.233515047419909E-2</v>
      </c>
      <c r="AF19" s="43">
        <f t="shared" si="8"/>
        <v>3.7341458230000707E-2</v>
      </c>
      <c r="AG19" s="43">
        <f t="shared" si="8"/>
        <v>1.8304897423499344E-2</v>
      </c>
      <c r="AH19" s="43">
        <f t="shared" si="8"/>
        <v>2.5226112102381099E-2</v>
      </c>
      <c r="AI19" s="43">
        <f t="shared" si="8"/>
        <v>1.6848917652309753E-2</v>
      </c>
      <c r="AJ19" s="43">
        <f t="shared" si="8"/>
        <v>3.976637887252412E-2</v>
      </c>
      <c r="AK19" s="43">
        <f t="shared" si="8"/>
        <v>2.2286924298570671E-2</v>
      </c>
      <c r="AL19" s="43">
        <f t="shared" ref="AL19:AL21" si="9">SUM(M19:Q19)/SUM(M$39:Q$39)</f>
        <v>2.7735668287713598E-2</v>
      </c>
      <c r="AM19" s="2"/>
    </row>
    <row r="20" spans="1:41" ht="15" x14ac:dyDescent="0.2">
      <c r="A20" s="72" t="s">
        <v>23</v>
      </c>
      <c r="B20" s="72">
        <f>432+3168</f>
        <v>3600</v>
      </c>
      <c r="C20" s="95">
        <f>5019+35565+773</f>
        <v>41357</v>
      </c>
      <c r="D20" s="95">
        <f>363+8296+1097</f>
        <v>9756</v>
      </c>
      <c r="E20" s="95">
        <f>1474+5047</f>
        <v>6521</v>
      </c>
      <c r="F20" s="95">
        <f>1780+552</f>
        <v>2332</v>
      </c>
      <c r="G20" s="95">
        <f>6701+2188+35853</f>
        <v>44742</v>
      </c>
      <c r="H20" s="95">
        <f>5508+2857+39852</f>
        <v>48217</v>
      </c>
      <c r="I20" s="95">
        <f>2100+1700</f>
        <v>3800</v>
      </c>
      <c r="J20" s="95">
        <f>11900+2000+4000</f>
        <v>17900</v>
      </c>
      <c r="K20" s="95">
        <v>4700</v>
      </c>
      <c r="L20" s="95">
        <f>3600+3400</f>
        <v>7000</v>
      </c>
      <c r="M20" s="95">
        <f>2900+1300</f>
        <v>4200</v>
      </c>
      <c r="N20" s="95">
        <f>3100+5600</f>
        <v>8700</v>
      </c>
      <c r="O20" s="95">
        <f>3200+1500</f>
        <v>4700</v>
      </c>
      <c r="P20" s="95">
        <f>3000+2900</f>
        <v>5900</v>
      </c>
      <c r="Q20" s="95">
        <v>3500</v>
      </c>
      <c r="R20" s="95">
        <v>2400</v>
      </c>
      <c r="S20" s="51">
        <f t="shared" si="7"/>
        <v>-0.12944943670385631</v>
      </c>
      <c r="T20" s="72" t="str">
        <f>A20</f>
        <v>Other Current Assets</v>
      </c>
      <c r="U20" s="77">
        <f t="shared" ref="U20:AC21" si="10">B20/B$39</f>
        <v>4.9754544248374688E-3</v>
      </c>
      <c r="V20" s="77">
        <f t="shared" si="10"/>
        <v>4.9808147643214833E-2</v>
      </c>
      <c r="W20" s="77">
        <f t="shared" si="10"/>
        <v>1.1700030221480277E-2</v>
      </c>
      <c r="X20" s="77">
        <f t="shared" si="10"/>
        <v>7.8397097347771248E-3</v>
      </c>
      <c r="Y20" s="77">
        <f t="shared" si="10"/>
        <v>2.5631668960180783E-3</v>
      </c>
      <c r="Z20" s="77">
        <f t="shared" si="10"/>
        <v>4.4227720071014248E-2</v>
      </c>
      <c r="AA20" s="77">
        <f t="shared" si="10"/>
        <v>4.3571455035563277E-2</v>
      </c>
      <c r="AB20" s="77">
        <f t="shared" si="10"/>
        <v>3.5404826236839653E-3</v>
      </c>
      <c r="AC20" s="77">
        <f t="shared" si="10"/>
        <v>1.5329279780765608E-2</v>
      </c>
      <c r="AD20" s="77">
        <f t="shared" si="8"/>
        <v>3.6015325670498083E-3</v>
      </c>
      <c r="AE20" s="77">
        <f t="shared" si="8"/>
        <v>5.2273915316257188E-3</v>
      </c>
      <c r="AF20" s="77">
        <f t="shared" si="8"/>
        <v>2.9759795932827889E-3</v>
      </c>
      <c r="AG20" s="77">
        <f t="shared" si="8"/>
        <v>6.0095323616771428E-3</v>
      </c>
      <c r="AH20" s="77">
        <f t="shared" si="8"/>
        <v>2.8917738263705161E-3</v>
      </c>
      <c r="AI20" s="77">
        <f t="shared" si="8"/>
        <v>3.2916759651863423E-3</v>
      </c>
      <c r="AJ20" s="77">
        <f t="shared" si="8"/>
        <v>1.7775520568816658E-3</v>
      </c>
      <c r="AK20" s="77">
        <f t="shared" si="8"/>
        <v>1.270513499205929E-3</v>
      </c>
      <c r="AL20" s="51">
        <f t="shared" si="9"/>
        <v>3.2744339473907611E-3</v>
      </c>
      <c r="AM20" s="2"/>
    </row>
    <row r="21" spans="1:41" ht="15" x14ac:dyDescent="0.2">
      <c r="A21" s="72" t="s">
        <v>38</v>
      </c>
      <c r="B21" s="78">
        <f t="shared" ref="B21:M21" si="11">SUM(B11:B20)</f>
        <v>110086</v>
      </c>
      <c r="C21" s="96">
        <f t="shared" si="11"/>
        <v>183326</v>
      </c>
      <c r="D21" s="96">
        <f t="shared" si="11"/>
        <v>149031</v>
      </c>
      <c r="E21" s="96">
        <f t="shared" si="11"/>
        <v>127067</v>
      </c>
      <c r="F21" s="96">
        <f t="shared" si="11"/>
        <v>164443</v>
      </c>
      <c r="G21" s="96">
        <f t="shared" si="11"/>
        <v>232929</v>
      </c>
      <c r="H21" s="96">
        <f t="shared" si="11"/>
        <v>305049</v>
      </c>
      <c r="I21" s="96">
        <f t="shared" si="11"/>
        <v>218300</v>
      </c>
      <c r="J21" s="96">
        <f t="shared" si="11"/>
        <v>227200</v>
      </c>
      <c r="K21" s="96">
        <f t="shared" si="11"/>
        <v>284000</v>
      </c>
      <c r="L21" s="96">
        <f t="shared" si="11"/>
        <v>279000</v>
      </c>
      <c r="M21" s="96">
        <f t="shared" si="11"/>
        <v>291800</v>
      </c>
      <c r="N21" s="96">
        <f t="shared" ref="N21" si="12">SUM(N11:N20)</f>
        <v>247300</v>
      </c>
      <c r="O21" s="96">
        <f t="shared" ref="O21:P21" si="13">SUM(O11:O20)</f>
        <v>275900</v>
      </c>
      <c r="P21" s="96">
        <f t="shared" si="13"/>
        <v>308900</v>
      </c>
      <c r="Q21" s="96">
        <f t="shared" ref="Q21:R21" si="14">SUM(Q11:Q20)</f>
        <v>366400</v>
      </c>
      <c r="R21" s="96">
        <f t="shared" si="14"/>
        <v>250300</v>
      </c>
      <c r="S21" s="43">
        <f t="shared" si="7"/>
        <v>5.6015401779024684E-2</v>
      </c>
      <c r="T21" s="72" t="str">
        <f>A21</f>
        <v>Total Current Assets</v>
      </c>
      <c r="U21" s="43">
        <f t="shared" si="10"/>
        <v>0.15214663217018265</v>
      </c>
      <c r="V21" s="43">
        <f t="shared" si="10"/>
        <v>0.22078797966100061</v>
      </c>
      <c r="W21" s="43">
        <f t="shared" si="10"/>
        <v>0.17872767568034309</v>
      </c>
      <c r="X21" s="43">
        <f t="shared" si="10"/>
        <v>0.15276313400842279</v>
      </c>
      <c r="Y21" s="43">
        <f t="shared" si="10"/>
        <v>0.1807439339116213</v>
      </c>
      <c r="Z21" s="43">
        <f t="shared" si="10"/>
        <v>0.23025163399984974</v>
      </c>
      <c r="AA21" s="43">
        <f t="shared" si="10"/>
        <v>0.27565855999219241</v>
      </c>
      <c r="AB21" s="43">
        <f t="shared" si="10"/>
        <v>0.2033914096711078</v>
      </c>
      <c r="AC21" s="43">
        <f t="shared" si="10"/>
        <v>0.19457052325083499</v>
      </c>
      <c r="AD21" s="43">
        <f t="shared" si="8"/>
        <v>0.21762452107279692</v>
      </c>
      <c r="AE21" s="43">
        <f t="shared" si="8"/>
        <v>0.20834889104622509</v>
      </c>
      <c r="AF21" s="43">
        <f t="shared" si="8"/>
        <v>0.20675972507617091</v>
      </c>
      <c r="AG21" s="43">
        <f t="shared" si="8"/>
        <v>0.17082268425778821</v>
      </c>
      <c r="AH21" s="43">
        <f t="shared" si="8"/>
        <v>0.16975327631821818</v>
      </c>
      <c r="AI21" s="43">
        <f t="shared" si="8"/>
        <v>0.17233876366882392</v>
      </c>
      <c r="AJ21" s="43">
        <f t="shared" si="8"/>
        <v>0.18608430675469781</v>
      </c>
      <c r="AK21" s="43">
        <f t="shared" si="8"/>
        <v>0.13250397035468503</v>
      </c>
      <c r="AL21" s="43">
        <f t="shared" si="9"/>
        <v>0.18073662636283153</v>
      </c>
      <c r="AM21" s="2"/>
    </row>
    <row r="22" spans="1:41" ht="15" x14ac:dyDescent="0.2">
      <c r="A22" s="72"/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43"/>
      <c r="T22" s="7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7"/>
    </row>
    <row r="23" spans="1:41" ht="15.75" x14ac:dyDescent="0.25">
      <c r="A23" s="117" t="s">
        <v>25</v>
      </c>
      <c r="B23" s="7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141"/>
      <c r="T23" s="117" t="s">
        <v>25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7"/>
    </row>
    <row r="24" spans="1:41" ht="15" x14ac:dyDescent="0.2">
      <c r="A24" s="72" t="s">
        <v>116</v>
      </c>
      <c r="B24" s="72">
        <f>725874+97870+121421</f>
        <v>945165</v>
      </c>
      <c r="C24" s="95">
        <f>818802+97870+125970</f>
        <v>1042642</v>
      </c>
      <c r="D24" s="95">
        <f>875415+97870+139299</f>
        <v>1112584</v>
      </c>
      <c r="E24" s="95">
        <f>941645+92594+143734</f>
        <v>1177973</v>
      </c>
      <c r="F24" s="95">
        <f>990984+91343+137972</f>
        <v>1220299</v>
      </c>
      <c r="G24" s="95">
        <f>1047365+91032+162246</f>
        <v>1300643</v>
      </c>
      <c r="H24" s="95">
        <f>1104430+90038+169814</f>
        <v>1364282</v>
      </c>
      <c r="I24" s="95">
        <f>1174100+89500+123400</f>
        <v>1387000</v>
      </c>
      <c r="J24" s="95">
        <f>1293800+211900</f>
        <v>1505700</v>
      </c>
      <c r="K24" s="95">
        <f>1646800-23900</f>
        <v>1622900</v>
      </c>
      <c r="L24" s="95">
        <f>1414100+267500</f>
        <v>1681600</v>
      </c>
      <c r="M24" s="95">
        <f>1490100+272400</f>
        <v>1762500</v>
      </c>
      <c r="N24" s="95">
        <f>1583100+284400</f>
        <v>1867500</v>
      </c>
      <c r="O24" s="95">
        <f>1690500+281600</f>
        <v>1972100</v>
      </c>
      <c r="P24" s="95">
        <f>1839800+289800</f>
        <v>2129600</v>
      </c>
      <c r="Q24" s="95">
        <f>1991600+306300</f>
        <v>2297900</v>
      </c>
      <c r="R24" s="95">
        <v>2400700</v>
      </c>
      <c r="S24" s="43">
        <f t="shared" ref="S24:S25" si="15">RATE(5,,-L24,Q24)</f>
        <v>6.4441223015813925E-2</v>
      </c>
      <c r="T24" s="72" t="str">
        <f>A24</f>
        <v>Plant in Service</v>
      </c>
      <c r="U24" s="43">
        <f t="shared" ref="U24:AK24" si="16">B24/B$39</f>
        <v>1.3062848281809738</v>
      </c>
      <c r="V24" s="43">
        <f t="shared" si="16"/>
        <v>1.2557019772956646</v>
      </c>
      <c r="W24" s="43">
        <f t="shared" si="16"/>
        <v>1.3342831512848927</v>
      </c>
      <c r="X24" s="43">
        <f t="shared" si="16"/>
        <v>1.416188682012669</v>
      </c>
      <c r="Y24" s="43">
        <f t="shared" si="16"/>
        <v>1.3412650085951823</v>
      </c>
      <c r="Z24" s="43">
        <f t="shared" si="16"/>
        <v>1.2856929622351299</v>
      </c>
      <c r="AA24" s="43">
        <f t="shared" si="16"/>
        <v>1.2328380409156177</v>
      </c>
      <c r="AB24" s="43">
        <f t="shared" si="16"/>
        <v>1.2922761576446473</v>
      </c>
      <c r="AC24" s="43">
        <f t="shared" si="16"/>
        <v>1.2894579087094289</v>
      </c>
      <c r="AD24" s="43">
        <f t="shared" si="16"/>
        <v>1.2436015325670497</v>
      </c>
      <c r="AE24" s="43">
        <f t="shared" si="16"/>
        <v>1.2557687999402585</v>
      </c>
      <c r="AF24" s="43">
        <f t="shared" si="16"/>
        <v>1.2488485793240276</v>
      </c>
      <c r="AG24" s="43">
        <f t="shared" si="16"/>
        <v>1.2899772052220764</v>
      </c>
      <c r="AH24" s="43">
        <f t="shared" si="16"/>
        <v>1.2133759921245308</v>
      </c>
      <c r="AI24" s="43">
        <f t="shared" si="16"/>
        <v>1.1881276500781075</v>
      </c>
      <c r="AJ24" s="43">
        <f t="shared" si="16"/>
        <v>1.1670391061452514</v>
      </c>
      <c r="AK24" s="43">
        <f t="shared" si="16"/>
        <v>1.2708840656431974</v>
      </c>
      <c r="AL24" s="43">
        <f t="shared" ref="AL24:AL25" si="17">SUM(M24:Q24)/SUM(M$39:Q$39)</f>
        <v>1.2163430636574215</v>
      </c>
      <c r="AM24" s="7"/>
      <c r="AO24" s="1"/>
    </row>
    <row r="25" spans="1:41" ht="15" x14ac:dyDescent="0.2">
      <c r="A25" s="76" t="s">
        <v>124</v>
      </c>
      <c r="B25" s="72">
        <v>68434</v>
      </c>
      <c r="C25" s="95">
        <v>24720</v>
      </c>
      <c r="D25" s="95">
        <v>31871</v>
      </c>
      <c r="E25" s="95">
        <v>15580</v>
      </c>
      <c r="F25" s="95">
        <v>20254</v>
      </c>
      <c r="G25" s="95">
        <v>14894</v>
      </c>
      <c r="H25" s="27">
        <v>19080</v>
      </c>
      <c r="I25" s="27">
        <v>31100</v>
      </c>
      <c r="J25" s="27">
        <f>33500</f>
        <v>33500</v>
      </c>
      <c r="K25" s="27">
        <v>23900</v>
      </c>
      <c r="L25" s="27">
        <v>40300</v>
      </c>
      <c r="M25" s="27">
        <v>55100</v>
      </c>
      <c r="N25" s="27">
        <v>59500</v>
      </c>
      <c r="O25" s="27">
        <v>68800</v>
      </c>
      <c r="P25" s="27">
        <v>73400</v>
      </c>
      <c r="Q25" s="27">
        <v>54400</v>
      </c>
      <c r="R25" s="27"/>
      <c r="S25" s="43">
        <f t="shared" si="15"/>
        <v>6.1839240408825734E-2</v>
      </c>
      <c r="T25" s="72" t="str">
        <f>A25</f>
        <v>Construction Work in Progress</v>
      </c>
      <c r="U25" s="43">
        <f t="shared" ref="U25:AE25" si="18">B25/B$39</f>
        <v>9.4580624474813149E-2</v>
      </c>
      <c r="V25" s="43">
        <f t="shared" si="18"/>
        <v>2.9771439169675524E-2</v>
      </c>
      <c r="W25" s="43">
        <f t="shared" si="18"/>
        <v>3.8221777694628735E-2</v>
      </c>
      <c r="X25" s="43">
        <f t="shared" si="18"/>
        <v>1.8730666717961603E-2</v>
      </c>
      <c r="Y25" s="43">
        <f t="shared" si="18"/>
        <v>2.2261741986256502E-2</v>
      </c>
      <c r="Z25" s="43">
        <f t="shared" si="18"/>
        <v>1.4722803243880162E-2</v>
      </c>
      <c r="AA25" s="43">
        <f t="shared" si="18"/>
        <v>1.7241706495189402E-2</v>
      </c>
      <c r="AB25" s="43">
        <f t="shared" si="18"/>
        <v>2.8976055156992454E-2</v>
      </c>
      <c r="AC25" s="43">
        <f t="shared" si="18"/>
        <v>2.8688875567354628E-2</v>
      </c>
      <c r="AD25" s="43">
        <f t="shared" si="18"/>
        <v>1.8314176245210728E-2</v>
      </c>
      <c r="AE25" s="43">
        <f t="shared" si="18"/>
        <v>3.0094839817788068E-2</v>
      </c>
      <c r="AF25" s="160">
        <f t="shared" ref="AF25" si="19">M25/M$39</f>
        <v>3.9042017997590876E-2</v>
      </c>
      <c r="AG25" s="160">
        <f t="shared" ref="AG25" si="20">N25/N$39</f>
        <v>4.10996753471023E-2</v>
      </c>
      <c r="AH25" s="160">
        <f>O25/O$39</f>
        <v>4.2330646649849257E-2</v>
      </c>
      <c r="AI25" s="160">
        <f>P25/P$39</f>
        <v>4.0950680651640259E-2</v>
      </c>
      <c r="AJ25" s="160">
        <f>Q25/Q$39</f>
        <v>2.7628237684103607E-2</v>
      </c>
      <c r="AK25" s="160">
        <f>R25/R$39</f>
        <v>0</v>
      </c>
      <c r="AL25" s="43">
        <f t="shared" si="17"/>
        <v>3.7740883126963144E-2</v>
      </c>
      <c r="AM25" s="7"/>
    </row>
    <row r="26" spans="1:41" ht="15" x14ac:dyDescent="0.2">
      <c r="A26" s="72" t="s">
        <v>58</v>
      </c>
      <c r="B26" s="72">
        <v>0</v>
      </c>
      <c r="C26" s="95">
        <v>0</v>
      </c>
      <c r="D26" s="95">
        <v>0</v>
      </c>
      <c r="E26" s="95">
        <v>0</v>
      </c>
      <c r="F26" s="95"/>
      <c r="G26" s="9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1"/>
      <c r="T26" s="72" t="str">
        <f>A26</f>
        <v>Other PP&amp;E</v>
      </c>
      <c r="U26" s="79">
        <f t="shared" ref="U26:Y27" si="21">B26/B$39</f>
        <v>0</v>
      </c>
      <c r="V26" s="79">
        <f t="shared" si="21"/>
        <v>0</v>
      </c>
      <c r="W26" s="79">
        <f t="shared" si="21"/>
        <v>0</v>
      </c>
      <c r="X26" s="79">
        <f t="shared" si="21"/>
        <v>0</v>
      </c>
      <c r="Y26" s="79">
        <f t="shared" si="21"/>
        <v>0</v>
      </c>
      <c r="Z26" s="79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51"/>
      <c r="AM26" s="2"/>
    </row>
    <row r="27" spans="1:41" ht="12.75" customHeight="1" x14ac:dyDescent="0.2">
      <c r="A27" s="72" t="s">
        <v>65</v>
      </c>
      <c r="B27" s="78">
        <f t="shared" ref="B27:M27" si="22">SUM(B24:B26)</f>
        <v>1013599</v>
      </c>
      <c r="C27" s="96">
        <f t="shared" si="22"/>
        <v>1067362</v>
      </c>
      <c r="D27" s="96">
        <f t="shared" si="22"/>
        <v>1144455</v>
      </c>
      <c r="E27" s="96">
        <f t="shared" si="22"/>
        <v>1193553</v>
      </c>
      <c r="F27" s="96">
        <f t="shared" si="22"/>
        <v>1240553</v>
      </c>
      <c r="G27" s="96">
        <f t="shared" si="22"/>
        <v>1315537</v>
      </c>
      <c r="H27" s="96">
        <f t="shared" si="22"/>
        <v>1383362</v>
      </c>
      <c r="I27" s="96">
        <f t="shared" si="22"/>
        <v>1418100</v>
      </c>
      <c r="J27" s="96">
        <f t="shared" si="22"/>
        <v>1539200</v>
      </c>
      <c r="K27" s="96">
        <f t="shared" si="22"/>
        <v>1646800</v>
      </c>
      <c r="L27" s="96">
        <f t="shared" si="22"/>
        <v>1721900</v>
      </c>
      <c r="M27" s="96">
        <f t="shared" si="22"/>
        <v>1817600</v>
      </c>
      <c r="N27" s="96">
        <f t="shared" ref="N27" si="23">SUM(N24:N26)</f>
        <v>1927000</v>
      </c>
      <c r="O27" s="96">
        <f t="shared" ref="O27:P27" si="24">SUM(O24:O26)</f>
        <v>2040900</v>
      </c>
      <c r="P27" s="96">
        <f t="shared" si="24"/>
        <v>2203000</v>
      </c>
      <c r="Q27" s="96">
        <f t="shared" ref="Q27:R27" si="25">SUM(Q24:Q26)</f>
        <v>2352300</v>
      </c>
      <c r="R27" s="96">
        <f t="shared" si="25"/>
        <v>2400700</v>
      </c>
      <c r="S27" s="43">
        <f>RATE(5,,-L27,Q27)</f>
        <v>6.4380615324965251E-2</v>
      </c>
      <c r="T27" s="72" t="str">
        <f>A27</f>
        <v>Total Plant &amp; Equipment:</v>
      </c>
      <c r="U27" s="80">
        <f t="shared" si="21"/>
        <v>1.4008654526557871</v>
      </c>
      <c r="V27" s="80">
        <f t="shared" si="21"/>
        <v>1.2854734164653401</v>
      </c>
      <c r="W27" s="80">
        <f t="shared" si="21"/>
        <v>1.3725049289795213</v>
      </c>
      <c r="X27" s="80">
        <f t="shared" si="21"/>
        <v>1.4349193487306307</v>
      </c>
      <c r="Y27" s="80">
        <f t="shared" si="21"/>
        <v>1.3635267505814388</v>
      </c>
      <c r="Z27" s="80">
        <f t="shared" ref="Z27:AK27" si="26">G27/G$39</f>
        <v>1.3004157654790101</v>
      </c>
      <c r="AA27" s="80">
        <f t="shared" si="26"/>
        <v>1.2500797474108072</v>
      </c>
      <c r="AB27" s="80">
        <f t="shared" si="26"/>
        <v>1.3212522128016397</v>
      </c>
      <c r="AC27" s="80">
        <f t="shared" si="26"/>
        <v>1.3181467842767833</v>
      </c>
      <c r="AD27" s="80">
        <f t="shared" si="26"/>
        <v>1.2619157088122606</v>
      </c>
      <c r="AE27" s="80">
        <f t="shared" si="26"/>
        <v>1.2858636397580465</v>
      </c>
      <c r="AF27" s="80">
        <f t="shared" si="26"/>
        <v>1.2878905973216184</v>
      </c>
      <c r="AG27" s="80">
        <f t="shared" si="26"/>
        <v>1.3310768805691786</v>
      </c>
      <c r="AH27" s="80">
        <f t="shared" si="26"/>
        <v>1.25570663877438</v>
      </c>
      <c r="AI27" s="80">
        <f t="shared" si="26"/>
        <v>1.2290783307297479</v>
      </c>
      <c r="AJ27" s="80">
        <f t="shared" si="26"/>
        <v>1.1946673438293549</v>
      </c>
      <c r="AK27" s="80">
        <f t="shared" si="26"/>
        <v>1.2708840656431974</v>
      </c>
      <c r="AL27" s="43">
        <f t="shared" ref="AL27" si="27">SUM(M27:Q27)/SUM(M$39:Q$39)</f>
        <v>1.2540839467843845</v>
      </c>
      <c r="AM27" s="2"/>
    </row>
    <row r="28" spans="1:41" ht="12" customHeight="1" x14ac:dyDescent="0.2">
      <c r="A28" s="72"/>
      <c r="B28" s="7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43"/>
      <c r="T28" s="73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43"/>
      <c r="AM28" s="2"/>
    </row>
    <row r="29" spans="1:41" ht="12.75" customHeight="1" x14ac:dyDescent="0.2">
      <c r="A29" s="72" t="s">
        <v>128</v>
      </c>
      <c r="B29" s="72">
        <v>421111</v>
      </c>
      <c r="C29" s="95">
        <v>447496</v>
      </c>
      <c r="D29" s="95">
        <v>489583</v>
      </c>
      <c r="E29" s="95">
        <v>513485</v>
      </c>
      <c r="F29" s="95">
        <v>532747</v>
      </c>
      <c r="G29" s="95">
        <v>572290</v>
      </c>
      <c r="H29" s="95">
        <v>615934</v>
      </c>
      <c r="I29" s="95">
        <v>598000</v>
      </c>
      <c r="J29" s="95">
        <f>630300</f>
        <v>630300</v>
      </c>
      <c r="K29" s="95">
        <v>657300</v>
      </c>
      <c r="L29" s="95">
        <v>690400</v>
      </c>
      <c r="M29" s="95">
        <v>721300</v>
      </c>
      <c r="N29" s="95">
        <v>749600</v>
      </c>
      <c r="O29" s="95">
        <v>716600</v>
      </c>
      <c r="P29" s="95">
        <v>745200</v>
      </c>
      <c r="Q29" s="95">
        <v>780300</v>
      </c>
      <c r="R29" s="95">
        <v>791500</v>
      </c>
      <c r="S29" s="43">
        <f>RATE(5,,-L29,Q29)</f>
        <v>2.4783595819829529E-2</v>
      </c>
      <c r="T29" s="72" t="str">
        <f>A29</f>
        <v>Accumulated Dep &amp; Amort</v>
      </c>
      <c r="U29" s="43">
        <f t="shared" ref="U29:AK29" si="28">B29/B$39</f>
        <v>0.58200516341603648</v>
      </c>
      <c r="V29" s="43">
        <f t="shared" si="28"/>
        <v>0.53894012713078965</v>
      </c>
      <c r="W29" s="43">
        <f t="shared" si="28"/>
        <v>0.58713980073011263</v>
      </c>
      <c r="X29" s="43">
        <f t="shared" si="28"/>
        <v>0.6173245442665285</v>
      </c>
      <c r="Y29" s="43">
        <f t="shared" si="28"/>
        <v>0.58555723600040444</v>
      </c>
      <c r="Z29" s="43">
        <f t="shared" si="28"/>
        <v>0.5657119020035033</v>
      </c>
      <c r="AA29" s="43">
        <f t="shared" si="28"/>
        <v>0.55659084111152979</v>
      </c>
      <c r="AB29" s="43">
        <f t="shared" si="28"/>
        <v>0.55716016025342396</v>
      </c>
      <c r="AC29" s="43">
        <f t="shared" si="28"/>
        <v>0.53977905283891414</v>
      </c>
      <c r="AD29" s="43">
        <f t="shared" si="28"/>
        <v>0.50367816091954021</v>
      </c>
      <c r="AE29" s="43">
        <f t="shared" si="28"/>
        <v>0.51557015906205661</v>
      </c>
      <c r="AF29" s="43">
        <f t="shared" si="28"/>
        <v>0.51108906681782751</v>
      </c>
      <c r="AG29" s="43">
        <f t="shared" si="28"/>
        <v>0.51778683428887196</v>
      </c>
      <c r="AH29" s="43">
        <f t="shared" si="28"/>
        <v>0.44090321786747061</v>
      </c>
      <c r="AI29" s="43">
        <f t="shared" si="28"/>
        <v>0.41575541173845126</v>
      </c>
      <c r="AJ29" s="43">
        <f t="shared" si="28"/>
        <v>0.39629253428136108</v>
      </c>
      <c r="AK29" s="43">
        <f t="shared" si="28"/>
        <v>0.41900476442562201</v>
      </c>
      <c r="AL29" s="43">
        <f t="shared" ref="AL29" si="29">SUM(M29:Q29)/SUM(M$39:Q$39)</f>
        <v>0.45029530543192209</v>
      </c>
      <c r="AM29" s="2"/>
    </row>
    <row r="30" spans="1:41" ht="12" customHeight="1" x14ac:dyDescent="0.2">
      <c r="A30" s="72"/>
      <c r="B30" s="72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43"/>
      <c r="T30" s="72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43"/>
      <c r="AM30" s="2"/>
    </row>
    <row r="31" spans="1:41" ht="15" x14ac:dyDescent="0.2">
      <c r="A31" s="72" t="s">
        <v>59</v>
      </c>
      <c r="B31" s="72">
        <f t="shared" ref="B31:H31" si="30">B27-B29</f>
        <v>592488</v>
      </c>
      <c r="C31" s="95">
        <f t="shared" si="30"/>
        <v>619866</v>
      </c>
      <c r="D31" s="95">
        <f t="shared" si="30"/>
        <v>654872</v>
      </c>
      <c r="E31" s="95">
        <f t="shared" si="30"/>
        <v>680068</v>
      </c>
      <c r="F31" s="95">
        <f t="shared" si="30"/>
        <v>707806</v>
      </c>
      <c r="G31" s="95">
        <f t="shared" si="30"/>
        <v>743247</v>
      </c>
      <c r="H31" s="95">
        <f t="shared" si="30"/>
        <v>767428</v>
      </c>
      <c r="I31" s="95">
        <f t="shared" ref="I31:O31" si="31">I27-I29</f>
        <v>820100</v>
      </c>
      <c r="J31" s="95">
        <f t="shared" si="31"/>
        <v>908900</v>
      </c>
      <c r="K31" s="95">
        <f t="shared" si="31"/>
        <v>989500</v>
      </c>
      <c r="L31" s="95">
        <f t="shared" si="31"/>
        <v>1031500</v>
      </c>
      <c r="M31" s="95">
        <f t="shared" si="31"/>
        <v>1096300</v>
      </c>
      <c r="N31" s="95">
        <f t="shared" ref="N31" si="32">N27-N29</f>
        <v>1177400</v>
      </c>
      <c r="O31" s="95">
        <f t="shared" si="31"/>
        <v>1324300</v>
      </c>
      <c r="P31" s="95">
        <f t="shared" ref="P31:Q31" si="33">P27-P29</f>
        <v>1457800</v>
      </c>
      <c r="Q31" s="95">
        <f t="shared" si="33"/>
        <v>1572000</v>
      </c>
      <c r="R31" s="95">
        <f t="shared" ref="R31" si="34">R27-R29</f>
        <v>1609200</v>
      </c>
      <c r="S31" s="43">
        <f>RATE(5,,-L31,Q31)</f>
        <v>8.7919251268694321E-2</v>
      </c>
      <c r="T31" s="72" t="str">
        <f>A31</f>
        <v>Net Plant &amp; Equipment</v>
      </c>
      <c r="U31" s="43">
        <f t="shared" ref="U31:AK31" si="35">B31/B$39</f>
        <v>0.81886028923975052</v>
      </c>
      <c r="V31" s="43">
        <f t="shared" si="35"/>
        <v>0.74653328933455054</v>
      </c>
      <c r="W31" s="43">
        <f t="shared" si="35"/>
        <v>0.78536512824940874</v>
      </c>
      <c r="X31" s="43">
        <f t="shared" si="35"/>
        <v>0.81759480446410215</v>
      </c>
      <c r="Y31" s="43">
        <f t="shared" si="35"/>
        <v>0.77796951458103436</v>
      </c>
      <c r="Z31" s="43">
        <f t="shared" si="35"/>
        <v>0.73470386347550676</v>
      </c>
      <c r="AA31" s="43">
        <f t="shared" si="35"/>
        <v>0.6934889062992774</v>
      </c>
      <c r="AB31" s="43">
        <f t="shared" si="35"/>
        <v>0.76409205254821577</v>
      </c>
      <c r="AC31" s="43">
        <f t="shared" si="35"/>
        <v>0.7783677314378693</v>
      </c>
      <c r="AD31" s="43">
        <f t="shared" si="35"/>
        <v>0.75823754789272035</v>
      </c>
      <c r="AE31" s="43">
        <f t="shared" si="35"/>
        <v>0.7702934806959898</v>
      </c>
      <c r="AF31" s="43">
        <f t="shared" si="35"/>
        <v>0.77680153050379086</v>
      </c>
      <c r="AG31" s="43">
        <f t="shared" si="35"/>
        <v>0.81329004628030666</v>
      </c>
      <c r="AH31" s="43">
        <f t="shared" si="35"/>
        <v>0.81480342090690949</v>
      </c>
      <c r="AI31" s="43">
        <f t="shared" si="35"/>
        <v>0.81332291899129661</v>
      </c>
      <c r="AJ31" s="43">
        <f t="shared" si="35"/>
        <v>0.79837480954799389</v>
      </c>
      <c r="AK31" s="43">
        <f t="shared" si="35"/>
        <v>0.85187930121757549</v>
      </c>
      <c r="AL31" s="43">
        <f t="shared" ref="AL31" si="36">SUM(M31:Q31)/SUM(M$39:Q$39)</f>
        <v>0.80378864135246253</v>
      </c>
      <c r="AM31" s="2"/>
    </row>
    <row r="32" spans="1:41" ht="12" customHeight="1" x14ac:dyDescent="0.2">
      <c r="A32" s="72"/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43"/>
      <c r="T32" s="72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2"/>
    </row>
    <row r="33" spans="1:39" ht="15.75" x14ac:dyDescent="0.25">
      <c r="A33" s="117" t="s">
        <v>72</v>
      </c>
      <c r="B33" s="7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43"/>
      <c r="T33" s="117" t="str">
        <f>A33</f>
        <v>Other Assets: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2"/>
    </row>
    <row r="34" spans="1:39" ht="15" x14ac:dyDescent="0.2">
      <c r="A34" s="72" t="s">
        <v>60</v>
      </c>
      <c r="B34" s="72">
        <v>16353</v>
      </c>
      <c r="C34" s="95">
        <v>22359</v>
      </c>
      <c r="D34" s="95">
        <v>19211</v>
      </c>
      <c r="E34" s="95">
        <v>13942</v>
      </c>
      <c r="F34" s="95">
        <v>24635</v>
      </c>
      <c r="G34" s="95">
        <v>21843</v>
      </c>
      <c r="H34" s="95">
        <v>22052</v>
      </c>
      <c r="I34" s="95">
        <v>23000</v>
      </c>
      <c r="J34" s="95">
        <f>19100</f>
        <v>19100</v>
      </c>
      <c r="K34" s="95">
        <v>18100</v>
      </c>
      <c r="L34" s="95">
        <v>16000</v>
      </c>
      <c r="M34" s="95">
        <v>15000</v>
      </c>
      <c r="N34" s="95">
        <v>15100</v>
      </c>
      <c r="O34" s="95">
        <v>16400</v>
      </c>
      <c r="P34" s="95">
        <v>16100</v>
      </c>
      <c r="Q34" s="95">
        <v>21300</v>
      </c>
      <c r="R34" s="95">
        <v>20300</v>
      </c>
      <c r="S34" s="43">
        <f t="shared" ref="S34:S39" si="37">RATE(5,,-L34,Q34)</f>
        <v>5.8892626524667334E-2</v>
      </c>
      <c r="T34" s="72" t="str">
        <f>A34</f>
        <v>Regulatory Assets</v>
      </c>
      <c r="U34" s="43">
        <f t="shared" ref="U34:AD39" si="38">B34/B$39</f>
        <v>2.26010017248242E-2</v>
      </c>
      <c r="V34" s="43">
        <f t="shared" si="38"/>
        <v>2.6927977685872777E-2</v>
      </c>
      <c r="W34" s="43">
        <f t="shared" si="38"/>
        <v>2.3039081650764411E-2</v>
      </c>
      <c r="X34" s="43">
        <f t="shared" si="38"/>
        <v>1.6761422039911468E-2</v>
      </c>
      <c r="Y34" s="43">
        <f t="shared" si="38"/>
        <v>2.7077022505748439E-2</v>
      </c>
      <c r="Z34" s="43">
        <f t="shared" si="38"/>
        <v>2.1591929049018018E-2</v>
      </c>
      <c r="AA34" s="43">
        <f t="shared" si="38"/>
        <v>1.9927364341295422E-2</v>
      </c>
      <c r="AB34" s="43">
        <f t="shared" si="38"/>
        <v>2.1429236932823999E-2</v>
      </c>
      <c r="AC34" s="43">
        <f t="shared" si="38"/>
        <v>1.6356940995118609E-2</v>
      </c>
      <c r="AD34" s="43">
        <f t="shared" si="38"/>
        <v>1.3869731800766283E-2</v>
      </c>
      <c r="AE34" s="43">
        <f t="shared" ref="AE34:AK39" si="39">L34/L$39</f>
        <v>1.1948323500858785E-2</v>
      </c>
      <c r="AF34" s="43">
        <f t="shared" si="39"/>
        <v>1.0628498547438532E-2</v>
      </c>
      <c r="AG34" s="43">
        <f t="shared" si="39"/>
        <v>1.0430337777163777E-2</v>
      </c>
      <c r="AH34" s="43">
        <f t="shared" si="39"/>
        <v>1.009044484095244E-2</v>
      </c>
      <c r="AI34" s="43">
        <f t="shared" si="39"/>
        <v>8.9823700066949345E-3</v>
      </c>
      <c r="AJ34" s="43">
        <f t="shared" si="39"/>
        <v>1.0817673946165566E-2</v>
      </c>
      <c r="AK34" s="43">
        <f t="shared" si="39"/>
        <v>1.0746426680783483E-2</v>
      </c>
      <c r="AL34" s="43">
        <f t="shared" ref="AL34:AL39" si="40">SUM(M34:Q34)/SUM(M$39:Q$39)</f>
        <v>1.0175000303188329E-2</v>
      </c>
      <c r="AM34" s="2"/>
    </row>
    <row r="35" spans="1:39" ht="15" x14ac:dyDescent="0.2">
      <c r="A35" s="72" t="s">
        <v>95</v>
      </c>
      <c r="B35" s="72">
        <v>0</v>
      </c>
      <c r="C35" s="95">
        <v>0</v>
      </c>
      <c r="D35" s="95">
        <v>5876</v>
      </c>
      <c r="E35" s="95">
        <v>5652</v>
      </c>
      <c r="F35" s="95">
        <v>5652</v>
      </c>
      <c r="G35" s="95">
        <v>5652</v>
      </c>
      <c r="H35" s="27">
        <v>5652</v>
      </c>
      <c r="I35" s="27">
        <v>5600</v>
      </c>
      <c r="J35" s="27">
        <f>5600</f>
        <v>5600</v>
      </c>
      <c r="K35" s="27">
        <f>5600</f>
        <v>5600</v>
      </c>
      <c r="L35" s="27">
        <v>5600</v>
      </c>
      <c r="M35" s="27">
        <v>5600</v>
      </c>
      <c r="N35" s="27">
        <v>5600</v>
      </c>
      <c r="O35" s="27">
        <v>5600</v>
      </c>
      <c r="P35" s="27">
        <v>5600</v>
      </c>
      <c r="Q35" s="27">
        <v>5600</v>
      </c>
      <c r="R35" s="27"/>
      <c r="S35" s="43">
        <f t="shared" si="37"/>
        <v>1.2661654631550869E-16</v>
      </c>
      <c r="T35" s="72" t="str">
        <f>A35</f>
        <v>Goodwill</v>
      </c>
      <c r="U35" s="43">
        <f t="shared" si="38"/>
        <v>0</v>
      </c>
      <c r="V35" s="43">
        <f t="shared" si="38"/>
        <v>0</v>
      </c>
      <c r="W35" s="43">
        <f t="shared" si="38"/>
        <v>7.0468816709120651E-3</v>
      </c>
      <c r="X35" s="43">
        <f t="shared" si="38"/>
        <v>6.7949761418433239E-3</v>
      </c>
      <c r="Y35" s="43">
        <f t="shared" si="38"/>
        <v>6.2122724255120835E-3</v>
      </c>
      <c r="Z35" s="43">
        <f t="shared" si="38"/>
        <v>5.5870339690083709E-3</v>
      </c>
      <c r="AA35" s="43">
        <f t="shared" si="38"/>
        <v>5.1074489051787467E-3</v>
      </c>
      <c r="AB35" s="43">
        <f t="shared" si="38"/>
        <v>5.2175533401658441E-3</v>
      </c>
      <c r="AC35" s="43">
        <f t="shared" si="38"/>
        <v>4.795752333647341E-3</v>
      </c>
      <c r="AD35" s="43">
        <f t="shared" si="38"/>
        <v>4.2911877394636016E-3</v>
      </c>
      <c r="AE35" s="43">
        <f t="shared" si="39"/>
        <v>4.1819132253005748E-3</v>
      </c>
      <c r="AF35" s="43">
        <f t="shared" si="39"/>
        <v>3.9679727910437185E-3</v>
      </c>
      <c r="AG35" s="43">
        <f t="shared" si="39"/>
        <v>3.8682047385508048E-3</v>
      </c>
      <c r="AH35" s="43">
        <f t="shared" si="39"/>
        <v>3.4455177505691259E-3</v>
      </c>
      <c r="AI35" s="43">
        <f t="shared" si="39"/>
        <v>3.1243026110243251E-3</v>
      </c>
      <c r="AJ35" s="43">
        <f t="shared" si="39"/>
        <v>2.8440832910106655E-3</v>
      </c>
      <c r="AK35" s="43">
        <f t="shared" si="39"/>
        <v>0</v>
      </c>
      <c r="AL35" s="43">
        <f t="shared" si="40"/>
        <v>3.3957092787756044E-3</v>
      </c>
      <c r="AM35" s="2"/>
    </row>
    <row r="36" spans="1:39" ht="15" x14ac:dyDescent="0.2">
      <c r="A36" s="72" t="s">
        <v>96</v>
      </c>
      <c r="B36" s="72">
        <v>4625</v>
      </c>
      <c r="C36" s="95">
        <v>4775</v>
      </c>
      <c r="D36" s="95">
        <v>4854</v>
      </c>
      <c r="E36" s="95">
        <v>5062</v>
      </c>
      <c r="F36" s="95">
        <v>7276</v>
      </c>
      <c r="G36" s="95">
        <v>7957</v>
      </c>
      <c r="H36" s="95">
        <v>6438</v>
      </c>
      <c r="I36" s="95">
        <v>6300</v>
      </c>
      <c r="J36" s="95">
        <f>6900</f>
        <v>6900</v>
      </c>
      <c r="K36" s="95">
        <v>7800</v>
      </c>
      <c r="L36" s="95">
        <v>7000</v>
      </c>
      <c r="M36" s="95">
        <v>2600</v>
      </c>
      <c r="N36" s="95">
        <v>2300</v>
      </c>
      <c r="O36" s="95">
        <v>3100</v>
      </c>
      <c r="P36" s="95">
        <v>4000</v>
      </c>
      <c r="Q36" s="95">
        <v>3700</v>
      </c>
      <c r="R36" s="95">
        <v>9200</v>
      </c>
      <c r="S36" s="51">
        <f t="shared" si="37"/>
        <v>-0.11972019857373223</v>
      </c>
      <c r="T36" s="72" t="str">
        <f>A36</f>
        <v>Other Non-Current Assets</v>
      </c>
      <c r="U36" s="43">
        <f t="shared" si="38"/>
        <v>6.3920768652425807E-3</v>
      </c>
      <c r="V36" s="43">
        <f t="shared" si="38"/>
        <v>5.7507533185760769E-3</v>
      </c>
      <c r="W36" s="43">
        <f t="shared" si="38"/>
        <v>5.8212327485716751E-3</v>
      </c>
      <c r="X36" s="43">
        <f t="shared" si="38"/>
        <v>6.0856633457202587E-3</v>
      </c>
      <c r="Y36" s="43">
        <f t="shared" si="38"/>
        <v>7.9972565760838502E-3</v>
      </c>
      <c r="Z36" s="43">
        <f t="shared" si="38"/>
        <v>7.8655395066170569E-3</v>
      </c>
      <c r="AA36" s="43">
        <f t="shared" si="38"/>
        <v>5.8177204620560464E-3</v>
      </c>
      <c r="AB36" s="43">
        <f t="shared" si="38"/>
        <v>5.869747507686574E-3</v>
      </c>
      <c r="AC36" s="43">
        <f t="shared" si="38"/>
        <v>5.9090519825297592E-3</v>
      </c>
      <c r="AD36" s="43">
        <f t="shared" si="38"/>
        <v>5.9770114942528738E-3</v>
      </c>
      <c r="AE36" s="43">
        <f t="shared" si="39"/>
        <v>5.2273915316257188E-3</v>
      </c>
      <c r="AF36" s="43">
        <f t="shared" si="39"/>
        <v>1.8422730815560121E-3</v>
      </c>
      <c r="AG36" s="43">
        <f t="shared" si="39"/>
        <v>1.5887269461905091E-3</v>
      </c>
      <c r="AH36" s="43">
        <f t="shared" si="39"/>
        <v>1.907340183350766E-3</v>
      </c>
      <c r="AI36" s="43">
        <f t="shared" si="39"/>
        <v>2.2316447221602323E-3</v>
      </c>
      <c r="AJ36" s="43">
        <f t="shared" si="39"/>
        <v>1.8791264601320467E-3</v>
      </c>
      <c r="AK36" s="43">
        <f t="shared" si="39"/>
        <v>4.8703017469560617E-3</v>
      </c>
      <c r="AL36" s="51">
        <f t="shared" si="40"/>
        <v>1.9040227027420351E-3</v>
      </c>
      <c r="AM36" s="2"/>
    </row>
    <row r="37" spans="1:39" ht="15" x14ac:dyDescent="0.2">
      <c r="A37" s="72" t="s">
        <v>73</v>
      </c>
      <c r="B37" s="78">
        <f t="shared" ref="B37:K37" si="41">SUM(B34:B36)</f>
        <v>20978</v>
      </c>
      <c r="C37" s="96">
        <f t="shared" si="41"/>
        <v>27134</v>
      </c>
      <c r="D37" s="96">
        <f t="shared" si="41"/>
        <v>29941</v>
      </c>
      <c r="E37" s="96">
        <f t="shared" si="41"/>
        <v>24656</v>
      </c>
      <c r="F37" s="96">
        <f t="shared" si="41"/>
        <v>37563</v>
      </c>
      <c r="G37" s="96">
        <f t="shared" si="41"/>
        <v>35452</v>
      </c>
      <c r="H37" s="96">
        <f t="shared" si="41"/>
        <v>34142</v>
      </c>
      <c r="I37" s="96">
        <f t="shared" si="41"/>
        <v>34900</v>
      </c>
      <c r="J37" s="96">
        <f t="shared" si="41"/>
        <v>31600</v>
      </c>
      <c r="K37" s="96">
        <f t="shared" si="41"/>
        <v>31500</v>
      </c>
      <c r="L37" s="96">
        <f t="shared" ref="L37" si="42">SUM(L34:L36)</f>
        <v>28600</v>
      </c>
      <c r="M37" s="96">
        <f t="shared" ref="M37:O37" si="43">SUM(M34:M36)</f>
        <v>23200</v>
      </c>
      <c r="N37" s="96">
        <f t="shared" ref="N37" si="44">SUM(N34:N36)</f>
        <v>23000</v>
      </c>
      <c r="O37" s="96">
        <f t="shared" si="43"/>
        <v>25100</v>
      </c>
      <c r="P37" s="96">
        <f t="shared" ref="P37:Q37" si="45">SUM(P34:P36)</f>
        <v>25700</v>
      </c>
      <c r="Q37" s="96">
        <f t="shared" si="45"/>
        <v>30600</v>
      </c>
      <c r="R37" s="96">
        <f t="shared" ref="R37" si="46">SUM(R34:R36)</f>
        <v>29500</v>
      </c>
      <c r="S37" s="177">
        <f t="shared" si="37"/>
        <v>1.3610448447108899E-2</v>
      </c>
      <c r="T37" s="72" t="s">
        <v>73</v>
      </c>
      <c r="U37" s="80">
        <f t="shared" si="38"/>
        <v>2.8993078590066782E-2</v>
      </c>
      <c r="V37" s="80">
        <f t="shared" si="38"/>
        <v>3.2678731004448854E-2</v>
      </c>
      <c r="W37" s="80">
        <f t="shared" si="38"/>
        <v>3.590719607024815E-2</v>
      </c>
      <c r="X37" s="80">
        <f t="shared" si="38"/>
        <v>2.9642061527475051E-2</v>
      </c>
      <c r="Y37" s="80">
        <f t="shared" si="38"/>
        <v>4.1286551507344373E-2</v>
      </c>
      <c r="Z37" s="80">
        <f t="shared" si="38"/>
        <v>3.5044502524643445E-2</v>
      </c>
      <c r="AA37" s="80">
        <f t="shared" si="38"/>
        <v>3.0852533708530215E-2</v>
      </c>
      <c r="AB37" s="80">
        <f t="shared" si="38"/>
        <v>3.2516537780676417E-2</v>
      </c>
      <c r="AC37" s="80">
        <f t="shared" si="38"/>
        <v>2.706174531129571E-2</v>
      </c>
      <c r="AD37" s="80">
        <f t="shared" si="38"/>
        <v>2.4137931034482758E-2</v>
      </c>
      <c r="AE37" s="80">
        <f t="shared" si="39"/>
        <v>2.1357628257785078E-2</v>
      </c>
      <c r="AF37" s="80">
        <f t="shared" si="39"/>
        <v>1.6438744420038263E-2</v>
      </c>
      <c r="AG37" s="80">
        <f t="shared" si="39"/>
        <v>1.588726946190509E-2</v>
      </c>
      <c r="AH37" s="80">
        <f t="shared" si="39"/>
        <v>1.5443302774872332E-2</v>
      </c>
      <c r="AI37" s="80">
        <f t="shared" si="39"/>
        <v>1.4338317339879491E-2</v>
      </c>
      <c r="AJ37" s="80">
        <f t="shared" si="39"/>
        <v>1.5540883697308279E-2</v>
      </c>
      <c r="AK37" s="80">
        <f t="shared" si="39"/>
        <v>1.5616728427739545E-2</v>
      </c>
      <c r="AL37" s="177">
        <f t="shared" si="40"/>
        <v>1.5474732284705969E-2</v>
      </c>
      <c r="AM37" s="2"/>
    </row>
    <row r="38" spans="1:39" ht="15" x14ac:dyDescent="0.2">
      <c r="A38" s="72" t="s">
        <v>42</v>
      </c>
      <c r="B38" s="78">
        <f t="shared" ref="B38:K38" si="47">B31+B37</f>
        <v>613466</v>
      </c>
      <c r="C38" s="96">
        <f t="shared" si="47"/>
        <v>647000</v>
      </c>
      <c r="D38" s="96">
        <f t="shared" si="47"/>
        <v>684813</v>
      </c>
      <c r="E38" s="96">
        <f t="shared" si="47"/>
        <v>704724</v>
      </c>
      <c r="F38" s="96">
        <f t="shared" si="47"/>
        <v>745369</v>
      </c>
      <c r="G38" s="96">
        <f t="shared" si="47"/>
        <v>778699</v>
      </c>
      <c r="H38" s="96">
        <f t="shared" si="47"/>
        <v>801570</v>
      </c>
      <c r="I38" s="96">
        <f t="shared" si="47"/>
        <v>855000</v>
      </c>
      <c r="J38" s="96">
        <f t="shared" si="47"/>
        <v>940500</v>
      </c>
      <c r="K38" s="96">
        <f t="shared" si="47"/>
        <v>1021000</v>
      </c>
      <c r="L38" s="96">
        <f t="shared" ref="L38" si="48">L31+L37</f>
        <v>1060100</v>
      </c>
      <c r="M38" s="96">
        <f t="shared" ref="M38:O38" si="49">M31+M37</f>
        <v>1119500</v>
      </c>
      <c r="N38" s="96">
        <f t="shared" ref="N38" si="50">N31+N37</f>
        <v>1200400</v>
      </c>
      <c r="O38" s="96">
        <f t="shared" si="49"/>
        <v>1349400</v>
      </c>
      <c r="P38" s="96">
        <f t="shared" ref="P38:Q38" si="51">P31+P37</f>
        <v>1483500</v>
      </c>
      <c r="Q38" s="96">
        <f t="shared" si="51"/>
        <v>1602600</v>
      </c>
      <c r="R38" s="96">
        <f t="shared" ref="R38" si="52">R31+R37</f>
        <v>1638700</v>
      </c>
      <c r="S38" s="177">
        <f t="shared" si="37"/>
        <v>8.6164641283573984E-2</v>
      </c>
      <c r="T38" s="72" t="s">
        <v>42</v>
      </c>
      <c r="U38" s="80">
        <f t="shared" si="38"/>
        <v>0.84785336782981735</v>
      </c>
      <c r="V38" s="80">
        <f t="shared" si="38"/>
        <v>0.77921202033899939</v>
      </c>
      <c r="W38" s="80">
        <f t="shared" si="38"/>
        <v>0.82127232431965691</v>
      </c>
      <c r="X38" s="80">
        <f t="shared" si="38"/>
        <v>0.84723686599157721</v>
      </c>
      <c r="Y38" s="80">
        <f t="shared" si="38"/>
        <v>0.81925606608837864</v>
      </c>
      <c r="Z38" s="80">
        <f t="shared" si="38"/>
        <v>0.76974836600015029</v>
      </c>
      <c r="AA38" s="80">
        <f t="shared" si="38"/>
        <v>0.72434144000780754</v>
      </c>
      <c r="AB38" s="80">
        <f t="shared" si="38"/>
        <v>0.7966085903288922</v>
      </c>
      <c r="AC38" s="80">
        <f t="shared" si="38"/>
        <v>0.80542947674916499</v>
      </c>
      <c r="AD38" s="80">
        <f t="shared" si="38"/>
        <v>0.78237547892720305</v>
      </c>
      <c r="AE38" s="80">
        <f t="shared" si="39"/>
        <v>0.79165110895377488</v>
      </c>
      <c r="AF38" s="80">
        <f t="shared" si="39"/>
        <v>0.79324027492382909</v>
      </c>
      <c r="AG38" s="80">
        <f t="shared" si="39"/>
        <v>0.82917731574221176</v>
      </c>
      <c r="AH38" s="80">
        <f t="shared" si="39"/>
        <v>0.83024672368178187</v>
      </c>
      <c r="AI38" s="80">
        <f t="shared" si="39"/>
        <v>0.82766123633117605</v>
      </c>
      <c r="AJ38" s="80">
        <f t="shared" si="39"/>
        <v>0.81391569324530222</v>
      </c>
      <c r="AK38" s="80">
        <f t="shared" si="39"/>
        <v>0.86749602964531503</v>
      </c>
      <c r="AL38" s="177">
        <f t="shared" si="40"/>
        <v>0.8192633736371685</v>
      </c>
      <c r="AM38" s="2"/>
    </row>
    <row r="39" spans="1:39" ht="15.75" thickBot="1" x14ac:dyDescent="0.25">
      <c r="A39" s="72" t="s">
        <v>37</v>
      </c>
      <c r="B39" s="78">
        <f t="shared" ref="B39:G39" si="53">B21+B31+B37</f>
        <v>723552</v>
      </c>
      <c r="C39" s="96">
        <f t="shared" si="53"/>
        <v>830326</v>
      </c>
      <c r="D39" s="96">
        <f t="shared" si="53"/>
        <v>833844</v>
      </c>
      <c r="E39" s="96">
        <f t="shared" si="53"/>
        <v>831791</v>
      </c>
      <c r="F39" s="96">
        <f t="shared" si="53"/>
        <v>909812</v>
      </c>
      <c r="G39" s="96">
        <f t="shared" si="53"/>
        <v>1011628</v>
      </c>
      <c r="H39" s="96">
        <f t="shared" ref="H39:M39" si="54">H21+H31+H37</f>
        <v>1106619</v>
      </c>
      <c r="I39" s="96">
        <f t="shared" si="54"/>
        <v>1073300</v>
      </c>
      <c r="J39" s="96">
        <f t="shared" si="54"/>
        <v>1167700</v>
      </c>
      <c r="K39" s="96">
        <f t="shared" si="54"/>
        <v>1305000</v>
      </c>
      <c r="L39" s="96">
        <f t="shared" si="54"/>
        <v>1339100</v>
      </c>
      <c r="M39" s="96">
        <f t="shared" si="54"/>
        <v>1411300</v>
      </c>
      <c r="N39" s="96">
        <f t="shared" ref="N39" si="55">N21+N31+N37</f>
        <v>1447700</v>
      </c>
      <c r="O39" s="96">
        <f t="shared" ref="O39:P39" si="56">O21+O31+O37</f>
        <v>1625300</v>
      </c>
      <c r="P39" s="96">
        <f t="shared" si="56"/>
        <v>1792400</v>
      </c>
      <c r="Q39" s="96">
        <f t="shared" ref="Q39:R39" si="57">Q21+Q31+Q37</f>
        <v>1969000</v>
      </c>
      <c r="R39" s="96">
        <f t="shared" si="57"/>
        <v>1889000</v>
      </c>
      <c r="S39" s="81">
        <f t="shared" si="37"/>
        <v>8.0156146337430526E-2</v>
      </c>
      <c r="T39" s="72" t="s">
        <v>37</v>
      </c>
      <c r="U39" s="81">
        <f t="shared" si="38"/>
        <v>1</v>
      </c>
      <c r="V39" s="81">
        <f t="shared" si="38"/>
        <v>1</v>
      </c>
      <c r="W39" s="81">
        <f t="shared" si="38"/>
        <v>1</v>
      </c>
      <c r="X39" s="81">
        <f t="shared" si="38"/>
        <v>1</v>
      </c>
      <c r="Y39" s="81">
        <f t="shared" si="38"/>
        <v>1</v>
      </c>
      <c r="Z39" s="81">
        <f t="shared" si="38"/>
        <v>1</v>
      </c>
      <c r="AA39" s="81">
        <f t="shared" si="38"/>
        <v>1</v>
      </c>
      <c r="AB39" s="81">
        <f t="shared" si="38"/>
        <v>1</v>
      </c>
      <c r="AC39" s="81">
        <f t="shared" si="38"/>
        <v>1</v>
      </c>
      <c r="AD39" s="81">
        <f t="shared" si="38"/>
        <v>1</v>
      </c>
      <c r="AE39" s="81">
        <f t="shared" si="39"/>
        <v>1</v>
      </c>
      <c r="AF39" s="81">
        <f t="shared" si="39"/>
        <v>1</v>
      </c>
      <c r="AG39" s="81">
        <f t="shared" si="39"/>
        <v>1</v>
      </c>
      <c r="AH39" s="81">
        <f t="shared" si="39"/>
        <v>1</v>
      </c>
      <c r="AI39" s="81">
        <f t="shared" si="39"/>
        <v>1</v>
      </c>
      <c r="AJ39" s="81">
        <f t="shared" si="39"/>
        <v>1</v>
      </c>
      <c r="AK39" s="81">
        <f t="shared" si="39"/>
        <v>1</v>
      </c>
      <c r="AL39" s="81">
        <f t="shared" si="40"/>
        <v>1</v>
      </c>
      <c r="AM39" s="2"/>
    </row>
    <row r="40" spans="1:39" ht="15.75" thickTop="1" x14ac:dyDescent="0.2">
      <c r="A40" s="72"/>
      <c r="B40" s="82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94"/>
      <c r="P40" s="194"/>
      <c r="Q40" s="194"/>
      <c r="R40" s="194"/>
      <c r="S40" s="43"/>
      <c r="T40" s="72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43"/>
      <c r="AM40" s="2"/>
    </row>
    <row r="41" spans="1:39" ht="15.75" x14ac:dyDescent="0.25">
      <c r="A41" s="117" t="s">
        <v>8</v>
      </c>
      <c r="B41" s="72"/>
      <c r="C41" s="95"/>
      <c r="D41" s="95"/>
      <c r="E41" s="95"/>
      <c r="F41" s="95"/>
      <c r="G41" s="95"/>
      <c r="H41" s="95"/>
      <c r="I41" s="95"/>
      <c r="J41" s="95"/>
      <c r="K41" s="98"/>
      <c r="L41" s="98"/>
      <c r="M41" s="98"/>
      <c r="N41" s="98"/>
      <c r="O41" s="195"/>
      <c r="P41" s="195"/>
      <c r="Q41" s="195"/>
      <c r="R41" s="195"/>
      <c r="S41" s="43"/>
      <c r="T41" s="117" t="s">
        <v>8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2"/>
    </row>
    <row r="42" spans="1:39" ht="15" x14ac:dyDescent="0.2">
      <c r="A42" s="76" t="s">
        <v>97</v>
      </c>
      <c r="B42" s="72">
        <v>79300</v>
      </c>
      <c r="C42" s="95">
        <v>105600</v>
      </c>
      <c r="D42" s="95">
        <v>66600</v>
      </c>
      <c r="E42" s="95">
        <v>36400</v>
      </c>
      <c r="F42" s="95">
        <v>51900</v>
      </c>
      <c r="G42" s="95">
        <v>95200</v>
      </c>
      <c r="H42" s="95">
        <v>77400</v>
      </c>
      <c r="I42" s="95">
        <v>13200</v>
      </c>
      <c r="J42" s="95">
        <f>72900</f>
        <v>72900</v>
      </c>
      <c r="K42" s="95">
        <v>88300</v>
      </c>
      <c r="L42" s="95">
        <v>87000</v>
      </c>
      <c r="M42" s="95">
        <v>153600</v>
      </c>
      <c r="N42" s="95">
        <v>142700</v>
      </c>
      <c r="O42" s="95">
        <v>166100</v>
      </c>
      <c r="P42" s="95">
        <v>17700</v>
      </c>
      <c r="Q42" s="95">
        <v>119300</v>
      </c>
      <c r="R42" s="95">
        <v>35800</v>
      </c>
      <c r="S42" s="43">
        <f>RATE(5,,-L42,Q42)</f>
        <v>6.5183028444441002E-2</v>
      </c>
      <c r="T42" s="72" t="str">
        <f t="shared" ref="T42:T51" si="58">A42</f>
        <v>Notes Payable to Questar</v>
      </c>
      <c r="U42" s="43">
        <f t="shared" ref="U42:AK42" si="59">B42/B$39</f>
        <v>0.1095982044137809</v>
      </c>
      <c r="V42" s="43">
        <f t="shared" si="59"/>
        <v>0.12717896344327409</v>
      </c>
      <c r="W42" s="43">
        <f t="shared" si="59"/>
        <v>7.9871055017485287E-2</v>
      </c>
      <c r="X42" s="43">
        <f t="shared" si="59"/>
        <v>4.3760992845558559E-2</v>
      </c>
      <c r="Y42" s="43">
        <f t="shared" si="59"/>
        <v>5.7044752102632192E-2</v>
      </c>
      <c r="Z42" s="43">
        <f t="shared" si="59"/>
        <v>9.410573847303555E-2</v>
      </c>
      <c r="AA42" s="43">
        <f t="shared" si="59"/>
        <v>6.9942771631428702E-2</v>
      </c>
      <c r="AB42" s="43">
        <f t="shared" si="59"/>
        <v>1.2298518587533775E-2</v>
      </c>
      <c r="AC42" s="43">
        <f t="shared" si="59"/>
        <v>6.243041877194485E-2</v>
      </c>
      <c r="AD42" s="43">
        <f t="shared" si="59"/>
        <v>6.7662835249042153E-2</v>
      </c>
      <c r="AE42" s="43">
        <f t="shared" si="59"/>
        <v>6.496900903591965E-2</v>
      </c>
      <c r="AF42" s="43">
        <f t="shared" si="59"/>
        <v>0.10883582512577057</v>
      </c>
      <c r="AG42" s="43">
        <f t="shared" si="59"/>
        <v>9.8570145748428539E-2</v>
      </c>
      <c r="AH42" s="43">
        <f t="shared" si="59"/>
        <v>0.10219651756598781</v>
      </c>
      <c r="AI42" s="43">
        <f t="shared" si="59"/>
        <v>9.8750278955590277E-3</v>
      </c>
      <c r="AJ42" s="43">
        <f t="shared" si="59"/>
        <v>6.058913153885221E-2</v>
      </c>
      <c r="AK42" s="43">
        <f t="shared" si="59"/>
        <v>1.8951826363155108E-2</v>
      </c>
      <c r="AL42" s="43">
        <f>SUM(M42:Q42)/SUM(M$39:Q$39)</f>
        <v>7.2692433632074893E-2</v>
      </c>
      <c r="AM42" s="2"/>
    </row>
    <row r="43" spans="1:39" ht="15" x14ac:dyDescent="0.2">
      <c r="A43" s="83" t="s">
        <v>214</v>
      </c>
      <c r="B43" s="72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>
        <v>400</v>
      </c>
      <c r="S43" s="43"/>
      <c r="T43" s="72" t="str">
        <f>+A43</f>
        <v>Short Term Debt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2"/>
    </row>
    <row r="44" spans="1:39" ht="15" x14ac:dyDescent="0.2">
      <c r="A44" s="83" t="s">
        <v>121</v>
      </c>
      <c r="B44" s="72"/>
      <c r="C44" s="95">
        <v>0</v>
      </c>
      <c r="D44" s="95">
        <v>0</v>
      </c>
      <c r="E44" s="95">
        <v>0</v>
      </c>
      <c r="F44" s="95"/>
      <c r="G44" s="95"/>
      <c r="H44" s="95"/>
      <c r="I44" s="95">
        <v>10000</v>
      </c>
      <c r="J44" s="95">
        <v>43000</v>
      </c>
      <c r="K44" s="95"/>
      <c r="L44" s="95"/>
      <c r="M44" s="95">
        <v>2000</v>
      </c>
      <c r="N44" s="95">
        <v>91500</v>
      </c>
      <c r="O44" s="95">
        <v>42000</v>
      </c>
      <c r="P44" s="95"/>
      <c r="Q44" s="95"/>
      <c r="R44" s="95"/>
      <c r="S44" s="43"/>
      <c r="T44" s="72" t="str">
        <f t="shared" si="58"/>
        <v>Current Portion, LTD</v>
      </c>
      <c r="U44" s="43"/>
      <c r="V44" s="43">
        <f t="shared" ref="V44:Y52" si="60">C44/C$39</f>
        <v>0</v>
      </c>
      <c r="W44" s="43">
        <f t="shared" si="60"/>
        <v>0</v>
      </c>
      <c r="X44" s="43">
        <f t="shared" si="60"/>
        <v>0</v>
      </c>
      <c r="Y44" s="43">
        <f t="shared" si="60"/>
        <v>0</v>
      </c>
      <c r="Z44" s="43"/>
      <c r="AA44" s="43"/>
      <c r="AB44" s="43">
        <f t="shared" ref="AB44:AD52" si="61">I44/I$39</f>
        <v>9.3170595360104348E-3</v>
      </c>
      <c r="AC44" s="43">
        <f t="shared" si="61"/>
        <v>3.6824526847649225E-2</v>
      </c>
      <c r="AD44" s="160">
        <f t="shared" si="61"/>
        <v>0</v>
      </c>
      <c r="AE44" s="160">
        <f t="shared" ref="AE44" si="62">L44/L$39</f>
        <v>0</v>
      </c>
      <c r="AF44" s="160">
        <f t="shared" ref="AF44" si="63">M44/M$39</f>
        <v>1.4171331396584709E-3</v>
      </c>
      <c r="AG44" s="160">
        <f t="shared" ref="AG44" si="64">N44/N$39</f>
        <v>6.3203702424535477E-2</v>
      </c>
      <c r="AH44" s="160">
        <f t="shared" ref="AH44:AK52" si="65">O44/O$39</f>
        <v>2.5841383129268442E-2</v>
      </c>
      <c r="AI44" s="160">
        <f t="shared" si="65"/>
        <v>0</v>
      </c>
      <c r="AJ44" s="160">
        <f t="shared" si="65"/>
        <v>0</v>
      </c>
      <c r="AK44" s="160">
        <f t="shared" si="65"/>
        <v>0</v>
      </c>
      <c r="AL44" s="43">
        <f>SUM(M44:Q44)/SUM(M$39:Q$39)</f>
        <v>1.6432807402646226E-2</v>
      </c>
      <c r="AM44" s="2"/>
    </row>
    <row r="45" spans="1:39" ht="15" x14ac:dyDescent="0.2">
      <c r="A45" s="83" t="s">
        <v>219</v>
      </c>
      <c r="B45" s="72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>
        <v>23200</v>
      </c>
      <c r="Q45" s="95">
        <v>22700</v>
      </c>
      <c r="R45" s="95"/>
      <c r="S45" s="43"/>
      <c r="T45" s="72"/>
      <c r="U45" s="43"/>
      <c r="V45" s="43"/>
      <c r="W45" s="43"/>
      <c r="X45" s="43"/>
      <c r="Y45" s="43"/>
      <c r="Z45" s="43"/>
      <c r="AA45" s="43"/>
      <c r="AB45" s="43"/>
      <c r="AC45" s="43"/>
      <c r="AD45" s="160"/>
      <c r="AE45" s="160"/>
      <c r="AF45" s="160"/>
      <c r="AG45" s="160"/>
      <c r="AH45" s="160"/>
      <c r="AI45" s="160"/>
      <c r="AJ45" s="160"/>
      <c r="AK45" s="160"/>
      <c r="AL45" s="43"/>
      <c r="AM45" s="2"/>
    </row>
    <row r="46" spans="1:39" ht="15" x14ac:dyDescent="0.2">
      <c r="A46" s="72" t="s">
        <v>181</v>
      </c>
      <c r="B46" s="72">
        <v>34369</v>
      </c>
      <c r="C46" s="95">
        <v>97397</v>
      </c>
      <c r="D46" s="95">
        <v>45488</v>
      </c>
      <c r="E46" s="95">
        <v>50634</v>
      </c>
      <c r="F46" s="95">
        <v>63897</v>
      </c>
      <c r="G46" s="95">
        <v>94610</v>
      </c>
      <c r="H46" s="95">
        <v>148596</v>
      </c>
      <c r="I46" s="95">
        <v>126800</v>
      </c>
      <c r="J46" s="95">
        <f>130400</f>
        <v>130400</v>
      </c>
      <c r="K46" s="95">
        <v>111700</v>
      </c>
      <c r="L46" s="95">
        <v>124100</v>
      </c>
      <c r="M46" s="95">
        <v>102500</v>
      </c>
      <c r="N46" s="95">
        <v>106500</v>
      </c>
      <c r="O46" s="95">
        <v>100500</v>
      </c>
      <c r="P46" s="95">
        <v>110800</v>
      </c>
      <c r="Q46" s="95">
        <v>76000</v>
      </c>
      <c r="R46" s="95">
        <v>126000</v>
      </c>
      <c r="S46" s="43">
        <f t="shared" ref="S46:S48" si="66">RATE(5,,-L46,Q46)</f>
        <v>-9.3415348525989483E-2</v>
      </c>
      <c r="T46" s="72" t="str">
        <f t="shared" si="58"/>
        <v>Accounts Payable</v>
      </c>
      <c r="U46" s="43">
        <f>B46/B$39</f>
        <v>4.7500386979788596E-2</v>
      </c>
      <c r="V46" s="43">
        <f t="shared" si="60"/>
        <v>0.11729971119777051</v>
      </c>
      <c r="W46" s="43">
        <f t="shared" si="60"/>
        <v>5.4552170429960523E-2</v>
      </c>
      <c r="X46" s="43">
        <f t="shared" si="60"/>
        <v>6.0873464608297033E-2</v>
      </c>
      <c r="Y46" s="43">
        <f t="shared" si="60"/>
        <v>7.0230992776529652E-2</v>
      </c>
      <c r="Z46" s="43">
        <f t="shared" ref="Z46:AA52" si="67">G46/G$39</f>
        <v>9.3522520135860224E-2</v>
      </c>
      <c r="AA46" s="43">
        <f t="shared" si="67"/>
        <v>0.13427927769178011</v>
      </c>
      <c r="AB46" s="43">
        <f t="shared" si="61"/>
        <v>0.11814031491661232</v>
      </c>
      <c r="AC46" s="43">
        <f t="shared" si="61"/>
        <v>0.1116725186263595</v>
      </c>
      <c r="AD46" s="43">
        <f t="shared" si="61"/>
        <v>8.5593869731800762E-2</v>
      </c>
      <c r="AE46" s="43">
        <f t="shared" ref="AE46:AG52" si="68">L46/L$39</f>
        <v>9.2674184153535955E-2</v>
      </c>
      <c r="AF46" s="43">
        <f t="shared" si="68"/>
        <v>7.2628073407496635E-2</v>
      </c>
      <c r="AG46" s="43">
        <f t="shared" si="68"/>
        <v>7.356496511708227E-2</v>
      </c>
      <c r="AH46" s="43">
        <f t="shared" si="65"/>
        <v>6.1834738202178059E-2</v>
      </c>
      <c r="AI46" s="43">
        <f t="shared" si="65"/>
        <v>6.1816558803838427E-2</v>
      </c>
      <c r="AJ46" s="43">
        <f t="shared" si="65"/>
        <v>3.8598273235144746E-2</v>
      </c>
      <c r="AK46" s="43">
        <f t="shared" si="65"/>
        <v>6.6701958708311276E-2</v>
      </c>
      <c r="AL46" s="43">
        <f t="shared" ref="AL46:AL48" si="69">SUM(M46:Q46)/SUM(M$39:Q$39)</f>
        <v>6.0188946966297584E-2</v>
      </c>
      <c r="AM46" s="2"/>
    </row>
    <row r="47" spans="1:39" ht="15" x14ac:dyDescent="0.2">
      <c r="A47" s="72" t="s">
        <v>182</v>
      </c>
      <c r="B47" s="72">
        <v>22396</v>
      </c>
      <c r="C47" s="95">
        <v>25701</v>
      </c>
      <c r="D47" s="95">
        <v>23364</v>
      </c>
      <c r="E47" s="95">
        <v>21114</v>
      </c>
      <c r="F47" s="95">
        <v>23903</v>
      </c>
      <c r="G47" s="95">
        <v>31981</v>
      </c>
      <c r="H47" s="95">
        <v>27409</v>
      </c>
      <c r="I47" s="95">
        <v>32600</v>
      </c>
      <c r="J47" s="95">
        <f>32600</f>
        <v>32600</v>
      </c>
      <c r="K47" s="95">
        <v>49500</v>
      </c>
      <c r="L47" s="95">
        <v>47200</v>
      </c>
      <c r="M47" s="95">
        <v>53600</v>
      </c>
      <c r="N47" s="95">
        <v>41900</v>
      </c>
      <c r="O47" s="95">
        <v>50900</v>
      </c>
      <c r="P47" s="95">
        <v>67800</v>
      </c>
      <c r="Q47" s="95">
        <v>78700</v>
      </c>
      <c r="R47" s="95">
        <v>71400</v>
      </c>
      <c r="S47" s="43">
        <f t="shared" si="66"/>
        <v>0.10766018889810933</v>
      </c>
      <c r="T47" s="72" t="str">
        <f t="shared" si="58"/>
        <v>Accounts Payable, Affiliates</v>
      </c>
      <c r="U47" s="43">
        <f>B47/B$39</f>
        <v>3.0952854805183318E-2</v>
      </c>
      <c r="V47" s="43">
        <f t="shared" si="60"/>
        <v>3.0952902835753669E-2</v>
      </c>
      <c r="W47" s="43">
        <f t="shared" si="60"/>
        <v>2.8019629570998891E-2</v>
      </c>
      <c r="X47" s="43">
        <f t="shared" si="60"/>
        <v>2.5383780300580316E-2</v>
      </c>
      <c r="Y47" s="43">
        <f t="shared" si="60"/>
        <v>2.6272460684185303E-2</v>
      </c>
      <c r="Z47" s="43">
        <f t="shared" si="67"/>
        <v>3.161339939187132E-2</v>
      </c>
      <c r="AA47" s="43">
        <f t="shared" si="67"/>
        <v>2.4768235499300122E-2</v>
      </c>
      <c r="AB47" s="43">
        <f t="shared" si="61"/>
        <v>3.0373614087394019E-2</v>
      </c>
      <c r="AC47" s="43">
        <f t="shared" si="61"/>
        <v>2.7918129656589876E-2</v>
      </c>
      <c r="AD47" s="43">
        <f t="shared" si="61"/>
        <v>3.793103448275862E-2</v>
      </c>
      <c r="AE47" s="43">
        <f t="shared" si="68"/>
        <v>3.5247554327533417E-2</v>
      </c>
      <c r="AF47" s="43">
        <f t="shared" si="68"/>
        <v>3.797916814284702E-2</v>
      </c>
      <c r="AG47" s="43">
        <f t="shared" si="68"/>
        <v>2.8942460454514058E-2</v>
      </c>
      <c r="AH47" s="43">
        <f t="shared" si="65"/>
        <v>3.1317295268565803E-2</v>
      </c>
      <c r="AI47" s="43">
        <f t="shared" si="65"/>
        <v>3.7826378040615935E-2</v>
      </c>
      <c r="AJ47" s="43">
        <f t="shared" si="65"/>
        <v>3.9969527679024883E-2</v>
      </c>
      <c r="AK47" s="43">
        <f t="shared" si="65"/>
        <v>3.7797776601376391E-2</v>
      </c>
      <c r="AL47" s="43">
        <f t="shared" si="69"/>
        <v>3.5521544562620515E-2</v>
      </c>
      <c r="AM47" s="2"/>
    </row>
    <row r="48" spans="1:39" ht="15" x14ac:dyDescent="0.2">
      <c r="A48" s="76" t="s">
        <v>183</v>
      </c>
      <c r="B48" s="72">
        <v>0</v>
      </c>
      <c r="C48" s="95">
        <v>0</v>
      </c>
      <c r="D48" s="95">
        <v>0</v>
      </c>
      <c r="E48" s="95">
        <v>0</v>
      </c>
      <c r="F48" s="95">
        <v>22576</v>
      </c>
      <c r="G48" s="95">
        <v>24771</v>
      </c>
      <c r="H48" s="95">
        <v>30829</v>
      </c>
      <c r="I48" s="95">
        <v>31400</v>
      </c>
      <c r="J48" s="95">
        <f>34100</f>
        <v>34100</v>
      </c>
      <c r="K48" s="95">
        <v>34900</v>
      </c>
      <c r="L48" s="95">
        <v>30300</v>
      </c>
      <c r="M48" s="95">
        <v>26200</v>
      </c>
      <c r="N48" s="95">
        <v>25000</v>
      </c>
      <c r="O48" s="95">
        <v>30200</v>
      </c>
      <c r="P48" s="95">
        <v>19800</v>
      </c>
      <c r="Q48" s="95">
        <v>29400</v>
      </c>
      <c r="R48" s="95">
        <v>9500</v>
      </c>
      <c r="S48" s="43">
        <f t="shared" si="66"/>
        <v>-6.0124600186273859E-3</v>
      </c>
      <c r="T48" s="72" t="str">
        <f t="shared" si="58"/>
        <v>Customer-Credit Balances</v>
      </c>
      <c r="U48" s="43">
        <f>B48/B$39</f>
        <v>0</v>
      </c>
      <c r="V48" s="43">
        <f t="shared" si="60"/>
        <v>0</v>
      </c>
      <c r="W48" s="43">
        <f t="shared" si="60"/>
        <v>0</v>
      </c>
      <c r="X48" s="43">
        <f t="shared" si="60"/>
        <v>0</v>
      </c>
      <c r="Y48" s="43">
        <f t="shared" si="60"/>
        <v>2.4813917600559236E-2</v>
      </c>
      <c r="Z48" s="43">
        <f t="shared" si="67"/>
        <v>2.4486273610457601E-2</v>
      </c>
      <c r="AA48" s="43">
        <f t="shared" si="67"/>
        <v>2.7858730059758599E-2</v>
      </c>
      <c r="AB48" s="43">
        <f t="shared" si="61"/>
        <v>2.9255566943072766E-2</v>
      </c>
      <c r="AC48" s="43">
        <f t="shared" si="61"/>
        <v>2.9202706174531131E-2</v>
      </c>
      <c r="AD48" s="43">
        <f t="shared" si="61"/>
        <v>2.6743295019157089E-2</v>
      </c>
      <c r="AE48" s="43">
        <f t="shared" si="68"/>
        <v>2.2627137629751326E-2</v>
      </c>
      <c r="AF48" s="43">
        <f t="shared" si="68"/>
        <v>1.8564444129525969E-2</v>
      </c>
      <c r="AG48" s="43">
        <f t="shared" si="68"/>
        <v>1.7268771154244664E-2</v>
      </c>
      <c r="AH48" s="43">
        <f t="shared" si="65"/>
        <v>1.8581185011997785E-2</v>
      </c>
      <c r="AI48" s="43">
        <f t="shared" si="65"/>
        <v>1.1046641374693149E-2</v>
      </c>
      <c r="AJ48" s="43">
        <f t="shared" si="65"/>
        <v>1.4931437277805992E-2</v>
      </c>
      <c r="AK48" s="43">
        <f t="shared" si="65"/>
        <v>5.0291159343568027E-3</v>
      </c>
      <c r="AL48" s="43">
        <f t="shared" si="69"/>
        <v>1.5838558278860496E-2</v>
      </c>
      <c r="AM48" s="2"/>
    </row>
    <row r="49" spans="1:39" ht="15" x14ac:dyDescent="0.2">
      <c r="A49" s="76" t="s">
        <v>217</v>
      </c>
      <c r="B49" s="72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>
        <v>9000</v>
      </c>
      <c r="R49" s="95"/>
      <c r="S49" s="43"/>
      <c r="T49" s="72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>
        <f t="shared" si="65"/>
        <v>4.5708481462671405E-3</v>
      </c>
      <c r="AK49" s="43"/>
      <c r="AL49" s="43"/>
      <c r="AM49" s="2"/>
    </row>
    <row r="50" spans="1:39" ht="15" x14ac:dyDescent="0.2">
      <c r="A50" s="76" t="s">
        <v>218</v>
      </c>
      <c r="B50" s="72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>
        <v>12500</v>
      </c>
      <c r="R50" s="95">
        <v>4300</v>
      </c>
      <c r="S50" s="43"/>
      <c r="T50" s="72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>
        <f t="shared" si="65"/>
        <v>6.3484002031488065E-3</v>
      </c>
      <c r="AK50" s="43"/>
      <c r="AL50" s="43"/>
      <c r="AM50" s="2"/>
    </row>
    <row r="51" spans="1:39" ht="15" x14ac:dyDescent="0.2">
      <c r="A51" s="72" t="s">
        <v>66</v>
      </c>
      <c r="B51" s="72">
        <f>2966+164+4915+4476</f>
        <v>12521</v>
      </c>
      <c r="C51" s="95">
        <f>13515+8502+4583</f>
        <v>26600</v>
      </c>
      <c r="D51" s="95">
        <f>3153+8539+5570</f>
        <v>17262</v>
      </c>
      <c r="E51" s="95">
        <f>1254+6830+5556+13282</f>
        <v>26922</v>
      </c>
      <c r="F51" s="95">
        <f>2371+4863+210+24939</f>
        <v>32383</v>
      </c>
      <c r="G51" s="95">
        <f>4226+13018+20633</f>
        <v>37877</v>
      </c>
      <c r="H51" s="99">
        <f>4308+14124</f>
        <v>18432</v>
      </c>
      <c r="I51" s="99">
        <f>4300+7600+34300</f>
        <v>46200</v>
      </c>
      <c r="J51" s="99">
        <f>4200+58100</f>
        <v>62300</v>
      </c>
      <c r="K51" s="99">
        <f>5800+45800</f>
        <v>51600</v>
      </c>
      <c r="L51" s="99">
        <f>800+5800+27200</f>
        <v>33800</v>
      </c>
      <c r="M51" s="99">
        <f>5800+2800</f>
        <v>8600</v>
      </c>
      <c r="N51" s="99">
        <f>5800+14200</f>
        <v>20000</v>
      </c>
      <c r="O51" s="99">
        <f>4500+4300</f>
        <v>8800</v>
      </c>
      <c r="P51" s="99">
        <f>11100+5200</f>
        <v>16300</v>
      </c>
      <c r="Q51" s="99">
        <f>6400+6800+6300</f>
        <v>19500</v>
      </c>
      <c r="R51" s="99">
        <v>3900</v>
      </c>
      <c r="S51" s="51">
        <f t="shared" ref="S51:S52" si="70">RATE(5,,-L51,Q51)</f>
        <v>-0.10417416670380399</v>
      </c>
      <c r="T51" s="72" t="str">
        <f t="shared" si="58"/>
        <v xml:space="preserve">Other </v>
      </c>
      <c r="U51" s="77">
        <f>B51/B$39</f>
        <v>1.7304906903719428E-2</v>
      </c>
      <c r="V51" s="77">
        <f t="shared" si="60"/>
        <v>3.2035610109764114E-2</v>
      </c>
      <c r="W51" s="77">
        <f t="shared" si="60"/>
        <v>2.0701713989667133E-2</v>
      </c>
      <c r="X51" s="77">
        <f t="shared" si="60"/>
        <v>3.2366303554618892E-2</v>
      </c>
      <c r="Y51" s="77">
        <f t="shared" si="60"/>
        <v>3.5593067578796496E-2</v>
      </c>
      <c r="Z51" s="77">
        <f t="shared" si="67"/>
        <v>3.7441628740999655E-2</v>
      </c>
      <c r="AA51" s="77">
        <f t="shared" si="67"/>
        <v>1.6656139104786742E-2</v>
      </c>
      <c r="AB51" s="77">
        <f t="shared" si="61"/>
        <v>4.3044815056368209E-2</v>
      </c>
      <c r="AC51" s="77">
        <f t="shared" si="61"/>
        <v>5.3352744711826668E-2</v>
      </c>
      <c r="AD51" s="77">
        <f t="shared" si="61"/>
        <v>3.9540229885057468E-2</v>
      </c>
      <c r="AE51" s="77">
        <f t="shared" si="68"/>
        <v>2.5240833395564186E-2</v>
      </c>
      <c r="AF51" s="77">
        <f t="shared" si="68"/>
        <v>6.093672500531425E-3</v>
      </c>
      <c r="AG51" s="77">
        <f t="shared" si="68"/>
        <v>1.3815016923395731E-2</v>
      </c>
      <c r="AH51" s="77">
        <f t="shared" si="65"/>
        <v>5.4143850366086257E-3</v>
      </c>
      <c r="AI51" s="77">
        <f t="shared" si="65"/>
        <v>9.093952242802945E-3</v>
      </c>
      <c r="AJ51" s="77">
        <f t="shared" si="65"/>
        <v>9.9035043169121376E-3</v>
      </c>
      <c r="AK51" s="77">
        <f t="shared" si="65"/>
        <v>2.0645844362096348E-3</v>
      </c>
      <c r="AL51" s="51">
        <f t="shared" ref="AL51:AL52" si="71">SUM(M51:Q51)/SUM(M$39:Q$39)</f>
        <v>8.8773542573705091E-3</v>
      </c>
      <c r="AM51" s="2"/>
    </row>
    <row r="52" spans="1:39" ht="15" x14ac:dyDescent="0.2">
      <c r="A52" s="72" t="s">
        <v>39</v>
      </c>
      <c r="B52" s="78">
        <f t="shared" ref="B52:M52" si="72">SUM(B41:B51)</f>
        <v>148586</v>
      </c>
      <c r="C52" s="96">
        <f t="shared" si="72"/>
        <v>255298</v>
      </c>
      <c r="D52" s="96">
        <f t="shared" si="72"/>
        <v>152714</v>
      </c>
      <c r="E52" s="96">
        <f t="shared" si="72"/>
        <v>135070</v>
      </c>
      <c r="F52" s="96">
        <f t="shared" si="72"/>
        <v>194659</v>
      </c>
      <c r="G52" s="96">
        <f t="shared" si="72"/>
        <v>284439</v>
      </c>
      <c r="H52" s="96">
        <f t="shared" si="72"/>
        <v>302666</v>
      </c>
      <c r="I52" s="96">
        <f t="shared" si="72"/>
        <v>260200</v>
      </c>
      <c r="J52" s="96">
        <f t="shared" si="72"/>
        <v>375300</v>
      </c>
      <c r="K52" s="96">
        <f t="shared" si="72"/>
        <v>336000</v>
      </c>
      <c r="L52" s="96">
        <f t="shared" si="72"/>
        <v>322400</v>
      </c>
      <c r="M52" s="96">
        <f t="shared" si="72"/>
        <v>346500</v>
      </c>
      <c r="N52" s="96">
        <f t="shared" ref="N52" si="73">SUM(N41:N51)</f>
        <v>427600</v>
      </c>
      <c r="O52" s="96">
        <f t="shared" ref="O52:P52" si="74">SUM(O41:O51)</f>
        <v>398500</v>
      </c>
      <c r="P52" s="96">
        <f t="shared" si="74"/>
        <v>255600</v>
      </c>
      <c r="Q52" s="96">
        <f t="shared" ref="Q52:R52" si="75">SUM(Q41:Q51)</f>
        <v>367100</v>
      </c>
      <c r="R52" s="96">
        <f t="shared" si="75"/>
        <v>251300</v>
      </c>
      <c r="S52" s="43">
        <f t="shared" si="70"/>
        <v>2.6308368796861579E-2</v>
      </c>
      <c r="T52" s="72" t="s">
        <v>39</v>
      </c>
      <c r="U52" s="43">
        <f>B52/B$39</f>
        <v>0.20535635310247224</v>
      </c>
      <c r="V52" s="43">
        <f t="shared" si="60"/>
        <v>0.30746718758656238</v>
      </c>
      <c r="W52" s="43">
        <f t="shared" si="60"/>
        <v>0.18314456900811182</v>
      </c>
      <c r="X52" s="43">
        <f t="shared" si="60"/>
        <v>0.1623845413090548</v>
      </c>
      <c r="Y52" s="43">
        <f t="shared" si="60"/>
        <v>0.21395519074270289</v>
      </c>
      <c r="Z52" s="43">
        <f t="shared" si="67"/>
        <v>0.28116956035222435</v>
      </c>
      <c r="AA52" s="43">
        <f t="shared" si="67"/>
        <v>0.27350515398705427</v>
      </c>
      <c r="AB52" s="43">
        <f t="shared" si="61"/>
        <v>0.24242988912699151</v>
      </c>
      <c r="AC52" s="43">
        <f t="shared" si="61"/>
        <v>0.32140104478890125</v>
      </c>
      <c r="AD52" s="43">
        <f t="shared" si="61"/>
        <v>0.25747126436781609</v>
      </c>
      <c r="AE52" s="43">
        <f t="shared" si="68"/>
        <v>0.24075871854230455</v>
      </c>
      <c r="AF52" s="43">
        <f t="shared" si="68"/>
        <v>0.24551831644583008</v>
      </c>
      <c r="AG52" s="43">
        <f t="shared" si="68"/>
        <v>0.29536506182220074</v>
      </c>
      <c r="AH52" s="43">
        <f t="shared" si="65"/>
        <v>0.24518550421460653</v>
      </c>
      <c r="AI52" s="43">
        <f t="shared" si="65"/>
        <v>0.14260209774603883</v>
      </c>
      <c r="AJ52" s="43">
        <f t="shared" si="65"/>
        <v>0.18643981716607416</v>
      </c>
      <c r="AK52" s="43">
        <f t="shared" si="65"/>
        <v>0.13303335097935415</v>
      </c>
      <c r="AL52" s="43">
        <f t="shared" si="71"/>
        <v>0.21772560243520866</v>
      </c>
      <c r="AM52" s="2"/>
    </row>
    <row r="53" spans="1:39" ht="15" x14ac:dyDescent="0.2">
      <c r="A53" s="72"/>
      <c r="B53" s="72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43"/>
      <c r="T53" s="72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2"/>
    </row>
    <row r="54" spans="1:39" ht="15" x14ac:dyDescent="0.2">
      <c r="A54" s="72" t="s">
        <v>61</v>
      </c>
      <c r="B54" s="72">
        <v>225000</v>
      </c>
      <c r="C54" s="95">
        <v>225000</v>
      </c>
      <c r="D54" s="95">
        <v>285000</v>
      </c>
      <c r="E54" s="95">
        <v>285000</v>
      </c>
      <c r="F54" s="95">
        <v>290000</v>
      </c>
      <c r="G54" s="95">
        <v>273000</v>
      </c>
      <c r="H54" s="95">
        <v>323000</v>
      </c>
      <c r="I54" s="95">
        <v>313000</v>
      </c>
      <c r="J54" s="95">
        <f>270000</f>
        <v>270000</v>
      </c>
      <c r="K54" s="95">
        <v>370000</v>
      </c>
      <c r="L54" s="95">
        <v>370000</v>
      </c>
      <c r="M54" s="95">
        <v>368000</v>
      </c>
      <c r="N54" s="95">
        <f>276500</f>
        <v>276500</v>
      </c>
      <c r="O54" s="95">
        <v>384500</v>
      </c>
      <c r="P54" s="95">
        <v>534500</v>
      </c>
      <c r="Q54" s="95">
        <v>534500</v>
      </c>
      <c r="R54" s="95">
        <v>534500</v>
      </c>
      <c r="S54" s="43">
        <f t="shared" ref="S54:S55" si="76">RATE(5,,-L54,Q54)</f>
        <v>7.6339298235642561E-2</v>
      </c>
      <c r="T54" s="72" t="str">
        <f>A54</f>
        <v>Long-Term Debt</v>
      </c>
      <c r="U54" s="43">
        <f t="shared" ref="U54:AD55" si="77">B54/B$39</f>
        <v>0.31096590155234177</v>
      </c>
      <c r="V54" s="43">
        <f t="shared" si="77"/>
        <v>0.27097790506379421</v>
      </c>
      <c r="W54" s="43">
        <f t="shared" si="77"/>
        <v>0.34179055075050008</v>
      </c>
      <c r="X54" s="43">
        <f t="shared" si="77"/>
        <v>0.34263414727978542</v>
      </c>
      <c r="Y54" s="43">
        <f t="shared" si="77"/>
        <v>0.31874716974495831</v>
      </c>
      <c r="Z54" s="43">
        <f t="shared" si="77"/>
        <v>0.26986204415061665</v>
      </c>
      <c r="AA54" s="43">
        <f t="shared" si="77"/>
        <v>0.29188004182107846</v>
      </c>
      <c r="AB54" s="43">
        <f t="shared" si="77"/>
        <v>0.2916239634771266</v>
      </c>
      <c r="AC54" s="43">
        <f t="shared" si="77"/>
        <v>0.23122377322942536</v>
      </c>
      <c r="AD54" s="43">
        <f t="shared" si="77"/>
        <v>0.28352490421455939</v>
      </c>
      <c r="AE54" s="43">
        <f t="shared" ref="AE54:AK55" si="78">L54/L$39</f>
        <v>0.27630498095735945</v>
      </c>
      <c r="AF54" s="43">
        <f t="shared" si="78"/>
        <v>0.26075249769715864</v>
      </c>
      <c r="AG54" s="43">
        <f t="shared" si="78"/>
        <v>0.19099260896594597</v>
      </c>
      <c r="AH54" s="43">
        <f t="shared" si="78"/>
        <v>0.23657170983818371</v>
      </c>
      <c r="AI54" s="43">
        <f t="shared" si="78"/>
        <v>0.29820352599866101</v>
      </c>
      <c r="AJ54" s="43">
        <f t="shared" si="78"/>
        <v>0.27145759268664299</v>
      </c>
      <c r="AK54" s="43">
        <f t="shared" si="78"/>
        <v>0.28295394388565376</v>
      </c>
      <c r="AL54" s="43">
        <f t="shared" ref="AL54:AL55" si="79">SUM(M54:Q54)/SUM(M$39:Q$39)</f>
        <v>0.25443564524540063</v>
      </c>
      <c r="AM54" s="2"/>
    </row>
    <row r="55" spans="1:39" ht="15" x14ac:dyDescent="0.2">
      <c r="A55" s="72" t="s">
        <v>10</v>
      </c>
      <c r="B55" s="72">
        <v>79549</v>
      </c>
      <c r="C55" s="95">
        <v>80215</v>
      </c>
      <c r="D55" s="95">
        <v>79317</v>
      </c>
      <c r="E55" s="95">
        <v>90155</v>
      </c>
      <c r="F55" s="95">
        <v>98894</v>
      </c>
      <c r="G55" s="95">
        <v>118367</v>
      </c>
      <c r="H55" s="95">
        <v>118024</v>
      </c>
      <c r="I55" s="95">
        <v>118700</v>
      </c>
      <c r="J55" s="95">
        <f>123000</f>
        <v>123000</v>
      </c>
      <c r="K55" s="95">
        <v>154000</v>
      </c>
      <c r="L55" s="95">
        <v>189000</v>
      </c>
      <c r="M55" s="95">
        <v>230300</v>
      </c>
      <c r="N55" s="95">
        <v>259800</v>
      </c>
      <c r="O55" s="95">
        <v>301600</v>
      </c>
      <c r="P55" s="95">
        <v>340700</v>
      </c>
      <c r="Q55" s="95">
        <v>377500</v>
      </c>
      <c r="R55" s="95">
        <v>377500</v>
      </c>
      <c r="S55" s="43">
        <f t="shared" si="76"/>
        <v>0.14839430562805039</v>
      </c>
      <c r="T55" s="72" t="str">
        <f>A55</f>
        <v>Deferred Income Taxes</v>
      </c>
      <c r="U55" s="43">
        <f t="shared" si="77"/>
        <v>0.10994234001149883</v>
      </c>
      <c r="V55" s="43">
        <f t="shared" si="77"/>
        <v>9.6606634020854454E-2</v>
      </c>
      <c r="W55" s="43">
        <f t="shared" si="77"/>
        <v>9.51221091714997E-2</v>
      </c>
      <c r="X55" s="43">
        <f t="shared" si="77"/>
        <v>0.10838660192283879</v>
      </c>
      <c r="Y55" s="43">
        <f t="shared" si="77"/>
        <v>0.10869718139571692</v>
      </c>
      <c r="Z55" s="43">
        <f t="shared" si="77"/>
        <v>0.11700644901090124</v>
      </c>
      <c r="AA55" s="43">
        <f t="shared" si="77"/>
        <v>0.10665278655074602</v>
      </c>
      <c r="AB55" s="43">
        <f t="shared" si="77"/>
        <v>0.11059349669244387</v>
      </c>
      <c r="AC55" s="43">
        <f t="shared" si="77"/>
        <v>0.10533527447118267</v>
      </c>
      <c r="AD55" s="43">
        <f t="shared" si="77"/>
        <v>0.11800766283524904</v>
      </c>
      <c r="AE55" s="43">
        <f t="shared" si="78"/>
        <v>0.14113957135389441</v>
      </c>
      <c r="AF55" s="43">
        <f t="shared" si="78"/>
        <v>0.16318288103167292</v>
      </c>
      <c r="AG55" s="43">
        <f t="shared" si="78"/>
        <v>0.17945706983491055</v>
      </c>
      <c r="AH55" s="43">
        <f t="shared" si="78"/>
        <v>0.18556574170922291</v>
      </c>
      <c r="AI55" s="43">
        <f t="shared" si="78"/>
        <v>0.19008033920999776</v>
      </c>
      <c r="AJ55" s="43">
        <f t="shared" si="78"/>
        <v>0.19172168613509397</v>
      </c>
      <c r="AK55" s="43">
        <f t="shared" si="78"/>
        <v>0.19984118581259927</v>
      </c>
      <c r="AL55" s="43">
        <f t="shared" si="79"/>
        <v>0.18311362285797447</v>
      </c>
      <c r="AM55" s="2"/>
    </row>
    <row r="56" spans="1:39" ht="15" x14ac:dyDescent="0.2">
      <c r="A56" s="72" t="s">
        <v>206</v>
      </c>
      <c r="B56" s="72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>
        <v>46700</v>
      </c>
      <c r="P56" s="95">
        <v>53000</v>
      </c>
      <c r="Q56" s="95">
        <v>60900</v>
      </c>
      <c r="R56" s="95">
        <v>63300</v>
      </c>
      <c r="S56" s="43"/>
      <c r="T56" s="72" t="str">
        <f>+A56</f>
        <v>Noncurrent Regulatory Liabilities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>
        <f t="shared" ref="AJ56:AK58" si="80">Q56/Q$39</f>
        <v>3.0929405789740985E-2</v>
      </c>
      <c r="AK56" s="43">
        <f t="shared" si="80"/>
        <v>3.3509793541556379E-2</v>
      </c>
      <c r="AL56" s="43"/>
      <c r="AM56" s="2"/>
    </row>
    <row r="57" spans="1:39" ht="15" x14ac:dyDescent="0.2">
      <c r="A57" s="72" t="s">
        <v>62</v>
      </c>
      <c r="B57" s="72">
        <f>5630+1394</f>
        <v>7024</v>
      </c>
      <c r="C57" s="95">
        <f>5250+507</f>
        <v>5757</v>
      </c>
      <c r="D57" s="95">
        <f>4960+5924</f>
        <v>10884</v>
      </c>
      <c r="E57" s="95">
        <f>4565+3173</f>
        <v>7738</v>
      </c>
      <c r="F57" s="95">
        <f>4652+8870+3727</f>
        <v>17249</v>
      </c>
      <c r="G57" s="95">
        <f>11634+5745+3472</f>
        <v>20851</v>
      </c>
      <c r="H57" s="99">
        <f>22249+5590+16764</f>
        <v>44603</v>
      </c>
      <c r="I57" s="99">
        <f>40000+5300+6500</f>
        <v>51800</v>
      </c>
      <c r="J57" s="99">
        <f>51200+7500</f>
        <v>58700</v>
      </c>
      <c r="K57" s="99">
        <f>53900+6500</f>
        <v>60400</v>
      </c>
      <c r="L57" s="99">
        <f>52200+6500</f>
        <v>58700</v>
      </c>
      <c r="M57" s="99">
        <f>45500+5500</f>
        <v>51000</v>
      </c>
      <c r="N57" s="99">
        <f>26600+4800</f>
        <v>31400</v>
      </c>
      <c r="O57" s="99">
        <f>22900+3500</f>
        <v>26400</v>
      </c>
      <c r="P57" s="99">
        <f>29100+3200</f>
        <v>32300</v>
      </c>
      <c r="Q57" s="99">
        <f>29200+2800</f>
        <v>32000</v>
      </c>
      <c r="R57" s="99">
        <f>28000+2800</f>
        <v>30800</v>
      </c>
      <c r="S57" s="51">
        <f t="shared" ref="S57:S58" si="81">RATE(5,,-L57,Q57)</f>
        <v>-0.11426791816066012</v>
      </c>
      <c r="T57" s="72" t="str">
        <f>A57</f>
        <v>Other Deferred Credits</v>
      </c>
      <c r="U57" s="77">
        <f t="shared" ref="U57:AI58" si="82">B57/B$39</f>
        <v>9.7076644111273279E-3</v>
      </c>
      <c r="V57" s="77">
        <f t="shared" si="82"/>
        <v>6.9334213308989484E-3</v>
      </c>
      <c r="W57" s="77">
        <f t="shared" si="82"/>
        <v>1.3052801243398046E-2</v>
      </c>
      <c r="X57" s="77">
        <f t="shared" si="82"/>
        <v>9.3028176549157186E-3</v>
      </c>
      <c r="Y57" s="77">
        <f t="shared" si="82"/>
        <v>1.8958861830795811E-2</v>
      </c>
      <c r="Z57" s="77">
        <f t="shared" si="82"/>
        <v>2.0611331438038488E-2</v>
      </c>
      <c r="AA57" s="77">
        <f t="shared" si="82"/>
        <v>4.0305651719336102E-2</v>
      </c>
      <c r="AB57" s="77">
        <f t="shared" si="82"/>
        <v>4.8262368396534056E-2</v>
      </c>
      <c r="AC57" s="77">
        <f t="shared" si="82"/>
        <v>5.0269761068767661E-2</v>
      </c>
      <c r="AD57" s="77">
        <f t="shared" si="82"/>
        <v>4.6283524904214557E-2</v>
      </c>
      <c r="AE57" s="77">
        <f t="shared" si="82"/>
        <v>4.3835411843775672E-2</v>
      </c>
      <c r="AF57" s="77">
        <f t="shared" si="82"/>
        <v>3.6136895061291009E-2</v>
      </c>
      <c r="AG57" s="77">
        <f t="shared" si="82"/>
        <v>2.1689576569731299E-2</v>
      </c>
      <c r="AH57" s="77">
        <f t="shared" si="82"/>
        <v>1.624315510982588E-2</v>
      </c>
      <c r="AI57" s="77">
        <f t="shared" si="82"/>
        <v>1.8020531131443873E-2</v>
      </c>
      <c r="AJ57" s="77">
        <f t="shared" si="80"/>
        <v>1.6251904520060943E-2</v>
      </c>
      <c r="AK57" s="77">
        <f t="shared" si="80"/>
        <v>1.6304923239809421E-2</v>
      </c>
      <c r="AL57" s="51">
        <f t="shared" ref="AL57:AL58" si="83">SUM(M57:Q57)/SUM(M$39:Q$39)</f>
        <v>2.0992759862716325E-2</v>
      </c>
      <c r="AM57" s="2"/>
    </row>
    <row r="58" spans="1:39" ht="15" x14ac:dyDescent="0.2">
      <c r="A58" s="73" t="s">
        <v>63</v>
      </c>
      <c r="B58" s="78">
        <f t="shared" ref="B58:L58" si="84">SUM(B54:B57)</f>
        <v>311573</v>
      </c>
      <c r="C58" s="96">
        <f t="shared" si="84"/>
        <v>310972</v>
      </c>
      <c r="D58" s="96">
        <f t="shared" si="84"/>
        <v>375201</v>
      </c>
      <c r="E58" s="96">
        <f t="shared" si="84"/>
        <v>382893</v>
      </c>
      <c r="F58" s="96">
        <f t="shared" si="84"/>
        <v>406143</v>
      </c>
      <c r="G58" s="96">
        <f t="shared" si="84"/>
        <v>412218</v>
      </c>
      <c r="H58" s="96">
        <f t="shared" si="84"/>
        <v>485627</v>
      </c>
      <c r="I58" s="96">
        <f t="shared" si="84"/>
        <v>483500</v>
      </c>
      <c r="J58" s="96">
        <f t="shared" si="84"/>
        <v>451700</v>
      </c>
      <c r="K58" s="96">
        <f t="shared" si="84"/>
        <v>584400</v>
      </c>
      <c r="L58" s="96">
        <f t="shared" si="84"/>
        <v>617700</v>
      </c>
      <c r="M58" s="96">
        <f t="shared" ref="M58:O58" si="85">SUM(M54:M57)</f>
        <v>649300</v>
      </c>
      <c r="N58" s="96">
        <f t="shared" ref="N58" si="86">SUM(N54:N57)</f>
        <v>567700</v>
      </c>
      <c r="O58" s="96">
        <f t="shared" si="85"/>
        <v>759200</v>
      </c>
      <c r="P58" s="96">
        <f t="shared" ref="P58:Q58" si="87">SUM(P54:P57)</f>
        <v>960500</v>
      </c>
      <c r="Q58" s="96">
        <f t="shared" si="87"/>
        <v>1004900</v>
      </c>
      <c r="R58" s="96">
        <f t="shared" ref="R58" si="88">SUM(R54:R57)</f>
        <v>1006100</v>
      </c>
      <c r="S58" s="43">
        <f t="shared" si="81"/>
        <v>0.10222193356133724</v>
      </c>
      <c r="T58" s="72" t="str">
        <f>A58</f>
        <v>Total LTD &amp; Deferrals</v>
      </c>
      <c r="U58" s="43">
        <f t="shared" si="82"/>
        <v>0.43061590597496796</v>
      </c>
      <c r="V58" s="43">
        <f t="shared" si="82"/>
        <v>0.37451796041554763</v>
      </c>
      <c r="W58" s="43">
        <f t="shared" si="82"/>
        <v>0.44996546116539782</v>
      </c>
      <c r="X58" s="43">
        <f t="shared" si="82"/>
        <v>0.46032356685753995</v>
      </c>
      <c r="Y58" s="43">
        <f t="shared" si="82"/>
        <v>0.44640321297147101</v>
      </c>
      <c r="Z58" s="43">
        <f t="shared" si="82"/>
        <v>0.40747982459955634</v>
      </c>
      <c r="AA58" s="43">
        <f t="shared" si="82"/>
        <v>0.43883848009116055</v>
      </c>
      <c r="AB58" s="43">
        <f t="shared" si="82"/>
        <v>0.45047982856610452</v>
      </c>
      <c r="AC58" s="43">
        <f t="shared" si="82"/>
        <v>0.3868288087693757</v>
      </c>
      <c r="AD58" s="43">
        <f t="shared" si="82"/>
        <v>0.447816091954023</v>
      </c>
      <c r="AE58" s="43">
        <f t="shared" si="82"/>
        <v>0.46127996415502948</v>
      </c>
      <c r="AF58" s="43">
        <f t="shared" si="82"/>
        <v>0.46007227379012255</v>
      </c>
      <c r="AG58" s="43">
        <f t="shared" si="82"/>
        <v>0.3921392553705878</v>
      </c>
      <c r="AH58" s="43">
        <f t="shared" si="82"/>
        <v>0.46711376361287149</v>
      </c>
      <c r="AI58" s="43">
        <f t="shared" si="82"/>
        <v>0.53587368890872578</v>
      </c>
      <c r="AJ58" s="43">
        <f t="shared" si="80"/>
        <v>0.51036058913153881</v>
      </c>
      <c r="AK58" s="43">
        <f t="shared" si="80"/>
        <v>0.53260984647961884</v>
      </c>
      <c r="AL58" s="43">
        <f t="shared" si="83"/>
        <v>0.4780188461864972</v>
      </c>
      <c r="AM58" s="2"/>
    </row>
    <row r="59" spans="1:39" ht="12" customHeight="1" x14ac:dyDescent="0.2">
      <c r="A59" s="73"/>
      <c r="B59" s="72"/>
      <c r="C59" s="95"/>
      <c r="D59" s="95"/>
      <c r="E59" s="95"/>
      <c r="F59" s="95"/>
      <c r="G59" s="95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43"/>
      <c r="T59" s="7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9" ht="15" x14ac:dyDescent="0.2">
      <c r="A60" s="72" t="s">
        <v>40</v>
      </c>
      <c r="B60" s="72">
        <f t="shared" ref="B60:H60" si="89">B58+B52</f>
        <v>460159</v>
      </c>
      <c r="C60" s="95">
        <f t="shared" si="89"/>
        <v>566270</v>
      </c>
      <c r="D60" s="95">
        <f t="shared" si="89"/>
        <v>527915</v>
      </c>
      <c r="E60" s="95">
        <f t="shared" si="89"/>
        <v>517963</v>
      </c>
      <c r="F60" s="95">
        <f t="shared" si="89"/>
        <v>600802</v>
      </c>
      <c r="G60" s="95">
        <f t="shared" si="89"/>
        <v>696657</v>
      </c>
      <c r="H60" s="95">
        <f t="shared" si="89"/>
        <v>788293</v>
      </c>
      <c r="I60" s="95">
        <f t="shared" ref="I60:O60" si="90">I58+I52</f>
        <v>743700</v>
      </c>
      <c r="J60" s="95">
        <f t="shared" si="90"/>
        <v>827000</v>
      </c>
      <c r="K60" s="95">
        <f t="shared" si="90"/>
        <v>920400</v>
      </c>
      <c r="L60" s="95">
        <f t="shared" si="90"/>
        <v>940100</v>
      </c>
      <c r="M60" s="95">
        <f t="shared" si="90"/>
        <v>995800</v>
      </c>
      <c r="N60" s="95">
        <f t="shared" ref="N60" si="91">N58+N52</f>
        <v>995300</v>
      </c>
      <c r="O60" s="95">
        <f t="shared" si="90"/>
        <v>1157700</v>
      </c>
      <c r="P60" s="95">
        <f t="shared" ref="P60:Q60" si="92">P58+P52</f>
        <v>1216100</v>
      </c>
      <c r="Q60" s="95">
        <f t="shared" si="92"/>
        <v>1372000</v>
      </c>
      <c r="R60" s="95">
        <f t="shared" ref="R60" si="93">R58+R52</f>
        <v>1257400</v>
      </c>
      <c r="S60" s="43">
        <f>RATE(5,,-L60,Q60)</f>
        <v>7.8539392169587829E-2</v>
      </c>
      <c r="T60" s="72" t="str">
        <f>A60</f>
        <v>Total Liabilities</v>
      </c>
      <c r="U60" s="43">
        <f t="shared" ref="U60:AK60" si="94">B60/B$39</f>
        <v>0.63597225907744015</v>
      </c>
      <c r="V60" s="43">
        <f t="shared" si="94"/>
        <v>0.68198514800210996</v>
      </c>
      <c r="W60" s="43">
        <f t="shared" si="94"/>
        <v>0.63311003017350964</v>
      </c>
      <c r="X60" s="43">
        <f t="shared" si="94"/>
        <v>0.62270810816659472</v>
      </c>
      <c r="Y60" s="43">
        <f t="shared" si="94"/>
        <v>0.66035840371417387</v>
      </c>
      <c r="Z60" s="43">
        <f t="shared" si="94"/>
        <v>0.68864938495178074</v>
      </c>
      <c r="AA60" s="43">
        <f t="shared" si="94"/>
        <v>0.71234363407821477</v>
      </c>
      <c r="AB60" s="43">
        <f t="shared" si="94"/>
        <v>0.69290971769309606</v>
      </c>
      <c r="AC60" s="43">
        <f t="shared" si="94"/>
        <v>0.70822985355827694</v>
      </c>
      <c r="AD60" s="43">
        <f t="shared" si="94"/>
        <v>0.70528735632183903</v>
      </c>
      <c r="AE60" s="43">
        <f t="shared" si="94"/>
        <v>0.70203868269733405</v>
      </c>
      <c r="AF60" s="43">
        <f t="shared" si="94"/>
        <v>0.70559059023595272</v>
      </c>
      <c r="AG60" s="43">
        <f t="shared" si="94"/>
        <v>0.68750431719278859</v>
      </c>
      <c r="AH60" s="43">
        <f t="shared" si="94"/>
        <v>0.71229926782747799</v>
      </c>
      <c r="AI60" s="43">
        <f t="shared" si="94"/>
        <v>0.6784757866547646</v>
      </c>
      <c r="AJ60" s="43">
        <f t="shared" si="94"/>
        <v>0.69680040629761297</v>
      </c>
      <c r="AK60" s="43">
        <f t="shared" si="94"/>
        <v>0.66564319745897305</v>
      </c>
      <c r="AL60" s="43">
        <f>SUM(M60:Q60)/SUM(M$39:Q$39)</f>
        <v>0.69574444862170581</v>
      </c>
      <c r="AM60" s="2"/>
    </row>
    <row r="61" spans="1:39" ht="12" customHeight="1" x14ac:dyDescent="0.2">
      <c r="A61" s="72"/>
      <c r="B61" s="72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43"/>
      <c r="T61" s="72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2"/>
    </row>
    <row r="62" spans="1:39" ht="15" hidden="1" x14ac:dyDescent="0.2">
      <c r="A62" s="72" t="s">
        <v>64</v>
      </c>
      <c r="B62" s="72">
        <v>0</v>
      </c>
      <c r="C62" s="95">
        <v>0</v>
      </c>
      <c r="D62" s="95">
        <v>0</v>
      </c>
      <c r="E62" s="95">
        <v>0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43"/>
      <c r="T62" s="72" t="str">
        <f>A62</f>
        <v>Preferred Stock</v>
      </c>
      <c r="U62" s="43">
        <f>B62/B$39</f>
        <v>0</v>
      </c>
      <c r="V62" s="43">
        <f>C62/C$39</f>
        <v>0</v>
      </c>
      <c r="W62" s="43">
        <f>D62/D$39</f>
        <v>0</v>
      </c>
      <c r="X62" s="43">
        <f>E62/E$39</f>
        <v>0</v>
      </c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2"/>
    </row>
    <row r="63" spans="1:39" ht="12" hidden="1" customHeight="1" x14ac:dyDescent="0.2">
      <c r="A63" s="72"/>
      <c r="B63" s="72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43"/>
      <c r="T63" s="72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2"/>
    </row>
    <row r="64" spans="1:39" ht="15.75" x14ac:dyDescent="0.25">
      <c r="A64" s="117" t="s">
        <v>67</v>
      </c>
      <c r="B64" s="72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43"/>
      <c r="T64" s="117" t="str">
        <f>A64</f>
        <v>Common Equity:</v>
      </c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43"/>
      <c r="AM64" s="2"/>
    </row>
    <row r="65" spans="1:39" ht="15" x14ac:dyDescent="0.2">
      <c r="A65" s="83" t="s">
        <v>5</v>
      </c>
      <c r="B65" s="72">
        <f>22974+81875</f>
        <v>104849</v>
      </c>
      <c r="C65" s="95">
        <f>22974+81875</f>
        <v>104849</v>
      </c>
      <c r="D65" s="95">
        <f>22974+121875</f>
        <v>144849</v>
      </c>
      <c r="E65" s="95">
        <f>22974+121875</f>
        <v>144849</v>
      </c>
      <c r="F65" s="95">
        <f>22974+121875</f>
        <v>144849</v>
      </c>
      <c r="G65" s="95">
        <f>22974+121875</f>
        <v>144849</v>
      </c>
      <c r="H65" s="95">
        <f>22974+115255</f>
        <v>138229</v>
      </c>
      <c r="I65" s="95">
        <f>23000+116000</f>
        <v>139000</v>
      </c>
      <c r="J65" s="95">
        <f>23000+116700</f>
        <v>139700</v>
      </c>
      <c r="K65" s="95">
        <f>23000+147900</f>
        <v>170900</v>
      </c>
      <c r="L65" s="95">
        <f>23000+148900</f>
        <v>171900</v>
      </c>
      <c r="M65" s="95">
        <f>23000+150300</f>
        <v>173300</v>
      </c>
      <c r="N65" s="95">
        <f>23000+171400</f>
        <v>194400</v>
      </c>
      <c r="O65" s="95">
        <f>23000+172500</f>
        <v>195500</v>
      </c>
      <c r="P65" s="95">
        <f>23000+263900</f>
        <v>286900</v>
      </c>
      <c r="Q65" s="95">
        <f>23000+265400</f>
        <v>288400</v>
      </c>
      <c r="R65" s="95">
        <f>23000+265700</f>
        <v>288700</v>
      </c>
      <c r="S65" s="43">
        <f t="shared" ref="S65:S68" si="95">RATE(5,,-L65,Q65)</f>
        <v>0.10903148521884963</v>
      </c>
      <c r="T65" s="72" t="str">
        <f>A65</f>
        <v>Common Stock</v>
      </c>
      <c r="U65" s="43">
        <f t="shared" ref="U65:AD68" si="96">B65/B$39</f>
        <v>0.14490872805271771</v>
      </c>
      <c r="V65" s="43">
        <f t="shared" si="96"/>
        <v>0.12627449941348337</v>
      </c>
      <c r="W65" s="43">
        <f t="shared" si="96"/>
        <v>0.17371234907248839</v>
      </c>
      <c r="X65" s="43">
        <f t="shared" si="96"/>
        <v>0.17414110034852506</v>
      </c>
      <c r="Y65" s="43">
        <f t="shared" si="96"/>
        <v>0.15920761651857746</v>
      </c>
      <c r="Z65" s="43">
        <f t="shared" si="96"/>
        <v>0.14318405579916729</v>
      </c>
      <c r="AA65" s="43">
        <f t="shared" si="96"/>
        <v>0.12491110309871781</v>
      </c>
      <c r="AB65" s="43">
        <f t="shared" si="96"/>
        <v>0.12950712755054505</v>
      </c>
      <c r="AC65" s="43">
        <f t="shared" si="96"/>
        <v>0.11963689303759527</v>
      </c>
      <c r="AD65" s="43">
        <f t="shared" si="96"/>
        <v>0.13095785440613028</v>
      </c>
      <c r="AE65" s="43">
        <f t="shared" ref="AE65:AK68" si="97">L65/L$39</f>
        <v>0.12836980061235159</v>
      </c>
      <c r="AF65" s="43">
        <f t="shared" si="97"/>
        <v>0.1227945865514065</v>
      </c>
      <c r="AG65" s="43">
        <f t="shared" si="97"/>
        <v>0.1342819644954065</v>
      </c>
      <c r="AH65" s="43">
        <f t="shared" si="97"/>
        <v>0.12028548575647573</v>
      </c>
      <c r="AI65" s="43">
        <f t="shared" si="97"/>
        <v>0.16006471769694264</v>
      </c>
      <c r="AJ65" s="43">
        <f t="shared" si="97"/>
        <v>0.14647028948704927</v>
      </c>
      <c r="AK65" s="43">
        <f t="shared" si="97"/>
        <v>0.15283218634197987</v>
      </c>
      <c r="AL65" s="43">
        <f t="shared" ref="AL65:AL68" si="98">SUM(M65:Q65)/SUM(M$39:Q$39)</f>
        <v>0.13807196478164377</v>
      </c>
      <c r="AM65" s="2"/>
    </row>
    <row r="66" spans="1:39" ht="15" x14ac:dyDescent="0.2">
      <c r="A66" s="83" t="s">
        <v>28</v>
      </c>
      <c r="B66" s="72">
        <v>158544</v>
      </c>
      <c r="C66" s="95">
        <v>159207</v>
      </c>
      <c r="D66" s="95">
        <v>161080</v>
      </c>
      <c r="E66" s="95">
        <v>168979</v>
      </c>
      <c r="F66" s="95">
        <v>164161</v>
      </c>
      <c r="G66" s="95">
        <v>170122</v>
      </c>
      <c r="H66" s="95">
        <v>180097</v>
      </c>
      <c r="I66" s="95">
        <v>190600</v>
      </c>
      <c r="J66" s="95">
        <f>201000</f>
        <v>201000</v>
      </c>
      <c r="K66" s="95">
        <v>213700</v>
      </c>
      <c r="L66" s="95">
        <v>227100</v>
      </c>
      <c r="M66" s="95">
        <v>242200</v>
      </c>
      <c r="N66" s="95">
        <v>258000</v>
      </c>
      <c r="O66" s="95">
        <v>272100</v>
      </c>
      <c r="P66" s="95">
        <v>289400</v>
      </c>
      <c r="Q66" s="95">
        <v>308600</v>
      </c>
      <c r="R66" s="95">
        <v>342900</v>
      </c>
      <c r="S66" s="51">
        <f t="shared" si="95"/>
        <v>6.3250896332784745E-2</v>
      </c>
      <c r="T66" s="72" t="str">
        <f>A66</f>
        <v>Retained Earnings</v>
      </c>
      <c r="U66" s="77">
        <f t="shared" si="96"/>
        <v>0.21911901286984212</v>
      </c>
      <c r="V66" s="77">
        <f t="shared" si="96"/>
        <v>0.19174035258440661</v>
      </c>
      <c r="W66" s="77">
        <f t="shared" si="96"/>
        <v>0.19317762075400194</v>
      </c>
      <c r="X66" s="77">
        <f t="shared" si="96"/>
        <v>0.20315079148488022</v>
      </c>
      <c r="Y66" s="77">
        <f t="shared" si="96"/>
        <v>0.18043397976724862</v>
      </c>
      <c r="Z66" s="77">
        <f t="shared" si="96"/>
        <v>0.16816655924905202</v>
      </c>
      <c r="AA66" s="77">
        <f t="shared" si="96"/>
        <v>0.16274526282306737</v>
      </c>
      <c r="AB66" s="77">
        <f t="shared" si="96"/>
        <v>0.17758315475635889</v>
      </c>
      <c r="AC66" s="77">
        <f t="shared" si="96"/>
        <v>0.17213325340412777</v>
      </c>
      <c r="AD66" s="77">
        <f t="shared" si="96"/>
        <v>0.16375478927203066</v>
      </c>
      <c r="AE66" s="77">
        <f t="shared" si="97"/>
        <v>0.16959151669031439</v>
      </c>
      <c r="AF66" s="77">
        <f t="shared" si="97"/>
        <v>0.17161482321264082</v>
      </c>
      <c r="AG66" s="77">
        <f t="shared" si="97"/>
        <v>0.17821371831180494</v>
      </c>
      <c r="AH66" s="77">
        <f t="shared" si="97"/>
        <v>0.16741524641604627</v>
      </c>
      <c r="AI66" s="77">
        <f t="shared" si="97"/>
        <v>0.16145949564829279</v>
      </c>
      <c r="AJ66" s="77">
        <f t="shared" si="97"/>
        <v>0.15672930421533773</v>
      </c>
      <c r="AK66" s="77">
        <f t="shared" si="97"/>
        <v>0.18152461619904711</v>
      </c>
      <c r="AL66" s="51">
        <f t="shared" si="98"/>
        <v>0.16618358659665036</v>
      </c>
      <c r="AM66" s="2"/>
    </row>
    <row r="67" spans="1:39" ht="15" x14ac:dyDescent="0.2">
      <c r="A67" s="72" t="s">
        <v>68</v>
      </c>
      <c r="B67" s="78">
        <f t="shared" ref="B67:K67" si="99">SUM(B64:B66)</f>
        <v>263393</v>
      </c>
      <c r="C67" s="96">
        <f t="shared" si="99"/>
        <v>264056</v>
      </c>
      <c r="D67" s="96">
        <f t="shared" si="99"/>
        <v>305929</v>
      </c>
      <c r="E67" s="96">
        <f t="shared" si="99"/>
        <v>313828</v>
      </c>
      <c r="F67" s="96">
        <f t="shared" si="99"/>
        <v>309010</v>
      </c>
      <c r="G67" s="96">
        <f t="shared" si="99"/>
        <v>314971</v>
      </c>
      <c r="H67" s="96">
        <f t="shared" si="99"/>
        <v>318326</v>
      </c>
      <c r="I67" s="96">
        <f t="shared" si="99"/>
        <v>329600</v>
      </c>
      <c r="J67" s="96">
        <f t="shared" si="99"/>
        <v>340700</v>
      </c>
      <c r="K67" s="96">
        <f t="shared" si="99"/>
        <v>384600</v>
      </c>
      <c r="L67" s="96">
        <f t="shared" ref="L67" si="100">SUM(L64:L66)</f>
        <v>399000</v>
      </c>
      <c r="M67" s="96">
        <f t="shared" ref="M67:O67" si="101">SUM(M64:M66)</f>
        <v>415500</v>
      </c>
      <c r="N67" s="96">
        <f t="shared" ref="N67" si="102">SUM(N64:N66)</f>
        <v>452400</v>
      </c>
      <c r="O67" s="96">
        <f t="shared" si="101"/>
        <v>467600</v>
      </c>
      <c r="P67" s="96">
        <f t="shared" ref="P67:Q67" si="103">SUM(P64:P66)</f>
        <v>576300</v>
      </c>
      <c r="Q67" s="96">
        <f t="shared" si="103"/>
        <v>597000</v>
      </c>
      <c r="R67" s="96">
        <f t="shared" ref="R67" si="104">SUM(R64:R66)</f>
        <v>631600</v>
      </c>
      <c r="S67" s="177">
        <f>RATE(5,,-L67,Q67)</f>
        <v>8.3927630546726903E-2</v>
      </c>
      <c r="T67" s="72" t="str">
        <f>A67</f>
        <v>Total Common Equity</v>
      </c>
      <c r="U67" s="77">
        <f t="shared" si="96"/>
        <v>0.36402774092255979</v>
      </c>
      <c r="V67" s="77">
        <f t="shared" si="96"/>
        <v>0.31801485199788998</v>
      </c>
      <c r="W67" s="77">
        <f t="shared" si="96"/>
        <v>0.3668899698264903</v>
      </c>
      <c r="X67" s="77">
        <f t="shared" si="96"/>
        <v>0.37729189183340528</v>
      </c>
      <c r="Y67" s="77">
        <f t="shared" si="96"/>
        <v>0.33964159628582608</v>
      </c>
      <c r="Z67" s="77">
        <f t="shared" si="96"/>
        <v>0.31135061504821931</v>
      </c>
      <c r="AA67" s="77">
        <f t="shared" si="96"/>
        <v>0.28765636592178517</v>
      </c>
      <c r="AB67" s="77">
        <f t="shared" si="96"/>
        <v>0.30709028230690394</v>
      </c>
      <c r="AC67" s="77">
        <f t="shared" si="96"/>
        <v>0.29177014644172306</v>
      </c>
      <c r="AD67" s="77">
        <f t="shared" si="96"/>
        <v>0.29471264367816091</v>
      </c>
      <c r="AE67" s="77">
        <f t="shared" si="97"/>
        <v>0.29796131730266595</v>
      </c>
      <c r="AF67" s="77">
        <f t="shared" si="97"/>
        <v>0.29440940976404734</v>
      </c>
      <c r="AG67" s="77">
        <f t="shared" si="97"/>
        <v>0.31249568280721146</v>
      </c>
      <c r="AH67" s="77">
        <f t="shared" si="97"/>
        <v>0.28770073217252201</v>
      </c>
      <c r="AI67" s="77">
        <f t="shared" si="97"/>
        <v>0.32152421334523545</v>
      </c>
      <c r="AJ67" s="77">
        <f t="shared" si="97"/>
        <v>0.30319959370238697</v>
      </c>
      <c r="AK67" s="77">
        <f t="shared" si="97"/>
        <v>0.33435680254102701</v>
      </c>
      <c r="AL67" s="177">
        <f t="shared" si="98"/>
        <v>0.30425555137829413</v>
      </c>
      <c r="AM67" s="2"/>
    </row>
    <row r="68" spans="1:39" ht="15.75" thickBot="1" x14ac:dyDescent="0.25">
      <c r="A68" s="72" t="s">
        <v>41</v>
      </c>
      <c r="B68" s="84">
        <f t="shared" ref="B68:K68" si="105">B67+B60+B62</f>
        <v>723552</v>
      </c>
      <c r="C68" s="100">
        <f t="shared" si="105"/>
        <v>830326</v>
      </c>
      <c r="D68" s="100">
        <f t="shared" si="105"/>
        <v>833844</v>
      </c>
      <c r="E68" s="100">
        <f t="shared" si="105"/>
        <v>831791</v>
      </c>
      <c r="F68" s="100">
        <f t="shared" si="105"/>
        <v>909812</v>
      </c>
      <c r="G68" s="100">
        <f t="shared" si="105"/>
        <v>1011628</v>
      </c>
      <c r="H68" s="100">
        <f t="shared" si="105"/>
        <v>1106619</v>
      </c>
      <c r="I68" s="100">
        <f t="shared" si="105"/>
        <v>1073300</v>
      </c>
      <c r="J68" s="100">
        <f t="shared" si="105"/>
        <v>1167700</v>
      </c>
      <c r="K68" s="100">
        <f t="shared" si="105"/>
        <v>1305000</v>
      </c>
      <c r="L68" s="100">
        <f t="shared" ref="L68" si="106">L67+L60+L62</f>
        <v>1339100</v>
      </c>
      <c r="M68" s="100">
        <f t="shared" ref="M68:O68" si="107">M67+M60+M62</f>
        <v>1411300</v>
      </c>
      <c r="N68" s="100">
        <f t="shared" ref="N68" si="108">N67+N60+N62</f>
        <v>1447700</v>
      </c>
      <c r="O68" s="100">
        <f t="shared" si="107"/>
        <v>1625300</v>
      </c>
      <c r="P68" s="100">
        <f t="shared" ref="P68:Q68" si="109">P67+P60+P62</f>
        <v>1792400</v>
      </c>
      <c r="Q68" s="100">
        <f t="shared" si="109"/>
        <v>1969000</v>
      </c>
      <c r="R68" s="100">
        <f t="shared" ref="R68" si="110">R67+R60+R62</f>
        <v>1889000</v>
      </c>
      <c r="S68" s="81">
        <f t="shared" si="95"/>
        <v>8.0156146337430526E-2</v>
      </c>
      <c r="T68" s="72" t="str">
        <f>A68</f>
        <v>Total Liabilities &amp; Equity</v>
      </c>
      <c r="U68" s="85">
        <f t="shared" si="96"/>
        <v>1</v>
      </c>
      <c r="V68" s="85">
        <f t="shared" si="96"/>
        <v>1</v>
      </c>
      <c r="W68" s="85">
        <f t="shared" si="96"/>
        <v>1</v>
      </c>
      <c r="X68" s="85">
        <f t="shared" si="96"/>
        <v>1</v>
      </c>
      <c r="Y68" s="85">
        <f t="shared" si="96"/>
        <v>1</v>
      </c>
      <c r="Z68" s="85">
        <f t="shared" si="96"/>
        <v>1</v>
      </c>
      <c r="AA68" s="85">
        <f t="shared" si="96"/>
        <v>1</v>
      </c>
      <c r="AB68" s="85">
        <f t="shared" si="96"/>
        <v>1</v>
      </c>
      <c r="AC68" s="85">
        <f t="shared" si="96"/>
        <v>1</v>
      </c>
      <c r="AD68" s="85">
        <f t="shared" si="96"/>
        <v>1</v>
      </c>
      <c r="AE68" s="85">
        <f t="shared" si="97"/>
        <v>1</v>
      </c>
      <c r="AF68" s="85">
        <f t="shared" si="97"/>
        <v>1</v>
      </c>
      <c r="AG68" s="85">
        <f t="shared" si="97"/>
        <v>1</v>
      </c>
      <c r="AH68" s="85">
        <f t="shared" si="97"/>
        <v>1</v>
      </c>
      <c r="AI68" s="85">
        <f t="shared" si="97"/>
        <v>1</v>
      </c>
      <c r="AJ68" s="85">
        <f t="shared" si="97"/>
        <v>1</v>
      </c>
      <c r="AK68" s="85">
        <f t="shared" si="97"/>
        <v>1</v>
      </c>
      <c r="AL68" s="81">
        <f t="shared" si="98"/>
        <v>1</v>
      </c>
      <c r="AM68" s="2"/>
    </row>
    <row r="69" spans="1:39" ht="15.75" thickTop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139">
        <f>+O68-O39</f>
        <v>0</v>
      </c>
      <c r="P69" s="139">
        <f>+P68-P39</f>
        <v>0</v>
      </c>
      <c r="Q69" s="139">
        <f>+Q68-Q39</f>
        <v>0</v>
      </c>
      <c r="R69" s="139">
        <f>+R68-R39</f>
        <v>0</v>
      </c>
      <c r="S69" s="43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43"/>
      <c r="AM69" s="2"/>
    </row>
    <row r="70" spans="1:3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AM70" s="2"/>
    </row>
    <row r="71" spans="1:39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91" t="s">
        <v>114</v>
      </c>
      <c r="T71" s="2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91" t="s">
        <v>114</v>
      </c>
      <c r="AM71" s="2"/>
    </row>
    <row r="72" spans="1:39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93"/>
      <c r="P72" s="193"/>
      <c r="Q72" s="193"/>
      <c r="R72" s="193"/>
      <c r="S72" s="152" t="s">
        <v>235</v>
      </c>
      <c r="T72" s="2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152" t="s">
        <v>231</v>
      </c>
      <c r="AM72" s="2"/>
    </row>
    <row r="73" spans="1:39" ht="20.25" x14ac:dyDescent="0.3">
      <c r="A73" s="64" t="str">
        <f>A3</f>
        <v>Questar Gas Company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64" t="str">
        <f>A3</f>
        <v>Questar Gas Company</v>
      </c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7"/>
      <c r="AM73" s="2"/>
    </row>
    <row r="74" spans="1:39" ht="15.75" x14ac:dyDescent="0.25">
      <c r="A74" s="65" t="s">
        <v>13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86"/>
      <c r="T74" s="65" t="s">
        <v>45</v>
      </c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7"/>
      <c r="AM74" s="2"/>
    </row>
    <row r="75" spans="1:39" ht="15.75" x14ac:dyDescent="0.25">
      <c r="A75" s="68" t="str">
        <f>A5</f>
        <v>Years Ended December 31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86"/>
      <c r="T75" s="65" t="s">
        <v>13</v>
      </c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7"/>
      <c r="AM75" s="2"/>
    </row>
    <row r="76" spans="1:39" ht="15.75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86"/>
      <c r="T76" s="65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7"/>
      <c r="AM76" s="2"/>
    </row>
    <row r="77" spans="1:39" ht="15.75" x14ac:dyDescent="0.25">
      <c r="A77" s="128" t="s">
        <v>130</v>
      </c>
      <c r="B77" s="87"/>
      <c r="C77" s="87"/>
      <c r="D77" s="87"/>
      <c r="E77" s="87"/>
      <c r="F77" s="87"/>
      <c r="G77" s="87"/>
      <c r="H77" s="87"/>
      <c r="I77" s="89"/>
      <c r="J77" s="106"/>
      <c r="K77" s="121"/>
      <c r="L77" s="121"/>
      <c r="M77" s="121"/>
      <c r="N77" s="121"/>
      <c r="O77" s="187"/>
      <c r="P77" s="187"/>
      <c r="Q77" s="252"/>
      <c r="R77" s="187"/>
      <c r="S77" s="119" t="str">
        <f>S7</f>
        <v xml:space="preserve">5 Year Avg </v>
      </c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8"/>
      <c r="AM77" s="2"/>
    </row>
    <row r="78" spans="1:39" ht="15" customHeight="1" x14ac:dyDescent="0.25">
      <c r="A78" s="87"/>
      <c r="B78" s="87"/>
      <c r="C78" s="87"/>
      <c r="D78" s="87"/>
      <c r="E78" s="87"/>
      <c r="F78" s="87"/>
      <c r="G78" s="87"/>
      <c r="H78" s="89"/>
      <c r="I78" s="89"/>
      <c r="J78" s="89"/>
      <c r="K78" s="90"/>
      <c r="L78" s="90"/>
      <c r="M78" s="90"/>
      <c r="N78" s="90"/>
      <c r="O78" s="185"/>
      <c r="P78" s="208"/>
      <c r="Q78" s="208"/>
      <c r="R78" s="208" t="str">
        <f>+R8</f>
        <v>1st Qrtr</v>
      </c>
      <c r="S78" s="242" t="str">
        <f>+S8</f>
        <v>Annual</v>
      </c>
      <c r="T78" s="87"/>
      <c r="U78" s="87"/>
      <c r="V78" s="87"/>
      <c r="W78" s="87"/>
      <c r="X78" s="87"/>
      <c r="Y78" s="87"/>
      <c r="Z78" s="87"/>
      <c r="AA78" s="89"/>
      <c r="AB78" s="89"/>
      <c r="AC78" s="89"/>
      <c r="AD78" s="90"/>
      <c r="AE78" s="90"/>
      <c r="AF78" s="90"/>
      <c r="AG78" s="90"/>
      <c r="AH78" s="90"/>
      <c r="AI78" s="90"/>
      <c r="AJ78" s="90"/>
      <c r="AK78" s="90" t="str">
        <f>+R78</f>
        <v>1st Qrtr</v>
      </c>
      <c r="AL78" s="119" t="str">
        <f>+AL8</f>
        <v>2010 to 2014</v>
      </c>
      <c r="AM78" s="2"/>
    </row>
    <row r="79" spans="1:39" ht="15.75" x14ac:dyDescent="0.25">
      <c r="A79" s="94" t="s">
        <v>0</v>
      </c>
      <c r="B79" s="93">
        <f>B9</f>
        <v>1999</v>
      </c>
      <c r="C79" s="93">
        <f t="shared" ref="C79:J79" si="111">B79+1</f>
        <v>2000</v>
      </c>
      <c r="D79" s="93">
        <f t="shared" si="111"/>
        <v>2001</v>
      </c>
      <c r="E79" s="93">
        <f t="shared" si="111"/>
        <v>2002</v>
      </c>
      <c r="F79" s="93">
        <f t="shared" si="111"/>
        <v>2003</v>
      </c>
      <c r="G79" s="93">
        <f t="shared" si="111"/>
        <v>2004</v>
      </c>
      <c r="H79" s="93">
        <f t="shared" si="111"/>
        <v>2005</v>
      </c>
      <c r="I79" s="93">
        <f t="shared" si="111"/>
        <v>2006</v>
      </c>
      <c r="J79" s="93">
        <f t="shared" si="111"/>
        <v>2007</v>
      </c>
      <c r="K79" s="93">
        <f>J79+1</f>
        <v>2008</v>
      </c>
      <c r="L79" s="93">
        <f t="shared" ref="L79:R79" si="112">+L9</f>
        <v>2009</v>
      </c>
      <c r="M79" s="93">
        <f t="shared" si="112"/>
        <v>2010</v>
      </c>
      <c r="N79" s="93">
        <f t="shared" si="112"/>
        <v>2011</v>
      </c>
      <c r="O79" s="186">
        <f t="shared" si="112"/>
        <v>2012</v>
      </c>
      <c r="P79" s="186">
        <f t="shared" si="112"/>
        <v>2013</v>
      </c>
      <c r="Q79" s="186">
        <f t="shared" si="112"/>
        <v>2014</v>
      </c>
      <c r="R79" s="186">
        <f t="shared" si="112"/>
        <v>2015</v>
      </c>
      <c r="S79" s="120" t="s">
        <v>24</v>
      </c>
      <c r="T79" s="94" t="s">
        <v>0</v>
      </c>
      <c r="U79" s="93">
        <f t="shared" ref="U79:AD79" si="113">B79</f>
        <v>1999</v>
      </c>
      <c r="V79" s="93">
        <f t="shared" si="113"/>
        <v>2000</v>
      </c>
      <c r="W79" s="93">
        <f t="shared" si="113"/>
        <v>2001</v>
      </c>
      <c r="X79" s="93">
        <f t="shared" si="113"/>
        <v>2002</v>
      </c>
      <c r="Y79" s="93">
        <f t="shared" si="113"/>
        <v>2003</v>
      </c>
      <c r="Z79" s="93">
        <f t="shared" si="113"/>
        <v>2004</v>
      </c>
      <c r="AA79" s="93">
        <f t="shared" si="113"/>
        <v>2005</v>
      </c>
      <c r="AB79" s="93">
        <f t="shared" si="113"/>
        <v>2006</v>
      </c>
      <c r="AC79" s="93">
        <f t="shared" si="113"/>
        <v>2007</v>
      </c>
      <c r="AD79" s="93">
        <f t="shared" si="113"/>
        <v>2008</v>
      </c>
      <c r="AE79" s="93">
        <f>+L79</f>
        <v>2009</v>
      </c>
      <c r="AF79" s="93">
        <f t="shared" ref="AF79:AK79" si="114">+AF9</f>
        <v>2010</v>
      </c>
      <c r="AG79" s="93">
        <f t="shared" si="114"/>
        <v>2011</v>
      </c>
      <c r="AH79" s="93">
        <f t="shared" si="114"/>
        <v>2012</v>
      </c>
      <c r="AI79" s="93">
        <f t="shared" si="114"/>
        <v>2013</v>
      </c>
      <c r="AJ79" s="93">
        <f t="shared" si="114"/>
        <v>2014</v>
      </c>
      <c r="AK79" s="93">
        <f t="shared" si="114"/>
        <v>2015</v>
      </c>
      <c r="AL79" s="120" t="s">
        <v>2</v>
      </c>
      <c r="AM79" s="2"/>
    </row>
    <row r="80" spans="1:39" ht="15" customHeight="1" x14ac:dyDescent="0.2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5"/>
      <c r="T80" s="73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5"/>
      <c r="AM80" s="2"/>
    </row>
    <row r="81" spans="1:46" ht="15.75" x14ac:dyDescent="0.25">
      <c r="A81" s="117" t="s">
        <v>22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43"/>
      <c r="T81" s="117" t="s">
        <v>21</v>
      </c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7"/>
    </row>
    <row r="82" spans="1:46" ht="15" x14ac:dyDescent="0.2">
      <c r="A82" s="72" t="s">
        <v>125</v>
      </c>
      <c r="B82" s="101">
        <f>449937-B83</f>
        <v>192672</v>
      </c>
      <c r="C82" s="107">
        <f>536762-C83</f>
        <v>202569</v>
      </c>
      <c r="D82" s="107">
        <f>704113-D83</f>
        <v>205568</v>
      </c>
      <c r="E82" s="107">
        <f>595511-E83</f>
        <v>225217</v>
      </c>
      <c r="F82" s="95">
        <v>226472</v>
      </c>
      <c r="G82" s="95">
        <v>228065</v>
      </c>
      <c r="H82" s="95">
        <v>242374</v>
      </c>
      <c r="I82" s="108">
        <v>242800</v>
      </c>
      <c r="J82" s="109">
        <v>245300</v>
      </c>
      <c r="K82" s="109">
        <v>263400</v>
      </c>
      <c r="L82" s="109">
        <f>919900-626600</f>
        <v>293300</v>
      </c>
      <c r="M82" s="109">
        <v>310700</v>
      </c>
      <c r="N82" s="109">
        <f>968800-645700</f>
        <v>323100</v>
      </c>
      <c r="O82" s="109">
        <f>862200-533300</f>
        <v>328900</v>
      </c>
      <c r="P82" s="109">
        <f>985800-650600</f>
        <v>335200</v>
      </c>
      <c r="Q82" s="109">
        <f>960900-604800</f>
        <v>356100</v>
      </c>
      <c r="R82" s="109">
        <f>374800-233600</f>
        <v>141200</v>
      </c>
      <c r="S82" s="43">
        <f t="shared" ref="S82:S84" si="115">RATE(5,,-L82,Q82)</f>
        <v>3.9565796760894223E-2</v>
      </c>
      <c r="T82" s="72" t="str">
        <f>A82</f>
        <v>Revenues</v>
      </c>
      <c r="U82" s="43">
        <f t="shared" ref="U82:AD84" si="116">B82/B$84</f>
        <v>0.42821995079311104</v>
      </c>
      <c r="V82" s="43">
        <f t="shared" si="116"/>
        <v>0.37739072438063798</v>
      </c>
      <c r="W82" s="43">
        <f t="shared" si="116"/>
        <v>0.29195313820366903</v>
      </c>
      <c r="X82" s="43">
        <f t="shared" si="116"/>
        <v>0.37819116691379334</v>
      </c>
      <c r="Y82" s="43">
        <f t="shared" si="116"/>
        <v>0.36469214727976879</v>
      </c>
      <c r="Z82" s="43">
        <f t="shared" si="116"/>
        <v>0.2984390069000894</v>
      </c>
      <c r="AA82" s="43">
        <f t="shared" si="116"/>
        <v>0.25180484693214983</v>
      </c>
      <c r="AB82" s="43">
        <f t="shared" si="116"/>
        <v>0.22806687957918467</v>
      </c>
      <c r="AC82" s="43">
        <f t="shared" si="116"/>
        <v>0.26305630026809651</v>
      </c>
      <c r="AD82" s="43">
        <f t="shared" si="116"/>
        <v>0.26332100369889033</v>
      </c>
      <c r="AE82" s="43">
        <f t="shared" ref="AE82:AK84" si="117">L82/L$84</f>
        <v>0.31883900423959127</v>
      </c>
      <c r="AF82" s="43">
        <f t="shared" si="117"/>
        <v>0.34411341233802195</v>
      </c>
      <c r="AG82" s="43">
        <f t="shared" si="117"/>
        <v>0.33350536746490506</v>
      </c>
      <c r="AH82" s="43">
        <f t="shared" si="117"/>
        <v>0.38146601716539086</v>
      </c>
      <c r="AI82" s="43">
        <f t="shared" si="117"/>
        <v>0.34002840332724693</v>
      </c>
      <c r="AJ82" s="43">
        <f t="shared" si="117"/>
        <v>0.37059007180768028</v>
      </c>
      <c r="AK82" s="43">
        <f t="shared" si="117"/>
        <v>0.37673425827107793</v>
      </c>
      <c r="AL82" s="43">
        <f>SUM(M82:Q82)/SUM(M$84:Q$84)</f>
        <v>0.35337349912404392</v>
      </c>
      <c r="AM82" s="2"/>
    </row>
    <row r="83" spans="1:46" ht="15" x14ac:dyDescent="0.2">
      <c r="A83" s="72" t="s">
        <v>126</v>
      </c>
      <c r="B83" s="101">
        <f>B87+B88</f>
        <v>257265</v>
      </c>
      <c r="C83" s="107">
        <f>C87+C88</f>
        <v>334193</v>
      </c>
      <c r="D83" s="107">
        <f>D87+D88</f>
        <v>498545</v>
      </c>
      <c r="E83" s="107">
        <f>E87+E88</f>
        <v>370294</v>
      </c>
      <c r="F83" s="107">
        <v>394523</v>
      </c>
      <c r="G83" s="107">
        <v>536128</v>
      </c>
      <c r="H83" s="107">
        <v>720173</v>
      </c>
      <c r="I83" s="108">
        <v>821800</v>
      </c>
      <c r="J83" s="109">
        <v>687200</v>
      </c>
      <c r="K83" s="109">
        <v>736900</v>
      </c>
      <c r="L83" s="109">
        <f>305600+321000</f>
        <v>626600</v>
      </c>
      <c r="M83" s="109">
        <v>592200</v>
      </c>
      <c r="N83" s="109">
        <f>318400+327300</f>
        <v>645700</v>
      </c>
      <c r="O83" s="109">
        <v>533300</v>
      </c>
      <c r="P83" s="109">
        <v>650600</v>
      </c>
      <c r="Q83" s="109">
        <v>604800</v>
      </c>
      <c r="R83" s="109">
        <v>233600</v>
      </c>
      <c r="S83" s="51">
        <f t="shared" si="115"/>
        <v>-7.0570916817520035E-3</v>
      </c>
      <c r="T83" s="72" t="str">
        <f>A83</f>
        <v>Commodity Pass Through</v>
      </c>
      <c r="U83" s="77">
        <f t="shared" si="116"/>
        <v>0.57178004920688896</v>
      </c>
      <c r="V83" s="77">
        <f t="shared" si="116"/>
        <v>0.62260927561936208</v>
      </c>
      <c r="W83" s="77">
        <f t="shared" si="116"/>
        <v>0.70804686179633103</v>
      </c>
      <c r="X83" s="77">
        <f t="shared" si="116"/>
        <v>0.6218088330862066</v>
      </c>
      <c r="Y83" s="77">
        <f t="shared" si="116"/>
        <v>0.63530785272023127</v>
      </c>
      <c r="Z83" s="77">
        <f t="shared" si="116"/>
        <v>0.7015609930999106</v>
      </c>
      <c r="AA83" s="77">
        <f t="shared" si="116"/>
        <v>0.74819515306785023</v>
      </c>
      <c r="AB83" s="77">
        <f t="shared" si="116"/>
        <v>0.7719331204208153</v>
      </c>
      <c r="AC83" s="77">
        <f t="shared" si="116"/>
        <v>0.73694369973190343</v>
      </c>
      <c r="AD83" s="77">
        <f t="shared" si="116"/>
        <v>0.73667899630110967</v>
      </c>
      <c r="AE83" s="77">
        <f t="shared" si="117"/>
        <v>0.68116099576040878</v>
      </c>
      <c r="AF83" s="77">
        <f t="shared" si="117"/>
        <v>0.65588658766197805</v>
      </c>
      <c r="AG83" s="77">
        <f t="shared" si="117"/>
        <v>0.666494632535095</v>
      </c>
      <c r="AH83" s="77">
        <f t="shared" si="117"/>
        <v>0.61853398283460914</v>
      </c>
      <c r="AI83" s="77">
        <f t="shared" si="117"/>
        <v>0.65997159667275307</v>
      </c>
      <c r="AJ83" s="77">
        <f t="shared" si="117"/>
        <v>0.62940992819231967</v>
      </c>
      <c r="AK83" s="77">
        <f t="shared" si="117"/>
        <v>0.62326574172892213</v>
      </c>
      <c r="AL83" s="51">
        <f t="shared" ref="AL83:AL84" si="118">SUM(M83:Q83)/SUM(M$84:Q$84)</f>
        <v>0.64662650087595608</v>
      </c>
      <c r="AM83" s="2"/>
    </row>
    <row r="84" spans="1:46" ht="15" x14ac:dyDescent="0.2">
      <c r="A84" s="72" t="s">
        <v>54</v>
      </c>
      <c r="B84" s="103">
        <f t="shared" ref="B84:J84" si="119">SUM(B81:B83)</f>
        <v>449937</v>
      </c>
      <c r="C84" s="110">
        <f t="shared" si="119"/>
        <v>536762</v>
      </c>
      <c r="D84" s="110">
        <f t="shared" si="119"/>
        <v>704113</v>
      </c>
      <c r="E84" s="110">
        <f t="shared" si="119"/>
        <v>595511</v>
      </c>
      <c r="F84" s="110">
        <f t="shared" si="119"/>
        <v>620995</v>
      </c>
      <c r="G84" s="110">
        <f t="shared" si="119"/>
        <v>764193</v>
      </c>
      <c r="H84" s="110">
        <f t="shared" si="119"/>
        <v>962547</v>
      </c>
      <c r="I84" s="111">
        <f t="shared" si="119"/>
        <v>1064600</v>
      </c>
      <c r="J84" s="111">
        <f t="shared" si="119"/>
        <v>932500</v>
      </c>
      <c r="K84" s="111">
        <f t="shared" ref="K84:Q84" si="120">SUM(K81:K83)</f>
        <v>1000300</v>
      </c>
      <c r="L84" s="111">
        <f t="shared" si="120"/>
        <v>919900</v>
      </c>
      <c r="M84" s="111">
        <f t="shared" si="120"/>
        <v>902900</v>
      </c>
      <c r="N84" s="111">
        <f t="shared" si="120"/>
        <v>968800</v>
      </c>
      <c r="O84" s="111">
        <f t="shared" si="120"/>
        <v>862200</v>
      </c>
      <c r="P84" s="111">
        <f t="shared" si="120"/>
        <v>985800</v>
      </c>
      <c r="Q84" s="111">
        <f t="shared" si="120"/>
        <v>960900</v>
      </c>
      <c r="R84" s="111">
        <f t="shared" ref="R84" si="121">SUM(R81:R83)</f>
        <v>374800</v>
      </c>
      <c r="S84" s="43">
        <f t="shared" si="115"/>
        <v>8.7592147292202809E-3</v>
      </c>
      <c r="T84" s="72" t="str">
        <f>A84</f>
        <v>Total Revenues</v>
      </c>
      <c r="U84" s="43">
        <f t="shared" si="116"/>
        <v>1</v>
      </c>
      <c r="V84" s="43">
        <f t="shared" si="116"/>
        <v>1</v>
      </c>
      <c r="W84" s="43">
        <f t="shared" si="116"/>
        <v>1</v>
      </c>
      <c r="X84" s="43">
        <f t="shared" si="116"/>
        <v>1</v>
      </c>
      <c r="Y84" s="43">
        <f t="shared" si="116"/>
        <v>1</v>
      </c>
      <c r="Z84" s="43">
        <f t="shared" si="116"/>
        <v>1</v>
      </c>
      <c r="AA84" s="43">
        <f t="shared" si="116"/>
        <v>1</v>
      </c>
      <c r="AB84" s="43">
        <f t="shared" si="116"/>
        <v>1</v>
      </c>
      <c r="AC84" s="43">
        <f t="shared" si="116"/>
        <v>1</v>
      </c>
      <c r="AD84" s="43">
        <f t="shared" si="116"/>
        <v>1</v>
      </c>
      <c r="AE84" s="43">
        <f t="shared" si="117"/>
        <v>1</v>
      </c>
      <c r="AF84" s="43">
        <f t="shared" si="117"/>
        <v>1</v>
      </c>
      <c r="AG84" s="43">
        <f t="shared" si="117"/>
        <v>1</v>
      </c>
      <c r="AH84" s="43">
        <f t="shared" si="117"/>
        <v>1</v>
      </c>
      <c r="AI84" s="43">
        <f t="shared" si="117"/>
        <v>1</v>
      </c>
      <c r="AJ84" s="43">
        <f t="shared" si="117"/>
        <v>1</v>
      </c>
      <c r="AK84" s="43">
        <f t="shared" si="117"/>
        <v>1</v>
      </c>
      <c r="AL84" s="43">
        <f t="shared" si="118"/>
        <v>1</v>
      </c>
      <c r="AM84" s="200">
        <f>(+O84-N84)/N84</f>
        <v>-0.11003303055326177</v>
      </c>
    </row>
    <row r="85" spans="1:46" ht="15" x14ac:dyDescent="0.2">
      <c r="A85" s="72"/>
      <c r="B85" s="101"/>
      <c r="C85" s="107"/>
      <c r="D85" s="107"/>
      <c r="E85" s="107"/>
      <c r="F85" s="107"/>
      <c r="G85" s="107"/>
      <c r="H85" s="107"/>
      <c r="I85" s="108"/>
      <c r="J85" s="109"/>
      <c r="K85" s="109"/>
      <c r="L85" s="109"/>
      <c r="M85" s="109"/>
      <c r="N85" s="109"/>
      <c r="O85" s="109"/>
      <c r="P85" s="236"/>
      <c r="Q85" s="109"/>
      <c r="R85" s="109"/>
      <c r="S85" s="43"/>
      <c r="T85" s="72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>
        <f>+N87+N88</f>
        <v>645700</v>
      </c>
    </row>
    <row r="86" spans="1:46" ht="15.75" x14ac:dyDescent="0.25">
      <c r="A86" s="117" t="s">
        <v>20</v>
      </c>
      <c r="B86" s="101"/>
      <c r="C86" s="107"/>
      <c r="D86" s="107"/>
      <c r="E86" s="107"/>
      <c r="F86" s="107"/>
      <c r="G86" s="107"/>
      <c r="H86" s="107"/>
      <c r="I86" s="108"/>
      <c r="J86" s="109"/>
      <c r="K86" s="109"/>
      <c r="L86" s="143"/>
      <c r="M86" s="109"/>
      <c r="N86" s="109"/>
      <c r="O86" s="109"/>
      <c r="P86" s="143"/>
      <c r="Q86" s="109"/>
      <c r="R86" s="109"/>
      <c r="S86" s="43"/>
      <c r="T86" s="117" t="s">
        <v>20</v>
      </c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>
        <f>+O87+O88</f>
        <v>533300</v>
      </c>
      <c r="AN86">
        <f>+AM86-AM85</f>
        <v>-112400</v>
      </c>
    </row>
    <row r="87" spans="1:46" ht="15" x14ac:dyDescent="0.2">
      <c r="A87" s="104" t="s">
        <v>98</v>
      </c>
      <c r="B87" s="101">
        <v>106305</v>
      </c>
      <c r="C87" s="107">
        <v>167995</v>
      </c>
      <c r="D87" s="107">
        <v>325150</v>
      </c>
      <c r="E87" s="107">
        <v>190515</v>
      </c>
      <c r="F87" s="107">
        <v>201371</v>
      </c>
      <c r="G87" s="107">
        <v>324393</v>
      </c>
      <c r="H87" s="107">
        <v>484182</v>
      </c>
      <c r="I87" s="108">
        <v>569800</v>
      </c>
      <c r="J87" s="109">
        <v>441200</v>
      </c>
      <c r="K87" s="109">
        <v>304200</v>
      </c>
      <c r="L87" s="109">
        <v>305600</v>
      </c>
      <c r="M87" s="109">
        <v>278500</v>
      </c>
      <c r="N87" s="109">
        <v>318400</v>
      </c>
      <c r="O87" s="109">
        <v>185600</v>
      </c>
      <c r="P87" s="109">
        <f>650600-370900</f>
        <v>279700</v>
      </c>
      <c r="Q87" s="109">
        <v>181400</v>
      </c>
      <c r="R87" s="109">
        <v>233600</v>
      </c>
      <c r="S87" s="43">
        <f t="shared" ref="S87:S91" si="122">RATE(5,,-L87,Q87)</f>
        <v>-9.9058096903029927E-2</v>
      </c>
      <c r="T87" s="118" t="str">
        <f t="shared" ref="T87:T93" si="123">A87</f>
        <v xml:space="preserve">   Cost of Natural Gas Sold</v>
      </c>
      <c r="U87" s="43">
        <f t="shared" ref="U87:AD89" si="124">B87/B$84</f>
        <v>0.23626641063082165</v>
      </c>
      <c r="V87" s="43">
        <f t="shared" si="124"/>
        <v>0.31297856405632291</v>
      </c>
      <c r="W87" s="43">
        <f t="shared" si="124"/>
        <v>0.46178667344588153</v>
      </c>
      <c r="X87" s="43">
        <f t="shared" si="124"/>
        <v>0.31991852375522872</v>
      </c>
      <c r="Y87" s="43">
        <f t="shared" si="124"/>
        <v>0.324271531976908</v>
      </c>
      <c r="Z87" s="43">
        <f t="shared" si="124"/>
        <v>0.42449093357306333</v>
      </c>
      <c r="AA87" s="43">
        <f t="shared" si="124"/>
        <v>0.5030216706301095</v>
      </c>
      <c r="AB87" s="43">
        <f t="shared" si="124"/>
        <v>0.53522449746383616</v>
      </c>
      <c r="AC87" s="43">
        <f t="shared" si="124"/>
        <v>0.47313672922252009</v>
      </c>
      <c r="AD87" s="43">
        <f t="shared" si="124"/>
        <v>0.30410876736978909</v>
      </c>
      <c r="AE87" s="43">
        <f t="shared" ref="AE87:AK89" si="125">L87/L$84</f>
        <v>0.33221002282856832</v>
      </c>
      <c r="AF87" s="43">
        <f t="shared" si="125"/>
        <v>0.30845054823346996</v>
      </c>
      <c r="AG87" s="43">
        <f t="shared" si="125"/>
        <v>0.32865400495458297</v>
      </c>
      <c r="AH87" s="43">
        <f t="shared" si="125"/>
        <v>0.21526327998144282</v>
      </c>
      <c r="AI87" s="43">
        <f t="shared" si="125"/>
        <v>0.28372895110570096</v>
      </c>
      <c r="AJ87" s="43">
        <f t="shared" si="125"/>
        <v>0.18878135081694244</v>
      </c>
      <c r="AK87" s="43">
        <f t="shared" si="125"/>
        <v>0.62326574172892213</v>
      </c>
      <c r="AL87" s="43">
        <f t="shared" ref="AL87:AL91" si="126">SUM(M87:Q87)/SUM(M$84:Q$84)</f>
        <v>0.26569243259411185</v>
      </c>
      <c r="AM87" s="200">
        <f t="shared" ref="AM87:AM88" si="127">(+O87-N87)/N87</f>
        <v>-0.41708542713567837</v>
      </c>
      <c r="AN87" s="3"/>
      <c r="AO87" s="3"/>
      <c r="AP87" s="3"/>
      <c r="AQ87" s="3"/>
      <c r="AR87" s="3"/>
      <c r="AS87" s="3"/>
      <c r="AT87" s="3"/>
    </row>
    <row r="88" spans="1:46" ht="15" x14ac:dyDescent="0.2">
      <c r="A88" s="104" t="s">
        <v>129</v>
      </c>
      <c r="B88" s="101">
        <v>150960</v>
      </c>
      <c r="C88" s="107">
        <v>166198</v>
      </c>
      <c r="D88" s="107">
        <v>173395</v>
      </c>
      <c r="E88" s="107">
        <v>179779</v>
      </c>
      <c r="F88" s="107">
        <v>193152</v>
      </c>
      <c r="G88" s="107">
        <v>211735</v>
      </c>
      <c r="H88" s="112">
        <v>235991</v>
      </c>
      <c r="I88" s="113">
        <v>252000</v>
      </c>
      <c r="J88" s="107">
        <v>246000</v>
      </c>
      <c r="K88" s="107">
        <v>432700</v>
      </c>
      <c r="L88" s="107">
        <v>321000</v>
      </c>
      <c r="M88" s="107">
        <v>313700</v>
      </c>
      <c r="N88" s="107">
        <v>327300</v>
      </c>
      <c r="O88" s="107">
        <v>347700</v>
      </c>
      <c r="P88" s="107">
        <v>370900</v>
      </c>
      <c r="Q88" s="107">
        <v>423400</v>
      </c>
      <c r="R88" s="107"/>
      <c r="S88" s="43">
        <f t="shared" si="122"/>
        <v>5.6937152887392595E-2</v>
      </c>
      <c r="T88" s="118" t="str">
        <f t="shared" si="123"/>
        <v xml:space="preserve">   Cost of Natural Gas Sold - Affiliates</v>
      </c>
      <c r="U88" s="43">
        <f t="shared" si="124"/>
        <v>0.33551363857606731</v>
      </c>
      <c r="V88" s="43">
        <f t="shared" si="124"/>
        <v>0.30963071156303912</v>
      </c>
      <c r="W88" s="43">
        <f t="shared" si="124"/>
        <v>0.24626018835044944</v>
      </c>
      <c r="X88" s="43">
        <f t="shared" si="124"/>
        <v>0.30189030933097794</v>
      </c>
      <c r="Y88" s="43">
        <f t="shared" si="124"/>
        <v>0.31103632074332321</v>
      </c>
      <c r="Z88" s="43">
        <f t="shared" si="124"/>
        <v>0.27707005952684727</v>
      </c>
      <c r="AA88" s="43">
        <f t="shared" si="124"/>
        <v>0.2451734824377407</v>
      </c>
      <c r="AB88" s="43">
        <f t="shared" si="124"/>
        <v>0.23670862295697914</v>
      </c>
      <c r="AC88" s="43">
        <f t="shared" si="124"/>
        <v>0.2638069705093834</v>
      </c>
      <c r="AD88" s="43">
        <f t="shared" si="124"/>
        <v>0.43257022893132058</v>
      </c>
      <c r="AE88" s="43">
        <f t="shared" si="125"/>
        <v>0.34895097293184041</v>
      </c>
      <c r="AF88" s="43">
        <f t="shared" si="125"/>
        <v>0.34743603942850815</v>
      </c>
      <c r="AG88" s="43">
        <f t="shared" si="125"/>
        <v>0.33784062758051198</v>
      </c>
      <c r="AH88" s="43">
        <f t="shared" si="125"/>
        <v>0.4032707028531663</v>
      </c>
      <c r="AI88" s="43">
        <f t="shared" si="125"/>
        <v>0.37624264556705211</v>
      </c>
      <c r="AJ88" s="43">
        <f t="shared" si="125"/>
        <v>0.44062857737537725</v>
      </c>
      <c r="AK88" s="43">
        <f t="shared" si="125"/>
        <v>0</v>
      </c>
      <c r="AL88" s="43">
        <f t="shared" si="126"/>
        <v>0.38093406828184423</v>
      </c>
      <c r="AM88" s="200">
        <f t="shared" si="127"/>
        <v>6.2328139321723187E-2</v>
      </c>
      <c r="AN88" s="201">
        <f>+AN86/AM85</f>
        <v>-0.17407464766919623</v>
      </c>
    </row>
    <row r="89" spans="1:46" ht="15" x14ac:dyDescent="0.2">
      <c r="A89" s="104" t="s">
        <v>99</v>
      </c>
      <c r="B89" s="101">
        <v>103308</v>
      </c>
      <c r="C89" s="107">
        <v>101486</v>
      </c>
      <c r="D89" s="107">
        <v>103427</v>
      </c>
      <c r="E89" s="107">
        <v>105544</v>
      </c>
      <c r="F89" s="107">
        <v>100279</v>
      </c>
      <c r="G89" s="107">
        <f>104786-200</f>
        <v>104586</v>
      </c>
      <c r="H89" s="107">
        <f>73834</f>
        <v>73834</v>
      </c>
      <c r="I89" s="108">
        <f>73200</f>
        <v>73200</v>
      </c>
      <c r="J89" s="109">
        <v>73400</v>
      </c>
      <c r="K89" s="109">
        <f>87100</f>
        <v>87100</v>
      </c>
      <c r="L89" s="109">
        <f>106400</f>
        <v>106400</v>
      </c>
      <c r="M89" s="109">
        <v>114400</v>
      </c>
      <c r="N89" s="109">
        <v>118500</v>
      </c>
      <c r="O89" s="109">
        <v>119000</v>
      </c>
      <c r="P89" s="109">
        <v>113100</v>
      </c>
      <c r="Q89" s="109">
        <v>122500</v>
      </c>
      <c r="R89" s="109">
        <v>33100</v>
      </c>
      <c r="S89" s="43">
        <f t="shared" si="122"/>
        <v>2.8581934092365213E-2</v>
      </c>
      <c r="T89" s="118" t="str">
        <f t="shared" si="123"/>
        <v xml:space="preserve">   Operating and Maintenance</v>
      </c>
      <c r="U89" s="43">
        <f t="shared" si="124"/>
        <v>0.22960547810026738</v>
      </c>
      <c r="V89" s="43">
        <f t="shared" si="124"/>
        <v>0.18907076134301609</v>
      </c>
      <c r="W89" s="43">
        <f t="shared" si="124"/>
        <v>0.14688977479467075</v>
      </c>
      <c r="X89" s="43">
        <f t="shared" si="124"/>
        <v>0.17723266236895707</v>
      </c>
      <c r="Y89" s="43">
        <f t="shared" si="124"/>
        <v>0.16148117134598508</v>
      </c>
      <c r="Z89" s="43">
        <f t="shared" si="124"/>
        <v>0.13685809736545612</v>
      </c>
      <c r="AA89" s="43">
        <f t="shared" si="124"/>
        <v>7.6706903662886072E-2</v>
      </c>
      <c r="AB89" s="43">
        <f t="shared" si="124"/>
        <v>6.8758219049408223E-2</v>
      </c>
      <c r="AC89" s="43">
        <f t="shared" si="124"/>
        <v>7.8713136729222519E-2</v>
      </c>
      <c r="AD89" s="43">
        <f t="shared" si="124"/>
        <v>8.7073877836649008E-2</v>
      </c>
      <c r="AE89" s="43">
        <f t="shared" si="125"/>
        <v>0.11566474616806174</v>
      </c>
      <c r="AF89" s="160">
        <f t="shared" si="125"/>
        <v>0.12670284638387419</v>
      </c>
      <c r="AG89" s="160">
        <f t="shared" si="125"/>
        <v>0.12231626754748141</v>
      </c>
      <c r="AH89" s="160">
        <f t="shared" si="125"/>
        <v>0.13801902110879147</v>
      </c>
      <c r="AI89" s="160">
        <f t="shared" si="125"/>
        <v>0.11472915398660986</v>
      </c>
      <c r="AJ89" s="160">
        <f t="shared" si="125"/>
        <v>0.12748464980747215</v>
      </c>
      <c r="AK89" s="160">
        <f t="shared" si="125"/>
        <v>8.8313767342582714E-2</v>
      </c>
      <c r="AL89" s="43">
        <f t="shared" si="126"/>
        <v>0.12551809597060207</v>
      </c>
      <c r="AM89" s="2"/>
    </row>
    <row r="90" spans="1:46" ht="15" x14ac:dyDescent="0.2">
      <c r="A90" s="155" t="s">
        <v>162</v>
      </c>
      <c r="B90" s="101"/>
      <c r="C90" s="107"/>
      <c r="D90" s="107"/>
      <c r="E90" s="107"/>
      <c r="F90" s="107"/>
      <c r="G90" s="107"/>
      <c r="H90" s="107">
        <v>39252</v>
      </c>
      <c r="I90" s="108">
        <v>41900</v>
      </c>
      <c r="J90" s="109">
        <v>45500</v>
      </c>
      <c r="K90" s="109">
        <v>38700</v>
      </c>
      <c r="L90" s="109">
        <v>42900</v>
      </c>
      <c r="M90" s="109">
        <v>49900</v>
      </c>
      <c r="N90" s="109">
        <v>51000</v>
      </c>
      <c r="O90" s="109">
        <v>51200</v>
      </c>
      <c r="P90" s="109">
        <v>52500</v>
      </c>
      <c r="Q90" s="109">
        <v>52800</v>
      </c>
      <c r="R90" s="109">
        <v>13400</v>
      </c>
      <c r="S90" s="43">
        <f t="shared" si="122"/>
        <v>4.2402216277403232E-2</v>
      </c>
      <c r="T90" s="118" t="str">
        <f>+A90</f>
        <v xml:space="preserve">   General and Administrative</v>
      </c>
      <c r="U90" s="43"/>
      <c r="V90" s="43"/>
      <c r="W90" s="43"/>
      <c r="X90" s="43"/>
      <c r="Y90" s="43"/>
      <c r="Z90" s="43"/>
      <c r="AA90" s="43">
        <f t="shared" ref="AA90" si="128">H90/H$84</f>
        <v>4.0779307400054234E-2</v>
      </c>
      <c r="AB90" s="43">
        <f t="shared" ref="AB90" si="129">I90/I$84</f>
        <v>3.9357505166259625E-2</v>
      </c>
      <c r="AC90" s="43">
        <f t="shared" ref="AC90" si="130">J90/J$84</f>
        <v>4.8793565683646116E-2</v>
      </c>
      <c r="AD90" s="43">
        <f t="shared" ref="AD90" si="131">K90/K$84</f>
        <v>3.8688393481955415E-2</v>
      </c>
      <c r="AE90" s="43">
        <f t="shared" ref="AE90" si="132">L90/L$84</f>
        <v>4.6635503859115121E-2</v>
      </c>
      <c r="AF90" s="43">
        <f t="shared" ref="AF90:AK91" si="133">M90/M$84</f>
        <v>5.5266363938420646E-2</v>
      </c>
      <c r="AG90" s="43">
        <f t="shared" si="133"/>
        <v>5.2642444260941369E-2</v>
      </c>
      <c r="AH90" s="43">
        <f t="shared" si="133"/>
        <v>5.9382973787984225E-2</v>
      </c>
      <c r="AI90" s="43">
        <f t="shared" si="133"/>
        <v>5.3256238587948874E-2</v>
      </c>
      <c r="AJ90" s="43">
        <f t="shared" si="133"/>
        <v>5.4948485794567591E-2</v>
      </c>
      <c r="AK90" s="43">
        <f t="shared" si="133"/>
        <v>3.5752401280683029E-2</v>
      </c>
      <c r="AL90" s="43">
        <f t="shared" si="126"/>
        <v>5.4992949621843354E-2</v>
      </c>
      <c r="AM90" s="2"/>
    </row>
    <row r="91" spans="1:46" ht="15" x14ac:dyDescent="0.2">
      <c r="A91" s="105" t="s">
        <v>48</v>
      </c>
      <c r="B91" s="101">
        <v>36426</v>
      </c>
      <c r="C91" s="107">
        <v>34450</v>
      </c>
      <c r="D91" s="107">
        <v>35030</v>
      </c>
      <c r="E91" s="107">
        <v>39771</v>
      </c>
      <c r="F91" s="107">
        <v>40126</v>
      </c>
      <c r="G91" s="107">
        <v>41956</v>
      </c>
      <c r="H91" s="107">
        <v>45828</v>
      </c>
      <c r="I91" s="108">
        <v>40900</v>
      </c>
      <c r="J91" s="109">
        <v>38800</v>
      </c>
      <c r="K91" s="109">
        <v>41500</v>
      </c>
      <c r="L91" s="109">
        <v>43800</v>
      </c>
      <c r="M91" s="109">
        <v>43700</v>
      </c>
      <c r="N91" s="109">
        <v>44500</v>
      </c>
      <c r="O91" s="109">
        <v>47200</v>
      </c>
      <c r="P91" s="109">
        <v>49700</v>
      </c>
      <c r="Q91" s="109">
        <v>53600</v>
      </c>
      <c r="R91" s="109">
        <v>13500</v>
      </c>
      <c r="S91" s="43">
        <f t="shared" si="122"/>
        <v>4.1209533271602712E-2</v>
      </c>
      <c r="T91" s="118" t="str">
        <f t="shared" si="123"/>
        <v xml:space="preserve">   Depreciation and amortization</v>
      </c>
      <c r="U91" s="43">
        <f t="shared" ref="U91:AE91" si="134">B91/B$84</f>
        <v>8.0958000786776813E-2</v>
      </c>
      <c r="V91" s="43">
        <f t="shared" si="134"/>
        <v>6.4181145461116848E-2</v>
      </c>
      <c r="W91" s="43">
        <f t="shared" si="134"/>
        <v>4.9750537200704999E-2</v>
      </c>
      <c r="X91" s="43">
        <f t="shared" si="134"/>
        <v>6.6784660568822402E-2</v>
      </c>
      <c r="Y91" s="43">
        <f t="shared" si="134"/>
        <v>6.4615657130894774E-2</v>
      </c>
      <c r="Z91" s="43">
        <f t="shared" si="134"/>
        <v>5.4902361052770701E-2</v>
      </c>
      <c r="AA91" s="43">
        <f t="shared" si="134"/>
        <v>4.7611181583860324E-2</v>
      </c>
      <c r="AB91" s="43">
        <f t="shared" si="134"/>
        <v>3.8418185233890664E-2</v>
      </c>
      <c r="AC91" s="43">
        <f t="shared" si="134"/>
        <v>4.1608579088471848E-2</v>
      </c>
      <c r="AD91" s="43">
        <f t="shared" si="134"/>
        <v>4.1487553733879835E-2</v>
      </c>
      <c r="AE91" s="43">
        <f t="shared" si="134"/>
        <v>4.7613871072942709E-2</v>
      </c>
      <c r="AF91" s="43">
        <f t="shared" si="133"/>
        <v>4.8399601284749141E-2</v>
      </c>
      <c r="AG91" s="43">
        <f t="shared" si="133"/>
        <v>4.5933113129644924E-2</v>
      </c>
      <c r="AH91" s="43">
        <f t="shared" si="133"/>
        <v>5.4743678960797959E-2</v>
      </c>
      <c r="AI91" s="43">
        <f t="shared" si="133"/>
        <v>5.0415905863258267E-2</v>
      </c>
      <c r="AJ91" s="43">
        <f t="shared" si="133"/>
        <v>5.5781038609636797E-2</v>
      </c>
      <c r="AK91" s="43">
        <f t="shared" si="133"/>
        <v>3.6019210245464249E-2</v>
      </c>
      <c r="AL91" s="43">
        <f t="shared" si="126"/>
        <v>5.0997735333076957E-2</v>
      </c>
      <c r="AM91" s="2"/>
    </row>
    <row r="92" spans="1:46" s="8" customFormat="1" ht="15" x14ac:dyDescent="0.2">
      <c r="A92" s="104" t="s">
        <v>123</v>
      </c>
      <c r="B92" s="101">
        <v>0</v>
      </c>
      <c r="C92" s="107">
        <v>0</v>
      </c>
      <c r="D92" s="107">
        <v>0</v>
      </c>
      <c r="E92" s="107">
        <v>0</v>
      </c>
      <c r="F92" s="107">
        <v>24939</v>
      </c>
      <c r="G92" s="107">
        <v>4090</v>
      </c>
      <c r="H92" s="107"/>
      <c r="I92" s="108"/>
      <c r="J92" s="109"/>
      <c r="K92" s="109"/>
      <c r="L92" s="109"/>
      <c r="M92" s="109"/>
      <c r="N92" s="109"/>
      <c r="O92" s="109">
        <v>2400</v>
      </c>
      <c r="P92" s="109"/>
      <c r="Q92" s="109"/>
      <c r="R92" s="109"/>
      <c r="S92" s="43"/>
      <c r="T92" s="118" t="str">
        <f t="shared" si="123"/>
        <v xml:space="preserve">   Miscellaneous</v>
      </c>
      <c r="U92" s="43">
        <f t="shared" ref="U92:Z95" si="135">B92/B$84</f>
        <v>0</v>
      </c>
      <c r="V92" s="43">
        <f t="shared" si="135"/>
        <v>0</v>
      </c>
      <c r="W92" s="43">
        <f t="shared" si="135"/>
        <v>0</v>
      </c>
      <c r="X92" s="43">
        <f t="shared" si="135"/>
        <v>0</v>
      </c>
      <c r="Y92" s="43">
        <f t="shared" si="135"/>
        <v>4.0159743637227352E-2</v>
      </c>
      <c r="Z92" s="43">
        <f t="shared" si="135"/>
        <v>5.3520511179767413E-3</v>
      </c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2"/>
    </row>
    <row r="93" spans="1:46" s="8" customFormat="1" ht="15" x14ac:dyDescent="0.2">
      <c r="A93" s="105" t="s">
        <v>49</v>
      </c>
      <c r="B93" s="101">
        <v>7625</v>
      </c>
      <c r="C93" s="107">
        <v>10213</v>
      </c>
      <c r="D93" s="107">
        <v>8729</v>
      </c>
      <c r="E93" s="107">
        <v>9548</v>
      </c>
      <c r="F93" s="107">
        <v>9743</v>
      </c>
      <c r="G93" s="107">
        <v>9767</v>
      </c>
      <c r="H93" s="107">
        <v>11013</v>
      </c>
      <c r="I93" s="108">
        <v>11600</v>
      </c>
      <c r="J93" s="109">
        <v>11500</v>
      </c>
      <c r="K93" s="109">
        <v>11900</v>
      </c>
      <c r="L93" s="109">
        <v>13300</v>
      </c>
      <c r="M93" s="109">
        <v>14100</v>
      </c>
      <c r="N93" s="109">
        <v>15000</v>
      </c>
      <c r="O93" s="109">
        <v>16200</v>
      </c>
      <c r="P93" s="109">
        <v>18000</v>
      </c>
      <c r="Q93" s="109">
        <v>17800</v>
      </c>
      <c r="R93" s="109">
        <v>4600</v>
      </c>
      <c r="S93" s="51">
        <f t="shared" ref="S93:S95" si="136">RATE(5,,-L93,Q93)</f>
        <v>6.0019055038765944E-2</v>
      </c>
      <c r="T93" s="118" t="str">
        <f t="shared" si="123"/>
        <v xml:space="preserve">   Taxes, other than income taxes</v>
      </c>
      <c r="U93" s="77">
        <f t="shared" si="135"/>
        <v>1.694681699882428E-2</v>
      </c>
      <c r="V93" s="77">
        <f t="shared" si="135"/>
        <v>1.9027054821317457E-2</v>
      </c>
      <c r="W93" s="77">
        <f t="shared" si="135"/>
        <v>1.2397157842562203E-2</v>
      </c>
      <c r="X93" s="77">
        <f t="shared" si="135"/>
        <v>1.6033289057632856E-2</v>
      </c>
      <c r="Y93" s="77">
        <f t="shared" si="135"/>
        <v>1.5689337273246968E-2</v>
      </c>
      <c r="Z93" s="77">
        <f t="shared" si="135"/>
        <v>1.2780802755324899E-2</v>
      </c>
      <c r="AA93" s="77">
        <f t="shared" ref="AA93:AK95" si="137">H93/H$84</f>
        <v>1.1441519219321239E-2</v>
      </c>
      <c r="AB93" s="77">
        <f t="shared" si="137"/>
        <v>1.0896111215479993E-2</v>
      </c>
      <c r="AC93" s="43">
        <f t="shared" si="137"/>
        <v>1.2332439678284183E-2</v>
      </c>
      <c r="AD93" s="43">
        <f t="shared" si="137"/>
        <v>1.1896431070678797E-2</v>
      </c>
      <c r="AE93" s="43">
        <f t="shared" si="137"/>
        <v>1.4458093271007718E-2</v>
      </c>
      <c r="AF93" s="43">
        <f t="shared" si="137"/>
        <v>1.5616347325285192E-2</v>
      </c>
      <c r="AG93" s="43">
        <f t="shared" si="137"/>
        <v>1.5483071841453344E-2</v>
      </c>
      <c r="AH93" s="43">
        <f t="shared" si="137"/>
        <v>1.8789144050104383E-2</v>
      </c>
      <c r="AI93" s="43">
        <f t="shared" si="137"/>
        <v>1.8259281801582473E-2</v>
      </c>
      <c r="AJ93" s="43">
        <f t="shared" si="137"/>
        <v>1.8524300135289832E-2</v>
      </c>
      <c r="AK93" s="43">
        <f t="shared" si="137"/>
        <v>1.2273212379935965E-2</v>
      </c>
      <c r="AL93" s="51">
        <f t="shared" ref="AL93:AL95" si="138">SUM(M93:Q93)/SUM(M$84:Q$84)</f>
        <v>1.7326838439516302E-2</v>
      </c>
      <c r="AM93" s="2"/>
    </row>
    <row r="94" spans="1:46" s="8" customFormat="1" ht="15" x14ac:dyDescent="0.2">
      <c r="A94" s="72" t="s">
        <v>43</v>
      </c>
      <c r="B94" s="103">
        <f t="shared" ref="B94:J94" si="139">SUM(B86:B93)</f>
        <v>404624</v>
      </c>
      <c r="C94" s="110">
        <f t="shared" si="139"/>
        <v>480342</v>
      </c>
      <c r="D94" s="110">
        <f t="shared" si="139"/>
        <v>645731</v>
      </c>
      <c r="E94" s="110">
        <f t="shared" si="139"/>
        <v>525157</v>
      </c>
      <c r="F94" s="110">
        <f t="shared" si="139"/>
        <v>569610</v>
      </c>
      <c r="G94" s="110">
        <f t="shared" si="139"/>
        <v>696527</v>
      </c>
      <c r="H94" s="110">
        <f t="shared" si="139"/>
        <v>890100</v>
      </c>
      <c r="I94" s="111">
        <f t="shared" si="139"/>
        <v>989400</v>
      </c>
      <c r="J94" s="111">
        <f t="shared" si="139"/>
        <v>856400</v>
      </c>
      <c r="K94" s="111">
        <f t="shared" ref="K94:O94" si="140">SUM(K86:K93)</f>
        <v>916100</v>
      </c>
      <c r="L94" s="111">
        <f t="shared" si="140"/>
        <v>833000</v>
      </c>
      <c r="M94" s="111">
        <f t="shared" si="140"/>
        <v>814300</v>
      </c>
      <c r="N94" s="111">
        <f t="shared" si="140"/>
        <v>874700</v>
      </c>
      <c r="O94" s="111">
        <f t="shared" si="140"/>
        <v>769300</v>
      </c>
      <c r="P94" s="111">
        <f>SUM(P87:P93)</f>
        <v>883900</v>
      </c>
      <c r="Q94" s="111">
        <f t="shared" ref="Q94:R94" si="141">SUM(Q86:Q93)</f>
        <v>851500</v>
      </c>
      <c r="R94" s="111">
        <f t="shared" si="141"/>
        <v>298200</v>
      </c>
      <c r="S94" s="177">
        <f t="shared" si="136"/>
        <v>4.4028357123481396E-3</v>
      </c>
      <c r="T94" s="72" t="s">
        <v>43</v>
      </c>
      <c r="U94" s="77">
        <f t="shared" si="135"/>
        <v>0.8992903450927574</v>
      </c>
      <c r="V94" s="77">
        <f t="shared" si="135"/>
        <v>0.89488823724481237</v>
      </c>
      <c r="W94" s="77">
        <f t="shared" si="135"/>
        <v>0.91708433163426895</v>
      </c>
      <c r="X94" s="77">
        <f t="shared" si="135"/>
        <v>0.88185944508161895</v>
      </c>
      <c r="Y94" s="77">
        <f t="shared" si="135"/>
        <v>0.91725376210758536</v>
      </c>
      <c r="Z94" s="77">
        <f t="shared" si="135"/>
        <v>0.91145430539143912</v>
      </c>
      <c r="AA94" s="77">
        <f t="shared" si="137"/>
        <v>0.92473406493397203</v>
      </c>
      <c r="AB94" s="77">
        <f t="shared" si="137"/>
        <v>0.92936314108585383</v>
      </c>
      <c r="AC94" s="80">
        <f t="shared" si="137"/>
        <v>0.91839142091152814</v>
      </c>
      <c r="AD94" s="80">
        <f t="shared" si="137"/>
        <v>0.91582525242427271</v>
      </c>
      <c r="AE94" s="80">
        <f t="shared" si="137"/>
        <v>0.90553321013153598</v>
      </c>
      <c r="AF94" s="80">
        <f t="shared" si="137"/>
        <v>0.90187174659430724</v>
      </c>
      <c r="AG94" s="80">
        <f t="shared" si="137"/>
        <v>0.90286952931461606</v>
      </c>
      <c r="AH94" s="80">
        <f t="shared" si="137"/>
        <v>0.89225237763859888</v>
      </c>
      <c r="AI94" s="80">
        <f t="shared" si="137"/>
        <v>0.89663217691215258</v>
      </c>
      <c r="AJ94" s="80">
        <f t="shared" si="137"/>
        <v>0.88614840253928606</v>
      </c>
      <c r="AK94" s="80">
        <f t="shared" si="137"/>
        <v>0.79562433297758806</v>
      </c>
      <c r="AL94" s="177">
        <f t="shared" si="138"/>
        <v>0.89597487501602358</v>
      </c>
      <c r="AM94" s="2"/>
    </row>
    <row r="95" spans="1:46" s="8" customFormat="1" ht="15" x14ac:dyDescent="0.2">
      <c r="A95" s="72" t="s">
        <v>12</v>
      </c>
      <c r="B95" s="103">
        <f t="shared" ref="B95:K95" si="142">B84-B94</f>
        <v>45313</v>
      </c>
      <c r="C95" s="110">
        <f t="shared" si="142"/>
        <v>56420</v>
      </c>
      <c r="D95" s="110">
        <f t="shared" si="142"/>
        <v>58382</v>
      </c>
      <c r="E95" s="110">
        <f t="shared" si="142"/>
        <v>70354</v>
      </c>
      <c r="F95" s="110">
        <f t="shared" si="142"/>
        <v>51385</v>
      </c>
      <c r="G95" s="110">
        <f t="shared" si="142"/>
        <v>67666</v>
      </c>
      <c r="H95" s="110">
        <f t="shared" si="142"/>
        <v>72447</v>
      </c>
      <c r="I95" s="111">
        <f t="shared" si="142"/>
        <v>75200</v>
      </c>
      <c r="J95" s="111">
        <f t="shared" si="142"/>
        <v>76100</v>
      </c>
      <c r="K95" s="111">
        <f t="shared" si="142"/>
        <v>84200</v>
      </c>
      <c r="L95" s="111">
        <f t="shared" ref="L95" si="143">L84-L94</f>
        <v>86900</v>
      </c>
      <c r="M95" s="111">
        <f t="shared" ref="M95:O95" si="144">M84-M94</f>
        <v>88600</v>
      </c>
      <c r="N95" s="111">
        <f t="shared" ref="N95" si="145">N84-N94</f>
        <v>94100</v>
      </c>
      <c r="O95" s="111">
        <f t="shared" si="144"/>
        <v>92900</v>
      </c>
      <c r="P95" s="111">
        <f t="shared" ref="P95:Q95" si="146">P84-P94</f>
        <v>101900</v>
      </c>
      <c r="Q95" s="111">
        <f t="shared" si="146"/>
        <v>109400</v>
      </c>
      <c r="R95" s="111">
        <f t="shared" ref="R95" si="147">R84-R94</f>
        <v>76600</v>
      </c>
      <c r="S95" s="43">
        <f t="shared" si="136"/>
        <v>4.7127364464850809E-2</v>
      </c>
      <c r="T95" s="72" t="s">
        <v>12</v>
      </c>
      <c r="U95" s="43">
        <f t="shared" si="135"/>
        <v>0.10070965490724257</v>
      </c>
      <c r="V95" s="43">
        <f t="shared" si="135"/>
        <v>0.10511176275518759</v>
      </c>
      <c r="W95" s="43">
        <f t="shared" si="135"/>
        <v>8.2915668365731068E-2</v>
      </c>
      <c r="X95" s="43">
        <f t="shared" si="135"/>
        <v>0.11814055491838102</v>
      </c>
      <c r="Y95" s="43">
        <f t="shared" si="135"/>
        <v>8.2746237892414587E-2</v>
      </c>
      <c r="Z95" s="43">
        <f t="shared" si="135"/>
        <v>8.8545694608560932E-2</v>
      </c>
      <c r="AA95" s="43">
        <f t="shared" si="137"/>
        <v>7.5265935066027939E-2</v>
      </c>
      <c r="AB95" s="43">
        <f t="shared" si="137"/>
        <v>7.0636858914146158E-2</v>
      </c>
      <c r="AC95" s="80">
        <f t="shared" si="137"/>
        <v>8.1608579088471855E-2</v>
      </c>
      <c r="AD95" s="80">
        <f t="shared" si="137"/>
        <v>8.417474757572728E-2</v>
      </c>
      <c r="AE95" s="80">
        <f t="shared" si="137"/>
        <v>9.4466789868463963E-2</v>
      </c>
      <c r="AF95" s="80">
        <f t="shared" si="137"/>
        <v>9.812825340569277E-2</v>
      </c>
      <c r="AG95" s="80">
        <f t="shared" si="137"/>
        <v>9.7130470685383982E-2</v>
      </c>
      <c r="AH95" s="80">
        <f t="shared" si="137"/>
        <v>0.10774762236140106</v>
      </c>
      <c r="AI95" s="80">
        <f t="shared" si="137"/>
        <v>0.10336782308784744</v>
      </c>
      <c r="AJ95" s="80">
        <f t="shared" si="137"/>
        <v>0.11385159746071391</v>
      </c>
      <c r="AK95" s="80">
        <f t="shared" si="137"/>
        <v>0.20437566702241194</v>
      </c>
      <c r="AL95" s="43">
        <f t="shared" si="138"/>
        <v>0.10402512498397641</v>
      </c>
      <c r="AM95" s="7">
        <f>+O95-N95</f>
        <v>-1200</v>
      </c>
      <c r="AN95" s="201">
        <f>+AM95/N95</f>
        <v>-1.2752391073326248E-2</v>
      </c>
    </row>
    <row r="96" spans="1:46" ht="15" customHeight="1" x14ac:dyDescent="0.2">
      <c r="A96" s="72"/>
      <c r="B96" s="101"/>
      <c r="C96" s="107"/>
      <c r="D96" s="107"/>
      <c r="E96" s="107"/>
      <c r="F96" s="107"/>
      <c r="G96" s="107"/>
      <c r="H96" s="107"/>
      <c r="I96" s="108"/>
      <c r="J96" s="109"/>
      <c r="K96" s="109"/>
      <c r="L96" s="109"/>
      <c r="M96" s="109"/>
      <c r="N96" s="109"/>
      <c r="O96" s="109"/>
      <c r="P96" s="109"/>
      <c r="Q96" s="252"/>
      <c r="R96" s="109"/>
      <c r="S96" s="43"/>
      <c r="T96" s="72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7"/>
    </row>
    <row r="97" spans="1:40" ht="15" x14ac:dyDescent="0.2">
      <c r="A97" s="105" t="s">
        <v>50</v>
      </c>
      <c r="B97" s="101">
        <v>20062</v>
      </c>
      <c r="C97" s="107">
        <v>21041</v>
      </c>
      <c r="D97" s="107">
        <v>23777</v>
      </c>
      <c r="E97" s="107">
        <v>22495</v>
      </c>
      <c r="F97" s="107">
        <v>20984</v>
      </c>
      <c r="G97" s="107">
        <v>19733</v>
      </c>
      <c r="H97" s="107">
        <v>20158</v>
      </c>
      <c r="I97" s="108">
        <v>22600</v>
      </c>
      <c r="J97" s="109">
        <v>23800</v>
      </c>
      <c r="K97" s="109">
        <v>25200</v>
      </c>
      <c r="L97" s="109">
        <v>28500</v>
      </c>
      <c r="M97" s="109">
        <v>26200</v>
      </c>
      <c r="N97" s="109">
        <v>25900</v>
      </c>
      <c r="O97" s="109">
        <v>24100</v>
      </c>
      <c r="P97" s="109">
        <v>22300</v>
      </c>
      <c r="Q97" s="109">
        <v>28200</v>
      </c>
      <c r="R97" s="109">
        <v>7100</v>
      </c>
      <c r="S97" s="43">
        <f t="shared" ref="S97:S98" si="148">RATE(5,,-L97,Q97)</f>
        <v>-2.1141838245080282E-3</v>
      </c>
      <c r="T97" s="118" t="str">
        <f>A97</f>
        <v xml:space="preserve">   Interest expense (net)</v>
      </c>
      <c r="U97" s="79">
        <f t="shared" ref="U97:AD98" si="149">B97/B$84</f>
        <v>4.4588464607267238E-2</v>
      </c>
      <c r="V97" s="79">
        <f t="shared" si="149"/>
        <v>3.9199868843174446E-2</v>
      </c>
      <c r="W97" s="79">
        <f t="shared" si="149"/>
        <v>3.376872746277941E-2</v>
      </c>
      <c r="X97" s="79">
        <f t="shared" si="149"/>
        <v>3.7774281247533632E-2</v>
      </c>
      <c r="Y97" s="79">
        <f t="shared" si="149"/>
        <v>3.3790932294140853E-2</v>
      </c>
      <c r="Z97" s="79">
        <f t="shared" si="149"/>
        <v>2.5822010931793409E-2</v>
      </c>
      <c r="AA97" s="79">
        <f t="shared" si="149"/>
        <v>2.094235398375352E-2</v>
      </c>
      <c r="AB97" s="79">
        <f t="shared" si="149"/>
        <v>2.1228630471538605E-2</v>
      </c>
      <c r="AC97" s="79">
        <f t="shared" si="149"/>
        <v>2.5522788203753352E-2</v>
      </c>
      <c r="AD97" s="79">
        <f t="shared" si="149"/>
        <v>2.5192442267319804E-2</v>
      </c>
      <c r="AE97" s="79">
        <f t="shared" ref="AE97:AK98" si="150">L97/L$84</f>
        <v>3.0981628437873682E-2</v>
      </c>
      <c r="AF97" s="79">
        <f t="shared" si="150"/>
        <v>2.9017609923579577E-2</v>
      </c>
      <c r="AG97" s="79">
        <f t="shared" si="150"/>
        <v>2.6734104046242775E-2</v>
      </c>
      <c r="AH97" s="79">
        <f t="shared" si="150"/>
        <v>2.7951751333797265E-2</v>
      </c>
      <c r="AI97" s="79">
        <f t="shared" si="150"/>
        <v>2.2621221343071617E-2</v>
      </c>
      <c r="AJ97" s="79">
        <f t="shared" si="150"/>
        <v>2.9347486731189511E-2</v>
      </c>
      <c r="AK97" s="79">
        <f t="shared" si="150"/>
        <v>1.8943436499466382E-2</v>
      </c>
      <c r="AL97" s="43">
        <f t="shared" ref="AL97:AL98" si="151">SUM(M97:Q97)/SUM(M$84:Q$84)</f>
        <v>2.7069179165064308E-2</v>
      </c>
      <c r="AM97" s="2"/>
    </row>
    <row r="98" spans="1:40" ht="15" x14ac:dyDescent="0.2">
      <c r="A98" s="104" t="s">
        <v>115</v>
      </c>
      <c r="B98" s="101">
        <v>-2980</v>
      </c>
      <c r="C98" s="107">
        <v>-1673</v>
      </c>
      <c r="D98" s="107">
        <v>-5158</v>
      </c>
      <c r="E98" s="107">
        <v>-2329</v>
      </c>
      <c r="F98" s="107">
        <v>-3228</v>
      </c>
      <c r="G98" s="107">
        <v>-3508</v>
      </c>
      <c r="H98" s="107">
        <v>-4962</v>
      </c>
      <c r="I98" s="108">
        <v>-6600</v>
      </c>
      <c r="J98" s="109">
        <v>-7400</v>
      </c>
      <c r="K98" s="109">
        <v>-5200</v>
      </c>
      <c r="L98" s="109">
        <v>-7600</v>
      </c>
      <c r="M98" s="109">
        <v>-6700</v>
      </c>
      <c r="N98" s="109">
        <v>-5400</v>
      </c>
      <c r="O98" s="109">
        <v>-5500</v>
      </c>
      <c r="P98" s="109">
        <v>-5100</v>
      </c>
      <c r="Q98" s="109">
        <v>-5900</v>
      </c>
      <c r="R98" s="109">
        <v>-1100</v>
      </c>
      <c r="S98" s="43">
        <f t="shared" si="148"/>
        <v>-4.9378387362763843E-2</v>
      </c>
      <c r="T98" s="118" t="str">
        <f>A98</f>
        <v xml:space="preserve">   Interest and Other Income</v>
      </c>
      <c r="U98" s="79">
        <f t="shared" si="149"/>
        <v>-6.6231494631470624E-3</v>
      </c>
      <c r="V98" s="79">
        <f t="shared" si="149"/>
        <v>-3.1168376300855873E-3</v>
      </c>
      <c r="W98" s="79">
        <f t="shared" si="149"/>
        <v>-7.3255287148511674E-3</v>
      </c>
      <c r="X98" s="79">
        <f t="shared" si="149"/>
        <v>-3.9109269182265316E-3</v>
      </c>
      <c r="Y98" s="79">
        <f t="shared" si="149"/>
        <v>-5.1981094855836196E-3</v>
      </c>
      <c r="Z98" s="79">
        <f t="shared" si="149"/>
        <v>-4.59046340387834E-3</v>
      </c>
      <c r="AA98" s="79">
        <f t="shared" si="149"/>
        <v>-5.1550729470872594E-3</v>
      </c>
      <c r="AB98" s="79">
        <f t="shared" si="149"/>
        <v>-6.1995115536351685E-3</v>
      </c>
      <c r="AC98" s="79">
        <f t="shared" si="149"/>
        <v>-7.9356568364611253E-3</v>
      </c>
      <c r="AD98" s="79">
        <f t="shared" si="149"/>
        <v>-5.198440467859642E-3</v>
      </c>
      <c r="AE98" s="79">
        <f t="shared" si="150"/>
        <v>-8.2617675834329822E-3</v>
      </c>
      <c r="AF98" s="79">
        <f t="shared" si="150"/>
        <v>-7.4205338354192052E-3</v>
      </c>
      <c r="AG98" s="79">
        <f t="shared" si="150"/>
        <v>-5.5739058629232039E-3</v>
      </c>
      <c r="AH98" s="79">
        <f t="shared" si="150"/>
        <v>-6.3790303873811184E-3</v>
      </c>
      <c r="AI98" s="79">
        <f t="shared" si="150"/>
        <v>-5.1734631771150332E-3</v>
      </c>
      <c r="AJ98" s="79">
        <f t="shared" si="150"/>
        <v>-6.1400770111353937E-3</v>
      </c>
      <c r="AK98" s="79">
        <f t="shared" si="150"/>
        <v>-2.9348986125933832E-3</v>
      </c>
      <c r="AL98" s="43">
        <f t="shared" si="151"/>
        <v>-6.1103277357603724E-3</v>
      </c>
      <c r="AM98" s="2"/>
    </row>
    <row r="99" spans="1:40" ht="15" x14ac:dyDescent="0.2">
      <c r="A99" s="105" t="s">
        <v>55</v>
      </c>
      <c r="B99" s="101">
        <v>0</v>
      </c>
      <c r="C99" s="107">
        <v>0</v>
      </c>
      <c r="D99" s="107">
        <v>0</v>
      </c>
      <c r="E99" s="107">
        <v>0</v>
      </c>
      <c r="F99" s="107">
        <v>0</v>
      </c>
      <c r="G99" s="107">
        <v>200</v>
      </c>
      <c r="H99" s="107"/>
      <c r="I99" s="108">
        <v>300</v>
      </c>
      <c r="J99" s="109"/>
      <c r="K99" s="109"/>
      <c r="L99" s="109"/>
      <c r="M99" s="109"/>
      <c r="N99" s="109"/>
      <c r="O99" s="109"/>
      <c r="P99" s="109"/>
      <c r="Q99" s="109">
        <v>-100</v>
      </c>
      <c r="R99" s="109"/>
      <c r="S99" s="43"/>
      <c r="T99" s="118" t="str">
        <f>A99</f>
        <v xml:space="preserve">   Loss (Gain) on Sale of Assets</v>
      </c>
      <c r="U99" s="79">
        <f t="shared" ref="U99:Z99" si="152">B99/B$84</f>
        <v>0</v>
      </c>
      <c r="V99" s="79">
        <f t="shared" si="152"/>
        <v>0</v>
      </c>
      <c r="W99" s="79">
        <f t="shared" si="152"/>
        <v>0</v>
      </c>
      <c r="X99" s="79">
        <f t="shared" si="152"/>
        <v>0</v>
      </c>
      <c r="Y99" s="79">
        <f t="shared" si="152"/>
        <v>0</v>
      </c>
      <c r="Z99" s="79">
        <f t="shared" si="152"/>
        <v>2.6171399109910714E-4</v>
      </c>
      <c r="AA99" s="79"/>
      <c r="AB99" s="79">
        <f>I99/I$84</f>
        <v>2.8179597971068947E-4</v>
      </c>
      <c r="AC99" s="79"/>
      <c r="AD99" s="79"/>
      <c r="AE99" s="79"/>
      <c r="AF99" s="79"/>
      <c r="AG99" s="79"/>
      <c r="AH99" s="79"/>
      <c r="AI99" s="79"/>
      <c r="AJ99" s="79"/>
      <c r="AK99" s="79"/>
      <c r="AL99" s="43"/>
      <c r="AM99" s="2"/>
    </row>
    <row r="100" spans="1:40" ht="15" x14ac:dyDescent="0.2">
      <c r="A100" s="72" t="s">
        <v>51</v>
      </c>
      <c r="B100" s="101">
        <v>0</v>
      </c>
      <c r="C100" s="107">
        <v>0</v>
      </c>
      <c r="D100" s="107">
        <v>0</v>
      </c>
      <c r="E100" s="107">
        <v>0</v>
      </c>
      <c r="F100" s="107">
        <v>0</v>
      </c>
      <c r="G100" s="107"/>
      <c r="H100" s="107"/>
      <c r="I100" s="108"/>
      <c r="J100" s="109"/>
      <c r="K100" s="109"/>
      <c r="L100" s="109"/>
      <c r="M100" s="109"/>
      <c r="N100" s="109"/>
      <c r="O100" s="109"/>
      <c r="P100" s="109"/>
      <c r="Q100" s="109"/>
      <c r="R100" s="109"/>
      <c r="S100" s="51"/>
      <c r="T100" s="118" t="str">
        <f>A100</f>
        <v xml:space="preserve">   Other Income (Expense)</v>
      </c>
      <c r="U100" s="77">
        <f t="shared" ref="U100:Y101" si="153">B100/B$84</f>
        <v>0</v>
      </c>
      <c r="V100" s="77">
        <f t="shared" si="153"/>
        <v>0</v>
      </c>
      <c r="W100" s="77">
        <f t="shared" si="153"/>
        <v>0</v>
      </c>
      <c r="X100" s="77">
        <f t="shared" si="153"/>
        <v>0</v>
      </c>
      <c r="Y100" s="77">
        <f t="shared" si="153"/>
        <v>0</v>
      </c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51"/>
      <c r="AM100" s="2"/>
    </row>
    <row r="101" spans="1:40" ht="15" x14ac:dyDescent="0.2">
      <c r="A101" s="72" t="s">
        <v>52</v>
      </c>
      <c r="B101" s="103">
        <f t="shared" ref="B101:M101" si="154">SUM(B97:B100)</f>
        <v>17082</v>
      </c>
      <c r="C101" s="110">
        <f t="shared" si="154"/>
        <v>19368</v>
      </c>
      <c r="D101" s="110">
        <f t="shared" si="154"/>
        <v>18619</v>
      </c>
      <c r="E101" s="110">
        <f t="shared" si="154"/>
        <v>20166</v>
      </c>
      <c r="F101" s="110">
        <f t="shared" si="154"/>
        <v>17756</v>
      </c>
      <c r="G101" s="110">
        <f t="shared" si="154"/>
        <v>16425</v>
      </c>
      <c r="H101" s="110">
        <f t="shared" si="154"/>
        <v>15196</v>
      </c>
      <c r="I101" s="111">
        <f t="shared" si="154"/>
        <v>16300</v>
      </c>
      <c r="J101" s="111">
        <f t="shared" si="154"/>
        <v>16400</v>
      </c>
      <c r="K101" s="111">
        <f t="shared" si="154"/>
        <v>20000</v>
      </c>
      <c r="L101" s="111">
        <f t="shared" si="154"/>
        <v>20900</v>
      </c>
      <c r="M101" s="111">
        <f t="shared" si="154"/>
        <v>19500</v>
      </c>
      <c r="N101" s="111">
        <f t="shared" ref="N101" si="155">SUM(N97:N100)</f>
        <v>20500</v>
      </c>
      <c r="O101" s="111">
        <f t="shared" ref="O101:P101" si="156">SUM(O97:O100)</f>
        <v>18600</v>
      </c>
      <c r="P101" s="111">
        <f t="shared" si="156"/>
        <v>17200</v>
      </c>
      <c r="Q101" s="111">
        <f t="shared" ref="Q101:R101" si="157">SUM(Q97:Q100)</f>
        <v>22200</v>
      </c>
      <c r="R101" s="111">
        <f t="shared" si="157"/>
        <v>6000</v>
      </c>
      <c r="S101" s="43">
        <f t="shared" ref="S101" si="158">RATE(5,,-L101,Q101)</f>
        <v>1.2141745703488277E-2</v>
      </c>
      <c r="T101" s="118" t="str">
        <f>A101</f>
        <v>Total Other Income/Expense</v>
      </c>
      <c r="U101" s="79">
        <f t="shared" si="153"/>
        <v>3.7965315144120174E-2</v>
      </c>
      <c r="V101" s="79">
        <f t="shared" si="153"/>
        <v>3.6083031213088854E-2</v>
      </c>
      <c r="W101" s="79">
        <f t="shared" si="153"/>
        <v>2.6443198747928245E-2</v>
      </c>
      <c r="X101" s="79">
        <f t="shared" si="153"/>
        <v>3.3863354329307101E-2</v>
      </c>
      <c r="Y101" s="79">
        <f t="shared" si="153"/>
        <v>2.8592822808557235E-2</v>
      </c>
      <c r="Z101" s="79">
        <f t="shared" ref="Z101:AK101" si="159">G101/G$84</f>
        <v>2.1493261519014175E-2</v>
      </c>
      <c r="AA101" s="79">
        <f t="shared" si="159"/>
        <v>1.5787281036666261E-2</v>
      </c>
      <c r="AB101" s="79">
        <f t="shared" si="159"/>
        <v>1.5310914897614127E-2</v>
      </c>
      <c r="AC101" s="79">
        <f t="shared" si="159"/>
        <v>1.7587131367292227E-2</v>
      </c>
      <c r="AD101" s="79">
        <f t="shared" si="159"/>
        <v>1.9994001799460162E-2</v>
      </c>
      <c r="AE101" s="79">
        <f t="shared" si="159"/>
        <v>2.27198608544407E-2</v>
      </c>
      <c r="AF101" s="79">
        <f t="shared" si="159"/>
        <v>2.1597076088160371E-2</v>
      </c>
      <c r="AG101" s="79">
        <f t="shared" si="159"/>
        <v>2.1160198183319569E-2</v>
      </c>
      <c r="AH101" s="79">
        <f t="shared" si="159"/>
        <v>2.1572720946416143E-2</v>
      </c>
      <c r="AI101" s="79">
        <f t="shared" si="159"/>
        <v>1.7447758165956583E-2</v>
      </c>
      <c r="AJ101" s="79">
        <f t="shared" si="159"/>
        <v>2.3103340618170466E-2</v>
      </c>
      <c r="AK101" s="79">
        <f t="shared" si="159"/>
        <v>1.6008537886872998E-2</v>
      </c>
      <c r="AL101" s="43">
        <f>SUM(M101:Q101)/SUM(M$84:Q$84)</f>
        <v>2.0937486647011068E-2</v>
      </c>
      <c r="AM101" s="2"/>
    </row>
    <row r="102" spans="1:40" ht="12" customHeight="1" x14ac:dyDescent="0.2">
      <c r="A102" s="72"/>
      <c r="B102" s="101"/>
      <c r="C102" s="107"/>
      <c r="D102" s="107"/>
      <c r="E102" s="107"/>
      <c r="F102" s="107"/>
      <c r="G102" s="107"/>
      <c r="H102" s="107"/>
      <c r="I102" s="108"/>
      <c r="J102" s="109"/>
      <c r="K102" s="109"/>
      <c r="L102" s="109"/>
      <c r="M102" s="109"/>
      <c r="N102" s="109"/>
      <c r="O102" s="109"/>
      <c r="P102" s="109"/>
      <c r="Q102" s="109"/>
      <c r="R102" s="109"/>
      <c r="S102" s="43"/>
      <c r="T102" s="118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43"/>
      <c r="AM102" s="2"/>
    </row>
    <row r="103" spans="1:40" ht="15" x14ac:dyDescent="0.2">
      <c r="A103" s="72" t="s">
        <v>11</v>
      </c>
      <c r="B103" s="101">
        <f t="shared" ref="B103:G103" si="160">B95-B101</f>
        <v>28231</v>
      </c>
      <c r="C103" s="107">
        <f t="shared" si="160"/>
        <v>37052</v>
      </c>
      <c r="D103" s="107">
        <f t="shared" si="160"/>
        <v>39763</v>
      </c>
      <c r="E103" s="107">
        <f t="shared" si="160"/>
        <v>50188</v>
      </c>
      <c r="F103" s="107">
        <f t="shared" si="160"/>
        <v>33629</v>
      </c>
      <c r="G103" s="107">
        <f t="shared" si="160"/>
        <v>51241</v>
      </c>
      <c r="H103" s="107">
        <f t="shared" ref="H103:M103" si="161">H95-H101</f>
        <v>57251</v>
      </c>
      <c r="I103" s="108">
        <f t="shared" si="161"/>
        <v>58900</v>
      </c>
      <c r="J103" s="108">
        <f t="shared" si="161"/>
        <v>59700</v>
      </c>
      <c r="K103" s="108">
        <f t="shared" si="161"/>
        <v>64200</v>
      </c>
      <c r="L103" s="108">
        <f t="shared" si="161"/>
        <v>66000</v>
      </c>
      <c r="M103" s="108">
        <f t="shared" si="161"/>
        <v>69100</v>
      </c>
      <c r="N103" s="108">
        <f t="shared" ref="N103" si="162">N95-N101</f>
        <v>73600</v>
      </c>
      <c r="O103" s="108">
        <f t="shared" ref="O103:P103" si="163">O95-O101</f>
        <v>74300</v>
      </c>
      <c r="P103" s="108">
        <f t="shared" si="163"/>
        <v>84700</v>
      </c>
      <c r="Q103" s="108">
        <f t="shared" ref="Q103:R103" si="164">Q95-Q101</f>
        <v>87200</v>
      </c>
      <c r="R103" s="108">
        <f t="shared" si="164"/>
        <v>70600</v>
      </c>
      <c r="S103" s="51">
        <f t="shared" ref="S103" si="165">RATE(5,,-L103,Q103)</f>
        <v>5.7290937943119534E-2</v>
      </c>
      <c r="T103" s="118" t="str">
        <f>A103</f>
        <v>Earnings Before Taxes</v>
      </c>
      <c r="U103" s="43">
        <f t="shared" ref="U103:AK103" si="166">B103/B$84</f>
        <v>6.2744339763122395E-2</v>
      </c>
      <c r="V103" s="43">
        <f t="shared" si="166"/>
        <v>6.9028731542098737E-2</v>
      </c>
      <c r="W103" s="43">
        <f t="shared" si="166"/>
        <v>5.6472469617802827E-2</v>
      </c>
      <c r="X103" s="43">
        <f t="shared" si="166"/>
        <v>8.4277200589073925E-2</v>
      </c>
      <c r="Y103" s="43">
        <f t="shared" si="166"/>
        <v>5.4153415083857355E-2</v>
      </c>
      <c r="Z103" s="43">
        <f t="shared" si="166"/>
        <v>6.7052433089546754E-2</v>
      </c>
      <c r="AA103" s="43">
        <f t="shared" si="166"/>
        <v>5.9478654029361686E-2</v>
      </c>
      <c r="AB103" s="43">
        <f t="shared" si="166"/>
        <v>5.5325944016532028E-2</v>
      </c>
      <c r="AC103" s="43">
        <f t="shared" si="166"/>
        <v>6.4021447721179625E-2</v>
      </c>
      <c r="AD103" s="43">
        <f t="shared" si="166"/>
        <v>6.4180745776267117E-2</v>
      </c>
      <c r="AE103" s="43">
        <f t="shared" si="166"/>
        <v>7.174692901402327E-2</v>
      </c>
      <c r="AF103" s="43">
        <f t="shared" si="166"/>
        <v>7.6531177317532395E-2</v>
      </c>
      <c r="AG103" s="43">
        <f t="shared" si="166"/>
        <v>7.5970272502064409E-2</v>
      </c>
      <c r="AH103" s="43">
        <f t="shared" si="166"/>
        <v>8.617490141498492E-2</v>
      </c>
      <c r="AI103" s="43">
        <f t="shared" si="166"/>
        <v>8.5920064921890846E-2</v>
      </c>
      <c r="AJ103" s="43">
        <f t="shared" si="166"/>
        <v>9.0748256842543451E-2</v>
      </c>
      <c r="AK103" s="43">
        <f t="shared" si="166"/>
        <v>0.18836712913553896</v>
      </c>
      <c r="AL103" s="43">
        <f>SUM(M103:Q103)/SUM(M$84:Q$84)</f>
        <v>8.308763833696535E-2</v>
      </c>
      <c r="AM103" s="2"/>
    </row>
    <row r="104" spans="1:40" ht="15" x14ac:dyDescent="0.2">
      <c r="A104" s="72" t="s">
        <v>53</v>
      </c>
      <c r="B104" s="103">
        <v>0</v>
      </c>
      <c r="C104" s="110">
        <v>0</v>
      </c>
      <c r="D104" s="110">
        <v>0</v>
      </c>
      <c r="E104" s="110">
        <v>0</v>
      </c>
      <c r="F104" s="110">
        <v>334</v>
      </c>
      <c r="G104" s="110"/>
      <c r="H104" s="110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43"/>
      <c r="T104" s="118" t="str">
        <f>A104</f>
        <v>Extraordinary Items</v>
      </c>
      <c r="U104" s="43">
        <f t="shared" ref="U104:Y106" si="167">B104/B$84</f>
        <v>0</v>
      </c>
      <c r="V104" s="43">
        <f t="shared" si="167"/>
        <v>0</v>
      </c>
      <c r="W104" s="43">
        <f t="shared" si="167"/>
        <v>0</v>
      </c>
      <c r="X104" s="43">
        <f t="shared" si="167"/>
        <v>0</v>
      </c>
      <c r="Y104" s="43">
        <f t="shared" si="167"/>
        <v>5.3784652050338565E-4</v>
      </c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2"/>
    </row>
    <row r="105" spans="1:40" ht="15" x14ac:dyDescent="0.2">
      <c r="A105" s="72" t="s">
        <v>14</v>
      </c>
      <c r="B105" s="101">
        <v>9012</v>
      </c>
      <c r="C105" s="107">
        <v>12889</v>
      </c>
      <c r="D105" s="107">
        <v>13890</v>
      </c>
      <c r="E105" s="107">
        <v>17789</v>
      </c>
      <c r="F105" s="107">
        <v>13113</v>
      </c>
      <c r="G105" s="107">
        <v>19780</v>
      </c>
      <c r="H105" s="107">
        <v>21276</v>
      </c>
      <c r="I105" s="108">
        <v>21900</v>
      </c>
      <c r="J105" s="108">
        <v>22300</v>
      </c>
      <c r="K105" s="108">
        <v>24000</v>
      </c>
      <c r="L105" s="108">
        <v>24400</v>
      </c>
      <c r="M105" s="108">
        <v>25200</v>
      </c>
      <c r="N105" s="108">
        <v>27500</v>
      </c>
      <c r="O105" s="108">
        <v>27200</v>
      </c>
      <c r="P105" s="108">
        <v>31900</v>
      </c>
      <c r="Q105" s="108">
        <v>32000</v>
      </c>
      <c r="R105" s="108">
        <v>26800</v>
      </c>
      <c r="S105" s="51">
        <f t="shared" ref="S105:S106" si="168">RATE(5,,-L105,Q105)</f>
        <v>5.5727976512117666E-2</v>
      </c>
      <c r="T105" s="118" t="str">
        <f>A105</f>
        <v>Income Taxes</v>
      </c>
      <c r="U105" s="77">
        <f t="shared" si="167"/>
        <v>2.0029470792577629E-2</v>
      </c>
      <c r="V105" s="77">
        <f t="shared" si="167"/>
        <v>2.4012504610982147E-2</v>
      </c>
      <c r="W105" s="77">
        <f t="shared" si="167"/>
        <v>1.9726947237162219E-2</v>
      </c>
      <c r="X105" s="77">
        <f t="shared" si="167"/>
        <v>2.9871824365964691E-2</v>
      </c>
      <c r="Y105" s="77">
        <f t="shared" si="167"/>
        <v>2.1116112045990707E-2</v>
      </c>
      <c r="Z105" s="77">
        <f t="shared" ref="Z105:AK106" si="169">G105/G$84</f>
        <v>2.5883513719701698E-2</v>
      </c>
      <c r="AA105" s="77">
        <f t="shared" si="169"/>
        <v>2.2103855707825176E-2</v>
      </c>
      <c r="AB105" s="77">
        <f t="shared" si="169"/>
        <v>2.057110651888033E-2</v>
      </c>
      <c r="AC105" s="77">
        <f t="shared" si="169"/>
        <v>2.3914209115281502E-2</v>
      </c>
      <c r="AD105" s="77">
        <f t="shared" si="169"/>
        <v>2.3992802159352195E-2</v>
      </c>
      <c r="AE105" s="77">
        <f t="shared" si="169"/>
        <v>2.6524622241547995E-2</v>
      </c>
      <c r="AF105" s="77">
        <f t="shared" si="169"/>
        <v>2.7910067560084174E-2</v>
      </c>
      <c r="AG105" s="77">
        <f t="shared" si="169"/>
        <v>2.838563170933113E-2</v>
      </c>
      <c r="AH105" s="77">
        <f t="shared" si="169"/>
        <v>3.1547204824866622E-2</v>
      </c>
      <c r="AI105" s="77">
        <f t="shared" si="169"/>
        <v>3.2359504970582272E-2</v>
      </c>
      <c r="AJ105" s="77">
        <f t="shared" si="169"/>
        <v>3.330211260276824E-2</v>
      </c>
      <c r="AK105" s="77">
        <f t="shared" si="169"/>
        <v>7.1504802561366057E-2</v>
      </c>
      <c r="AL105" s="51">
        <f t="shared" ref="AL105:AL106" si="170">SUM(M105:Q105)/SUM(M$84:Q$84)</f>
        <v>3.0722556937144811E-2</v>
      </c>
      <c r="AM105" s="2"/>
    </row>
    <row r="106" spans="1:40" ht="16.5" thickBot="1" x14ac:dyDescent="0.3">
      <c r="A106" s="117" t="s">
        <v>16</v>
      </c>
      <c r="B106" s="103">
        <f t="shared" ref="B106:K106" si="171">B103-B104-B105</f>
        <v>19219</v>
      </c>
      <c r="C106" s="110">
        <f t="shared" si="171"/>
        <v>24163</v>
      </c>
      <c r="D106" s="110">
        <f t="shared" si="171"/>
        <v>25873</v>
      </c>
      <c r="E106" s="110">
        <f t="shared" si="171"/>
        <v>32399</v>
      </c>
      <c r="F106" s="110">
        <f t="shared" si="171"/>
        <v>20182</v>
      </c>
      <c r="G106" s="110">
        <f t="shared" si="171"/>
        <v>31461</v>
      </c>
      <c r="H106" s="110">
        <f t="shared" si="171"/>
        <v>35975</v>
      </c>
      <c r="I106" s="111">
        <f t="shared" si="171"/>
        <v>37000</v>
      </c>
      <c r="J106" s="111">
        <f t="shared" si="171"/>
        <v>37400</v>
      </c>
      <c r="K106" s="111">
        <f t="shared" si="171"/>
        <v>40200</v>
      </c>
      <c r="L106" s="111">
        <f t="shared" ref="L106" si="172">L103-L104-L105</f>
        <v>41600</v>
      </c>
      <c r="M106" s="111">
        <f t="shared" ref="M106:O106" si="173">M103-M104-M105</f>
        <v>43900</v>
      </c>
      <c r="N106" s="111">
        <f t="shared" ref="N106" si="174">N103-N104-N105</f>
        <v>46100</v>
      </c>
      <c r="O106" s="111">
        <f t="shared" si="173"/>
        <v>47100</v>
      </c>
      <c r="P106" s="111">
        <f t="shared" ref="P106:Q106" si="175">P103-P104-P105</f>
        <v>52800</v>
      </c>
      <c r="Q106" s="111">
        <f t="shared" si="175"/>
        <v>55200</v>
      </c>
      <c r="R106" s="111">
        <f t="shared" ref="R106" si="176">R103-R104-R105</f>
        <v>43800</v>
      </c>
      <c r="S106" s="81">
        <f t="shared" si="168"/>
        <v>5.8203392293340053E-2</v>
      </c>
      <c r="T106" s="154" t="str">
        <f>A106</f>
        <v>Net Income</v>
      </c>
      <c r="U106" s="85">
        <f t="shared" si="167"/>
        <v>4.2714868970544766E-2</v>
      </c>
      <c r="V106" s="85">
        <f t="shared" si="167"/>
        <v>4.5016226931116586E-2</v>
      </c>
      <c r="W106" s="85">
        <f t="shared" si="167"/>
        <v>3.6745522380640605E-2</v>
      </c>
      <c r="X106" s="85">
        <f t="shared" si="167"/>
        <v>5.4405376223109231E-2</v>
      </c>
      <c r="Y106" s="85">
        <f t="shared" si="167"/>
        <v>3.2499456517363266E-2</v>
      </c>
      <c r="Z106" s="85">
        <f t="shared" si="169"/>
        <v>4.1168919369845056E-2</v>
      </c>
      <c r="AA106" s="85">
        <f t="shared" si="169"/>
        <v>3.7374798321536506E-2</v>
      </c>
      <c r="AB106" s="85">
        <f t="shared" si="169"/>
        <v>3.4754837497651701E-2</v>
      </c>
      <c r="AC106" s="85">
        <f t="shared" si="169"/>
        <v>4.0107238605898127E-2</v>
      </c>
      <c r="AD106" s="85">
        <f t="shared" si="169"/>
        <v>4.0187943616914926E-2</v>
      </c>
      <c r="AE106" s="85">
        <f t="shared" si="169"/>
        <v>4.5222306772475268E-2</v>
      </c>
      <c r="AF106" s="85">
        <f t="shared" si="169"/>
        <v>4.8621109757448225E-2</v>
      </c>
      <c r="AG106" s="85">
        <f t="shared" si="169"/>
        <v>4.7584640792733279E-2</v>
      </c>
      <c r="AH106" s="85">
        <f t="shared" si="169"/>
        <v>5.4627696590118305E-2</v>
      </c>
      <c r="AI106" s="85">
        <f t="shared" si="169"/>
        <v>5.3560559951308581E-2</v>
      </c>
      <c r="AJ106" s="85">
        <f t="shared" si="169"/>
        <v>5.7446144239775211E-2</v>
      </c>
      <c r="AK106" s="85">
        <f t="shared" si="169"/>
        <v>0.11686232657417289</v>
      </c>
      <c r="AL106" s="81">
        <f t="shared" si="170"/>
        <v>5.2365081399820539E-2</v>
      </c>
      <c r="AM106" s="7">
        <f>+O106-N106</f>
        <v>1000</v>
      </c>
      <c r="AN106" s="201">
        <f>+AM106/N106</f>
        <v>2.1691973969631236E-2</v>
      </c>
    </row>
    <row r="107" spans="1:40" ht="15.75" thickTop="1" x14ac:dyDescent="0.2">
      <c r="A107" s="72"/>
      <c r="B107" s="103"/>
      <c r="C107" s="114"/>
      <c r="D107" s="114"/>
      <c r="E107" s="114"/>
      <c r="F107" s="114"/>
      <c r="G107" s="114"/>
      <c r="H107" s="114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43"/>
      <c r="T107" s="118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43"/>
      <c r="AM107" s="2"/>
    </row>
    <row r="108" spans="1:40" ht="15" x14ac:dyDescent="0.2">
      <c r="A108" s="72" t="s">
        <v>56</v>
      </c>
      <c r="B108" s="101">
        <v>0</v>
      </c>
      <c r="C108" s="107">
        <v>0</v>
      </c>
      <c r="D108" s="107">
        <v>0</v>
      </c>
      <c r="E108" s="107">
        <v>0</v>
      </c>
      <c r="F108" s="107">
        <v>0</v>
      </c>
      <c r="G108" s="107"/>
      <c r="H108" s="107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43"/>
      <c r="T108" s="118" t="str">
        <f>A108</f>
        <v>Preferred Stock Dividends</v>
      </c>
      <c r="U108" s="43">
        <f t="shared" ref="U108:Y109" si="177">B108/B$106</f>
        <v>0</v>
      </c>
      <c r="V108" s="43">
        <f t="shared" si="177"/>
        <v>0</v>
      </c>
      <c r="W108" s="43">
        <f t="shared" si="177"/>
        <v>0</v>
      </c>
      <c r="X108" s="43">
        <f t="shared" si="177"/>
        <v>0</v>
      </c>
      <c r="Y108" s="43">
        <f t="shared" si="177"/>
        <v>0</v>
      </c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2"/>
    </row>
    <row r="109" spans="1:40" ht="15" x14ac:dyDescent="0.2">
      <c r="A109" s="72" t="s">
        <v>57</v>
      </c>
      <c r="B109" s="101">
        <f>'Historical CF - Exhibit 1B'!B42*-1</f>
        <v>23000</v>
      </c>
      <c r="C109" s="107">
        <f>'Historical CF - Exhibit 1B'!C42*-1</f>
        <v>23500</v>
      </c>
      <c r="D109" s="107">
        <f>'Historical CF - Exhibit 1B'!D42*-1</f>
        <v>24000</v>
      </c>
      <c r="E109" s="107">
        <f>'Historical CF - Exhibit 1B'!E42*-1</f>
        <v>24500</v>
      </c>
      <c r="F109" s="107">
        <f>'Historical CF - Exhibit 1B'!F42*-1</f>
        <v>25000</v>
      </c>
      <c r="G109" s="107">
        <f>'Historical CF - Exhibit 1B'!G42*-1</f>
        <v>25500</v>
      </c>
      <c r="H109" s="107">
        <f>'Historical CF - Exhibit 1B'!H42*-1</f>
        <v>26000</v>
      </c>
      <c r="I109" s="108">
        <v>26500</v>
      </c>
      <c r="J109" s="108">
        <v>27000</v>
      </c>
      <c r="K109" s="108">
        <v>27500</v>
      </c>
      <c r="L109" s="108">
        <v>28200</v>
      </c>
      <c r="M109" s="108">
        <v>28800</v>
      </c>
      <c r="N109" s="108">
        <v>30300</v>
      </c>
      <c r="O109" s="108">
        <v>33000</v>
      </c>
      <c r="P109" s="108">
        <v>35500</v>
      </c>
      <c r="Q109" s="108">
        <f>9000*4</f>
        <v>36000</v>
      </c>
      <c r="R109" s="108">
        <v>9500</v>
      </c>
      <c r="S109" s="43">
        <f t="shared" ref="S109" si="178">RATE(5,,-L109,Q109)</f>
        <v>5.0051690601942776E-2</v>
      </c>
      <c r="T109" s="118" t="str">
        <f>A109</f>
        <v>Common Stock Dividends</v>
      </c>
      <c r="U109" s="43">
        <f t="shared" si="177"/>
        <v>1.1967324002289401</v>
      </c>
      <c r="V109" s="43">
        <f t="shared" si="177"/>
        <v>0.9725613541364897</v>
      </c>
      <c r="W109" s="43">
        <f t="shared" si="177"/>
        <v>0.92760793104781047</v>
      </c>
      <c r="X109" s="43">
        <f t="shared" si="177"/>
        <v>0.75619617889441038</v>
      </c>
      <c r="Y109" s="43">
        <f t="shared" si="177"/>
        <v>1.2387275790308196</v>
      </c>
      <c r="Z109" s="43">
        <f t="shared" ref="Z109:AK109" si="179">G109/G$106</f>
        <v>0.81052731953847623</v>
      </c>
      <c r="AA109" s="43">
        <f t="shared" si="179"/>
        <v>0.72272411396803338</v>
      </c>
      <c r="AB109" s="43">
        <f t="shared" si="179"/>
        <v>0.71621621621621623</v>
      </c>
      <c r="AC109" s="43">
        <f t="shared" si="179"/>
        <v>0.72192513368983957</v>
      </c>
      <c r="AD109" s="43">
        <f t="shared" si="179"/>
        <v>0.6840796019900498</v>
      </c>
      <c r="AE109" s="43">
        <f t="shared" si="179"/>
        <v>0.67788461538461542</v>
      </c>
      <c r="AF109" s="43">
        <f t="shared" si="179"/>
        <v>0.6560364464692483</v>
      </c>
      <c r="AG109" s="43">
        <f t="shared" si="179"/>
        <v>0.65726681127982645</v>
      </c>
      <c r="AH109" s="160">
        <f t="shared" si="179"/>
        <v>0.70063694267515919</v>
      </c>
      <c r="AI109" s="160">
        <f t="shared" si="179"/>
        <v>0.67234848484848486</v>
      </c>
      <c r="AJ109" s="160">
        <f t="shared" si="179"/>
        <v>0.65217391304347827</v>
      </c>
      <c r="AK109" s="160">
        <f t="shared" si="179"/>
        <v>0.21689497716894976</v>
      </c>
      <c r="AL109" s="43">
        <f>SUM(M109:Q109)/SUM(M$106:Q$106)</f>
        <v>0.66748266013871893</v>
      </c>
      <c r="AM109" s="2"/>
    </row>
    <row r="110" spans="1:40" ht="15" x14ac:dyDescent="0.2">
      <c r="A110" s="72"/>
      <c r="B110" s="101"/>
      <c r="C110" s="101"/>
      <c r="D110" s="101"/>
      <c r="E110" s="101"/>
      <c r="F110" s="101"/>
      <c r="G110" s="101"/>
      <c r="H110" s="101"/>
      <c r="I110" s="101"/>
      <c r="O110" s="214"/>
      <c r="P110" s="143"/>
      <c r="Q110" s="143"/>
      <c r="R110" s="143"/>
      <c r="S110" s="43"/>
      <c r="AM110" s="2"/>
    </row>
    <row r="111" spans="1:40" ht="15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S111" s="43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</row>
    <row r="112" spans="1:4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91" t="s">
        <v>114</v>
      </c>
      <c r="AL112" s="23" t="str">
        <f>+S112</f>
        <v>Exhibit 1</v>
      </c>
    </row>
    <row r="113" spans="1:38" ht="15.75" x14ac:dyDescent="0.25">
      <c r="A113" s="3"/>
      <c r="B113" s="2"/>
      <c r="C113" s="2"/>
      <c r="D113" s="2"/>
      <c r="E113" s="2"/>
      <c r="G113" s="143"/>
      <c r="H113" s="143"/>
      <c r="I113" s="143"/>
      <c r="J113" s="143"/>
      <c r="K113" s="143"/>
      <c r="L113" s="143"/>
      <c r="S113" s="152" t="s">
        <v>234</v>
      </c>
      <c r="AL113" s="152" t="s">
        <v>232</v>
      </c>
    </row>
    <row r="114" spans="1:38" ht="20.25" x14ac:dyDescent="0.3">
      <c r="A114" s="64" t="str">
        <f>A3</f>
        <v>Questar Gas Company</v>
      </c>
      <c r="B114" s="5"/>
      <c r="C114" s="5"/>
      <c r="D114" s="5"/>
      <c r="E114" s="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  <c r="T114" s="254" t="str">
        <f>+A114</f>
        <v>Questar Gas Company</v>
      </c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</row>
    <row r="115" spans="1:38" ht="15.75" x14ac:dyDescent="0.25">
      <c r="A115" s="65" t="s">
        <v>47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86"/>
      <c r="T115" s="255" t="s">
        <v>146</v>
      </c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</row>
    <row r="116" spans="1:38" ht="15.75" x14ac:dyDescent="0.25">
      <c r="A116" s="68" t="str">
        <f>A5</f>
        <v>Years Ended December 31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86"/>
      <c r="T116" s="256" t="str">
        <f>+A116</f>
        <v>Years Ended December 31</v>
      </c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</row>
    <row r="117" spans="1:38" ht="15.75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86"/>
    </row>
    <row r="118" spans="1:38" ht="15.75" x14ac:dyDescent="0.2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184"/>
      <c r="P118" s="184"/>
      <c r="Q118" s="184"/>
      <c r="R118" s="184"/>
      <c r="S118" s="88"/>
      <c r="AD118" s="202"/>
      <c r="AE118" s="202"/>
      <c r="AF118" s="202"/>
      <c r="AG118" s="202"/>
      <c r="AH118" s="202"/>
      <c r="AI118" s="202"/>
    </row>
    <row r="119" spans="1:38" ht="15.75" x14ac:dyDescent="0.25">
      <c r="A119" s="87"/>
      <c r="B119" s="87"/>
      <c r="C119" s="87"/>
      <c r="D119" s="87"/>
      <c r="E119" s="87"/>
      <c r="F119" s="87"/>
      <c r="G119" s="87"/>
      <c r="H119" s="89"/>
      <c r="I119" s="89"/>
      <c r="J119" s="89"/>
      <c r="K119" s="90"/>
      <c r="L119" s="90"/>
      <c r="M119" s="90"/>
      <c r="N119" s="90"/>
      <c r="O119" s="185"/>
      <c r="P119" s="208"/>
      <c r="Q119" s="208"/>
      <c r="R119" s="208" t="str">
        <f>+R78</f>
        <v>1st Qrtr</v>
      </c>
      <c r="S119" s="122" t="s">
        <v>224</v>
      </c>
      <c r="AF119" s="147"/>
      <c r="AG119" s="147"/>
      <c r="AH119" s="147"/>
      <c r="AI119" s="209"/>
      <c r="AJ119" s="209"/>
      <c r="AK119" s="209" t="str">
        <f>+R119</f>
        <v>1st Qrtr</v>
      </c>
      <c r="AL119" s="159" t="str">
        <f>+AL78</f>
        <v>2010 to 2014</v>
      </c>
    </row>
    <row r="120" spans="1:38" ht="15.75" x14ac:dyDescent="0.25">
      <c r="A120" s="94" t="s">
        <v>27</v>
      </c>
      <c r="B120" s="93">
        <f t="shared" ref="B120:K120" si="180">U9</f>
        <v>1999</v>
      </c>
      <c r="C120" s="93">
        <f t="shared" si="180"/>
        <v>2000</v>
      </c>
      <c r="D120" s="93">
        <f t="shared" si="180"/>
        <v>2001</v>
      </c>
      <c r="E120" s="93">
        <f t="shared" si="180"/>
        <v>2002</v>
      </c>
      <c r="F120" s="93">
        <f t="shared" si="180"/>
        <v>2003</v>
      </c>
      <c r="G120" s="93">
        <f t="shared" si="180"/>
        <v>2004</v>
      </c>
      <c r="H120" s="93">
        <f t="shared" si="180"/>
        <v>2005</v>
      </c>
      <c r="I120" s="93">
        <f t="shared" si="180"/>
        <v>2006</v>
      </c>
      <c r="J120" s="93">
        <f t="shared" si="180"/>
        <v>2007</v>
      </c>
      <c r="K120" s="93">
        <f t="shared" si="180"/>
        <v>2008</v>
      </c>
      <c r="L120" s="93">
        <f>+L79</f>
        <v>2009</v>
      </c>
      <c r="M120" s="93">
        <f>+M9</f>
        <v>2010</v>
      </c>
      <c r="N120" s="93">
        <f>+N9</f>
        <v>2011</v>
      </c>
      <c r="O120" s="186">
        <f>+O9</f>
        <v>2012</v>
      </c>
      <c r="P120" s="186">
        <f>+P9</f>
        <v>2013</v>
      </c>
      <c r="Q120" s="186">
        <f>+Q79</f>
        <v>2014</v>
      </c>
      <c r="R120" s="186">
        <f>+R79</f>
        <v>2015</v>
      </c>
      <c r="S120" s="120" t="s">
        <v>2</v>
      </c>
      <c r="T120" s="8"/>
      <c r="Z120" s="147">
        <f t="shared" ref="Z120:AJ120" si="181">+G120</f>
        <v>2004</v>
      </c>
      <c r="AA120" s="147">
        <f t="shared" si="181"/>
        <v>2005</v>
      </c>
      <c r="AB120" s="147">
        <f t="shared" si="181"/>
        <v>2006</v>
      </c>
      <c r="AC120" s="147">
        <f t="shared" si="181"/>
        <v>2007</v>
      </c>
      <c r="AD120" s="147">
        <f t="shared" si="181"/>
        <v>2008</v>
      </c>
      <c r="AE120" s="147">
        <f t="shared" si="181"/>
        <v>2009</v>
      </c>
      <c r="AF120" s="147">
        <f t="shared" si="181"/>
        <v>2010</v>
      </c>
      <c r="AG120" s="147">
        <f t="shared" si="181"/>
        <v>2011</v>
      </c>
      <c r="AH120" s="147">
        <f t="shared" si="181"/>
        <v>2012</v>
      </c>
      <c r="AI120" s="147">
        <f t="shared" si="181"/>
        <v>2013</v>
      </c>
      <c r="AJ120" s="147">
        <f t="shared" si="181"/>
        <v>2014</v>
      </c>
      <c r="AK120" s="147">
        <f>+R120</f>
        <v>2015</v>
      </c>
      <c r="AL120" s="161" t="str">
        <f>+S120</f>
        <v>Average</v>
      </c>
    </row>
    <row r="121" spans="1:38" ht="15.75" customHeight="1" x14ac:dyDescent="0.25">
      <c r="A121" s="73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5"/>
      <c r="T121" s="162" t="s">
        <v>152</v>
      </c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4"/>
    </row>
    <row r="122" spans="1:38" ht="15.75" x14ac:dyDescent="0.25">
      <c r="A122" s="117" t="s">
        <v>35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43"/>
      <c r="T122" s="165" t="s">
        <v>147</v>
      </c>
      <c r="U122" s="8"/>
      <c r="V122" s="8"/>
      <c r="W122" s="8"/>
      <c r="X122" s="8"/>
      <c r="Y122" s="8"/>
      <c r="Z122" s="166">
        <v>680.7</v>
      </c>
      <c r="AA122" s="166">
        <v>867.8</v>
      </c>
      <c r="AB122" s="166">
        <v>988.4</v>
      </c>
      <c r="AC122" s="166">
        <v>876.6</v>
      </c>
      <c r="AD122" s="166">
        <v>926.7</v>
      </c>
      <c r="AE122" s="166">
        <v>874</v>
      </c>
      <c r="AF122" s="166">
        <v>833</v>
      </c>
      <c r="AG122" s="166">
        <v>893</v>
      </c>
      <c r="AH122" s="166">
        <v>788.4</v>
      </c>
      <c r="AI122" s="166">
        <v>910.3</v>
      </c>
      <c r="AJ122" s="240">
        <v>875.7</v>
      </c>
      <c r="AK122" s="166">
        <v>356.2</v>
      </c>
      <c r="AL122" s="167">
        <f>AVERAGE(AF122:AJ122)</f>
        <v>860.07999999999993</v>
      </c>
    </row>
    <row r="123" spans="1:38" ht="15" x14ac:dyDescent="0.2">
      <c r="A123" s="72" t="s">
        <v>6</v>
      </c>
      <c r="B123" s="116">
        <f t="shared" ref="B123:R123" si="182">B21/B52</f>
        <v>0.74089079724873141</v>
      </c>
      <c r="C123" s="116">
        <f t="shared" si="182"/>
        <v>0.71808631481641061</v>
      </c>
      <c r="D123" s="116">
        <f t="shared" si="182"/>
        <v>0.97588302316748954</v>
      </c>
      <c r="E123" s="116">
        <f t="shared" si="182"/>
        <v>0.94074924113422664</v>
      </c>
      <c r="F123" s="116">
        <f t="shared" si="182"/>
        <v>0.84477470859297543</v>
      </c>
      <c r="G123" s="116">
        <f t="shared" si="182"/>
        <v>0.81890669001086347</v>
      </c>
      <c r="H123" s="116">
        <f t="shared" si="182"/>
        <v>1.0078733653598355</v>
      </c>
      <c r="I123" s="116">
        <f t="shared" si="182"/>
        <v>0.83897002305918522</v>
      </c>
      <c r="J123" s="116">
        <f t="shared" si="182"/>
        <v>0.60538236077804419</v>
      </c>
      <c r="K123" s="116">
        <f t="shared" si="182"/>
        <v>0.84523809523809523</v>
      </c>
      <c r="L123" s="116">
        <f t="shared" si="182"/>
        <v>0.86538461538461542</v>
      </c>
      <c r="M123" s="116">
        <f t="shared" si="182"/>
        <v>0.84213564213564218</v>
      </c>
      <c r="N123" s="116">
        <f t="shared" si="182"/>
        <v>0.57834424695977549</v>
      </c>
      <c r="O123" s="116">
        <f t="shared" si="182"/>
        <v>0.69234629861982433</v>
      </c>
      <c r="P123" s="116">
        <f t="shared" si="182"/>
        <v>1.2085289514866979</v>
      </c>
      <c r="Q123" s="116">
        <f t="shared" si="182"/>
        <v>0.99809316262598746</v>
      </c>
      <c r="R123" s="116">
        <f t="shared" si="182"/>
        <v>0.99602069239952251</v>
      </c>
      <c r="S123" s="116">
        <f>AVERAGE(M123:Q123)</f>
        <v>0.86388966036558534</v>
      </c>
      <c r="T123" s="165" t="s">
        <v>148</v>
      </c>
      <c r="U123" s="8"/>
      <c r="V123" s="8"/>
      <c r="W123" s="8"/>
      <c r="X123" s="8"/>
      <c r="Y123" s="8"/>
      <c r="Z123" s="166">
        <v>49.1</v>
      </c>
      <c r="AA123" s="166">
        <v>40.1</v>
      </c>
      <c r="AB123" s="166">
        <v>23.5</v>
      </c>
      <c r="AC123" s="166">
        <v>9.9</v>
      </c>
      <c r="AD123" s="166">
        <v>12</v>
      </c>
      <c r="AE123" s="166">
        <v>8.3000000000000007</v>
      </c>
      <c r="AF123" s="166">
        <v>26.7</v>
      </c>
      <c r="AG123" s="166">
        <v>29.7</v>
      </c>
      <c r="AH123" s="166">
        <v>27.4</v>
      </c>
      <c r="AI123" s="166">
        <v>28.1</v>
      </c>
      <c r="AJ123" s="240">
        <v>29.9</v>
      </c>
      <c r="AK123" s="166">
        <v>6.1</v>
      </c>
      <c r="AL123" s="167">
        <f t="shared" ref="AL123:AL127" si="183">AVERAGE(AF123:AJ123)</f>
        <v>28.360000000000003</v>
      </c>
    </row>
    <row r="124" spans="1:38" ht="15" x14ac:dyDescent="0.2">
      <c r="A124" s="72" t="s">
        <v>26</v>
      </c>
      <c r="B124" s="116">
        <f t="shared" ref="B124:R124" si="184">(B12+B14)/B52</f>
        <v>0.57075363762400222</v>
      </c>
      <c r="C124" s="116">
        <f t="shared" si="184"/>
        <v>0.4543043815462714</v>
      </c>
      <c r="D124" s="116">
        <f t="shared" si="184"/>
        <v>0.73504721243631888</v>
      </c>
      <c r="E124" s="116">
        <f t="shared" si="184"/>
        <v>0.69394388095061821</v>
      </c>
      <c r="F124" s="116">
        <f t="shared" si="184"/>
        <v>0.68902028675786886</v>
      </c>
      <c r="G124" s="116">
        <f t="shared" si="184"/>
        <v>0.48582297083030107</v>
      </c>
      <c r="H124" s="116">
        <f t="shared" si="184"/>
        <v>0.63653334038180698</v>
      </c>
      <c r="I124" s="116">
        <f t="shared" si="184"/>
        <v>0.60146041506533432</v>
      </c>
      <c r="J124" s="116">
        <f t="shared" si="184"/>
        <v>0.41859845456967759</v>
      </c>
      <c r="K124" s="116">
        <f t="shared" si="184"/>
        <v>0.52321428571428574</v>
      </c>
      <c r="L124" s="116">
        <f t="shared" si="184"/>
        <v>0.54001240694789077</v>
      </c>
      <c r="M124" s="116">
        <f t="shared" si="184"/>
        <v>0.50793650793650791</v>
      </c>
      <c r="N124" s="116">
        <f t="shared" si="184"/>
        <v>0.36973807296538819</v>
      </c>
      <c r="O124" s="116">
        <f t="shared" si="184"/>
        <v>0.4476787954830615</v>
      </c>
      <c r="P124" s="116">
        <f t="shared" si="184"/>
        <v>0.85563380281690138</v>
      </c>
      <c r="Q124" s="116">
        <f t="shared" si="184"/>
        <v>0.61318441841460092</v>
      </c>
      <c r="R124" s="116">
        <f t="shared" si="184"/>
        <v>0.71229606048547556</v>
      </c>
      <c r="S124" s="116">
        <f t="shared" ref="S124:S125" si="185">AVERAGE(M124:Q124)</f>
        <v>0.55883431952329199</v>
      </c>
      <c r="T124" s="165" t="s">
        <v>155</v>
      </c>
      <c r="U124" s="8"/>
      <c r="V124" s="8"/>
      <c r="W124" s="8"/>
      <c r="X124" s="8"/>
      <c r="Y124" s="8"/>
      <c r="Z124" s="166">
        <v>6.4</v>
      </c>
      <c r="AA124" s="166">
        <v>5.9</v>
      </c>
      <c r="AB124" s="166">
        <v>6.7</v>
      </c>
      <c r="AC124" s="166">
        <v>9.9</v>
      </c>
      <c r="AD124" s="166">
        <v>9.9</v>
      </c>
      <c r="AE124" s="166">
        <v>11.2</v>
      </c>
      <c r="AF124" s="166">
        <v>9.6999999999999993</v>
      </c>
      <c r="AG124" s="166">
        <v>11.3</v>
      </c>
      <c r="AH124" s="166">
        <v>11.9</v>
      </c>
      <c r="AI124" s="166">
        <v>14.4</v>
      </c>
      <c r="AJ124" s="240">
        <v>17.899999999999999</v>
      </c>
      <c r="AK124" s="166">
        <v>5.3</v>
      </c>
      <c r="AL124" s="167">
        <f t="shared" si="183"/>
        <v>13.039999999999997</v>
      </c>
    </row>
    <row r="125" spans="1:38" ht="15" x14ac:dyDescent="0.2">
      <c r="A125" s="72" t="s">
        <v>9</v>
      </c>
      <c r="B125" s="116">
        <f>365*(B14/B84)</f>
        <v>67.411148671925176</v>
      </c>
      <c r="C125" s="116">
        <f t="shared" ref="C125:R125" si="186">365*(((B14+C14)/2)/((B84+C84)/2))</f>
        <v>73.317835530389715</v>
      </c>
      <c r="D125" s="116">
        <f t="shared" si="186"/>
        <v>65.591018434572376</v>
      </c>
      <c r="E125" s="116">
        <f t="shared" si="186"/>
        <v>55.783642038004842</v>
      </c>
      <c r="F125" s="116">
        <f t="shared" si="186"/>
        <v>66.299155121306427</v>
      </c>
      <c r="G125" s="116">
        <f t="shared" si="186"/>
        <v>70.166930409446223</v>
      </c>
      <c r="H125" s="116">
        <f t="shared" si="186"/>
        <v>68.80598990004286</v>
      </c>
      <c r="I125" s="116">
        <f t="shared" si="186"/>
        <v>61.642354994482396</v>
      </c>
      <c r="J125" s="116">
        <f t="shared" si="186"/>
        <v>55.907816333683847</v>
      </c>
      <c r="K125" s="116">
        <f t="shared" si="186"/>
        <v>61.86568708609272</v>
      </c>
      <c r="L125" s="116">
        <f t="shared" si="186"/>
        <v>64.913811061347772</v>
      </c>
      <c r="M125" s="116">
        <f t="shared" si="186"/>
        <v>67.721637041913539</v>
      </c>
      <c r="N125" s="116">
        <f t="shared" si="186"/>
        <v>63.261206389912914</v>
      </c>
      <c r="O125" s="116">
        <f t="shared" si="186"/>
        <v>65.803659202621517</v>
      </c>
      <c r="P125" s="116">
        <f t="shared" si="186"/>
        <v>76.416937229437224</v>
      </c>
      <c r="Q125" s="116">
        <f t="shared" si="186"/>
        <v>77.848666974880572</v>
      </c>
      <c r="R125" s="116">
        <f t="shared" si="186"/>
        <v>105.01572209328442</v>
      </c>
      <c r="S125" s="116">
        <f t="shared" si="185"/>
        <v>70.210421367753156</v>
      </c>
      <c r="T125" s="165" t="s">
        <v>149</v>
      </c>
      <c r="U125" s="8"/>
      <c r="V125" s="8"/>
      <c r="W125" s="8"/>
      <c r="X125" s="8"/>
      <c r="Y125" s="8"/>
      <c r="Z125" s="166">
        <v>5.3</v>
      </c>
      <c r="AA125" s="166">
        <v>6.6</v>
      </c>
      <c r="AB125" s="166">
        <v>7.1</v>
      </c>
      <c r="AC125" s="166">
        <v>5.9</v>
      </c>
      <c r="AD125" s="166">
        <v>5.6</v>
      </c>
      <c r="AE125" s="166">
        <v>5.4</v>
      </c>
      <c r="AF125" s="166">
        <v>4.8</v>
      </c>
      <c r="AG125" s="166">
        <v>5.0999999999999996</v>
      </c>
      <c r="AH125" s="166">
        <v>4.5</v>
      </c>
      <c r="AI125" s="166">
        <v>4.8</v>
      </c>
      <c r="AJ125" s="240">
        <v>4.8</v>
      </c>
      <c r="AK125" s="166">
        <v>1.4</v>
      </c>
      <c r="AL125" s="167">
        <f t="shared" si="183"/>
        <v>4.8</v>
      </c>
    </row>
    <row r="126" spans="1:38" ht="15" x14ac:dyDescent="0.2">
      <c r="A126" s="72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65" t="s">
        <v>150</v>
      </c>
      <c r="U126" s="8"/>
      <c r="V126" s="8"/>
      <c r="W126" s="8"/>
      <c r="X126" s="8"/>
      <c r="Y126" s="8"/>
      <c r="Z126" s="149">
        <v>22.7</v>
      </c>
      <c r="AA126" s="149">
        <v>42.1</v>
      </c>
      <c r="AB126" s="149">
        <v>38.9</v>
      </c>
      <c r="AC126" s="149">
        <v>30.2</v>
      </c>
      <c r="AD126" s="149">
        <v>46.1</v>
      </c>
      <c r="AE126" s="149">
        <v>21</v>
      </c>
      <c r="AF126" s="149">
        <v>28.7</v>
      </c>
      <c r="AG126" s="149">
        <v>29.7</v>
      </c>
      <c r="AH126" s="149">
        <v>30</v>
      </c>
      <c r="AI126" s="149">
        <v>28.2</v>
      </c>
      <c r="AJ126" s="241">
        <v>32.6</v>
      </c>
      <c r="AK126" s="149">
        <v>5.8</v>
      </c>
      <c r="AL126" s="178">
        <f t="shared" si="183"/>
        <v>29.840000000000003</v>
      </c>
    </row>
    <row r="127" spans="1:38" ht="15.75" x14ac:dyDescent="0.25">
      <c r="A127" s="117" t="s">
        <v>15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65" t="s">
        <v>151</v>
      </c>
      <c r="U127" s="8"/>
      <c r="V127" s="8"/>
      <c r="W127" s="8"/>
      <c r="X127" s="8"/>
      <c r="Y127" s="8"/>
      <c r="Z127" s="166">
        <f t="shared" ref="Z127:AE127" si="187">+Z126+Z125+Z124+Z123+Z122</f>
        <v>764.2</v>
      </c>
      <c r="AA127" s="166">
        <f t="shared" si="187"/>
        <v>962.5</v>
      </c>
      <c r="AB127" s="166">
        <f t="shared" si="187"/>
        <v>1064.5999999999999</v>
      </c>
      <c r="AC127" s="166">
        <f t="shared" si="187"/>
        <v>932.5</v>
      </c>
      <c r="AD127" s="166">
        <f t="shared" si="187"/>
        <v>1000.3000000000001</v>
      </c>
      <c r="AE127" s="166">
        <f t="shared" si="187"/>
        <v>919.9</v>
      </c>
      <c r="AF127" s="166">
        <f t="shared" ref="AF127:AK127" si="188">+AF126+AF125+AF124+AF123+AF122</f>
        <v>902.9</v>
      </c>
      <c r="AG127" s="166">
        <f t="shared" si="188"/>
        <v>968.8</v>
      </c>
      <c r="AH127" s="166">
        <f t="shared" si="188"/>
        <v>862.19999999999993</v>
      </c>
      <c r="AI127" s="166">
        <f t="shared" si="188"/>
        <v>985.8</v>
      </c>
      <c r="AJ127" s="166">
        <f t="shared" si="188"/>
        <v>960.90000000000009</v>
      </c>
      <c r="AK127" s="166">
        <f t="shared" si="188"/>
        <v>374.8</v>
      </c>
      <c r="AL127" s="167">
        <f t="shared" si="183"/>
        <v>936.12000000000012</v>
      </c>
    </row>
    <row r="128" spans="1:38" ht="15.75" x14ac:dyDescent="0.25">
      <c r="A128" s="72" t="s">
        <v>19</v>
      </c>
      <c r="B128" s="116">
        <f t="shared" ref="B128:R128" si="189">B67/B60</f>
        <v>0.57239562846755143</v>
      </c>
      <c r="C128" s="116">
        <f t="shared" si="189"/>
        <v>0.46630759178483761</v>
      </c>
      <c r="D128" s="116">
        <f t="shared" si="189"/>
        <v>0.57950427625659429</v>
      </c>
      <c r="E128" s="116">
        <f t="shared" si="189"/>
        <v>0.60588883761967549</v>
      </c>
      <c r="F128" s="116">
        <f t="shared" si="189"/>
        <v>0.51432917999607197</v>
      </c>
      <c r="G128" s="116">
        <f t="shared" si="189"/>
        <v>0.45211775665786752</v>
      </c>
      <c r="H128" s="116">
        <f t="shared" si="189"/>
        <v>0.4038168549003987</v>
      </c>
      <c r="I128" s="116">
        <f t="shared" si="189"/>
        <v>0.44318945811483124</v>
      </c>
      <c r="J128" s="116">
        <f t="shared" si="189"/>
        <v>0.41197097944377264</v>
      </c>
      <c r="K128" s="116">
        <f t="shared" si="189"/>
        <v>0.41786179921773142</v>
      </c>
      <c r="L128" s="116">
        <f t="shared" si="189"/>
        <v>0.4244229337304542</v>
      </c>
      <c r="M128" s="116">
        <f t="shared" si="189"/>
        <v>0.4172524603334003</v>
      </c>
      <c r="N128" s="116">
        <f t="shared" si="189"/>
        <v>0.45453632070732441</v>
      </c>
      <c r="O128" s="116">
        <f t="shared" si="189"/>
        <v>0.40390429299473091</v>
      </c>
      <c r="P128" s="116">
        <f t="shared" si="189"/>
        <v>0.47389194967519116</v>
      </c>
      <c r="Q128" s="116">
        <f t="shared" si="189"/>
        <v>0.43513119533527694</v>
      </c>
      <c r="R128" s="116">
        <f t="shared" si="189"/>
        <v>0.50230634642913952</v>
      </c>
      <c r="S128" s="116">
        <f t="shared" ref="S128:S131" si="190">AVERAGE(M128:Q128)</f>
        <v>0.43694324380918481</v>
      </c>
      <c r="T128" s="170" t="s">
        <v>167</v>
      </c>
      <c r="U128" s="8"/>
      <c r="V128" s="8"/>
      <c r="W128" s="8"/>
      <c r="X128" s="8"/>
      <c r="Y128" s="8"/>
      <c r="Z128" s="171"/>
      <c r="AA128" s="182">
        <f t="shared" ref="AA128:AH128" si="191">+(AA127-Z127)/Z127</f>
        <v>0.25948704527610567</v>
      </c>
      <c r="AB128" s="182">
        <f t="shared" si="191"/>
        <v>0.10607792207792198</v>
      </c>
      <c r="AC128" s="182">
        <f t="shared" si="191"/>
        <v>-0.12408416306594018</v>
      </c>
      <c r="AD128" s="182">
        <f t="shared" si="191"/>
        <v>7.2707774798927691E-2</v>
      </c>
      <c r="AE128" s="182">
        <f t="shared" si="191"/>
        <v>-8.0375887233829935E-2</v>
      </c>
      <c r="AF128" s="182">
        <f t="shared" si="191"/>
        <v>-1.8480269594521145E-2</v>
      </c>
      <c r="AG128" s="182">
        <f t="shared" si="191"/>
        <v>7.2987041754347087E-2</v>
      </c>
      <c r="AH128" s="182">
        <f t="shared" si="191"/>
        <v>-0.1100330305532618</v>
      </c>
      <c r="AI128" s="182">
        <f>+(AI127-AH127)/AH127</f>
        <v>0.1433542101600557</v>
      </c>
      <c r="AJ128" s="182">
        <f>+(AJ127-AI127)/AI127</f>
        <v>-2.5258673158855615E-2</v>
      </c>
      <c r="AK128" s="182"/>
      <c r="AL128" s="190">
        <f>AVERAGE(AF128:AJ128)</f>
        <v>1.2513855721552844E-2</v>
      </c>
    </row>
    <row r="129" spans="1:43" ht="15" x14ac:dyDescent="0.2">
      <c r="A129" s="72" t="s">
        <v>18</v>
      </c>
      <c r="B129" s="116">
        <f t="shared" ref="B129:R129" si="192">B67/B58</f>
        <v>0.84536529160100526</v>
      </c>
      <c r="C129" s="116">
        <f t="shared" si="192"/>
        <v>0.84913111148270581</v>
      </c>
      <c r="D129" s="116">
        <f t="shared" si="192"/>
        <v>0.81537362640291466</v>
      </c>
      <c r="E129" s="116">
        <f t="shared" si="192"/>
        <v>0.81962323677894344</v>
      </c>
      <c r="F129" s="116">
        <f t="shared" si="192"/>
        <v>0.76084039365445177</v>
      </c>
      <c r="G129" s="116">
        <f t="shared" si="192"/>
        <v>0.76408841923448267</v>
      </c>
      <c r="H129" s="116">
        <f t="shared" si="192"/>
        <v>0.65549485510484384</v>
      </c>
      <c r="I129" s="116">
        <f t="shared" si="192"/>
        <v>0.68169596690796275</v>
      </c>
      <c r="J129" s="116">
        <f t="shared" si="192"/>
        <v>0.75426167810493694</v>
      </c>
      <c r="K129" s="116">
        <f t="shared" si="192"/>
        <v>0.65811088295687881</v>
      </c>
      <c r="L129" s="116">
        <f t="shared" si="192"/>
        <v>0.64594463331714425</v>
      </c>
      <c r="M129" s="116">
        <f t="shared" si="192"/>
        <v>0.63991991375327273</v>
      </c>
      <c r="N129" s="116">
        <f t="shared" si="192"/>
        <v>0.79689977100581288</v>
      </c>
      <c r="O129" s="116">
        <f t="shared" si="192"/>
        <v>0.6159114857744995</v>
      </c>
      <c r="P129" s="116">
        <f t="shared" si="192"/>
        <v>0.6</v>
      </c>
      <c r="Q129" s="116">
        <f t="shared" si="192"/>
        <v>0.59408896407602751</v>
      </c>
      <c r="R129" s="116">
        <f t="shared" si="192"/>
        <v>0.62777059934400159</v>
      </c>
      <c r="S129" s="116">
        <f t="shared" si="190"/>
        <v>0.64936402692192252</v>
      </c>
      <c r="T129" s="16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169"/>
    </row>
    <row r="130" spans="1:43" ht="15.75" x14ac:dyDescent="0.25">
      <c r="A130" s="72" t="s">
        <v>17</v>
      </c>
      <c r="B130" s="116">
        <f t="shared" ref="B130:R130" si="193">B67/B31</f>
        <v>0.44455415130770581</v>
      </c>
      <c r="C130" s="116">
        <f t="shared" si="193"/>
        <v>0.42598884274988463</v>
      </c>
      <c r="D130" s="116">
        <f t="shared" si="193"/>
        <v>0.46715846760893731</v>
      </c>
      <c r="E130" s="116">
        <f t="shared" si="193"/>
        <v>0.46146561814406795</v>
      </c>
      <c r="F130" s="116">
        <f t="shared" si="193"/>
        <v>0.43657442858636408</v>
      </c>
      <c r="G130" s="116">
        <f t="shared" si="193"/>
        <v>0.42377702163614517</v>
      </c>
      <c r="H130" s="116">
        <f t="shared" si="193"/>
        <v>0.41479591570805341</v>
      </c>
      <c r="I130" s="116">
        <f t="shared" si="193"/>
        <v>0.40190220704792101</v>
      </c>
      <c r="J130" s="116">
        <f t="shared" si="193"/>
        <v>0.37484871823082849</v>
      </c>
      <c r="K130" s="116">
        <f t="shared" si="193"/>
        <v>0.3886811520970187</v>
      </c>
      <c r="L130" s="116">
        <f t="shared" si="193"/>
        <v>0.38681531749878817</v>
      </c>
      <c r="M130" s="116">
        <f t="shared" si="193"/>
        <v>0.37900209796588524</v>
      </c>
      <c r="N130" s="116">
        <f t="shared" si="193"/>
        <v>0.38423645320197042</v>
      </c>
      <c r="O130" s="116">
        <f t="shared" si="193"/>
        <v>0.35309219965264665</v>
      </c>
      <c r="P130" s="116">
        <f t="shared" si="193"/>
        <v>0.39532171765674301</v>
      </c>
      <c r="Q130" s="116">
        <f t="shared" si="193"/>
        <v>0.37977099236641221</v>
      </c>
      <c r="R130" s="116">
        <f t="shared" si="193"/>
        <v>0.39249316430524483</v>
      </c>
      <c r="S130" s="116">
        <f t="shared" si="190"/>
        <v>0.37828469216873151</v>
      </c>
      <c r="T130" s="172" t="s">
        <v>153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69"/>
    </row>
    <row r="131" spans="1:43" ht="15" x14ac:dyDescent="0.2">
      <c r="A131" s="72" t="s">
        <v>36</v>
      </c>
      <c r="B131" s="116">
        <f t="shared" ref="B131:J131" si="194">(B103+B97)/B97</f>
        <v>2.4071877180739705</v>
      </c>
      <c r="C131" s="116">
        <f t="shared" si="194"/>
        <v>2.7609429209638323</v>
      </c>
      <c r="D131" s="116">
        <f t="shared" si="194"/>
        <v>2.6723304033309501</v>
      </c>
      <c r="E131" s="116">
        <f t="shared" si="194"/>
        <v>3.2310735719048678</v>
      </c>
      <c r="F131" s="116">
        <f t="shared" si="194"/>
        <v>2.6026019824628288</v>
      </c>
      <c r="G131" s="116">
        <f t="shared" si="194"/>
        <v>3.5967161607459586</v>
      </c>
      <c r="H131" s="116">
        <f t="shared" si="194"/>
        <v>3.8401131064589742</v>
      </c>
      <c r="I131" s="116">
        <f t="shared" si="194"/>
        <v>3.6061946902654869</v>
      </c>
      <c r="J131" s="116">
        <f t="shared" si="194"/>
        <v>3.5084033613445378</v>
      </c>
      <c r="K131" s="116">
        <f>(K103+K97)/K97</f>
        <v>3.5476190476190474</v>
      </c>
      <c r="L131" s="116">
        <f t="shared" ref="L131:O131" si="195">(L103+L97)/L97</f>
        <v>3.3157894736842106</v>
      </c>
      <c r="M131" s="116">
        <f t="shared" si="195"/>
        <v>3.6374045801526718</v>
      </c>
      <c r="N131" s="116">
        <f t="shared" si="195"/>
        <v>3.8416988416988418</v>
      </c>
      <c r="O131" s="116">
        <f t="shared" si="195"/>
        <v>4.0829875518672196</v>
      </c>
      <c r="P131" s="116">
        <f>(P103+P97)/P97</f>
        <v>4.7982062780269059</v>
      </c>
      <c r="Q131" s="116">
        <f>(Q103+Q97)/Q97</f>
        <v>4.0921985815602833</v>
      </c>
      <c r="R131" s="116">
        <f>(R103+R97)/R97</f>
        <v>10.943661971830986</v>
      </c>
      <c r="S131" s="116">
        <f t="shared" si="190"/>
        <v>4.0904991666611838</v>
      </c>
      <c r="T131" s="165" t="str">
        <f t="shared" ref="T131:T136" si="196">+T122</f>
        <v xml:space="preserve">   Residential &amp; Commercial Sales</v>
      </c>
      <c r="U131" s="8"/>
      <c r="V131" s="8"/>
      <c r="W131" s="8"/>
      <c r="X131" s="8"/>
      <c r="Y131" s="8"/>
      <c r="Z131" s="171">
        <f t="shared" ref="Z131:AJ131" si="197">+Z122/Z$127</f>
        <v>0.89073540957864439</v>
      </c>
      <c r="AA131" s="182">
        <f t="shared" si="197"/>
        <v>0.90161038961038953</v>
      </c>
      <c r="AB131" s="182">
        <f t="shared" si="197"/>
        <v>0.92842382115348498</v>
      </c>
      <c r="AC131" s="171">
        <f t="shared" si="197"/>
        <v>0.94005361930294906</v>
      </c>
      <c r="AD131" s="171">
        <f t="shared" si="197"/>
        <v>0.92642207337798654</v>
      </c>
      <c r="AE131" s="171">
        <f t="shared" si="197"/>
        <v>0.95010327209479295</v>
      </c>
      <c r="AF131" s="171">
        <f t="shared" si="197"/>
        <v>0.92258278879167133</v>
      </c>
      <c r="AG131" s="171">
        <f t="shared" si="197"/>
        <v>0.92175887696118919</v>
      </c>
      <c r="AH131" s="171">
        <f t="shared" si="197"/>
        <v>0.91440501043841338</v>
      </c>
      <c r="AI131" s="171">
        <f t="shared" si="197"/>
        <v>0.92341245688780682</v>
      </c>
      <c r="AJ131" s="171">
        <f t="shared" si="197"/>
        <v>0.91133312519512955</v>
      </c>
      <c r="AK131" s="171">
        <f t="shared" ref="AK131" si="198">+AK122/AK$127</f>
        <v>0.95037353255069368</v>
      </c>
      <c r="AL131" s="190">
        <f t="shared" ref="AL131:AL136" si="199">AVERAGE(AF131:AJ131)</f>
        <v>0.9186984516548421</v>
      </c>
    </row>
    <row r="132" spans="1:43" ht="15" x14ac:dyDescent="0.2">
      <c r="A132" s="72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65" t="str">
        <f t="shared" si="196"/>
        <v xml:space="preserve">   Industrial Sales</v>
      </c>
      <c r="U132" s="8"/>
      <c r="V132" s="8"/>
      <c r="W132" s="8"/>
      <c r="X132" s="8"/>
      <c r="Y132" s="8"/>
      <c r="Z132" s="171">
        <f t="shared" ref="Z132:AJ132" si="200">+Z123/Z$127</f>
        <v>6.4250196283695368E-2</v>
      </c>
      <c r="AA132" s="182">
        <f t="shared" si="200"/>
        <v>4.1662337662337665E-2</v>
      </c>
      <c r="AB132" s="182">
        <f t="shared" si="200"/>
        <v>2.2074018410670675E-2</v>
      </c>
      <c r="AC132" s="171">
        <f t="shared" si="200"/>
        <v>1.061662198391421E-2</v>
      </c>
      <c r="AD132" s="171">
        <f t="shared" si="200"/>
        <v>1.1996401079676096E-2</v>
      </c>
      <c r="AE132" s="171">
        <f t="shared" si="200"/>
        <v>9.0227198608544418E-3</v>
      </c>
      <c r="AF132" s="171">
        <f t="shared" si="200"/>
        <v>2.9571381105327279E-2</v>
      </c>
      <c r="AG132" s="171">
        <f t="shared" si="200"/>
        <v>3.0656482246077622E-2</v>
      </c>
      <c r="AH132" s="171">
        <f t="shared" si="200"/>
        <v>3.1779169566225937E-2</v>
      </c>
      <c r="AI132" s="171">
        <f t="shared" si="200"/>
        <v>2.8504767701359304E-2</v>
      </c>
      <c r="AJ132" s="171">
        <f t="shared" si="200"/>
        <v>3.1116661463211567E-2</v>
      </c>
      <c r="AK132" s="171">
        <f t="shared" ref="AK132" si="201">+AK123/AK$127</f>
        <v>1.6275346851654215E-2</v>
      </c>
      <c r="AL132" s="190">
        <f t="shared" si="199"/>
        <v>3.0325692416440342E-2</v>
      </c>
    </row>
    <row r="133" spans="1:43" ht="15.75" x14ac:dyDescent="0.25">
      <c r="A133" s="117" t="s">
        <v>70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65" t="str">
        <f t="shared" si="196"/>
        <v xml:space="preserve">   Transportation for Industrial </v>
      </c>
      <c r="U133" s="8"/>
      <c r="V133" s="8"/>
      <c r="W133" s="8"/>
      <c r="X133" s="8"/>
      <c r="Y133" s="8"/>
      <c r="Z133" s="171">
        <f t="shared" ref="Z133:AJ133" si="202">+Z124/Z$127</f>
        <v>8.3747710023554037E-3</v>
      </c>
      <c r="AA133" s="182">
        <f t="shared" si="202"/>
        <v>6.1298701298701302E-3</v>
      </c>
      <c r="AB133" s="182">
        <f t="shared" si="202"/>
        <v>6.2934435468720651E-3</v>
      </c>
      <c r="AC133" s="171">
        <f t="shared" si="202"/>
        <v>1.061662198391421E-2</v>
      </c>
      <c r="AD133" s="171">
        <f t="shared" si="202"/>
        <v>9.8970308907327803E-3</v>
      </c>
      <c r="AE133" s="171">
        <f t="shared" si="202"/>
        <v>1.2175236438743341E-2</v>
      </c>
      <c r="AF133" s="171">
        <f t="shared" si="202"/>
        <v>1.0743160925905415E-2</v>
      </c>
      <c r="AG133" s="171">
        <f t="shared" si="202"/>
        <v>1.166391412056152E-2</v>
      </c>
      <c r="AH133" s="171">
        <f t="shared" si="202"/>
        <v>1.3801902110879147E-2</v>
      </c>
      <c r="AI133" s="171">
        <f t="shared" si="202"/>
        <v>1.4607425441265977E-2</v>
      </c>
      <c r="AJ133" s="171">
        <f t="shared" si="202"/>
        <v>1.8628369237173481E-2</v>
      </c>
      <c r="AK133" s="171">
        <f t="shared" ref="AK133" si="203">+AK124/AK$127</f>
        <v>1.4140875133404481E-2</v>
      </c>
      <c r="AL133" s="190">
        <f t="shared" si="199"/>
        <v>1.3888954367157109E-2</v>
      </c>
    </row>
    <row r="134" spans="1:43" ht="15" x14ac:dyDescent="0.2">
      <c r="A134" s="72" t="s">
        <v>143</v>
      </c>
      <c r="B134" s="43">
        <f t="shared" ref="B134:J134" si="204">(+B84-B87-B88)/B84</f>
        <v>0.42821995079311104</v>
      </c>
      <c r="C134" s="43">
        <f t="shared" si="204"/>
        <v>0.37739072438063798</v>
      </c>
      <c r="D134" s="43">
        <f t="shared" si="204"/>
        <v>0.29195313820366903</v>
      </c>
      <c r="E134" s="43">
        <f t="shared" si="204"/>
        <v>0.37819116691379334</v>
      </c>
      <c r="F134" s="43">
        <f t="shared" si="204"/>
        <v>0.36469214727976879</v>
      </c>
      <c r="G134" s="43">
        <f t="shared" si="204"/>
        <v>0.2984390069000894</v>
      </c>
      <c r="H134" s="43">
        <f t="shared" si="204"/>
        <v>0.25180484693214983</v>
      </c>
      <c r="I134" s="43">
        <f t="shared" si="204"/>
        <v>0.22806687957918467</v>
      </c>
      <c r="J134" s="43">
        <f t="shared" si="204"/>
        <v>0.26305630026809651</v>
      </c>
      <c r="K134" s="43">
        <f>(+K84-K87-K88)/K84</f>
        <v>0.26332100369889033</v>
      </c>
      <c r="L134" s="43">
        <f t="shared" ref="L134:N134" si="205">(+L84-L87-L88)/L84</f>
        <v>0.31883900423959127</v>
      </c>
      <c r="M134" s="43">
        <f t="shared" si="205"/>
        <v>0.34411341233802195</v>
      </c>
      <c r="N134" s="43">
        <f t="shared" si="205"/>
        <v>0.33350536746490506</v>
      </c>
      <c r="O134" s="43">
        <f t="shared" ref="O134:P134" si="206">(+O84-O87-O88)/O84</f>
        <v>0.38146601716539086</v>
      </c>
      <c r="P134" s="43">
        <f t="shared" si="206"/>
        <v>0.34002840332724693</v>
      </c>
      <c r="Q134" s="43">
        <f t="shared" ref="Q134:R134" si="207">(+Q84-Q87-Q88)/Q84</f>
        <v>0.37059007180768028</v>
      </c>
      <c r="R134" s="43">
        <f t="shared" si="207"/>
        <v>0.37673425827107793</v>
      </c>
      <c r="S134" s="43">
        <f>AVERAGE(M134:Q134)</f>
        <v>0.35394065442064904</v>
      </c>
      <c r="T134" s="165" t="str">
        <f t="shared" si="196"/>
        <v xml:space="preserve">   Service</v>
      </c>
      <c r="U134" s="8"/>
      <c r="V134" s="8"/>
      <c r="W134" s="8"/>
      <c r="X134" s="8"/>
      <c r="Y134" s="8"/>
      <c r="Z134" s="171">
        <f t="shared" ref="Z134:AJ134" si="208">+Z125/Z$127</f>
        <v>6.935357236325569E-3</v>
      </c>
      <c r="AA134" s="182">
        <f t="shared" si="208"/>
        <v>6.8571428571428568E-3</v>
      </c>
      <c r="AB134" s="182">
        <f t="shared" si="208"/>
        <v>6.6691715198196506E-3</v>
      </c>
      <c r="AC134" s="171">
        <f t="shared" si="208"/>
        <v>6.3270777479892768E-3</v>
      </c>
      <c r="AD134" s="171">
        <f t="shared" si="208"/>
        <v>5.598320503848845E-3</v>
      </c>
      <c r="AE134" s="171">
        <f t="shared" si="208"/>
        <v>5.8702032829655399E-3</v>
      </c>
      <c r="AF134" s="171">
        <f t="shared" si="208"/>
        <v>5.3162033447779374E-3</v>
      </c>
      <c r="AG134" s="171">
        <f t="shared" si="208"/>
        <v>5.2642444260941369E-3</v>
      </c>
      <c r="AH134" s="171">
        <f t="shared" si="208"/>
        <v>5.2192066805845519E-3</v>
      </c>
      <c r="AI134" s="171">
        <f t="shared" si="208"/>
        <v>4.8691418137553257E-3</v>
      </c>
      <c r="AJ134" s="171">
        <f t="shared" si="208"/>
        <v>4.9953168904152351E-3</v>
      </c>
      <c r="AK134" s="171">
        <f t="shared" ref="AK134" si="209">+AK125/AK$127</f>
        <v>3.7353255069370326E-3</v>
      </c>
      <c r="AL134" s="190">
        <f t="shared" si="199"/>
        <v>5.1328226311254371E-3</v>
      </c>
    </row>
    <row r="135" spans="1:43" ht="15" x14ac:dyDescent="0.2">
      <c r="A135" s="72" t="s">
        <v>144</v>
      </c>
      <c r="B135" s="43">
        <f t="shared" ref="B135:K135" si="210">+B106/B84</f>
        <v>4.2714868970544766E-2</v>
      </c>
      <c r="C135" s="43">
        <f t="shared" si="210"/>
        <v>4.5016226931116586E-2</v>
      </c>
      <c r="D135" s="43">
        <f t="shared" si="210"/>
        <v>3.6745522380640605E-2</v>
      </c>
      <c r="E135" s="43">
        <f t="shared" si="210"/>
        <v>5.4405376223109231E-2</v>
      </c>
      <c r="F135" s="43">
        <f t="shared" si="210"/>
        <v>3.2499456517363266E-2</v>
      </c>
      <c r="G135" s="43">
        <f t="shared" si="210"/>
        <v>4.1168919369845056E-2</v>
      </c>
      <c r="H135" s="43">
        <f t="shared" si="210"/>
        <v>3.7374798321536506E-2</v>
      </c>
      <c r="I135" s="43">
        <f t="shared" si="210"/>
        <v>3.4754837497651701E-2</v>
      </c>
      <c r="J135" s="43">
        <f t="shared" si="210"/>
        <v>4.0107238605898127E-2</v>
      </c>
      <c r="K135" s="43">
        <f t="shared" si="210"/>
        <v>4.0187943616914926E-2</v>
      </c>
      <c r="L135" s="43">
        <f t="shared" ref="L135:N135" si="211">+L106/L84</f>
        <v>4.5222306772475268E-2</v>
      </c>
      <c r="M135" s="43">
        <f t="shared" si="211"/>
        <v>4.8621109757448225E-2</v>
      </c>
      <c r="N135" s="43">
        <f t="shared" si="211"/>
        <v>4.7584640792733279E-2</v>
      </c>
      <c r="O135" s="43">
        <f t="shared" ref="O135:P135" si="212">+O106/O84</f>
        <v>5.4627696590118305E-2</v>
      </c>
      <c r="P135" s="43">
        <f t="shared" si="212"/>
        <v>5.3560559951308581E-2</v>
      </c>
      <c r="Q135" s="160">
        <f t="shared" ref="Q135:R135" si="213">+Q106/Q84</f>
        <v>5.7446144239775211E-2</v>
      </c>
      <c r="R135" s="160">
        <f t="shared" si="213"/>
        <v>0.11686232657417289</v>
      </c>
      <c r="S135" s="43">
        <f t="shared" ref="S135:S139" si="214">AVERAGE(M135:Q135)</f>
        <v>5.2368030266276719E-2</v>
      </c>
      <c r="T135" s="173" t="str">
        <f t="shared" si="196"/>
        <v xml:space="preserve">   Other</v>
      </c>
      <c r="U135" s="148"/>
      <c r="V135" s="148"/>
      <c r="W135" s="148"/>
      <c r="X135" s="148"/>
      <c r="Y135" s="148"/>
      <c r="Z135" s="151">
        <f t="shared" ref="Z135:AJ135" si="215">+Z126/Z$127</f>
        <v>2.9704265898979322E-2</v>
      </c>
      <c r="AA135" s="181">
        <f t="shared" si="215"/>
        <v>4.3740259740259739E-2</v>
      </c>
      <c r="AB135" s="181">
        <f t="shared" si="215"/>
        <v>3.6539545369152736E-2</v>
      </c>
      <c r="AC135" s="151">
        <f t="shared" si="215"/>
        <v>3.2386058981233243E-2</v>
      </c>
      <c r="AD135" s="151">
        <f t="shared" si="215"/>
        <v>4.6086174147755669E-2</v>
      </c>
      <c r="AE135" s="151">
        <f t="shared" si="215"/>
        <v>2.2828568322643766E-2</v>
      </c>
      <c r="AF135" s="151">
        <f t="shared" si="215"/>
        <v>3.1786465832318089E-2</v>
      </c>
      <c r="AG135" s="151">
        <f t="shared" si="215"/>
        <v>3.0656482246077622E-2</v>
      </c>
      <c r="AH135" s="151">
        <f t="shared" si="215"/>
        <v>3.4794711203897009E-2</v>
      </c>
      <c r="AI135" s="151">
        <f t="shared" si="215"/>
        <v>2.8606208155812538E-2</v>
      </c>
      <c r="AJ135" s="151">
        <f t="shared" si="215"/>
        <v>3.3926527214070142E-2</v>
      </c>
      <c r="AK135" s="151">
        <f t="shared" ref="AK135" si="216">+AK126/AK$127</f>
        <v>1.5474919957310564E-2</v>
      </c>
      <c r="AL135" s="191">
        <f t="shared" si="199"/>
        <v>3.195407893043508E-2</v>
      </c>
    </row>
    <row r="136" spans="1:43" ht="15" x14ac:dyDescent="0.2">
      <c r="A136" s="72" t="s">
        <v>29</v>
      </c>
      <c r="B136" s="43">
        <f>(B106+(B97*(1-(B105/B103))))/((B39)/1)</f>
        <v>4.5437974282927861E-2</v>
      </c>
      <c r="C136" s="43">
        <f t="shared" ref="C136:Q136" si="217">(C106+(C97*(1-(C105/C103))))/((B39+C39)/2)</f>
        <v>4.8761390410488763E-2</v>
      </c>
      <c r="D136" s="43">
        <f t="shared" si="217"/>
        <v>4.968750191785988E-2</v>
      </c>
      <c r="E136" s="43">
        <f t="shared" si="217"/>
        <v>5.6339724460796936E-2</v>
      </c>
      <c r="F136" s="43">
        <f t="shared" si="217"/>
        <v>3.7877382395332809E-2</v>
      </c>
      <c r="G136" s="43">
        <f t="shared" si="217"/>
        <v>4.5358363426255467E-2</v>
      </c>
      <c r="H136" s="43">
        <f t="shared" si="217"/>
        <v>4.5926418451123302E-2</v>
      </c>
      <c r="I136" s="43">
        <f t="shared" si="217"/>
        <v>4.6971418637880867E-2</v>
      </c>
      <c r="J136" s="43">
        <f t="shared" si="217"/>
        <v>4.6684411197740902E-2</v>
      </c>
      <c r="K136" s="43">
        <f t="shared" si="217"/>
        <v>4.5277987020128967E-2</v>
      </c>
      <c r="L136" s="43">
        <f t="shared" si="217"/>
        <v>4.505399671997002E-2</v>
      </c>
      <c r="M136" s="43">
        <f t="shared" si="217"/>
        <v>4.4026433939565381E-2</v>
      </c>
      <c r="N136" s="43">
        <f t="shared" si="217"/>
        <v>4.3597544748087656E-2</v>
      </c>
      <c r="O136" s="43">
        <f t="shared" si="217"/>
        <v>4.0597064083085478E-2</v>
      </c>
      <c r="P136" s="43">
        <f t="shared" si="217"/>
        <v>3.9032857595048542E-2</v>
      </c>
      <c r="Q136" s="43">
        <f t="shared" si="217"/>
        <v>3.8842652282016797E-2</v>
      </c>
      <c r="R136" s="160">
        <f>(R106+(R97*(1-(R105/R103))))/((Q39+R39)/2)*4/3</f>
        <v>3.3319381969257066E-2</v>
      </c>
      <c r="S136" s="43">
        <f t="shared" si="214"/>
        <v>4.1219310529560772E-2</v>
      </c>
      <c r="T136" s="173" t="str">
        <f t="shared" si="196"/>
        <v xml:space="preserve">      Total Revenue</v>
      </c>
      <c r="U136" s="148"/>
      <c r="V136" s="148"/>
      <c r="W136" s="148"/>
      <c r="X136" s="148"/>
      <c r="Y136" s="148"/>
      <c r="Z136" s="151">
        <f t="shared" ref="Z136:AJ136" si="218">+Z127/Z$127</f>
        <v>1</v>
      </c>
      <c r="AA136" s="181">
        <f t="shared" si="218"/>
        <v>1</v>
      </c>
      <c r="AB136" s="181">
        <f t="shared" si="218"/>
        <v>1</v>
      </c>
      <c r="AC136" s="151">
        <f t="shared" si="218"/>
        <v>1</v>
      </c>
      <c r="AD136" s="151">
        <f t="shared" si="218"/>
        <v>1</v>
      </c>
      <c r="AE136" s="151">
        <f t="shared" si="218"/>
        <v>1</v>
      </c>
      <c r="AF136" s="151">
        <f t="shared" si="218"/>
        <v>1</v>
      </c>
      <c r="AG136" s="151">
        <f t="shared" si="218"/>
        <v>1</v>
      </c>
      <c r="AH136" s="151">
        <f t="shared" si="218"/>
        <v>1</v>
      </c>
      <c r="AI136" s="151">
        <f t="shared" si="218"/>
        <v>1</v>
      </c>
      <c r="AJ136" s="151">
        <f t="shared" si="218"/>
        <v>1</v>
      </c>
      <c r="AK136" s="151">
        <f t="shared" ref="AK136" si="219">+AK127/AK$127</f>
        <v>1</v>
      </c>
      <c r="AL136" s="190">
        <f t="shared" si="199"/>
        <v>1</v>
      </c>
    </row>
    <row r="137" spans="1:43" ht="15" x14ac:dyDescent="0.2">
      <c r="A137" s="72" t="s">
        <v>69</v>
      </c>
      <c r="B137" s="43">
        <f>(B106+(B97*(1-(B105/B103))))/((B54+B62+B67)/1)</f>
        <v>6.7316151477111702E-2</v>
      </c>
      <c r="C137" s="43">
        <f t="shared" ref="C137:Q137" si="220">(C106+(C97*(1-(C105/C103))))/((B54+C54+B62+C62+B67+C67)/2)</f>
        <v>7.7517345465870302E-2</v>
      </c>
      <c r="D137" s="43">
        <f t="shared" si="220"/>
        <v>7.6564443086380718E-2</v>
      </c>
      <c r="E137" s="43">
        <f t="shared" si="220"/>
        <v>7.8874439866510146E-2</v>
      </c>
      <c r="F137" s="43">
        <f t="shared" si="220"/>
        <v>5.5072023772712843E-2</v>
      </c>
      <c r="G137" s="43">
        <f t="shared" si="220"/>
        <v>7.3424405126741116E-2</v>
      </c>
      <c r="H137" s="43">
        <f t="shared" si="220"/>
        <v>7.9137505505046044E-2</v>
      </c>
      <c r="I137" s="43">
        <f t="shared" si="220"/>
        <v>7.9750614868513148E-2</v>
      </c>
      <c r="J137" s="43">
        <f t="shared" si="220"/>
        <v>8.3475437240993669E-2</v>
      </c>
      <c r="K137" s="43">
        <f t="shared" si="220"/>
        <v>8.200313374692221E-2</v>
      </c>
      <c r="L137" s="43">
        <f t="shared" si="220"/>
        <v>7.8188023580515048E-2</v>
      </c>
      <c r="M137" s="43">
        <f t="shared" si="220"/>
        <v>7.7996975141630023E-2</v>
      </c>
      <c r="N137" s="43">
        <f t="shared" si="220"/>
        <v>8.2415617848970252E-2</v>
      </c>
      <c r="O137" s="43">
        <f t="shared" si="220"/>
        <v>7.8908777942644948E-2</v>
      </c>
      <c r="P137" s="43">
        <f t="shared" si="220"/>
        <v>6.7961993684139493E-2</v>
      </c>
      <c r="Q137" s="43">
        <f t="shared" si="220"/>
        <v>6.5157540156793453E-2</v>
      </c>
      <c r="R137" s="160">
        <f>(R106+(R97*(1-(R105/R103))))/((Q54+R54+Q62+R62+Q67+R67)/2)*4/3</f>
        <v>5.5948022126302989E-2</v>
      </c>
      <c r="S137" s="43">
        <f t="shared" si="214"/>
        <v>7.4488180954835628E-2</v>
      </c>
      <c r="T137" s="232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4"/>
    </row>
    <row r="138" spans="1:43" ht="15.75" x14ac:dyDescent="0.25">
      <c r="A138" s="72" t="s">
        <v>208</v>
      </c>
      <c r="B138" s="43">
        <f>(B106-B108)/((B67)/1)</f>
        <v>7.2967011272129484E-2</v>
      </c>
      <c r="C138" s="43">
        <f t="shared" ref="C138:Q138" si="221">(C106-C108)/((C67+B67)/2)</f>
        <v>9.1622128395351971E-2</v>
      </c>
      <c r="D138" s="43">
        <f t="shared" si="221"/>
        <v>9.0784845215224966E-2</v>
      </c>
      <c r="E138" s="43">
        <f t="shared" si="221"/>
        <v>0.10455388160198271</v>
      </c>
      <c r="F138" s="43">
        <f t="shared" si="221"/>
        <v>6.4806578917792429E-2</v>
      </c>
      <c r="G138" s="43">
        <f t="shared" si="221"/>
        <v>0.10083960889834787</v>
      </c>
      <c r="H138" s="43">
        <f t="shared" si="221"/>
        <v>0.11361178088637716</v>
      </c>
      <c r="I138" s="43">
        <f t="shared" si="221"/>
        <v>0.11421057342968179</v>
      </c>
      <c r="J138" s="43">
        <f t="shared" si="221"/>
        <v>0.11159182455616888</v>
      </c>
      <c r="K138" s="43">
        <f t="shared" si="221"/>
        <v>0.11085068247621674</v>
      </c>
      <c r="L138" s="43">
        <f t="shared" si="221"/>
        <v>0.10617662072485962</v>
      </c>
      <c r="M138" s="43">
        <f t="shared" si="221"/>
        <v>0.10779619398403929</v>
      </c>
      <c r="N138" s="43">
        <f t="shared" si="221"/>
        <v>0.10623343703191612</v>
      </c>
      <c r="O138" s="43">
        <f t="shared" si="221"/>
        <v>0.10239130434782609</v>
      </c>
      <c r="P138" s="43">
        <f t="shared" si="221"/>
        <v>0.10115911485774499</v>
      </c>
      <c r="Q138" s="43">
        <f t="shared" si="221"/>
        <v>9.4093582204039891E-2</v>
      </c>
      <c r="R138" s="160">
        <f>(R106-R108)/((R67+Q67)/2)*4/3</f>
        <v>9.5067556568451894E-2</v>
      </c>
      <c r="S138" s="43">
        <f t="shared" si="214"/>
        <v>0.10233472648511326</v>
      </c>
      <c r="T138" s="257" t="s">
        <v>154</v>
      </c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9"/>
    </row>
    <row r="139" spans="1:43" ht="15.75" x14ac:dyDescent="0.25">
      <c r="A139" s="72" t="s">
        <v>207</v>
      </c>
      <c r="B139" s="45">
        <v>7.5700000000000003E-2</v>
      </c>
      <c r="C139" s="45">
        <v>0.1047</v>
      </c>
      <c r="D139" s="45">
        <v>0.1046</v>
      </c>
      <c r="E139" s="45">
        <v>9.06E-2</v>
      </c>
      <c r="F139" s="45">
        <v>0.1109</v>
      </c>
      <c r="G139" s="45">
        <v>0.10050000000000001</v>
      </c>
      <c r="H139" s="45">
        <v>0.10680000000000001</v>
      </c>
      <c r="I139" s="45">
        <v>0.1086</v>
      </c>
      <c r="J139" s="45">
        <v>0.1028</v>
      </c>
      <c r="K139" s="45">
        <v>0.1</v>
      </c>
      <c r="L139" s="45">
        <v>9.7299999999999998E-2</v>
      </c>
      <c r="M139" s="45">
        <v>9.2700000000000005E-2</v>
      </c>
      <c r="N139" s="45">
        <v>9.8400000000000001E-2</v>
      </c>
      <c r="O139" s="45">
        <v>8.6199999999999999E-2</v>
      </c>
      <c r="P139" s="219">
        <v>8.4400000000000003E-2</v>
      </c>
      <c r="Q139" s="219">
        <v>9.5299999999999996E-2</v>
      </c>
      <c r="R139" s="219"/>
      <c r="S139" s="43">
        <f t="shared" si="214"/>
        <v>9.1400000000000009E-2</v>
      </c>
      <c r="T139" s="162" t="s">
        <v>179</v>
      </c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4"/>
    </row>
    <row r="140" spans="1:43" ht="15" x14ac:dyDescent="0.2">
      <c r="A140" s="217"/>
      <c r="B140" s="218"/>
      <c r="C140" s="218"/>
      <c r="D140" s="218"/>
      <c r="E140" s="218"/>
      <c r="F140" s="218"/>
      <c r="G140" s="218"/>
      <c r="H140" s="218"/>
      <c r="I140" s="218"/>
      <c r="J140" s="218"/>
      <c r="K140" s="219"/>
      <c r="L140" s="219"/>
      <c r="M140" s="219"/>
      <c r="N140" s="219"/>
      <c r="O140" s="219"/>
      <c r="P140" s="219"/>
      <c r="Q140" s="219"/>
      <c r="R140" s="219"/>
      <c r="S140" s="160"/>
      <c r="T140" s="165" t="str">
        <f>+T131</f>
        <v xml:space="preserve">   Residential &amp; Commercial Sales</v>
      </c>
      <c r="U140" s="8"/>
      <c r="V140" s="8"/>
      <c r="W140" s="8"/>
      <c r="X140" s="8"/>
      <c r="Y140" s="8"/>
      <c r="Z140" s="166">
        <v>93</v>
      </c>
      <c r="AA140" s="166">
        <v>96.3</v>
      </c>
      <c r="AB140" s="166">
        <v>102.2</v>
      </c>
      <c r="AC140" s="166">
        <v>106.1</v>
      </c>
      <c r="AD140" s="166">
        <v>112.3</v>
      </c>
      <c r="AE140" s="166">
        <v>109.4</v>
      </c>
      <c r="AF140" s="166">
        <v>105.8</v>
      </c>
      <c r="AG140" s="166">
        <v>113.3</v>
      </c>
      <c r="AH140" s="166">
        <v>96.2</v>
      </c>
      <c r="AI140" s="166">
        <v>114.9</v>
      </c>
      <c r="AJ140" s="166">
        <v>98</v>
      </c>
      <c r="AK140" s="166">
        <v>37.1</v>
      </c>
      <c r="AL140" s="167">
        <f t="shared" ref="AL140:AL143" si="222">AVERAGE(AF140:AJ140)</f>
        <v>105.64000000000001</v>
      </c>
    </row>
    <row r="141" spans="1:43" ht="15.75" x14ac:dyDescent="0.25">
      <c r="A141" s="117" t="s">
        <v>1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39"/>
      <c r="N141" s="116"/>
      <c r="O141" s="116"/>
      <c r="P141" s="116"/>
      <c r="Q141" s="116"/>
      <c r="R141" s="116"/>
      <c r="S141" s="116"/>
      <c r="T141" s="165" t="str">
        <f>+T132</f>
        <v xml:space="preserve">   Industrial Sales</v>
      </c>
      <c r="U141" s="8"/>
      <c r="V141" s="8"/>
      <c r="W141" s="8"/>
      <c r="X141" s="8"/>
      <c r="Y141" s="8"/>
      <c r="Z141" s="166">
        <v>8.8000000000000007</v>
      </c>
      <c r="AA141" s="166">
        <v>5.7</v>
      </c>
      <c r="AB141" s="166">
        <v>3.1</v>
      </c>
      <c r="AC141" s="166">
        <v>1.6</v>
      </c>
      <c r="AD141" s="166">
        <v>1.7</v>
      </c>
      <c r="AE141" s="166">
        <v>1.3</v>
      </c>
      <c r="AF141" s="166">
        <v>4.5</v>
      </c>
      <c r="AG141" s="166">
        <v>5</v>
      </c>
      <c r="AH141" s="166">
        <v>4.7</v>
      </c>
      <c r="AI141" s="166">
        <v>4.4000000000000004</v>
      </c>
      <c r="AJ141" s="166">
        <v>4.3</v>
      </c>
      <c r="AK141" s="166">
        <v>0.9</v>
      </c>
      <c r="AL141" s="167">
        <f t="shared" si="222"/>
        <v>4.58</v>
      </c>
    </row>
    <row r="142" spans="1:43" ht="15" x14ac:dyDescent="0.2">
      <c r="A142" s="72" t="s">
        <v>31</v>
      </c>
      <c r="B142" s="116">
        <f>B84/B12</f>
        <v>263.42915690866511</v>
      </c>
      <c r="C142" s="116">
        <f>C84/((B12+C12)/2)</f>
        <v>414.48803088803089</v>
      </c>
      <c r="D142" s="116">
        <f>D84/((C12+D12)/2)</f>
        <v>268.33574695121951</v>
      </c>
      <c r="E142" s="116">
        <f>E84/((D12+E12)/2)</f>
        <v>161.8456311998913</v>
      </c>
      <c r="F142" s="116">
        <f>F84/((D12+F12)/2)</f>
        <v>150.36198547215497</v>
      </c>
      <c r="G142" s="116">
        <f t="shared" ref="G142:O142" si="223">G84/((F12+G12)/2)</f>
        <v>253.67402489626556</v>
      </c>
      <c r="H142" s="116">
        <f t="shared" si="223"/>
        <v>360.70713884204611</v>
      </c>
      <c r="I142" s="116">
        <f t="shared" si="223"/>
        <v>312.8416103438143</v>
      </c>
      <c r="J142" s="116">
        <f t="shared" si="223"/>
        <v>242.20779220779221</v>
      </c>
      <c r="K142" s="116">
        <f t="shared" si="223"/>
        <v>377.47169811320754</v>
      </c>
      <c r="L142" s="116">
        <f t="shared" si="223"/>
        <v>219.02380952380952</v>
      </c>
      <c r="M142" s="116">
        <f t="shared" si="223"/>
        <v>151.74789915966386</v>
      </c>
      <c r="N142" s="116">
        <f t="shared" si="223"/>
        <v>199.75257731958763</v>
      </c>
      <c r="O142" s="116">
        <f t="shared" si="223"/>
        <v>269.4375</v>
      </c>
      <c r="P142" s="116">
        <f>P84/((O12+P12)/2)</f>
        <v>193.29411764705881</v>
      </c>
      <c r="Q142" s="249">
        <f>Q84/((P12+Q12)/2)</f>
        <v>67.1958041958042</v>
      </c>
      <c r="R142" s="249"/>
      <c r="S142" s="116">
        <f t="shared" ref="S142:S146" si="224">AVERAGE(M142:Q142)</f>
        <v>176.28557966442287</v>
      </c>
      <c r="T142" s="165" t="str">
        <f>+T133</f>
        <v xml:space="preserve">   Transportation for Industrial </v>
      </c>
      <c r="U142" s="8"/>
      <c r="V142" s="8"/>
      <c r="W142" s="8"/>
      <c r="X142" s="8"/>
      <c r="Y142" s="8"/>
      <c r="Z142" s="166">
        <v>34.299999999999997</v>
      </c>
      <c r="AA142" s="166">
        <v>31.2</v>
      </c>
      <c r="AB142" s="166">
        <v>35.5</v>
      </c>
      <c r="AC142" s="166">
        <v>53.8</v>
      </c>
      <c r="AD142" s="166">
        <v>62.2</v>
      </c>
      <c r="AE142" s="166">
        <v>58</v>
      </c>
      <c r="AF142" s="166">
        <v>59.3</v>
      </c>
      <c r="AG142" s="166">
        <v>52.5</v>
      </c>
      <c r="AH142" s="166">
        <v>62</v>
      </c>
      <c r="AI142" s="166">
        <v>64.5</v>
      </c>
      <c r="AJ142" s="166">
        <v>81.3</v>
      </c>
      <c r="AK142" s="166">
        <v>17.600000000000001</v>
      </c>
      <c r="AL142" s="167">
        <f t="shared" si="222"/>
        <v>63.92</v>
      </c>
    </row>
    <row r="143" spans="1:43" ht="15" x14ac:dyDescent="0.2">
      <c r="A143" s="72" t="s">
        <v>30</v>
      </c>
      <c r="B143" s="116">
        <f>B84/B14</f>
        <v>5.4145346458398516</v>
      </c>
      <c r="C143" s="116">
        <f>C84/((B14+C14)/2)</f>
        <v>5.416394633676255</v>
      </c>
      <c r="D143" s="116">
        <f>D84/((C14+D14)/2)</f>
        <v>6.3152829537147905</v>
      </c>
      <c r="E143" s="116">
        <f>E84/((D14+E14)/2)</f>
        <v>5.9963649911390364</v>
      </c>
      <c r="F143" s="116">
        <f>F84/((D14+F14)/2)</f>
        <v>5.2159031732432934</v>
      </c>
      <c r="G143" s="116">
        <f t="shared" ref="G143:P143" si="225">G84/((F14+G14)/2)</f>
        <v>5.739640837295239</v>
      </c>
      <c r="H143" s="116">
        <f t="shared" si="225"/>
        <v>5.9141400952974896</v>
      </c>
      <c r="I143" s="116">
        <f t="shared" si="225"/>
        <v>6.2193479791208439</v>
      </c>
      <c r="J143" s="116">
        <f t="shared" si="225"/>
        <v>6.0967636482510628</v>
      </c>
      <c r="K143" s="116">
        <f t="shared" si="225"/>
        <v>6.1068376068376065</v>
      </c>
      <c r="L143" s="116">
        <f t="shared" si="225"/>
        <v>5.3874084919472915</v>
      </c>
      <c r="M143" s="116">
        <f t="shared" si="225"/>
        <v>5.3394441159077468</v>
      </c>
      <c r="N143" s="116">
        <f t="shared" si="225"/>
        <v>5.9728729963008629</v>
      </c>
      <c r="O143" s="116">
        <f t="shared" si="225"/>
        <v>5.2238715540745231</v>
      </c>
      <c r="P143" s="116">
        <f t="shared" si="225"/>
        <v>5.095890410958904</v>
      </c>
      <c r="Q143" s="249">
        <f>Q84/((P14+Q14)/2)</f>
        <v>4.6286127167630058</v>
      </c>
      <c r="R143" s="249"/>
      <c r="S143" s="116">
        <f t="shared" si="224"/>
        <v>5.2521383588010089</v>
      </c>
      <c r="T143" s="165" t="s">
        <v>156</v>
      </c>
      <c r="U143" s="8"/>
      <c r="V143" s="8"/>
      <c r="W143" s="8"/>
      <c r="X143" s="8"/>
      <c r="Y143" s="8"/>
      <c r="Z143" s="166">
        <f t="shared" ref="Z143:AE143" si="226">+Z142+Z141+Z140</f>
        <v>136.1</v>
      </c>
      <c r="AA143" s="166">
        <f t="shared" si="226"/>
        <v>133.19999999999999</v>
      </c>
      <c r="AB143" s="166">
        <f t="shared" si="226"/>
        <v>140.80000000000001</v>
      </c>
      <c r="AC143" s="166">
        <f t="shared" si="226"/>
        <v>161.5</v>
      </c>
      <c r="AD143" s="166">
        <f t="shared" si="226"/>
        <v>176.2</v>
      </c>
      <c r="AE143" s="166">
        <f t="shared" si="226"/>
        <v>168.7</v>
      </c>
      <c r="AF143" s="166">
        <f t="shared" ref="AF143:AK143" si="227">+AF142+AF141+AF140</f>
        <v>169.6</v>
      </c>
      <c r="AG143" s="166">
        <f t="shared" si="227"/>
        <v>170.8</v>
      </c>
      <c r="AH143" s="166">
        <f t="shared" si="227"/>
        <v>162.9</v>
      </c>
      <c r="AI143" s="166">
        <f t="shared" si="227"/>
        <v>183.8</v>
      </c>
      <c r="AJ143" s="166">
        <f t="shared" si="227"/>
        <v>183.6</v>
      </c>
      <c r="AK143" s="166">
        <f t="shared" si="227"/>
        <v>55.6</v>
      </c>
      <c r="AL143" s="167">
        <f t="shared" si="222"/>
        <v>174.14</v>
      </c>
      <c r="AM143" s="143">
        <f>(AI143-AH143)/AH143</f>
        <v>0.1282995702885206</v>
      </c>
    </row>
    <row r="144" spans="1:43" ht="15.75" x14ac:dyDescent="0.25">
      <c r="A144" s="72" t="s">
        <v>34</v>
      </c>
      <c r="B144" s="116">
        <f>B84/(B21-B52)</f>
        <v>-11.686675324675324</v>
      </c>
      <c r="C144" s="116">
        <f t="shared" ref="C144:P144" si="228">C84/((B21+C21-B52-C52)/2)</f>
        <v>-9.7176117025128548</v>
      </c>
      <c r="D144" s="116">
        <f t="shared" si="228"/>
        <v>-18.613786266604983</v>
      </c>
      <c r="E144" s="116">
        <f t="shared" si="228"/>
        <v>-101.91870614410405</v>
      </c>
      <c r="F144" s="116">
        <f t="shared" si="228"/>
        <v>-32.496663962950365</v>
      </c>
      <c r="G144" s="116">
        <f t="shared" si="228"/>
        <v>-18.701343513692095</v>
      </c>
      <c r="H144" s="116">
        <f t="shared" si="228"/>
        <v>-39.186068760559365</v>
      </c>
      <c r="I144" s="116">
        <f t="shared" si="228"/>
        <v>-53.880608345775237</v>
      </c>
      <c r="J144" s="116">
        <f t="shared" si="228"/>
        <v>-9.8157894736842106</v>
      </c>
      <c r="K144" s="116">
        <f t="shared" si="228"/>
        <v>-9.998000999500249</v>
      </c>
      <c r="L144" s="116">
        <f t="shared" si="228"/>
        <v>-19.285115303983229</v>
      </c>
      <c r="M144" s="116">
        <f>M84/((L21+M21-L52-M52)/2)</f>
        <v>-18.407747196738022</v>
      </c>
      <c r="N144" s="116">
        <f t="shared" si="228"/>
        <v>-8.2451063829787241</v>
      </c>
      <c r="O144" s="116">
        <f t="shared" si="228"/>
        <v>-5.6929679762297791</v>
      </c>
      <c r="P144" s="116">
        <f t="shared" si="228"/>
        <v>-28.450216450216452</v>
      </c>
      <c r="Q144" s="249">
        <f>Q84/((P21+Q21-P52-Q52)/2)</f>
        <v>36.536121673003805</v>
      </c>
      <c r="R144" s="249"/>
      <c r="S144" s="116">
        <f t="shared" si="224"/>
        <v>-4.8519832666318354</v>
      </c>
      <c r="T144" s="170" t="s">
        <v>203</v>
      </c>
      <c r="U144" s="8"/>
      <c r="V144" s="8"/>
      <c r="W144" s="8"/>
      <c r="X144" s="8"/>
      <c r="Y144" s="8"/>
      <c r="Z144" s="8"/>
      <c r="AA144" s="8"/>
      <c r="AB144" s="8"/>
      <c r="AC144" s="8"/>
      <c r="AD144" s="182">
        <f>+(AD143-AC143)/AC143</f>
        <v>9.1021671826625322E-2</v>
      </c>
      <c r="AE144" s="182">
        <f>+(AE143-AD143)/AD143</f>
        <v>-4.2565266742338258E-2</v>
      </c>
      <c r="AF144" s="182">
        <f t="shared" ref="AF144:AJ144" si="229">+(AF143-AE143)/AE143</f>
        <v>5.3349140486070286E-3</v>
      </c>
      <c r="AG144" s="182">
        <f t="shared" si="229"/>
        <v>7.0754716981133083E-3</v>
      </c>
      <c r="AH144" s="182">
        <f t="shared" si="229"/>
        <v>-4.6252927400468415E-2</v>
      </c>
      <c r="AI144" s="182">
        <f t="shared" si="229"/>
        <v>0.1282995702885206</v>
      </c>
      <c r="AJ144" s="182">
        <f t="shared" si="229"/>
        <v>-1.0881392818281666E-3</v>
      </c>
      <c r="AK144" s="8"/>
      <c r="AL144" s="190">
        <f>AVERAGE(AF144:AJ144)</f>
        <v>1.8673777870588874E-2</v>
      </c>
      <c r="AM144" s="202">
        <f>+AE142-AD142</f>
        <v>-4.2000000000000028</v>
      </c>
      <c r="AN144" s="202">
        <f>+AF142-AE142</f>
        <v>1.2999999999999972</v>
      </c>
      <c r="AO144" s="202">
        <f>+AG142-AF142</f>
        <v>-6.7999999999999972</v>
      </c>
      <c r="AP144" s="202">
        <f>+AH142-AG142</f>
        <v>9.5</v>
      </c>
      <c r="AQ144" s="202"/>
    </row>
    <row r="145" spans="1:43" ht="15" x14ac:dyDescent="0.2">
      <c r="A145" s="72" t="s">
        <v>32</v>
      </c>
      <c r="B145" s="116">
        <f>B84/(B31)</f>
        <v>0.75940272208044723</v>
      </c>
      <c r="C145" s="116">
        <f>C84/((B31+C31)/2)</f>
        <v>0.8854872421751403</v>
      </c>
      <c r="D145" s="116">
        <f>D84/((C31+D31)/2)</f>
        <v>1.1047179891083501</v>
      </c>
      <c r="E145" s="116">
        <f>E84/((D31+E31)/2)</f>
        <v>0.89219140935173114</v>
      </c>
      <c r="F145" s="116">
        <f>F84/((D31+F31)/2)</f>
        <v>0.91143322193504261</v>
      </c>
      <c r="G145" s="116">
        <f t="shared" ref="G145:Q145" si="230">G84/((F31+G31)/2)</f>
        <v>1.0532944006869494</v>
      </c>
      <c r="H145" s="116">
        <f t="shared" si="230"/>
        <v>1.2743270392374271</v>
      </c>
      <c r="I145" s="116">
        <f t="shared" si="230"/>
        <v>1.341204690562938</v>
      </c>
      <c r="J145" s="116">
        <f t="shared" si="230"/>
        <v>1.0786581839213418</v>
      </c>
      <c r="K145" s="116">
        <f t="shared" si="230"/>
        <v>1.053834808259587</v>
      </c>
      <c r="L145" s="116">
        <f t="shared" si="230"/>
        <v>0.91034141514101929</v>
      </c>
      <c r="M145" s="116">
        <f t="shared" si="230"/>
        <v>0.84866998778080649</v>
      </c>
      <c r="N145" s="116">
        <f t="shared" si="230"/>
        <v>0.85217926727360693</v>
      </c>
      <c r="O145" s="116">
        <f t="shared" si="230"/>
        <v>0.68929128192828881</v>
      </c>
      <c r="P145" s="116">
        <f t="shared" si="230"/>
        <v>0.70867330433844933</v>
      </c>
      <c r="Q145" s="249">
        <f t="shared" si="230"/>
        <v>0.63429929368275129</v>
      </c>
      <c r="R145" s="249"/>
      <c r="S145" s="116">
        <f t="shared" si="224"/>
        <v>0.74662262700078064</v>
      </c>
      <c r="T145" s="16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169"/>
      <c r="AM145" s="143">
        <f>+AM144/AD142</f>
        <v>-6.7524115755627057E-2</v>
      </c>
      <c r="AN145" s="143">
        <f>+AN144/AE142</f>
        <v>2.2413793103448227E-2</v>
      </c>
      <c r="AO145" s="143">
        <f>+AO144/AF142</f>
        <v>-0.11467116357504212</v>
      </c>
      <c r="AP145" s="143">
        <f>+AP144/AG142</f>
        <v>0.18095238095238095</v>
      </c>
      <c r="AQ145" s="143"/>
    </row>
    <row r="146" spans="1:43" ht="15.75" x14ac:dyDescent="0.25">
      <c r="A146" s="72" t="s">
        <v>33</v>
      </c>
      <c r="B146" s="116">
        <f>B84/B39</f>
        <v>0.62184473265224893</v>
      </c>
      <c r="C146" s="116">
        <f>C84/((B39+C39)/2)</f>
        <v>0.69086762281208691</v>
      </c>
      <c r="D146" s="116">
        <f>D84/((C39+D39)/2)</f>
        <v>0.84620321241219343</v>
      </c>
      <c r="E146" s="116">
        <f>E84/((D39+E39)/2)</f>
        <v>0.71505581955230291</v>
      </c>
      <c r="F146" s="116">
        <f>F84/((D39+F39)/2)</f>
        <v>0.71229072707001839</v>
      </c>
      <c r="G146" s="116">
        <f t="shared" ref="G146:Q146" si="231">G84/((F39+G39)/2)</f>
        <v>0.79543779665251058</v>
      </c>
      <c r="H146" s="116">
        <f t="shared" si="231"/>
        <v>0.90881469441476848</v>
      </c>
      <c r="I146" s="116">
        <f t="shared" si="231"/>
        <v>0.97673353918196038</v>
      </c>
      <c r="J146" s="116">
        <f t="shared" si="231"/>
        <v>0.83221775992860325</v>
      </c>
      <c r="K146" s="116">
        <f t="shared" si="231"/>
        <v>0.80907510009301575</v>
      </c>
      <c r="L146" s="116">
        <f t="shared" si="231"/>
        <v>0.69581332022238196</v>
      </c>
      <c r="M146" s="116">
        <f t="shared" si="231"/>
        <v>0.65655904595695169</v>
      </c>
      <c r="N146" s="116">
        <f t="shared" si="231"/>
        <v>0.67771948233648127</v>
      </c>
      <c r="O146" s="116">
        <f t="shared" si="231"/>
        <v>0.56114546046208913</v>
      </c>
      <c r="P146" s="116">
        <f t="shared" si="231"/>
        <v>0.57687918775784885</v>
      </c>
      <c r="Q146" s="249">
        <f t="shared" si="231"/>
        <v>0.51092678258095392</v>
      </c>
      <c r="R146" s="249"/>
      <c r="S146" s="116">
        <f t="shared" si="224"/>
        <v>0.59664599181886491</v>
      </c>
      <c r="T146" s="172" t="s">
        <v>157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169"/>
    </row>
    <row r="147" spans="1:43" ht="15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116"/>
      <c r="T147" s="165" t="str">
        <f>+T140</f>
        <v xml:space="preserve">   Residential &amp; Commercial Sales</v>
      </c>
      <c r="U147" s="8"/>
      <c r="V147" s="8"/>
      <c r="W147" s="8"/>
      <c r="X147" s="8"/>
      <c r="Y147" s="8"/>
      <c r="Z147" s="171">
        <f t="shared" ref="Z147:AI147" si="232">+Z140/Z$143</f>
        <v>0.68332108743570907</v>
      </c>
      <c r="AA147" s="182">
        <f t="shared" si="232"/>
        <v>0.72297297297297303</v>
      </c>
      <c r="AB147" s="182">
        <f t="shared" si="232"/>
        <v>0.72585227272727271</v>
      </c>
      <c r="AC147" s="171">
        <f t="shared" si="232"/>
        <v>0.65696594427244581</v>
      </c>
      <c r="AD147" s="171">
        <f t="shared" si="232"/>
        <v>0.63734392735527812</v>
      </c>
      <c r="AE147" s="171">
        <f t="shared" si="232"/>
        <v>0.64848844101956138</v>
      </c>
      <c r="AF147" s="171">
        <f t="shared" si="232"/>
        <v>0.62382075471698117</v>
      </c>
      <c r="AG147" s="171">
        <f t="shared" si="232"/>
        <v>0.66334894613583129</v>
      </c>
      <c r="AH147" s="171">
        <f t="shared" si="232"/>
        <v>0.59054634745242485</v>
      </c>
      <c r="AI147" s="171">
        <f t="shared" si="232"/>
        <v>0.62513601741022851</v>
      </c>
      <c r="AJ147" s="171">
        <f>+AJ140/AJ$143</f>
        <v>0.53376906318082795</v>
      </c>
      <c r="AK147" s="171">
        <f t="shared" ref="AK147" si="233">+AK140/AK$143</f>
        <v>0.66726618705035967</v>
      </c>
      <c r="AL147" s="190">
        <f t="shared" ref="AL147:AL150" si="234">AVERAGE(AF147:AJ147)</f>
        <v>0.60732422577925882</v>
      </c>
    </row>
    <row r="148" spans="1:43" ht="15.75" x14ac:dyDescent="0.25">
      <c r="A148" s="117" t="s">
        <v>71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116"/>
      <c r="T148" s="165" t="str">
        <f>+T141</f>
        <v xml:space="preserve">   Industrial Sales</v>
      </c>
      <c r="U148" s="8"/>
      <c r="V148" s="8"/>
      <c r="W148" s="8"/>
      <c r="X148" s="8"/>
      <c r="Y148" s="8"/>
      <c r="Z148" s="171">
        <f t="shared" ref="Z148:AJ148" si="235">+Z141/Z$143</f>
        <v>6.465833945628216E-2</v>
      </c>
      <c r="AA148" s="182">
        <f t="shared" si="235"/>
        <v>4.27927927927928E-2</v>
      </c>
      <c r="AB148" s="182">
        <f t="shared" si="235"/>
        <v>2.2017045454545452E-2</v>
      </c>
      <c r="AC148" s="171">
        <f t="shared" si="235"/>
        <v>9.9071207430340563E-3</v>
      </c>
      <c r="AD148" s="171">
        <f t="shared" si="235"/>
        <v>9.6481271282633368E-3</v>
      </c>
      <c r="AE148" s="171">
        <f t="shared" si="235"/>
        <v>7.7059869590989927E-3</v>
      </c>
      <c r="AF148" s="171">
        <f t="shared" si="235"/>
        <v>2.6533018867924529E-2</v>
      </c>
      <c r="AG148" s="171">
        <f t="shared" si="235"/>
        <v>2.9274004683840747E-2</v>
      </c>
      <c r="AH148" s="171">
        <f t="shared" si="235"/>
        <v>2.8852056476365868E-2</v>
      </c>
      <c r="AI148" s="171">
        <f t="shared" si="235"/>
        <v>2.3939064200217627E-2</v>
      </c>
      <c r="AJ148" s="171">
        <f t="shared" si="235"/>
        <v>2.3420479302832243E-2</v>
      </c>
      <c r="AK148" s="171">
        <f t="shared" ref="AK148" si="236">+AK141/AK$143</f>
        <v>1.618705035971223E-2</v>
      </c>
      <c r="AL148" s="190">
        <f t="shared" si="234"/>
        <v>2.6403724706236205E-2</v>
      </c>
    </row>
    <row r="149" spans="1:43" ht="15" x14ac:dyDescent="0.2">
      <c r="A149" s="72" t="s">
        <v>136</v>
      </c>
      <c r="B149" s="72"/>
      <c r="C149" s="72"/>
      <c r="D149" s="72"/>
      <c r="E149" s="72"/>
      <c r="F149" s="72"/>
      <c r="G149" s="72"/>
      <c r="H149" s="28" t="s">
        <v>111</v>
      </c>
      <c r="I149" s="28" t="s">
        <v>111</v>
      </c>
      <c r="J149" s="28" t="s">
        <v>111</v>
      </c>
      <c r="K149" s="28" t="s">
        <v>111</v>
      </c>
      <c r="L149" s="28" t="s">
        <v>137</v>
      </c>
      <c r="M149" s="28" t="s">
        <v>164</v>
      </c>
      <c r="N149" s="28" t="s">
        <v>164</v>
      </c>
      <c r="O149" s="28" t="s">
        <v>164</v>
      </c>
      <c r="P149" s="28" t="s">
        <v>164</v>
      </c>
      <c r="Q149" s="28" t="s">
        <v>164</v>
      </c>
      <c r="R149" s="28" t="s">
        <v>164</v>
      </c>
      <c r="S149" s="116"/>
      <c r="T149" s="165" t="str">
        <f>+T142</f>
        <v xml:space="preserve">   Transportation for Industrial </v>
      </c>
      <c r="U149" s="8"/>
      <c r="V149" s="8"/>
      <c r="W149" s="8"/>
      <c r="X149" s="8"/>
      <c r="Y149" s="8"/>
      <c r="Z149" s="171">
        <f t="shared" ref="Z149:AJ149" si="237">+Z142/Z$143</f>
        <v>0.25202057310800879</v>
      </c>
      <c r="AA149" s="182">
        <f t="shared" si="237"/>
        <v>0.23423423423423426</v>
      </c>
      <c r="AB149" s="182">
        <f t="shared" si="237"/>
        <v>0.25213068181818182</v>
      </c>
      <c r="AC149" s="171">
        <f t="shared" si="237"/>
        <v>0.33312693498452012</v>
      </c>
      <c r="AD149" s="171">
        <f t="shared" si="237"/>
        <v>0.35300794551645859</v>
      </c>
      <c r="AE149" s="171">
        <f t="shared" si="237"/>
        <v>0.34380557202133966</v>
      </c>
      <c r="AF149" s="171">
        <f t="shared" si="237"/>
        <v>0.34964622641509435</v>
      </c>
      <c r="AG149" s="171">
        <f t="shared" si="237"/>
        <v>0.30737704918032782</v>
      </c>
      <c r="AH149" s="171">
        <f t="shared" si="237"/>
        <v>0.3806015960712093</v>
      </c>
      <c r="AI149" s="171">
        <f t="shared" si="237"/>
        <v>0.35092491838955386</v>
      </c>
      <c r="AJ149" s="171">
        <f t="shared" si="237"/>
        <v>0.44281045751633985</v>
      </c>
      <c r="AK149" s="171">
        <f t="shared" ref="AK149" si="238">+AK142/AK$143</f>
        <v>0.31654676258992809</v>
      </c>
      <c r="AL149" s="190">
        <f t="shared" si="234"/>
        <v>0.36627204951450498</v>
      </c>
    </row>
    <row r="150" spans="1:43" ht="15" x14ac:dyDescent="0.2">
      <c r="A150" s="72" t="s">
        <v>135</v>
      </c>
      <c r="B150" s="72"/>
      <c r="C150" s="72"/>
      <c r="D150" s="72"/>
      <c r="E150" s="72"/>
      <c r="F150" s="72"/>
      <c r="G150" s="72"/>
      <c r="H150" s="28"/>
      <c r="I150" s="28"/>
      <c r="J150" s="28" t="s">
        <v>133</v>
      </c>
      <c r="K150" s="28" t="s">
        <v>134</v>
      </c>
      <c r="L150" s="28" t="s">
        <v>134</v>
      </c>
      <c r="M150" s="28" t="s">
        <v>134</v>
      </c>
      <c r="N150" s="28" t="s">
        <v>134</v>
      </c>
      <c r="O150" s="28" t="s">
        <v>134</v>
      </c>
      <c r="P150" s="28" t="s">
        <v>134</v>
      </c>
      <c r="Q150" s="28" t="s">
        <v>133</v>
      </c>
      <c r="R150" s="28" t="s">
        <v>133</v>
      </c>
      <c r="S150" s="116"/>
      <c r="T150" s="165" t="str">
        <f>+T143</f>
        <v xml:space="preserve">      Total Deliveries</v>
      </c>
      <c r="U150" s="8"/>
      <c r="V150" s="8"/>
      <c r="W150" s="8"/>
      <c r="X150" s="8"/>
      <c r="Y150" s="8"/>
      <c r="Z150" s="171">
        <f t="shared" ref="Z150:AJ150" si="239">+Z143/Z$143</f>
        <v>1</v>
      </c>
      <c r="AA150" s="182">
        <f t="shared" si="239"/>
        <v>1</v>
      </c>
      <c r="AB150" s="182">
        <f t="shared" si="239"/>
        <v>1</v>
      </c>
      <c r="AC150" s="171">
        <f t="shared" si="239"/>
        <v>1</v>
      </c>
      <c r="AD150" s="171">
        <f t="shared" si="239"/>
        <v>1</v>
      </c>
      <c r="AE150" s="171">
        <f t="shared" si="239"/>
        <v>1</v>
      </c>
      <c r="AF150" s="171">
        <f t="shared" si="239"/>
        <v>1</v>
      </c>
      <c r="AG150" s="171">
        <f t="shared" si="239"/>
        <v>1</v>
      </c>
      <c r="AH150" s="171">
        <f t="shared" si="239"/>
        <v>1</v>
      </c>
      <c r="AI150" s="171">
        <f t="shared" si="239"/>
        <v>1</v>
      </c>
      <c r="AJ150" s="171">
        <f t="shared" si="239"/>
        <v>1</v>
      </c>
      <c r="AK150" s="171">
        <f t="shared" ref="AK150" si="240">+AK143/AK$143</f>
        <v>1</v>
      </c>
      <c r="AL150" s="190">
        <f t="shared" si="234"/>
        <v>1</v>
      </c>
    </row>
    <row r="151" spans="1:43" ht="15" x14ac:dyDescent="0.2">
      <c r="A151" s="72" t="s">
        <v>131</v>
      </c>
      <c r="B151" s="72"/>
      <c r="C151" s="72"/>
      <c r="D151" s="72"/>
      <c r="E151" s="72"/>
      <c r="F151" s="72"/>
      <c r="G151" s="72"/>
      <c r="H151" s="28"/>
      <c r="I151" s="28"/>
      <c r="J151" s="28"/>
      <c r="K151" s="28" t="s">
        <v>132</v>
      </c>
      <c r="L151" s="28" t="s">
        <v>132</v>
      </c>
      <c r="M151" s="28" t="s">
        <v>132</v>
      </c>
      <c r="N151" s="28" t="s">
        <v>132</v>
      </c>
      <c r="O151" s="28" t="s">
        <v>132</v>
      </c>
      <c r="P151" s="28" t="s">
        <v>132</v>
      </c>
      <c r="Q151" s="28" t="s">
        <v>132</v>
      </c>
      <c r="R151" s="253" t="s">
        <v>132</v>
      </c>
      <c r="S151" s="116"/>
      <c r="T151" s="16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169"/>
    </row>
    <row r="152" spans="1:43" ht="15.75" x14ac:dyDescent="0.25">
      <c r="A152" s="72" t="s">
        <v>141</v>
      </c>
      <c r="B152" s="116">
        <f t="shared" ref="B152:O152" si="241">(+B103+B97)/B97</f>
        <v>2.4071877180739705</v>
      </c>
      <c r="C152" s="116">
        <f t="shared" si="241"/>
        <v>2.7609429209638323</v>
      </c>
      <c r="D152" s="116">
        <f t="shared" si="241"/>
        <v>2.6723304033309501</v>
      </c>
      <c r="E152" s="116">
        <f t="shared" si="241"/>
        <v>3.2310735719048678</v>
      </c>
      <c r="F152" s="116">
        <f t="shared" si="241"/>
        <v>2.6026019824628288</v>
      </c>
      <c r="G152" s="116">
        <f t="shared" si="241"/>
        <v>3.5967161607459586</v>
      </c>
      <c r="H152" s="116">
        <f t="shared" si="241"/>
        <v>3.8401131064589742</v>
      </c>
      <c r="I152" s="116">
        <f t="shared" si="241"/>
        <v>3.6061946902654869</v>
      </c>
      <c r="J152" s="116">
        <f t="shared" si="241"/>
        <v>3.5084033613445378</v>
      </c>
      <c r="K152" s="116">
        <f t="shared" si="241"/>
        <v>3.5476190476190474</v>
      </c>
      <c r="L152" s="116">
        <f t="shared" si="241"/>
        <v>3.3157894736842106</v>
      </c>
      <c r="M152" s="116">
        <f t="shared" si="241"/>
        <v>3.6374045801526718</v>
      </c>
      <c r="N152" s="116">
        <f t="shared" si="241"/>
        <v>3.8416988416988418</v>
      </c>
      <c r="O152" s="116">
        <f t="shared" si="241"/>
        <v>4.0829875518672196</v>
      </c>
      <c r="P152" s="116">
        <f>(+P103+P97)/P97</f>
        <v>4.7982062780269059</v>
      </c>
      <c r="Q152" s="116">
        <f>(+Q103+Q97)/Q97</f>
        <v>4.0921985815602833</v>
      </c>
      <c r="R152" s="116">
        <f>(+R103+R97)/R97</f>
        <v>10.943661971830986</v>
      </c>
      <c r="S152" s="116">
        <f>AVERAGE(M152:Q152)</f>
        <v>4.0904991666611838</v>
      </c>
      <c r="T152" s="172" t="s">
        <v>180</v>
      </c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169"/>
    </row>
    <row r="153" spans="1:43" ht="15" x14ac:dyDescent="0.2">
      <c r="A153" s="72" t="s">
        <v>140</v>
      </c>
      <c r="B153" s="45">
        <f t="shared" ref="B153:R153" si="242">(B42+B54)/(B67+B54+B42)</f>
        <v>0.53602915660400952</v>
      </c>
      <c r="C153" s="45">
        <f t="shared" si="242"/>
        <v>0.55595167626325137</v>
      </c>
      <c r="D153" s="45">
        <f t="shared" si="242"/>
        <v>0.5347292666939405</v>
      </c>
      <c r="E153" s="45">
        <f t="shared" si="242"/>
        <v>0.50596006473266297</v>
      </c>
      <c r="F153" s="45">
        <f t="shared" si="242"/>
        <v>0.52526462951867381</v>
      </c>
      <c r="G153" s="45">
        <f t="shared" si="242"/>
        <v>0.53895730351551807</v>
      </c>
      <c r="H153" s="45">
        <f t="shared" si="242"/>
        <v>0.5570968630604709</v>
      </c>
      <c r="I153" s="45">
        <f t="shared" si="242"/>
        <v>0.49740774626410489</v>
      </c>
      <c r="J153" s="45">
        <f t="shared" si="242"/>
        <v>0.50160912814511405</v>
      </c>
      <c r="K153" s="45">
        <f t="shared" si="242"/>
        <v>0.54371811602799858</v>
      </c>
      <c r="L153" s="45">
        <f t="shared" si="242"/>
        <v>0.53387850467289721</v>
      </c>
      <c r="M153" s="45">
        <f t="shared" si="242"/>
        <v>0.55661082061679645</v>
      </c>
      <c r="N153" s="45">
        <f t="shared" si="242"/>
        <v>0.48095456631482331</v>
      </c>
      <c r="O153" s="45">
        <f t="shared" si="242"/>
        <v>0.54075820074641523</v>
      </c>
      <c r="P153" s="45">
        <f t="shared" si="242"/>
        <v>0.48932210899424017</v>
      </c>
      <c r="Q153" s="45">
        <f t="shared" si="242"/>
        <v>0.52270546850015986</v>
      </c>
      <c r="R153" s="219">
        <f t="shared" si="242"/>
        <v>0.47449871037523922</v>
      </c>
      <c r="S153" s="43">
        <f t="shared" ref="S153:S156" si="243">AVERAGE(M153:Q153)</f>
        <v>0.51807023303448696</v>
      </c>
      <c r="T153" s="165" t="str">
        <f>+T147</f>
        <v xml:space="preserve">   Residential &amp; Commercial Sales</v>
      </c>
      <c r="U153" s="73"/>
      <c r="V153" s="73"/>
      <c r="W153" s="73"/>
      <c r="X153" s="73"/>
      <c r="Y153" s="73"/>
      <c r="Z153" s="174">
        <v>7.32</v>
      </c>
      <c r="AA153" s="179">
        <v>9.01</v>
      </c>
      <c r="AB153" s="179">
        <v>9.67</v>
      </c>
      <c r="AC153" s="204">
        <v>8.26</v>
      </c>
      <c r="AD153" s="204">
        <v>8.25</v>
      </c>
      <c r="AE153" s="204">
        <v>7.99</v>
      </c>
      <c r="AF153" s="204">
        <v>7.88</v>
      </c>
      <c r="AG153" s="204">
        <v>7.88</v>
      </c>
      <c r="AH153" s="204">
        <v>8.19</v>
      </c>
      <c r="AI153" s="204">
        <v>7.92</v>
      </c>
      <c r="AJ153" s="204">
        <v>8.93</v>
      </c>
      <c r="AK153" s="204">
        <v>9.59</v>
      </c>
      <c r="AL153" s="205">
        <f t="shared" ref="AL153:AL155" si="244">AVERAGE(AE153:AI153)</f>
        <v>7.9719999999999995</v>
      </c>
    </row>
    <row r="154" spans="1:43" ht="15" x14ac:dyDescent="0.2">
      <c r="A154" s="72" t="s">
        <v>139</v>
      </c>
      <c r="B154" s="45">
        <f>+('Historical CF - Exhibit 1B'!B27+'Historical CF - Exhibit 1B'!B42)/(B42+B54)</f>
        <v>0.13213604995070655</v>
      </c>
      <c r="C154" s="45">
        <f>+('Historical CF - Exhibit 1B'!C27+'Historical CF - Exhibit 1B'!C42)/(C42+C54)</f>
        <v>0.1153750756200847</v>
      </c>
      <c r="D154" s="45">
        <f>+('Historical CF - Exhibit 1B'!D27+'Historical CF - Exhibit 1B'!D42)/(D42+D54)</f>
        <v>5.1936860068259386E-2</v>
      </c>
      <c r="E154" s="45">
        <f>+('Historical CF - Exhibit 1B'!E27+'Historical CF - Exhibit 1B'!E42)/(E42+E54)</f>
        <v>0.31064405724953331</v>
      </c>
      <c r="F154" s="45">
        <f>+('Historical CF - Exhibit 1B'!F27+'Historical CF - Exhibit 1B'!F42)/(F42+F54)</f>
        <v>0.14961099736765135</v>
      </c>
      <c r="G154" s="45">
        <f>+('Historical CF - Exhibit 1B'!G27+'Historical CF - Exhibit 1B'!G42)/(G42+G54)</f>
        <v>0.14139326453014667</v>
      </c>
      <c r="H154" s="45">
        <f>+('Historical CF - Exhibit 1B'!H27+'Historical CF - Exhibit 1B'!H42)/(H42+H54)</f>
        <v>9.0347152847152848E-2</v>
      </c>
      <c r="I154" s="45">
        <f>+('Historical CF - Exhibit 1B'!I27+'Historical CF - Exhibit 1B'!I42)/(I42+I54)</f>
        <v>0.4619865113427345</v>
      </c>
      <c r="J154" s="45">
        <f>+('Historical CF - Exhibit 1B'!J27+'Historical CF - Exhibit 1B'!J42)/(J42+J54)</f>
        <v>0.25517643627879849</v>
      </c>
      <c r="K154" s="45">
        <f>+('Historical CF - Exhibit 1B'!K27+'Historical CF - Exhibit 1B'!K42)/(K42+K54)</f>
        <v>5.4985817150338206E-2</v>
      </c>
      <c r="L154" s="45">
        <f>+('Historical CF - Exhibit 1B'!L27+'Historical CF - Exhibit 1B'!L42)/(L42+L54)</f>
        <v>0.19934354485776806</v>
      </c>
      <c r="M154" s="45">
        <f>+('Historical CF - Exhibit 1B'!M27+'Historical CF - Exhibit 1B'!M42)/(M42+M54)</f>
        <v>7.7645705521472388E-2</v>
      </c>
      <c r="N154" s="45">
        <f>+('Historical CF - Exhibit 1B'!N27+'Historical CF - Exhibit 1B'!N42)/(N42+N54)</f>
        <v>0.27814885496183206</v>
      </c>
      <c r="O154" s="45">
        <f>+('Historical CF - Exhibit 1B'!O27+'Historical CF - Exhibit 1B'!O42)/(O42+O54)</f>
        <v>0.14475118053033054</v>
      </c>
      <c r="P154" s="45">
        <f>+('Historical CF - Exhibit 1B'!P27+'Historical CF - Exhibit 1B'!P42)/(P42+P54)</f>
        <v>0.21332850416515756</v>
      </c>
      <c r="Q154" s="45">
        <f>+('Historical CF - Exhibit 1B'!Q27+'Historical CF - Exhibit 1B'!Q42)/(Q42+Q54)</f>
        <v>0.13260936066075252</v>
      </c>
      <c r="R154" s="45">
        <f>+('Historical CF - Exhibit 1B'!R27+'Historical CF - Exhibit 1B'!R42)/(R42+R54)</f>
        <v>0.20708399088199195</v>
      </c>
      <c r="S154" s="43">
        <f t="shared" si="243"/>
        <v>0.169296721167909</v>
      </c>
      <c r="T154" s="165" t="str">
        <f>+T148</f>
        <v xml:space="preserve">   Industrial Sales</v>
      </c>
      <c r="U154" s="73"/>
      <c r="V154" s="73"/>
      <c r="W154" s="73"/>
      <c r="X154" s="73"/>
      <c r="Y154" s="73"/>
      <c r="Z154" s="174">
        <v>5.56</v>
      </c>
      <c r="AA154" s="179">
        <v>7.06</v>
      </c>
      <c r="AB154" s="179">
        <v>7.64</v>
      </c>
      <c r="AC154" s="206">
        <v>6.18</v>
      </c>
      <c r="AD154" s="206">
        <v>6.99</v>
      </c>
      <c r="AE154" s="206">
        <v>6.5</v>
      </c>
      <c r="AF154" s="206">
        <v>5.89</v>
      </c>
      <c r="AG154" s="206">
        <v>6.03</v>
      </c>
      <c r="AH154" s="206">
        <v>5.79</v>
      </c>
      <c r="AI154" s="206">
        <v>6.47</v>
      </c>
      <c r="AJ154" s="206">
        <v>7.14</v>
      </c>
      <c r="AK154" s="206">
        <v>7.24</v>
      </c>
      <c r="AL154" s="227">
        <f t="shared" si="244"/>
        <v>6.1360000000000001</v>
      </c>
    </row>
    <row r="155" spans="1:43" ht="15" x14ac:dyDescent="0.2">
      <c r="A155" s="72" t="s">
        <v>142</v>
      </c>
      <c r="B155" s="43">
        <f t="shared" ref="B155:Q155" si="245">+B106/B67</f>
        <v>7.2967011272129484E-2</v>
      </c>
      <c r="C155" s="43">
        <f t="shared" si="245"/>
        <v>9.1507104553579549E-2</v>
      </c>
      <c r="D155" s="43">
        <f t="shared" si="245"/>
        <v>8.4571910475960105E-2</v>
      </c>
      <c r="E155" s="43">
        <f t="shared" si="245"/>
        <v>0.10323807945753725</v>
      </c>
      <c r="F155" s="43">
        <f t="shared" si="245"/>
        <v>6.5311802207048311E-2</v>
      </c>
      <c r="G155" s="43">
        <f t="shared" si="245"/>
        <v>9.9885386273656937E-2</v>
      </c>
      <c r="H155" s="43">
        <f t="shared" si="245"/>
        <v>0.11301307464674579</v>
      </c>
      <c r="I155" s="43">
        <f t="shared" si="245"/>
        <v>0.11225728155339806</v>
      </c>
      <c r="J155" s="43">
        <f t="shared" si="245"/>
        <v>0.10977399471675961</v>
      </c>
      <c r="K155" s="43">
        <f t="shared" si="245"/>
        <v>0.10452418096723869</v>
      </c>
      <c r="L155" s="43">
        <f t="shared" si="245"/>
        <v>0.10426065162907268</v>
      </c>
      <c r="M155" s="43">
        <f t="shared" si="245"/>
        <v>0.10565583634175692</v>
      </c>
      <c r="N155" s="43">
        <f t="shared" si="245"/>
        <v>0.10190097259062776</v>
      </c>
      <c r="O155" s="43">
        <f t="shared" si="245"/>
        <v>0.10072711719418306</v>
      </c>
      <c r="P155" s="43">
        <f t="shared" si="245"/>
        <v>9.1618948464341488E-2</v>
      </c>
      <c r="Q155" s="43">
        <f t="shared" si="245"/>
        <v>9.2462311557788945E-2</v>
      </c>
      <c r="R155" s="160">
        <f>+R106*(4/3)/R67</f>
        <v>9.246358454718176E-2</v>
      </c>
      <c r="S155" s="43">
        <f t="shared" si="243"/>
        <v>9.8473037229739629E-2</v>
      </c>
      <c r="T155" s="165" t="str">
        <f>+T149</f>
        <v xml:space="preserve">   Transportation for Industrial </v>
      </c>
      <c r="U155" s="73"/>
      <c r="V155" s="73"/>
      <c r="W155" s="73"/>
      <c r="X155" s="73"/>
      <c r="Y155" s="73"/>
      <c r="Z155" s="174">
        <v>0.19</v>
      </c>
      <c r="AA155" s="179">
        <v>0.19</v>
      </c>
      <c r="AB155" s="179">
        <v>0.19</v>
      </c>
      <c r="AC155" s="206">
        <v>0.18</v>
      </c>
      <c r="AD155" s="206">
        <v>0.16</v>
      </c>
      <c r="AE155" s="206">
        <v>0.19</v>
      </c>
      <c r="AF155" s="206">
        <v>0.16</v>
      </c>
      <c r="AG155" s="206">
        <v>0.21</v>
      </c>
      <c r="AH155" s="206">
        <v>0.19</v>
      </c>
      <c r="AI155" s="206">
        <v>0.22</v>
      </c>
      <c r="AJ155" s="206">
        <v>0.22</v>
      </c>
      <c r="AK155" s="206">
        <v>0.3</v>
      </c>
      <c r="AL155" s="227">
        <f t="shared" si="244"/>
        <v>0.19400000000000001</v>
      </c>
    </row>
    <row r="156" spans="1:43" ht="15" x14ac:dyDescent="0.2">
      <c r="A156" s="72" t="s">
        <v>138</v>
      </c>
      <c r="B156" s="72"/>
      <c r="C156" s="45">
        <f t="shared" ref="C156:Q156" si="246">+C97/((C42+B42+C54+B54)*0.5)</f>
        <v>6.6281304142384631E-2</v>
      </c>
      <c r="D156" s="45">
        <f t="shared" si="246"/>
        <v>6.9706830841395478E-2</v>
      </c>
      <c r="E156" s="45">
        <f t="shared" si="246"/>
        <v>6.6849925705794955E-2</v>
      </c>
      <c r="F156" s="45">
        <f t="shared" si="246"/>
        <v>6.3271521181968937E-2</v>
      </c>
      <c r="G156" s="45">
        <f t="shared" si="246"/>
        <v>5.5578087593296716E-2</v>
      </c>
      <c r="H156" s="45">
        <f t="shared" si="246"/>
        <v>5.2453812125943272E-2</v>
      </c>
      <c r="I156" s="45">
        <f t="shared" si="246"/>
        <v>6.2207541976328107E-2</v>
      </c>
      <c r="J156" s="45">
        <f t="shared" si="246"/>
        <v>7.1140337767149897E-2</v>
      </c>
      <c r="K156" s="45">
        <f t="shared" si="246"/>
        <v>6.2905641537693457E-2</v>
      </c>
      <c r="L156" s="45">
        <f t="shared" si="246"/>
        <v>6.2274664044575552E-2</v>
      </c>
      <c r="M156" s="45">
        <f t="shared" si="246"/>
        <v>5.3545881872062127E-2</v>
      </c>
      <c r="N156" s="45">
        <f t="shared" si="246"/>
        <v>5.5059523809523808E-2</v>
      </c>
      <c r="O156" s="45">
        <f t="shared" si="246"/>
        <v>4.9700969272014846E-2</v>
      </c>
      <c r="P156" s="45">
        <f t="shared" si="246"/>
        <v>4.0442509974610082E-2</v>
      </c>
      <c r="Q156" s="45">
        <f t="shared" si="246"/>
        <v>4.6766169154228855E-2</v>
      </c>
      <c r="R156" s="45"/>
      <c r="S156" s="43">
        <f t="shared" si="243"/>
        <v>4.9103010816487942E-2</v>
      </c>
      <c r="T156" s="165"/>
      <c r="U156" s="73"/>
      <c r="V156" s="73"/>
      <c r="W156" s="73"/>
      <c r="X156" s="73"/>
      <c r="Y156" s="73"/>
      <c r="Z156" s="73"/>
      <c r="AA156" s="179"/>
      <c r="AB156" s="179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5"/>
    </row>
    <row r="157" spans="1:43" ht="15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143"/>
      <c r="L157" s="143"/>
      <c r="M157" s="143"/>
      <c r="N157" s="143"/>
      <c r="O157" s="143"/>
      <c r="P157" s="143"/>
      <c r="Q157" s="143"/>
      <c r="R157" s="143"/>
      <c r="S157" s="116"/>
      <c r="T157" s="165" t="s">
        <v>178</v>
      </c>
      <c r="U157" s="73"/>
      <c r="V157" s="73"/>
      <c r="W157" s="73"/>
      <c r="X157" s="73"/>
      <c r="Y157" s="73"/>
      <c r="Z157" s="174">
        <v>5.2</v>
      </c>
      <c r="AA157" s="179">
        <v>6.46</v>
      </c>
      <c r="AB157" s="192">
        <v>6.54</v>
      </c>
      <c r="AC157" s="203">
        <v>5.93</v>
      </c>
      <c r="AD157" s="203">
        <v>6.14</v>
      </c>
      <c r="AE157" s="203">
        <v>5.01</v>
      </c>
      <c r="AF157" s="203">
        <v>5.34</v>
      </c>
      <c r="AG157" s="203">
        <v>5.05</v>
      </c>
      <c r="AH157" s="203">
        <v>4.7699999999999996</v>
      </c>
      <c r="AI157" s="203">
        <v>5</v>
      </c>
      <c r="AJ157" s="203">
        <v>5.98</v>
      </c>
      <c r="AK157" s="203"/>
      <c r="AL157" s="205">
        <f>AVERAGE(AE157:AI157)</f>
        <v>5.0339999999999998</v>
      </c>
      <c r="AM157" s="202">
        <f>+Q88/18500</f>
        <v>22.886486486486486</v>
      </c>
      <c r="AN157" t="s">
        <v>212</v>
      </c>
    </row>
    <row r="158" spans="1:43" ht="15.75" x14ac:dyDescent="0.25">
      <c r="A158" s="117" t="s">
        <v>117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116"/>
      <c r="T158" s="16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188"/>
      <c r="AG158" s="188"/>
      <c r="AH158" s="8"/>
      <c r="AI158" s="8"/>
      <c r="AJ158" s="8"/>
      <c r="AK158" s="8"/>
      <c r="AL158" s="167"/>
    </row>
    <row r="159" spans="1:43" ht="15" x14ac:dyDescent="0.2">
      <c r="A159" s="72" t="s">
        <v>61</v>
      </c>
      <c r="B159" s="43">
        <f t="shared" ref="B159:R159" si="247">(B44+B54)/(B$44+B$54+B$67)</f>
        <v>0.46069456359939637</v>
      </c>
      <c r="C159" s="43">
        <f t="shared" si="247"/>
        <v>0.46007001243211409</v>
      </c>
      <c r="D159" s="43">
        <f t="shared" si="247"/>
        <v>0.48229144279600428</v>
      </c>
      <c r="E159" s="43">
        <f t="shared" si="247"/>
        <v>0.47592964924819814</v>
      </c>
      <c r="F159" s="43">
        <f t="shared" si="247"/>
        <v>0.48413215138311549</v>
      </c>
      <c r="G159" s="43">
        <f t="shared" si="247"/>
        <v>0.46430861386020739</v>
      </c>
      <c r="H159" s="43">
        <f t="shared" si="247"/>
        <v>0.50364401256147417</v>
      </c>
      <c r="I159" s="43">
        <f t="shared" si="247"/>
        <v>0.49494330370824396</v>
      </c>
      <c r="J159" s="43">
        <f t="shared" si="247"/>
        <v>0.47881291112130947</v>
      </c>
      <c r="K159" s="43">
        <f t="shared" si="247"/>
        <v>0.49032600053008218</v>
      </c>
      <c r="L159" s="43">
        <f t="shared" si="247"/>
        <v>0.48114434330299088</v>
      </c>
      <c r="M159" s="43">
        <f t="shared" si="247"/>
        <v>0.47103755569700828</v>
      </c>
      <c r="N159" s="43">
        <f t="shared" si="247"/>
        <v>0.44856167723061918</v>
      </c>
      <c r="O159" s="43">
        <f t="shared" si="247"/>
        <v>0.47701599373671849</v>
      </c>
      <c r="P159" s="43">
        <f t="shared" si="247"/>
        <v>0.48118473172488296</v>
      </c>
      <c r="Q159" s="43">
        <f t="shared" si="247"/>
        <v>0.47238179407865666</v>
      </c>
      <c r="R159" s="43">
        <f t="shared" si="247"/>
        <v>0.45836549181030789</v>
      </c>
      <c r="S159" s="43">
        <f t="shared" ref="S159:S161" si="248">AVERAGE(M159:Q159)</f>
        <v>0.47003635049357706</v>
      </c>
      <c r="T159" s="165" t="s">
        <v>159</v>
      </c>
      <c r="U159" s="73"/>
      <c r="V159" s="73"/>
      <c r="W159" s="73"/>
      <c r="X159" s="73"/>
      <c r="Y159" s="73"/>
      <c r="Z159" s="175">
        <v>0.03</v>
      </c>
      <c r="AA159" s="183">
        <v>-0.03</v>
      </c>
      <c r="AB159" s="183">
        <v>-0.02</v>
      </c>
      <c r="AC159" s="175">
        <v>0.02</v>
      </c>
      <c r="AD159" s="175">
        <v>0.08</v>
      </c>
      <c r="AE159" s="175">
        <v>0.05</v>
      </c>
      <c r="AF159" s="175">
        <v>0.01</v>
      </c>
      <c r="AG159" s="175">
        <v>7.0000000000000007E-2</v>
      </c>
      <c r="AH159" s="175">
        <v>-0.16</v>
      </c>
      <c r="AI159" s="175">
        <v>0.08</v>
      </c>
      <c r="AJ159" s="175">
        <v>-0.17</v>
      </c>
      <c r="AK159" s="175">
        <v>-0.24</v>
      </c>
      <c r="AL159" s="190">
        <f>AVERAGE(AF159:AJ159)</f>
        <v>-3.4000000000000002E-2</v>
      </c>
      <c r="AM159" s="202">
        <f>+AI157-AH157</f>
        <v>0.23000000000000043</v>
      </c>
    </row>
    <row r="160" spans="1:43" ht="15" x14ac:dyDescent="0.2">
      <c r="A160" s="72" t="s">
        <v>118</v>
      </c>
      <c r="B160" s="51">
        <f t="shared" ref="B160:R160" si="249">B67/(B$44+B$54+B$67)</f>
        <v>0.53930543640060358</v>
      </c>
      <c r="C160" s="51">
        <f t="shared" si="249"/>
        <v>0.53992998756788591</v>
      </c>
      <c r="D160" s="51">
        <f t="shared" si="249"/>
        <v>0.51770855720399578</v>
      </c>
      <c r="E160" s="51">
        <f t="shared" si="249"/>
        <v>0.52407035075180186</v>
      </c>
      <c r="F160" s="51">
        <f t="shared" si="249"/>
        <v>0.51586784861688451</v>
      </c>
      <c r="G160" s="51">
        <f t="shared" si="249"/>
        <v>0.53569138613979261</v>
      </c>
      <c r="H160" s="51">
        <f t="shared" si="249"/>
        <v>0.49635598743852583</v>
      </c>
      <c r="I160" s="51">
        <f t="shared" si="249"/>
        <v>0.50505669629175609</v>
      </c>
      <c r="J160" s="51">
        <f t="shared" si="249"/>
        <v>0.52118708887869059</v>
      </c>
      <c r="K160" s="51">
        <f t="shared" si="249"/>
        <v>0.50967399946991787</v>
      </c>
      <c r="L160" s="51">
        <f t="shared" si="249"/>
        <v>0.51885565669700906</v>
      </c>
      <c r="M160" s="51">
        <f t="shared" si="249"/>
        <v>0.52896244430299177</v>
      </c>
      <c r="N160" s="51">
        <f t="shared" si="249"/>
        <v>0.55143832276938076</v>
      </c>
      <c r="O160" s="51">
        <f t="shared" si="249"/>
        <v>0.52298400626328156</v>
      </c>
      <c r="P160" s="51">
        <f t="shared" si="249"/>
        <v>0.51881526827511704</v>
      </c>
      <c r="Q160" s="51">
        <f t="shared" si="249"/>
        <v>0.52761820592134334</v>
      </c>
      <c r="R160" s="51">
        <f t="shared" si="249"/>
        <v>0.54163450818969217</v>
      </c>
      <c r="S160" s="225">
        <f t="shared" si="248"/>
        <v>0.52996364950642294</v>
      </c>
      <c r="T160" s="165" t="s">
        <v>177</v>
      </c>
      <c r="U160" s="73"/>
      <c r="V160" s="73"/>
      <c r="W160" s="73"/>
      <c r="X160" s="73"/>
      <c r="Y160" s="73"/>
      <c r="Z160" s="166">
        <v>114.9</v>
      </c>
      <c r="AA160" s="166">
        <v>113.3</v>
      </c>
      <c r="AB160" s="166">
        <v>113.6</v>
      </c>
      <c r="AC160" s="166">
        <v>110.8</v>
      </c>
      <c r="AD160" s="166">
        <v>109.9</v>
      </c>
      <c r="AE160" s="166">
        <v>109</v>
      </c>
      <c r="AF160" s="166">
        <v>106.9</v>
      </c>
      <c r="AG160" s="166">
        <v>111.1</v>
      </c>
      <c r="AH160" s="166">
        <v>108.4</v>
      </c>
      <c r="AI160" s="166">
        <v>108</v>
      </c>
      <c r="AJ160" s="166">
        <v>108.9</v>
      </c>
      <c r="AK160" s="166">
        <v>45.2</v>
      </c>
      <c r="AL160" s="167">
        <f>AVERAGE(AE160:AI160)</f>
        <v>108.67999999999999</v>
      </c>
      <c r="AM160" s="143">
        <f>+AM159/AH157</f>
        <v>4.8218029350104913E-2</v>
      </c>
      <c r="AN160" s="211">
        <v>107.24</v>
      </c>
      <c r="AO160" s="211">
        <v>106.02</v>
      </c>
    </row>
    <row r="161" spans="1:41" ht="15" x14ac:dyDescent="0.2">
      <c r="A161" s="72"/>
      <c r="B161" s="43">
        <f>SUM(B159:B160)</f>
        <v>1</v>
      </c>
      <c r="C161" s="43">
        <f>SUM(C159:C160)</f>
        <v>1</v>
      </c>
      <c r="D161" s="43">
        <f t="shared" ref="D161:K161" si="250">SUM(D159:D160)</f>
        <v>1</v>
      </c>
      <c r="E161" s="43">
        <f t="shared" si="250"/>
        <v>1</v>
      </c>
      <c r="F161" s="43">
        <f t="shared" si="250"/>
        <v>1</v>
      </c>
      <c r="G161" s="43">
        <f t="shared" si="250"/>
        <v>1</v>
      </c>
      <c r="H161" s="43">
        <f t="shared" si="250"/>
        <v>1</v>
      </c>
      <c r="I161" s="43">
        <f t="shared" si="250"/>
        <v>1</v>
      </c>
      <c r="J161" s="43">
        <f t="shared" si="250"/>
        <v>1</v>
      </c>
      <c r="K161" s="43">
        <f t="shared" si="250"/>
        <v>1</v>
      </c>
      <c r="L161" s="43">
        <f t="shared" ref="L161:O161" si="251">SUM(L159:L160)</f>
        <v>1</v>
      </c>
      <c r="M161" s="43">
        <f t="shared" si="251"/>
        <v>1</v>
      </c>
      <c r="N161" s="43">
        <f t="shared" si="251"/>
        <v>1</v>
      </c>
      <c r="O161" s="43">
        <f t="shared" si="251"/>
        <v>1</v>
      </c>
      <c r="P161" s="43">
        <f t="shared" ref="P161:Q161" si="252">SUM(P159:P160)</f>
        <v>1</v>
      </c>
      <c r="Q161" s="43">
        <f t="shared" si="252"/>
        <v>1</v>
      </c>
      <c r="R161" s="43">
        <f t="shared" ref="R161" si="253">SUM(R159:R160)</f>
        <v>1</v>
      </c>
      <c r="S161" s="43">
        <f t="shared" si="248"/>
        <v>1</v>
      </c>
      <c r="T161" s="165"/>
      <c r="U161" s="73"/>
      <c r="V161" s="73"/>
      <c r="W161" s="73"/>
      <c r="X161" s="73"/>
      <c r="Y161" s="73"/>
      <c r="Z161" s="73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169"/>
    </row>
    <row r="162" spans="1:41" ht="15" x14ac:dyDescent="0.2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180"/>
      <c r="T162" s="165" t="s">
        <v>158</v>
      </c>
      <c r="U162" s="73"/>
      <c r="V162" s="73"/>
      <c r="W162" s="73"/>
      <c r="X162" s="73"/>
      <c r="Y162" s="73"/>
      <c r="Z162" s="166">
        <v>794.1</v>
      </c>
      <c r="AA162" s="166">
        <v>824.4</v>
      </c>
      <c r="AB162" s="166">
        <v>850.5</v>
      </c>
      <c r="AC162" s="166">
        <v>873.6</v>
      </c>
      <c r="AD162" s="166">
        <v>888.6</v>
      </c>
      <c r="AE162" s="166">
        <v>898.6</v>
      </c>
      <c r="AF162" s="166">
        <v>909.6</v>
      </c>
      <c r="AG162" s="166">
        <v>919</v>
      </c>
      <c r="AH162" s="166">
        <v>931</v>
      </c>
      <c r="AI162" s="166">
        <v>945.971</v>
      </c>
      <c r="AJ162" s="166">
        <v>962</v>
      </c>
      <c r="AK162" s="166">
        <v>975</v>
      </c>
      <c r="AL162" s="167"/>
    </row>
    <row r="163" spans="1:41" ht="15.75" x14ac:dyDescent="0.25">
      <c r="A163" s="117" t="s">
        <v>119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180"/>
      <c r="T163" s="173" t="s">
        <v>160</v>
      </c>
      <c r="U163" s="148"/>
      <c r="V163" s="148"/>
      <c r="W163" s="148"/>
      <c r="X163" s="148"/>
      <c r="Y163" s="148"/>
      <c r="Z163" s="151">
        <v>3.8193364450000003E-2</v>
      </c>
      <c r="AA163" s="181">
        <f t="shared" ref="AA163:AB163" si="254">(+AA162-Z162)/Z162</f>
        <v>3.8156403475632733E-2</v>
      </c>
      <c r="AB163" s="181">
        <f t="shared" si="254"/>
        <v>3.1659388646288235E-2</v>
      </c>
      <c r="AC163" s="181">
        <f t="shared" ref="AC163:AK163" si="255">(+AC162-AB162)/AB162</f>
        <v>2.7160493827160521E-2</v>
      </c>
      <c r="AD163" s="181">
        <f t="shared" si="255"/>
        <v>1.7170329670329668E-2</v>
      </c>
      <c r="AE163" s="181">
        <f t="shared" si="255"/>
        <v>1.1253657438667566E-2</v>
      </c>
      <c r="AF163" s="181">
        <f t="shared" si="255"/>
        <v>1.2241264188738037E-2</v>
      </c>
      <c r="AG163" s="181">
        <f t="shared" si="255"/>
        <v>1.0334212840809121E-2</v>
      </c>
      <c r="AH163" s="181">
        <f t="shared" si="255"/>
        <v>1.3057671381936888E-2</v>
      </c>
      <c r="AI163" s="181">
        <f t="shared" si="255"/>
        <v>1.6080558539205158E-2</v>
      </c>
      <c r="AJ163" s="181">
        <f t="shared" si="255"/>
        <v>1.6944494070114197E-2</v>
      </c>
      <c r="AK163" s="181">
        <f t="shared" si="255"/>
        <v>1.3513513513513514E-2</v>
      </c>
      <c r="AL163" s="190">
        <f>AVERAGE(AF163:AJ163)</f>
        <v>1.3731640204160681E-2</v>
      </c>
    </row>
    <row r="164" spans="1:41" ht="15" x14ac:dyDescent="0.2">
      <c r="A164" s="72" t="s">
        <v>120</v>
      </c>
      <c r="B164" s="43">
        <f>(B$42)/(B$42+B$44+B$62+B$67+B$54)</f>
        <v>0.13968817653203405</v>
      </c>
      <c r="C164" s="43">
        <f>(C$42)/(C$42+C$44+C$62+C$67+C$54)</f>
        <v>0.17758166065759026</v>
      </c>
      <c r="D164" s="43">
        <f t="shared" ref="D164:R164" si="256">(D$42)/(D$42+D$44+D$62+D$67+D$54)</f>
        <v>0.10128830819629249</v>
      </c>
      <c r="E164" s="43">
        <f t="shared" si="256"/>
        <v>5.7302259975945645E-2</v>
      </c>
      <c r="F164" s="43">
        <f t="shared" si="256"/>
        <v>7.9734525510439233E-2</v>
      </c>
      <c r="G164" s="43">
        <f t="shared" si="256"/>
        <v>0.13935017733481075</v>
      </c>
      <c r="H164" s="43">
        <f t="shared" si="256"/>
        <v>0.10769055244975137</v>
      </c>
      <c r="I164" s="43">
        <f t="shared" si="256"/>
        <v>1.9825773505557226E-2</v>
      </c>
      <c r="J164" s="43">
        <f t="shared" si="256"/>
        <v>0.10033030553261767</v>
      </c>
      <c r="K164" s="43">
        <f t="shared" si="256"/>
        <v>0.1047573852177008</v>
      </c>
      <c r="L164" s="43">
        <f t="shared" si="256"/>
        <v>0.10163551401869159</v>
      </c>
      <c r="M164" s="43">
        <f t="shared" si="256"/>
        <v>0.16356085613885635</v>
      </c>
      <c r="N164" s="43">
        <f t="shared" si="256"/>
        <v>0.14816737618108192</v>
      </c>
      <c r="O164" s="43">
        <f t="shared" si="256"/>
        <v>0.15666855310318809</v>
      </c>
      <c r="P164" s="43">
        <f t="shared" si="256"/>
        <v>1.5684536996012407E-2</v>
      </c>
      <c r="Q164" s="43">
        <f t="shared" si="256"/>
        <v>9.5378957467220984E-2</v>
      </c>
      <c r="R164" s="43">
        <f t="shared" si="256"/>
        <v>2.9786171894500373E-2</v>
      </c>
      <c r="S164" s="43">
        <f t="shared" ref="S164:S167" si="257">AVERAGE(M164:Q164)</f>
        <v>0.11589205597727195</v>
      </c>
      <c r="T164" s="232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4"/>
    </row>
    <row r="165" spans="1:41" ht="15.75" x14ac:dyDescent="0.25">
      <c r="A165" s="72" t="s">
        <v>61</v>
      </c>
      <c r="B165" s="43">
        <f t="shared" ref="B165:R165" si="258">(B$54+B44)/(B$42+B$44+B$62+B$67+B$54)</f>
        <v>0.39634098007197555</v>
      </c>
      <c r="C165" s="43">
        <f t="shared" si="258"/>
        <v>0.37837001560566108</v>
      </c>
      <c r="D165" s="43">
        <f t="shared" si="258"/>
        <v>0.43344095849764802</v>
      </c>
      <c r="E165" s="43">
        <f t="shared" si="258"/>
        <v>0.44865780475671729</v>
      </c>
      <c r="F165" s="43">
        <f t="shared" si="258"/>
        <v>0.44553010400823462</v>
      </c>
      <c r="G165" s="43">
        <f t="shared" si="258"/>
        <v>0.39960712618070732</v>
      </c>
      <c r="H165" s="43">
        <f t="shared" si="258"/>
        <v>0.44940631061071951</v>
      </c>
      <c r="I165" s="43">
        <f t="shared" si="258"/>
        <v>0.48513066987083209</v>
      </c>
      <c r="J165" s="43">
        <f t="shared" si="258"/>
        <v>0.4307734654555464</v>
      </c>
      <c r="K165" s="43">
        <f t="shared" si="258"/>
        <v>0.43896073081029779</v>
      </c>
      <c r="L165" s="43">
        <f t="shared" si="258"/>
        <v>0.43224299065420563</v>
      </c>
      <c r="M165" s="43">
        <f t="shared" si="258"/>
        <v>0.39399424981365139</v>
      </c>
      <c r="N165" s="43">
        <f t="shared" si="258"/>
        <v>0.382099470459973</v>
      </c>
      <c r="O165" s="43">
        <f t="shared" si="258"/>
        <v>0.4022825881909074</v>
      </c>
      <c r="P165" s="43">
        <f t="shared" si="258"/>
        <v>0.47363757199822776</v>
      </c>
      <c r="Q165" s="43">
        <f t="shared" si="258"/>
        <v>0.42732651103293889</v>
      </c>
      <c r="R165" s="43">
        <f t="shared" si="258"/>
        <v>0.44471253848073883</v>
      </c>
      <c r="S165" s="43">
        <f t="shared" si="257"/>
        <v>0.41586807829913963</v>
      </c>
      <c r="T165" s="257" t="s">
        <v>185</v>
      </c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9"/>
    </row>
    <row r="166" spans="1:41" ht="15.75" x14ac:dyDescent="0.25">
      <c r="A166" s="72" t="s">
        <v>5</v>
      </c>
      <c r="B166" s="43">
        <f>B$67/(B$42+B$44+B$62+B$67+B$54)</f>
        <v>0.46397084339599043</v>
      </c>
      <c r="C166" s="43">
        <f>C$67/(C$42+C$44+C$62+C$67+C$54)</f>
        <v>0.44404832373674863</v>
      </c>
      <c r="D166" s="43">
        <f t="shared" ref="D166:R166" si="259">D$67/(D$42+D$44+D$62+D$67+D$54)</f>
        <v>0.4652707333060595</v>
      </c>
      <c r="E166" s="43">
        <f t="shared" si="259"/>
        <v>0.49403993526733708</v>
      </c>
      <c r="F166" s="43">
        <f t="shared" si="259"/>
        <v>0.47473537048132614</v>
      </c>
      <c r="G166" s="43">
        <f t="shared" si="259"/>
        <v>0.46104269648448193</v>
      </c>
      <c r="H166" s="43">
        <f t="shared" si="259"/>
        <v>0.4429031369395291</v>
      </c>
      <c r="I166" s="43">
        <f t="shared" si="259"/>
        <v>0.49504355662361071</v>
      </c>
      <c r="J166" s="43">
        <f t="shared" si="259"/>
        <v>0.46889622901183597</v>
      </c>
      <c r="K166" s="43">
        <f t="shared" si="259"/>
        <v>0.45628188397200142</v>
      </c>
      <c r="L166" s="43">
        <f t="shared" si="259"/>
        <v>0.46612149532710279</v>
      </c>
      <c r="M166" s="43">
        <f t="shared" si="259"/>
        <v>0.44244489404749227</v>
      </c>
      <c r="N166" s="43">
        <f t="shared" si="259"/>
        <v>0.46973315335894505</v>
      </c>
      <c r="O166" s="43">
        <f t="shared" si="259"/>
        <v>0.44104885870590455</v>
      </c>
      <c r="P166" s="43">
        <f t="shared" si="259"/>
        <v>0.51067789100575989</v>
      </c>
      <c r="Q166" s="43">
        <f t="shared" si="259"/>
        <v>0.47729453149984008</v>
      </c>
      <c r="R166" s="43">
        <f t="shared" si="259"/>
        <v>0.52550128962476084</v>
      </c>
      <c r="S166" s="225">
        <f t="shared" si="257"/>
        <v>0.46823986572358833</v>
      </c>
      <c r="T166" s="233" t="s">
        <v>184</v>
      </c>
      <c r="U166" s="163"/>
      <c r="V166" s="163"/>
      <c r="W166" s="163"/>
      <c r="X166" s="163"/>
      <c r="Y166" s="163"/>
      <c r="Z166" s="163"/>
      <c r="AA166" s="163"/>
      <c r="AB166" s="163"/>
      <c r="AC166" s="234">
        <v>0.34</v>
      </c>
      <c r="AD166" s="243">
        <v>0.49</v>
      </c>
      <c r="AE166" s="243">
        <v>0.51</v>
      </c>
      <c r="AF166" s="243">
        <v>0.51</v>
      </c>
      <c r="AG166" s="243">
        <v>0.52</v>
      </c>
      <c r="AH166" s="243">
        <v>0.68</v>
      </c>
      <c r="AI166" s="243">
        <v>0.59</v>
      </c>
      <c r="AJ166" s="243">
        <f>Q195/(AJ140+AJ141)</f>
        <v>0.62072336265884653</v>
      </c>
      <c r="AK166" s="243"/>
      <c r="AL166" s="244">
        <f t="shared" ref="AL166:AL167" si="260">AVERAGE(AF166:AJ166)</f>
        <v>0.58414467253176927</v>
      </c>
      <c r="AM166" s="237"/>
    </row>
    <row r="167" spans="1:41" ht="15.75" x14ac:dyDescent="0.25">
      <c r="A167" s="72"/>
      <c r="B167" s="80">
        <f>SUM(B164:B166)</f>
        <v>1</v>
      </c>
      <c r="C167" s="80">
        <f>SUM(C164:C166)</f>
        <v>1</v>
      </c>
      <c r="D167" s="80">
        <f t="shared" ref="D167:K167" si="261">SUM(D164:D166)</f>
        <v>1</v>
      </c>
      <c r="E167" s="80">
        <f t="shared" si="261"/>
        <v>1</v>
      </c>
      <c r="F167" s="80">
        <f t="shared" si="261"/>
        <v>1</v>
      </c>
      <c r="G167" s="80">
        <f t="shared" si="261"/>
        <v>1</v>
      </c>
      <c r="H167" s="80">
        <f t="shared" si="261"/>
        <v>1</v>
      </c>
      <c r="I167" s="80">
        <f t="shared" si="261"/>
        <v>1</v>
      </c>
      <c r="J167" s="80">
        <f t="shared" si="261"/>
        <v>1</v>
      </c>
      <c r="K167" s="80">
        <f t="shared" si="261"/>
        <v>1</v>
      </c>
      <c r="L167" s="80">
        <f t="shared" ref="L167:O167" si="262">SUM(L164:L166)</f>
        <v>1</v>
      </c>
      <c r="M167" s="80">
        <f t="shared" si="262"/>
        <v>1</v>
      </c>
      <c r="N167" s="80">
        <f t="shared" si="262"/>
        <v>1</v>
      </c>
      <c r="O167" s="80">
        <f t="shared" si="262"/>
        <v>1</v>
      </c>
      <c r="P167" s="80">
        <f t="shared" ref="P167:Q167" si="263">SUM(P164:P166)</f>
        <v>1</v>
      </c>
      <c r="Q167" s="80">
        <f t="shared" si="263"/>
        <v>1</v>
      </c>
      <c r="R167" s="80">
        <f t="shared" ref="R167" si="264">SUM(R164:R166)</f>
        <v>1</v>
      </c>
      <c r="S167" s="43">
        <f t="shared" si="257"/>
        <v>1</v>
      </c>
      <c r="T167" s="220" t="s">
        <v>169</v>
      </c>
      <c r="U167" s="148"/>
      <c r="V167" s="148"/>
      <c r="W167" s="148"/>
      <c r="X167" s="148"/>
      <c r="Y167" s="148"/>
      <c r="Z167" s="148"/>
      <c r="AA167" s="148"/>
      <c r="AB167" s="148"/>
      <c r="AC167" s="151">
        <f t="shared" ref="AC167:AG167" si="265">1-AC166</f>
        <v>0.65999999999999992</v>
      </c>
      <c r="AD167" s="151">
        <f t="shared" si="265"/>
        <v>0.51</v>
      </c>
      <c r="AE167" s="151">
        <f t="shared" si="265"/>
        <v>0.49</v>
      </c>
      <c r="AF167" s="151">
        <f t="shared" si="265"/>
        <v>0.49</v>
      </c>
      <c r="AG167" s="151">
        <f t="shared" si="265"/>
        <v>0.48</v>
      </c>
      <c r="AH167" s="151">
        <f>1-AH166</f>
        <v>0.31999999999999995</v>
      </c>
      <c r="AI167" s="151">
        <f>1-AI166</f>
        <v>0.41000000000000003</v>
      </c>
      <c r="AJ167" s="151">
        <f>1-AJ166</f>
        <v>0.37927663734115347</v>
      </c>
      <c r="AK167" s="151"/>
      <c r="AL167" s="190">
        <f t="shared" si="260"/>
        <v>0.41585532746823073</v>
      </c>
      <c r="AM167" s="237"/>
    </row>
    <row r="168" spans="1:41" ht="15.75" x14ac:dyDescent="0.25">
      <c r="S168" s="91" t="s">
        <v>114</v>
      </c>
      <c r="AM168" s="237"/>
    </row>
    <row r="169" spans="1:41" ht="15.75" x14ac:dyDescent="0.25">
      <c r="S169" s="152" t="s">
        <v>233</v>
      </c>
      <c r="AM169" s="237"/>
    </row>
    <row r="170" spans="1:41" ht="20.25" x14ac:dyDescent="0.3">
      <c r="A170" s="254" t="str">
        <f>+A114</f>
        <v>Questar Gas Company</v>
      </c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AM170" s="237"/>
    </row>
    <row r="171" spans="1:41" s="197" customFormat="1" ht="15.75" x14ac:dyDescent="0.25">
      <c r="A171" s="255" t="s">
        <v>230</v>
      </c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AM171" s="223"/>
    </row>
    <row r="172" spans="1:41" s="197" customFormat="1" ht="15.75" x14ac:dyDescent="0.25">
      <c r="A172" s="255" t="str">
        <f>+A116</f>
        <v>Years Ended December 31</v>
      </c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AM172" s="223"/>
    </row>
    <row r="173" spans="1:41" x14ac:dyDescent="0.2">
      <c r="S173" s="119" t="s">
        <v>229</v>
      </c>
    </row>
    <row r="174" spans="1:41" ht="15.75" x14ac:dyDescent="0.25">
      <c r="L174" s="202"/>
      <c r="M174" s="202"/>
      <c r="P174" s="224"/>
      <c r="Q174" s="224"/>
      <c r="R174" s="224" t="str">
        <f>+AK119</f>
        <v>1st Qrtr</v>
      </c>
      <c r="S174" s="242" t="s">
        <v>227</v>
      </c>
      <c r="T174" s="121"/>
      <c r="U174" s="121" t="s">
        <v>220</v>
      </c>
    </row>
    <row r="175" spans="1:41" ht="15.75" x14ac:dyDescent="0.25">
      <c r="A175" s="117" t="s">
        <v>204</v>
      </c>
      <c r="K175" s="222">
        <f t="shared" ref="K175:Q175" si="266">+AD120</f>
        <v>2008</v>
      </c>
      <c r="L175" s="222">
        <f t="shared" si="266"/>
        <v>2009</v>
      </c>
      <c r="M175" s="222">
        <f t="shared" si="266"/>
        <v>2010</v>
      </c>
      <c r="N175" s="222">
        <f t="shared" si="266"/>
        <v>2011</v>
      </c>
      <c r="O175" s="222">
        <f t="shared" si="266"/>
        <v>2012</v>
      </c>
      <c r="P175" s="222">
        <f t="shared" si="266"/>
        <v>2013</v>
      </c>
      <c r="Q175" s="222">
        <f t="shared" si="266"/>
        <v>2014</v>
      </c>
      <c r="R175" s="222">
        <f>+AK120</f>
        <v>2015</v>
      </c>
      <c r="S175" s="120" t="s">
        <v>24</v>
      </c>
      <c r="T175" s="187"/>
      <c r="U175" s="239" t="s">
        <v>221</v>
      </c>
    </row>
    <row r="176" spans="1:41" ht="15" x14ac:dyDescent="0.2">
      <c r="A176" s="72" t="s">
        <v>191</v>
      </c>
      <c r="K176" s="221"/>
      <c r="L176" s="221"/>
      <c r="M176" s="221">
        <v>245.4</v>
      </c>
      <c r="N176" s="221">
        <v>221.2</v>
      </c>
      <c r="O176" s="221">
        <v>104.2</v>
      </c>
      <c r="P176" s="221">
        <v>186.6</v>
      </c>
      <c r="Q176" s="221">
        <v>136.5</v>
      </c>
      <c r="R176" s="221">
        <v>41</v>
      </c>
      <c r="S176" s="43">
        <f>RATE(4,,-M176,Q176)</f>
        <v>-0.1363962425299424</v>
      </c>
      <c r="T176" s="166"/>
      <c r="U176" s="158">
        <f t="shared" ref="U176:U184" si="267">RATE(4,,-M176,Q176)</f>
        <v>-0.1363962425299424</v>
      </c>
      <c r="AN176" s="213"/>
      <c r="AO176" s="213"/>
    </row>
    <row r="177" spans="1:41" ht="15.75" x14ac:dyDescent="0.25">
      <c r="A177" s="197" t="s">
        <v>192</v>
      </c>
      <c r="B177" s="248"/>
      <c r="C177" s="248"/>
      <c r="D177" s="248"/>
      <c r="E177" s="248"/>
      <c r="F177" s="248"/>
      <c r="G177" s="248"/>
      <c r="H177" s="248"/>
      <c r="I177" s="248"/>
      <c r="J177" s="248"/>
      <c r="K177" s="223">
        <v>210.1</v>
      </c>
      <c r="L177" s="223">
        <v>224.9</v>
      </c>
      <c r="M177" s="223">
        <v>240</v>
      </c>
      <c r="N177" s="223">
        <v>253.4</v>
      </c>
      <c r="O177" s="223">
        <v>274</v>
      </c>
      <c r="P177" s="223">
        <v>294.60000000000002</v>
      </c>
      <c r="Q177" s="223">
        <v>349.7</v>
      </c>
      <c r="R177" s="223">
        <v>84.8</v>
      </c>
      <c r="S177" s="22">
        <f>RATE(4,,-M177,Q177)</f>
        <v>9.8679693417890221E-2</v>
      </c>
      <c r="T177" s="166"/>
      <c r="U177" s="158">
        <f t="shared" si="267"/>
        <v>9.8679693417890221E-2</v>
      </c>
      <c r="AM177" s="212"/>
      <c r="AN177" s="212"/>
      <c r="AO177" s="212"/>
    </row>
    <row r="178" spans="1:41" ht="15" x14ac:dyDescent="0.2">
      <c r="A178" s="72" t="s">
        <v>193</v>
      </c>
      <c r="K178" s="221"/>
      <c r="L178" s="221"/>
      <c r="M178" s="221">
        <v>78.099999999999994</v>
      </c>
      <c r="N178" s="221">
        <v>78.400000000000006</v>
      </c>
      <c r="O178" s="221">
        <v>79.599999999999994</v>
      </c>
      <c r="P178" s="221">
        <v>80.099999999999994</v>
      </c>
      <c r="Q178" s="221">
        <v>79.599999999999994</v>
      </c>
      <c r="R178" s="221">
        <v>22.2</v>
      </c>
      <c r="S178" s="43">
        <f t="shared" ref="S178:S188" si="268">RATE(4,,-M178,Q178)</f>
        <v>4.7673367656874835E-3</v>
      </c>
      <c r="T178" s="166"/>
      <c r="U178" s="158">
        <f t="shared" si="267"/>
        <v>4.7673367656874835E-3</v>
      </c>
    </row>
    <row r="179" spans="1:41" ht="15" x14ac:dyDescent="0.2">
      <c r="A179" s="72" t="s">
        <v>194</v>
      </c>
      <c r="K179" s="221"/>
      <c r="L179" s="221"/>
      <c r="M179" s="221">
        <v>23.6</v>
      </c>
      <c r="N179" s="221">
        <v>25</v>
      </c>
      <c r="O179" s="221">
        <v>20.5</v>
      </c>
      <c r="P179" s="221">
        <v>18.8</v>
      </c>
      <c r="Q179" s="221">
        <v>21</v>
      </c>
      <c r="R179" s="221">
        <v>5.4</v>
      </c>
      <c r="S179" s="43">
        <f t="shared" si="268"/>
        <v>-2.8759412606938494E-2</v>
      </c>
      <c r="T179" s="166"/>
      <c r="U179" s="158">
        <f t="shared" si="267"/>
        <v>-2.8759412606938494E-2</v>
      </c>
    </row>
    <row r="180" spans="1:41" ht="15.75" x14ac:dyDescent="0.25">
      <c r="A180" s="72" t="s">
        <v>195</v>
      </c>
      <c r="K180" s="221"/>
      <c r="L180" s="221"/>
      <c r="M180" s="221">
        <v>37.200000000000003</v>
      </c>
      <c r="N180" s="221">
        <v>38.9</v>
      </c>
      <c r="O180" s="221">
        <v>32</v>
      </c>
      <c r="P180" s="221">
        <v>44.3</v>
      </c>
      <c r="Q180" s="221">
        <v>60.1</v>
      </c>
      <c r="R180" s="221">
        <v>11.9</v>
      </c>
      <c r="S180" s="43">
        <f t="shared" si="268"/>
        <v>0.1274125969650575</v>
      </c>
      <c r="T180" s="166"/>
      <c r="U180" s="158">
        <f t="shared" si="267"/>
        <v>0.1274125969650575</v>
      </c>
      <c r="V180" s="72"/>
      <c r="W180" s="72"/>
      <c r="X180" s="72"/>
      <c r="Y180" s="72"/>
      <c r="Z180" s="72"/>
      <c r="AA180" s="72"/>
      <c r="AB180" s="72"/>
      <c r="AC180" s="222">
        <f>+AC120</f>
        <v>2007</v>
      </c>
    </row>
    <row r="181" spans="1:41" ht="15" x14ac:dyDescent="0.2">
      <c r="A181" s="72" t="s">
        <v>196</v>
      </c>
      <c r="K181" s="221"/>
      <c r="L181" s="221"/>
      <c r="M181" s="221">
        <v>-0.8</v>
      </c>
      <c r="N181" s="221">
        <v>3</v>
      </c>
      <c r="O181" s="221">
        <v>1.9</v>
      </c>
      <c r="P181" s="221">
        <v>-0.8</v>
      </c>
      <c r="Q181" s="221">
        <v>-1.1000000000000001</v>
      </c>
      <c r="R181" s="221">
        <v>30.9</v>
      </c>
      <c r="S181" s="43">
        <f t="shared" si="268"/>
        <v>8.286838533404528E-2</v>
      </c>
      <c r="T181" s="166"/>
      <c r="U181" s="158">
        <f t="shared" si="267"/>
        <v>8.286838533404528E-2</v>
      </c>
      <c r="V181" s="221"/>
      <c r="W181" s="221"/>
      <c r="X181" s="221"/>
      <c r="Y181" s="221"/>
      <c r="Z181" s="221"/>
      <c r="AA181" s="221"/>
      <c r="AB181" s="221"/>
      <c r="AC181" s="221"/>
    </row>
    <row r="182" spans="1:41" ht="15" x14ac:dyDescent="0.2">
      <c r="A182" s="72" t="s">
        <v>197</v>
      </c>
      <c r="K182" s="221"/>
      <c r="L182" s="221"/>
      <c r="M182" s="221">
        <v>-36.799999999999997</v>
      </c>
      <c r="N182" s="221">
        <v>20.6</v>
      </c>
      <c r="O182" s="221">
        <v>16.100000000000001</v>
      </c>
      <c r="P182" s="221">
        <v>22</v>
      </c>
      <c r="Q182" s="221">
        <v>-45.8</v>
      </c>
      <c r="R182" s="221">
        <v>36.200000000000003</v>
      </c>
      <c r="S182" s="43">
        <f t="shared" si="268"/>
        <v>5.6220068197260768E-2</v>
      </c>
      <c r="T182" s="166"/>
      <c r="U182" s="158">
        <f t="shared" si="267"/>
        <v>5.6220068197260768E-2</v>
      </c>
      <c r="V182" s="221"/>
      <c r="W182" s="221"/>
      <c r="X182" s="221"/>
      <c r="Y182" s="221"/>
      <c r="Z182" s="221"/>
      <c r="AA182" s="221"/>
      <c r="AB182" s="221"/>
      <c r="AC182" s="221"/>
    </row>
    <row r="183" spans="1:41" ht="15" x14ac:dyDescent="0.2">
      <c r="A183" s="72" t="s">
        <v>66</v>
      </c>
      <c r="K183" s="149"/>
      <c r="L183" s="149"/>
      <c r="M183" s="149">
        <v>5.5</v>
      </c>
      <c r="N183" s="149">
        <v>5.2</v>
      </c>
      <c r="O183" s="149">
        <v>5</v>
      </c>
      <c r="P183" s="149">
        <v>5</v>
      </c>
      <c r="Q183" s="149">
        <v>4.8</v>
      </c>
      <c r="R183" s="149">
        <v>1.2</v>
      </c>
      <c r="S183" s="51">
        <f t="shared" si="268"/>
        <v>-3.3460433818755624E-2</v>
      </c>
      <c r="T183" s="166"/>
      <c r="U183" s="230">
        <f t="shared" si="267"/>
        <v>-3.3460433818755624E-2</v>
      </c>
      <c r="V183" s="221"/>
      <c r="W183" s="221"/>
      <c r="X183" s="221"/>
      <c r="Y183" s="221"/>
      <c r="Z183" s="221"/>
      <c r="AA183" s="221"/>
      <c r="AB183" s="221"/>
      <c r="AC183" s="221"/>
    </row>
    <row r="184" spans="1:41" ht="15" x14ac:dyDescent="0.2">
      <c r="A184" s="72" t="s">
        <v>228</v>
      </c>
      <c r="K184" s="221"/>
      <c r="L184" s="221"/>
      <c r="M184" s="221">
        <f t="shared" ref="M184:R184" si="269">SUM(M176:M183)</f>
        <v>592.20000000000016</v>
      </c>
      <c r="N184" s="221">
        <f t="shared" si="269"/>
        <v>645.70000000000005</v>
      </c>
      <c r="O184" s="221">
        <f t="shared" si="269"/>
        <v>533.29999999999995</v>
      </c>
      <c r="P184" s="221">
        <f t="shared" si="269"/>
        <v>650.6</v>
      </c>
      <c r="Q184" s="221">
        <f t="shared" si="269"/>
        <v>604.79999999999995</v>
      </c>
      <c r="R184" s="221">
        <f t="shared" si="269"/>
        <v>233.60000000000002</v>
      </c>
      <c r="S184" s="43">
        <f t="shared" si="268"/>
        <v>5.2772280741924258E-3</v>
      </c>
      <c r="T184" s="166"/>
      <c r="U184" s="158">
        <f t="shared" si="267"/>
        <v>5.2772280741924258E-3</v>
      </c>
      <c r="V184" s="221"/>
      <c r="W184" s="221"/>
      <c r="X184" s="221"/>
      <c r="Y184" s="221"/>
      <c r="Z184" s="221"/>
      <c r="AA184" s="221"/>
      <c r="AB184" s="221"/>
      <c r="AC184" s="221"/>
    </row>
    <row r="185" spans="1:41" ht="15" x14ac:dyDescent="0.2">
      <c r="A185" s="72"/>
      <c r="K185" s="221"/>
      <c r="L185" s="221"/>
      <c r="M185" s="221"/>
      <c r="N185" s="221"/>
      <c r="O185" s="221"/>
      <c r="P185" s="221"/>
      <c r="Q185" s="221"/>
      <c r="R185" s="221"/>
      <c r="S185" s="166"/>
      <c r="T185" s="221"/>
      <c r="U185" s="158"/>
      <c r="V185" s="221"/>
      <c r="W185" s="221"/>
      <c r="X185" s="221"/>
      <c r="Y185" s="221"/>
      <c r="Z185" s="221"/>
      <c r="AA185" s="221"/>
      <c r="AB185" s="221"/>
      <c r="AC185" s="221"/>
    </row>
    <row r="186" spans="1:41" ht="15" x14ac:dyDescent="0.2">
      <c r="A186" s="72" t="s">
        <v>198</v>
      </c>
      <c r="K186" s="221"/>
      <c r="L186" s="221"/>
      <c r="M186" s="221">
        <v>-313.7</v>
      </c>
      <c r="N186" s="221">
        <v>-327.3</v>
      </c>
      <c r="O186" s="221">
        <v>-347.7</v>
      </c>
      <c r="P186" s="221">
        <v>-370.9</v>
      </c>
      <c r="Q186" s="221">
        <v>-423.4</v>
      </c>
      <c r="R186" s="221">
        <v>-104</v>
      </c>
      <c r="S186" s="43">
        <f t="shared" si="268"/>
        <v>7.7851880460899289E-2</v>
      </c>
      <c r="T186" s="221"/>
      <c r="U186" s="158">
        <f>RATE(4,,-M186,Q186)</f>
        <v>7.7851880460899289E-2</v>
      </c>
      <c r="V186" s="221"/>
      <c r="W186" s="221"/>
      <c r="X186" s="221"/>
      <c r="Y186" s="221"/>
      <c r="Z186" s="221"/>
      <c r="AA186" s="221"/>
      <c r="AB186" s="221"/>
      <c r="AC186" s="221"/>
    </row>
    <row r="187" spans="1:41" ht="15" x14ac:dyDescent="0.2">
      <c r="A187" s="72"/>
      <c r="K187" s="221"/>
      <c r="L187" s="221"/>
      <c r="M187" s="221"/>
      <c r="N187" s="221"/>
      <c r="O187" s="221"/>
      <c r="P187" s="221"/>
      <c r="Q187" s="221"/>
      <c r="R187" s="221"/>
      <c r="S187" s="43"/>
      <c r="T187" s="221"/>
      <c r="U187" s="158"/>
      <c r="V187" s="221"/>
      <c r="W187" s="221"/>
      <c r="X187" s="221"/>
      <c r="Y187" s="221"/>
      <c r="Z187" s="221"/>
      <c r="AA187" s="221"/>
      <c r="AB187" s="221"/>
      <c r="AC187" s="221"/>
    </row>
    <row r="188" spans="1:41" ht="15.75" x14ac:dyDescent="0.25">
      <c r="A188" s="72" t="s">
        <v>199</v>
      </c>
      <c r="K188" s="221"/>
      <c r="L188" s="221"/>
      <c r="M188" s="221">
        <f t="shared" ref="M188:R188" si="270">+M186+M184</f>
        <v>278.50000000000017</v>
      </c>
      <c r="N188" s="221">
        <f t="shared" si="270"/>
        <v>318.40000000000003</v>
      </c>
      <c r="O188" s="221">
        <f t="shared" si="270"/>
        <v>185.59999999999997</v>
      </c>
      <c r="P188" s="221">
        <f t="shared" si="270"/>
        <v>279.70000000000005</v>
      </c>
      <c r="Q188" s="221">
        <f t="shared" si="270"/>
        <v>181.39999999999998</v>
      </c>
      <c r="R188" s="221">
        <f t="shared" si="270"/>
        <v>129.60000000000002</v>
      </c>
      <c r="S188" s="43">
        <f t="shared" si="268"/>
        <v>-0.10163459210202652</v>
      </c>
      <c r="T188" s="223"/>
      <c r="U188" s="238">
        <f>RATE(4,,-M188,Q188)</f>
        <v>-0.10163459210202652</v>
      </c>
      <c r="V188" s="221"/>
      <c r="W188" s="221"/>
      <c r="X188" s="221"/>
      <c r="Y188" s="221"/>
      <c r="Z188" s="221"/>
      <c r="AA188" s="221"/>
      <c r="AB188" s="221"/>
      <c r="AC188" s="221"/>
    </row>
    <row r="189" spans="1:41" ht="15.75" x14ac:dyDescent="0.25">
      <c r="A189" s="72"/>
      <c r="K189" s="221"/>
      <c r="L189" s="221"/>
      <c r="M189" s="223"/>
      <c r="N189" s="223"/>
      <c r="O189" s="223"/>
      <c r="P189" s="223"/>
      <c r="Q189" s="223"/>
      <c r="R189" s="223"/>
      <c r="S189" s="22"/>
      <c r="T189" s="223"/>
      <c r="U189" s="238"/>
      <c r="V189" s="221"/>
      <c r="W189" s="221"/>
      <c r="X189" s="221"/>
      <c r="Y189" s="221"/>
      <c r="Z189" s="221"/>
      <c r="AA189" s="221"/>
      <c r="AB189" s="221"/>
      <c r="AC189" s="221"/>
    </row>
    <row r="190" spans="1:41" ht="15" x14ac:dyDescent="0.2">
      <c r="A190" s="72" t="s">
        <v>205</v>
      </c>
      <c r="K190" s="221"/>
      <c r="L190" s="221"/>
      <c r="M190" s="221">
        <v>2.4</v>
      </c>
      <c r="N190" s="221">
        <v>3.1</v>
      </c>
      <c r="O190" s="221">
        <v>6.7</v>
      </c>
      <c r="P190" s="221">
        <v>6.1</v>
      </c>
      <c r="Q190" s="221">
        <v>4</v>
      </c>
      <c r="R190" s="221"/>
      <c r="S190" s="166"/>
      <c r="T190" s="221"/>
      <c r="U190" s="158">
        <f>RATE(4,,-M190,Q190)</f>
        <v>0.13621936646749927</v>
      </c>
      <c r="V190" s="221"/>
      <c r="W190" s="221"/>
      <c r="X190" s="221"/>
      <c r="Y190" s="221"/>
      <c r="Z190" s="221"/>
      <c r="AA190" s="221"/>
      <c r="AB190" s="221"/>
      <c r="AC190" s="221"/>
    </row>
    <row r="191" spans="1:41" ht="15" x14ac:dyDescent="0.2">
      <c r="A191" s="72" t="s">
        <v>215</v>
      </c>
      <c r="K191" s="221"/>
      <c r="L191" s="221"/>
      <c r="M191" s="221"/>
      <c r="N191" s="221"/>
      <c r="O191" s="221"/>
      <c r="P191" s="221"/>
      <c r="Q191" s="221">
        <v>0.9</v>
      </c>
      <c r="R191" s="221"/>
      <c r="S191" s="166"/>
      <c r="T191" s="221"/>
      <c r="U191" s="158"/>
      <c r="V191" s="149"/>
      <c r="W191" s="149"/>
      <c r="X191" s="149"/>
      <c r="Y191" s="149"/>
      <c r="Z191" s="149"/>
      <c r="AA191" s="149"/>
      <c r="AB191" s="149"/>
      <c r="AC191" s="149"/>
    </row>
    <row r="192" spans="1:41" ht="15" x14ac:dyDescent="0.2">
      <c r="A192" s="72" t="s">
        <v>200</v>
      </c>
      <c r="K192" s="221"/>
      <c r="L192" s="221"/>
      <c r="M192" s="221">
        <f>+M190+M188</f>
        <v>280.90000000000015</v>
      </c>
      <c r="N192" s="221">
        <f>+N190+N188</f>
        <v>321.50000000000006</v>
      </c>
      <c r="O192" s="221">
        <f>+O190+O188</f>
        <v>192.29999999999995</v>
      </c>
      <c r="P192" s="221">
        <f>+P190+P188</f>
        <v>285.80000000000007</v>
      </c>
      <c r="Q192" s="221">
        <f>+Q190+Q188+Q191</f>
        <v>186.29999999999998</v>
      </c>
      <c r="R192" s="221">
        <f>+R190+R188+R191</f>
        <v>129.60000000000002</v>
      </c>
      <c r="S192" s="43">
        <f t="shared" ref="S192" si="271">RATE(4,,-M192,Q192)</f>
        <v>-9.7566354188506482E-2</v>
      </c>
      <c r="T192" s="221"/>
      <c r="U192" s="158">
        <f>RATE(4,,-M192,Q192)</f>
        <v>-9.7566354188506482E-2</v>
      </c>
      <c r="V192" s="221">
        <f t="shared" ref="V192" si="272">SUM(V181:V191)</f>
        <v>0</v>
      </c>
      <c r="W192" s="221">
        <f t="shared" ref="W192" si="273">SUM(W181:W191)</f>
        <v>0</v>
      </c>
      <c r="X192" s="221">
        <f t="shared" ref="X192" si="274">SUM(X181:X191)</f>
        <v>0</v>
      </c>
      <c r="Y192" s="221">
        <f t="shared" ref="Y192" si="275">SUM(Y181:Y191)</f>
        <v>0</v>
      </c>
      <c r="Z192" s="221">
        <f t="shared" ref="Z192" si="276">SUM(Z181:Z191)</f>
        <v>0</v>
      </c>
      <c r="AA192" s="221">
        <f t="shared" ref="AA192" si="277">SUM(AA181:AA191)</f>
        <v>0</v>
      </c>
      <c r="AB192" s="221">
        <f t="shared" ref="AB192" si="278">SUM(AB181:AB191)</f>
        <v>0</v>
      </c>
      <c r="AC192" s="221">
        <f t="shared" ref="AC192" si="279">SUM(AC181:AC191)</f>
        <v>0</v>
      </c>
    </row>
    <row r="193" spans="1:38" ht="15" x14ac:dyDescent="0.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221"/>
      <c r="W193" s="221"/>
      <c r="X193" s="221"/>
      <c r="Y193" s="221"/>
      <c r="Z193" s="221"/>
      <c r="AA193" s="221"/>
      <c r="AB193" s="221"/>
      <c r="AC193" s="221"/>
    </row>
    <row r="194" spans="1:38" ht="15" x14ac:dyDescent="0.2">
      <c r="A194" s="235" t="s">
        <v>247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221"/>
      <c r="W194" s="221"/>
      <c r="X194" s="221"/>
      <c r="Y194" s="221"/>
      <c r="Z194" s="221"/>
      <c r="AA194" s="221"/>
      <c r="AB194" s="221"/>
      <c r="AC194" s="221"/>
    </row>
    <row r="195" spans="1:38" ht="15.75" x14ac:dyDescent="0.25">
      <c r="A195" s="245" t="s">
        <v>244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246">
        <v>46.1</v>
      </c>
      <c r="L195" s="246">
        <v>48.2</v>
      </c>
      <c r="M195" s="246">
        <v>50.2</v>
      </c>
      <c r="N195" s="246">
        <v>50.5</v>
      </c>
      <c r="O195" s="246">
        <v>57.5</v>
      </c>
      <c r="P195" s="246">
        <v>59.2</v>
      </c>
      <c r="Q195" s="246">
        <v>63.5</v>
      </c>
      <c r="R195" s="246"/>
      <c r="S195" s="43">
        <f>RATE(4,,-M195,Q195)</f>
        <v>6.0516676257802729E-2</v>
      </c>
      <c r="T195" s="223"/>
      <c r="U195" s="238">
        <f>RATE(4,,-M195,Q195)</f>
        <v>6.0516676257802729E-2</v>
      </c>
      <c r="V195" s="221" t="e">
        <f>+#REF!+V192</f>
        <v>#REF!</v>
      </c>
      <c r="W195" s="221" t="e">
        <f>+#REF!+W192</f>
        <v>#REF!</v>
      </c>
      <c r="X195" s="221" t="e">
        <f>+#REF!+X192</f>
        <v>#REF!</v>
      </c>
      <c r="Y195" s="221" t="e">
        <f>+#REF!+Y192</f>
        <v>#REF!</v>
      </c>
      <c r="Z195" s="221" t="e">
        <f>+#REF!+Z192</f>
        <v>#REF!</v>
      </c>
      <c r="AA195" s="221" t="e">
        <f>+#REF!+AA192</f>
        <v>#REF!</v>
      </c>
      <c r="AB195" s="221" t="e">
        <f>+#REF!+AB192</f>
        <v>#REF!</v>
      </c>
      <c r="AC195" s="221" t="e">
        <f>+#REF!+AC192</f>
        <v>#REF!</v>
      </c>
    </row>
    <row r="196" spans="1:38" ht="15.75" x14ac:dyDescent="0.25">
      <c r="A196" s="245" t="s">
        <v>245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246"/>
      <c r="L196" s="241">
        <f>+L197-L195</f>
        <v>62.5</v>
      </c>
      <c r="M196" s="241">
        <f t="shared" ref="M196:Q196" si="280">+M197-M195</f>
        <v>60.099999999999994</v>
      </c>
      <c r="N196" s="241">
        <f t="shared" si="280"/>
        <v>67.8</v>
      </c>
      <c r="O196" s="241">
        <f t="shared" si="280"/>
        <v>43.400000000000006</v>
      </c>
      <c r="P196" s="241">
        <f t="shared" si="280"/>
        <v>60.100000000000009</v>
      </c>
      <c r="Q196" s="241">
        <f t="shared" si="280"/>
        <v>38.799999999999997</v>
      </c>
      <c r="R196" s="241"/>
      <c r="S196" s="51">
        <f t="shared" ref="S196:S197" si="281">RATE(4,,-M196,Q196)</f>
        <v>-0.10362587122813818</v>
      </c>
      <c r="T196" s="223"/>
      <c r="U196" s="238"/>
      <c r="V196" s="221"/>
      <c r="W196" s="221"/>
      <c r="X196" s="221"/>
      <c r="Y196" s="221"/>
      <c r="Z196" s="221"/>
      <c r="AA196" s="221"/>
      <c r="AB196" s="221"/>
      <c r="AC196" s="221"/>
    </row>
    <row r="197" spans="1:38" ht="15.75" x14ac:dyDescent="0.25">
      <c r="A197" s="245" t="s">
        <v>246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246"/>
      <c r="L197" s="246">
        <f t="shared" ref="L197:Q197" si="282">+AE140+AE141</f>
        <v>110.7</v>
      </c>
      <c r="M197" s="246">
        <f t="shared" si="282"/>
        <v>110.3</v>
      </c>
      <c r="N197" s="246">
        <f t="shared" si="282"/>
        <v>118.3</v>
      </c>
      <c r="O197" s="246">
        <f t="shared" si="282"/>
        <v>100.9</v>
      </c>
      <c r="P197" s="246">
        <f t="shared" si="282"/>
        <v>119.30000000000001</v>
      </c>
      <c r="Q197" s="246">
        <f t="shared" si="282"/>
        <v>102.3</v>
      </c>
      <c r="R197" s="246"/>
      <c r="S197" s="43">
        <f t="shared" si="281"/>
        <v>-1.8647506460495351E-2</v>
      </c>
      <c r="T197" s="251"/>
      <c r="U197" s="238"/>
      <c r="V197" s="221"/>
      <c r="W197" s="221"/>
      <c r="X197" s="221"/>
      <c r="Y197" s="221"/>
      <c r="Z197" s="221"/>
      <c r="AA197" s="221"/>
      <c r="AB197" s="221"/>
      <c r="AC197" s="221"/>
    </row>
    <row r="198" spans="1:38" ht="15" x14ac:dyDescent="0.2">
      <c r="A198" s="207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156"/>
      <c r="M198" s="156"/>
      <c r="N198" s="156"/>
      <c r="O198" s="156"/>
      <c r="P198" s="156"/>
      <c r="Q198" s="156"/>
      <c r="R198" s="72"/>
      <c r="S198" s="72"/>
      <c r="T198" s="72"/>
      <c r="U198" s="72"/>
      <c r="V198" s="221"/>
      <c r="W198" s="221"/>
      <c r="X198" s="221"/>
      <c r="Y198" s="221"/>
      <c r="Z198" s="221"/>
      <c r="AA198" s="221"/>
      <c r="AB198" s="221"/>
      <c r="AC198" s="221"/>
    </row>
    <row r="199" spans="1:38" ht="15.75" x14ac:dyDescent="0.25">
      <c r="A199" s="245" t="s">
        <v>243</v>
      </c>
      <c r="B199" s="72"/>
      <c r="C199" s="72"/>
      <c r="D199" s="72"/>
      <c r="E199" s="72"/>
      <c r="F199" s="72"/>
      <c r="G199" s="72"/>
      <c r="H199" s="72"/>
      <c r="I199" s="72"/>
      <c r="J199" s="72"/>
      <c r="K199" s="247">
        <f t="shared" ref="K199:P199" si="283">+K177/K195</f>
        <v>4.5574837310195226</v>
      </c>
      <c r="L199" s="156">
        <f t="shared" si="283"/>
        <v>4.6659751037344392</v>
      </c>
      <c r="M199" s="156">
        <f t="shared" si="283"/>
        <v>4.7808764940239037</v>
      </c>
      <c r="N199" s="156">
        <f t="shared" si="283"/>
        <v>5.0178217821782178</v>
      </c>
      <c r="O199" s="156">
        <f t="shared" si="283"/>
        <v>4.7652173913043478</v>
      </c>
      <c r="P199" s="156">
        <f t="shared" si="283"/>
        <v>4.9763513513513518</v>
      </c>
      <c r="Q199" s="156">
        <f>+Q177/Q195</f>
        <v>5.507086614173228</v>
      </c>
      <c r="R199" s="247"/>
      <c r="S199" s="43"/>
      <c r="T199" s="223"/>
      <c r="U199" s="158">
        <f>RATE(4,,-M199,Q199)</f>
        <v>3.5985306044118336E-2</v>
      </c>
      <c r="V199" s="221"/>
      <c r="W199" s="221"/>
      <c r="X199" s="221"/>
      <c r="Y199" s="221"/>
      <c r="Z199" s="221"/>
      <c r="AA199" s="221"/>
      <c r="AB199" s="221"/>
      <c r="AC199" s="221"/>
    </row>
    <row r="200" spans="1:38" ht="15" x14ac:dyDescent="0.2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156"/>
      <c r="M200" s="202"/>
      <c r="N200" s="202"/>
      <c r="O200" s="202"/>
      <c r="P200" s="202"/>
      <c r="Q200" s="202"/>
      <c r="R200" s="72"/>
      <c r="S200" s="43"/>
      <c r="U200" s="221" t="e">
        <f>+#REF!+#REF!</f>
        <v>#REF!</v>
      </c>
      <c r="V200" s="221" t="e">
        <f t="shared" ref="V200" si="284">+V198+V195</f>
        <v>#REF!</v>
      </c>
      <c r="W200" s="221" t="e">
        <f t="shared" ref="W200" si="285">+W198+W195</f>
        <v>#REF!</v>
      </c>
      <c r="X200" s="221" t="e">
        <f t="shared" ref="X200" si="286">+X198+X195</f>
        <v>#REF!</v>
      </c>
      <c r="Y200" s="221" t="e">
        <f t="shared" ref="Y200" si="287">+Y198+Y195</f>
        <v>#REF!</v>
      </c>
      <c r="Z200" s="221" t="e">
        <f t="shared" ref="Z200" si="288">+Z198+Z195</f>
        <v>#REF!</v>
      </c>
      <c r="AA200" s="221" t="e">
        <f t="shared" ref="AA200" si="289">+AA198+AA195</f>
        <v>#REF!</v>
      </c>
      <c r="AB200" s="221" t="e">
        <f t="shared" ref="AB200" si="290">+AB198+AB195</f>
        <v>#REF!</v>
      </c>
      <c r="AC200" s="221" t="e">
        <f t="shared" ref="AC200" si="291">+AC198+AC195</f>
        <v>#REF!</v>
      </c>
    </row>
    <row r="201" spans="1:38" ht="15.75" x14ac:dyDescent="0.25">
      <c r="A201" s="197" t="s">
        <v>240</v>
      </c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250">
        <f t="shared" ref="L201:Q201" si="292">(L88/1000)/L195</f>
        <v>6.6597510373443978</v>
      </c>
      <c r="M201" s="250">
        <f t="shared" si="292"/>
        <v>6.2490039840637444</v>
      </c>
      <c r="N201" s="250">
        <f t="shared" si="292"/>
        <v>6.4811881188118816</v>
      </c>
      <c r="O201" s="250">
        <f t="shared" si="292"/>
        <v>6.0469565217391299</v>
      </c>
      <c r="P201" s="250">
        <f t="shared" si="292"/>
        <v>6.2652027027027017</v>
      </c>
      <c r="Q201" s="250">
        <f t="shared" si="292"/>
        <v>6.6677165354330707</v>
      </c>
      <c r="R201" s="251"/>
      <c r="S201" s="43">
        <f t="shared" ref="S201:S202" si="293">RATE(4,,-M201,Q201)</f>
        <v>1.634599869222058E-2</v>
      </c>
      <c r="U201" s="221"/>
      <c r="V201" s="221"/>
      <c r="W201" s="221"/>
      <c r="X201" s="221"/>
      <c r="Y201" s="221"/>
      <c r="Z201" s="221"/>
      <c r="AA201" s="221"/>
      <c r="AB201" s="221"/>
      <c r="AC201" s="221"/>
    </row>
    <row r="202" spans="1:38" ht="15.75" x14ac:dyDescent="0.25">
      <c r="A202" s="197" t="s">
        <v>241</v>
      </c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250">
        <f t="shared" ref="L202" si="294">(L87/1000)/L196</f>
        <v>4.8896000000000006</v>
      </c>
      <c r="M202" s="250">
        <f t="shared" ref="M202:P202" si="295">(M87/1000)/M196</f>
        <v>4.6339434276206326</v>
      </c>
      <c r="N202" s="250">
        <f t="shared" si="295"/>
        <v>4.6961651917404126</v>
      </c>
      <c r="O202" s="250">
        <f t="shared" si="295"/>
        <v>4.2764976958525338</v>
      </c>
      <c r="P202" s="250">
        <f t="shared" si="295"/>
        <v>4.6539101497504154</v>
      </c>
      <c r="Q202" s="250">
        <f>(Q87/1000)/Q196</f>
        <v>4.6752577319587632</v>
      </c>
      <c r="R202" s="250"/>
      <c r="S202" s="43">
        <f t="shared" si="293"/>
        <v>2.2214821531622987E-3</v>
      </c>
      <c r="U202" s="221"/>
      <c r="V202" s="221"/>
      <c r="W202" s="221"/>
      <c r="X202" s="221"/>
      <c r="Y202" s="221"/>
      <c r="Z202" s="221"/>
      <c r="AA202" s="221"/>
      <c r="AB202" s="221"/>
      <c r="AC202" s="221"/>
    </row>
    <row r="203" spans="1:38" ht="15.75" x14ac:dyDescent="0.25">
      <c r="A203" s="197"/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250"/>
      <c r="M203" s="250"/>
      <c r="N203" s="250"/>
      <c r="O203" s="250"/>
      <c r="P203" s="250"/>
      <c r="Q203" s="250"/>
      <c r="R203" s="197"/>
      <c r="S203" s="43"/>
      <c r="U203" s="221"/>
      <c r="V203" s="221"/>
      <c r="W203" s="221"/>
      <c r="X203" s="221"/>
      <c r="Y203" s="221"/>
      <c r="Z203" s="221"/>
      <c r="AA203" s="221"/>
      <c r="AB203" s="221"/>
      <c r="AC203" s="221"/>
    </row>
    <row r="204" spans="1:38" ht="15.75" x14ac:dyDescent="0.25">
      <c r="A204" s="197" t="s">
        <v>242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250">
        <f t="shared" ref="L204:P204" si="296">(+L83/1000)/L197</f>
        <v>5.6603432700993679</v>
      </c>
      <c r="M204" s="250">
        <f t="shared" si="296"/>
        <v>5.3689936536718044</v>
      </c>
      <c r="N204" s="250">
        <f t="shared" si="296"/>
        <v>5.4581572273879972</v>
      </c>
      <c r="O204" s="250">
        <f t="shared" si="296"/>
        <v>5.2854311199207125</v>
      </c>
      <c r="P204" s="250">
        <f t="shared" si="296"/>
        <v>5.4534786253143333</v>
      </c>
      <c r="Q204" s="250">
        <f>(+Q83/1000)/Q197</f>
        <v>5.9120234604105573</v>
      </c>
      <c r="R204" s="72"/>
      <c r="S204" s="43">
        <f>RATE(4,,-M204,Q204)</f>
        <v>2.4379348592858657E-2</v>
      </c>
      <c r="U204" s="72"/>
      <c r="V204" s="72"/>
      <c r="W204" s="72"/>
      <c r="X204" s="72"/>
      <c r="Y204" s="72"/>
      <c r="Z204" s="72"/>
      <c r="AA204" s="72"/>
      <c r="AB204" s="72"/>
      <c r="AC204" s="72"/>
    </row>
    <row r="205" spans="1:38" ht="15.75" x14ac:dyDescent="0.2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U205" s="228"/>
      <c r="V205" s="228"/>
      <c r="W205" s="228"/>
      <c r="X205" s="228"/>
      <c r="Y205" s="228"/>
      <c r="Z205" s="228"/>
      <c r="AA205" s="229">
        <f>(+AA160-Z160)/Z160</f>
        <v>-1.3925152306353425E-2</v>
      </c>
      <c r="AB205" s="229">
        <f>(+AB160-AA160)/AA160</f>
        <v>2.647837599293885E-3</v>
      </c>
      <c r="AC205" s="229">
        <f>(+AC160-AB160)/AB160</f>
        <v>-2.464788732394364E-2</v>
      </c>
    </row>
    <row r="207" spans="1:38" ht="15" x14ac:dyDescent="0.2">
      <c r="A207" s="72" t="s">
        <v>168</v>
      </c>
      <c r="B207" s="72" t="s">
        <v>112</v>
      </c>
      <c r="C207" s="76"/>
      <c r="D207" s="72"/>
      <c r="E207" s="72"/>
      <c r="F207" s="72"/>
      <c r="G207" s="158"/>
      <c r="H207" s="150">
        <f t="shared" ref="H207:R207" si="297">(+H84-G84)/G84</f>
        <v>0.25956008495236149</v>
      </c>
      <c r="I207" s="150">
        <f t="shared" si="297"/>
        <v>0.10602391363746394</v>
      </c>
      <c r="J207" s="150">
        <f t="shared" si="297"/>
        <v>-0.12408416306594026</v>
      </c>
      <c r="K207" s="150">
        <f t="shared" si="297"/>
        <v>7.2707774798927607E-2</v>
      </c>
      <c r="L207" s="150">
        <f t="shared" si="297"/>
        <v>-8.0375887233829851E-2</v>
      </c>
      <c r="M207" s="150">
        <f t="shared" si="297"/>
        <v>-1.8480269594521145E-2</v>
      </c>
      <c r="N207" s="150">
        <f t="shared" si="297"/>
        <v>7.2987041754347101E-2</v>
      </c>
      <c r="O207" s="150">
        <f t="shared" si="297"/>
        <v>-0.11003303055326177</v>
      </c>
      <c r="P207" s="150">
        <f t="shared" si="297"/>
        <v>0.14335421016005567</v>
      </c>
      <c r="Q207" s="150">
        <f t="shared" si="297"/>
        <v>-2.525867315885575E-2</v>
      </c>
      <c r="R207" s="150">
        <f t="shared" si="297"/>
        <v>-0.60994900614007697</v>
      </c>
      <c r="S207" s="43">
        <f>AVERAGE(M207:Q207)</f>
        <v>1.2513855721552818E-2</v>
      </c>
      <c r="T207" s="72" t="s">
        <v>165</v>
      </c>
      <c r="U207" s="72"/>
      <c r="V207" s="72"/>
      <c r="W207" s="72"/>
      <c r="X207" s="72"/>
      <c r="Y207" s="72"/>
      <c r="Z207" s="156">
        <f t="shared" ref="Z207:AK207" si="298">+Z153-Z157</f>
        <v>2.12</v>
      </c>
      <c r="AA207" s="156">
        <f t="shared" si="298"/>
        <v>2.5499999999999998</v>
      </c>
      <c r="AB207" s="156">
        <f t="shared" si="298"/>
        <v>3.13</v>
      </c>
      <c r="AC207" s="156">
        <f t="shared" si="298"/>
        <v>2.33</v>
      </c>
      <c r="AD207" s="156">
        <f t="shared" si="298"/>
        <v>2.1100000000000003</v>
      </c>
      <c r="AE207" s="156">
        <f t="shared" si="298"/>
        <v>2.9800000000000004</v>
      </c>
      <c r="AF207" s="156">
        <f t="shared" si="298"/>
        <v>2.54</v>
      </c>
      <c r="AG207" s="156">
        <f t="shared" si="298"/>
        <v>2.83</v>
      </c>
      <c r="AH207" s="156">
        <f t="shared" si="298"/>
        <v>3.42</v>
      </c>
      <c r="AI207" s="156">
        <f t="shared" si="298"/>
        <v>2.92</v>
      </c>
      <c r="AJ207" s="156">
        <f t="shared" si="298"/>
        <v>2.9499999999999993</v>
      </c>
      <c r="AK207" s="156">
        <f t="shared" si="298"/>
        <v>9.59</v>
      </c>
      <c r="AL207" s="226">
        <f t="shared" ref="AL207:AL209" si="299">AVERAGE(AE207:AI207)</f>
        <v>2.9380000000000002</v>
      </c>
    </row>
    <row r="208" spans="1:38" ht="15" x14ac:dyDescent="0.2">
      <c r="A208" s="72" t="s">
        <v>222</v>
      </c>
      <c r="B208" s="72"/>
      <c r="C208" s="72"/>
      <c r="D208" s="72"/>
      <c r="E208" s="72"/>
      <c r="F208" s="72"/>
      <c r="G208" s="150">
        <f t="shared" ref="G208:R208" si="300">+G87/(G$87+G$88)</f>
        <v>0.60506632744419242</v>
      </c>
      <c r="H208" s="150">
        <f t="shared" si="300"/>
        <v>0.67231345801633779</v>
      </c>
      <c r="I208" s="150">
        <f t="shared" si="300"/>
        <v>0.69335604770017034</v>
      </c>
      <c r="J208" s="150">
        <f t="shared" si="300"/>
        <v>0.64202561117578583</v>
      </c>
      <c r="K208" s="150">
        <f t="shared" si="300"/>
        <v>0.4128104220382684</v>
      </c>
      <c r="L208" s="150">
        <f t="shared" si="300"/>
        <v>0.4877114586658155</v>
      </c>
      <c r="M208" s="150">
        <f t="shared" si="300"/>
        <v>0.47028031070584264</v>
      </c>
      <c r="N208" s="150">
        <f t="shared" si="300"/>
        <v>0.49310825460740282</v>
      </c>
      <c r="O208" s="150">
        <f t="shared" si="300"/>
        <v>0.34802175135945995</v>
      </c>
      <c r="P208" s="150">
        <f t="shared" si="300"/>
        <v>0.4299108515216723</v>
      </c>
      <c r="Q208" s="150">
        <f t="shared" si="300"/>
        <v>0.29993386243386244</v>
      </c>
      <c r="R208" s="150">
        <f t="shared" si="300"/>
        <v>1</v>
      </c>
      <c r="S208" s="43">
        <f>AVERAGE(M208:Q208)</f>
        <v>0.40825100612564802</v>
      </c>
      <c r="T208" s="72" t="s">
        <v>166</v>
      </c>
      <c r="U208" s="72"/>
      <c r="V208" s="72"/>
      <c r="W208" s="72"/>
      <c r="X208" s="72"/>
      <c r="Y208" s="72"/>
      <c r="Z208" s="156">
        <f t="shared" ref="Z208:AK208" si="301">+Z154-Z157</f>
        <v>0.35999999999999943</v>
      </c>
      <c r="AA208" s="156">
        <f t="shared" si="301"/>
        <v>0.59999999999999964</v>
      </c>
      <c r="AB208" s="156">
        <f t="shared" si="301"/>
        <v>1.0999999999999996</v>
      </c>
      <c r="AC208" s="156">
        <f t="shared" si="301"/>
        <v>0.25</v>
      </c>
      <c r="AD208" s="156">
        <f t="shared" si="301"/>
        <v>0.85000000000000053</v>
      </c>
      <c r="AE208" s="156">
        <f t="shared" si="301"/>
        <v>1.4900000000000002</v>
      </c>
      <c r="AF208" s="156">
        <f t="shared" si="301"/>
        <v>0.54999999999999982</v>
      </c>
      <c r="AG208" s="156">
        <f t="shared" si="301"/>
        <v>0.98000000000000043</v>
      </c>
      <c r="AH208" s="156">
        <f t="shared" si="301"/>
        <v>1.0200000000000005</v>
      </c>
      <c r="AI208" s="156">
        <f t="shared" si="301"/>
        <v>1.4699999999999998</v>
      </c>
      <c r="AJ208" s="156">
        <f t="shared" si="301"/>
        <v>1.1599999999999993</v>
      </c>
      <c r="AK208" s="156">
        <f t="shared" si="301"/>
        <v>7.24</v>
      </c>
      <c r="AL208" s="226">
        <f t="shared" si="299"/>
        <v>1.1020000000000001</v>
      </c>
    </row>
    <row r="209" spans="1:38" ht="15.75" x14ac:dyDescent="0.25">
      <c r="A209" s="196" t="s">
        <v>223</v>
      </c>
      <c r="B209" s="197"/>
      <c r="C209" s="197"/>
      <c r="D209" s="197"/>
      <c r="E209" s="197"/>
      <c r="F209" s="197"/>
      <c r="G209" s="198">
        <f t="shared" ref="G209:R209" si="302">+G88/(G$87+G$88)</f>
        <v>0.39493367255580758</v>
      </c>
      <c r="H209" s="198">
        <f t="shared" si="302"/>
        <v>0.32768654198366226</v>
      </c>
      <c r="I209" s="198">
        <f t="shared" si="302"/>
        <v>0.30664395229982966</v>
      </c>
      <c r="J209" s="198">
        <f t="shared" si="302"/>
        <v>0.35797438882421423</v>
      </c>
      <c r="K209" s="198">
        <f t="shared" si="302"/>
        <v>0.58718957796173155</v>
      </c>
      <c r="L209" s="198">
        <f t="shared" si="302"/>
        <v>0.51228854133418444</v>
      </c>
      <c r="M209" s="198">
        <f t="shared" si="302"/>
        <v>0.52971968929415736</v>
      </c>
      <c r="N209" s="198">
        <f t="shared" si="302"/>
        <v>0.50689174539259718</v>
      </c>
      <c r="O209" s="198">
        <f t="shared" si="302"/>
        <v>0.65197824864053999</v>
      </c>
      <c r="P209" s="198">
        <f t="shared" si="302"/>
        <v>0.5700891484783277</v>
      </c>
      <c r="Q209" s="198">
        <f t="shared" si="302"/>
        <v>0.70006613756613756</v>
      </c>
      <c r="R209" s="198">
        <f t="shared" si="302"/>
        <v>0</v>
      </c>
      <c r="S209" s="43">
        <f>AVERAGE(M209:Q209)</f>
        <v>0.59174899387435198</v>
      </c>
      <c r="T209" s="72" t="s">
        <v>171</v>
      </c>
      <c r="U209" s="72"/>
      <c r="V209" s="72"/>
      <c r="W209" s="72"/>
      <c r="X209" s="72"/>
      <c r="Y209" s="72"/>
      <c r="Z209" s="157">
        <f t="shared" ref="Z209:AF209" si="303">+Z207-Z208</f>
        <v>1.7600000000000007</v>
      </c>
      <c r="AA209" s="157">
        <f t="shared" si="303"/>
        <v>1.9500000000000002</v>
      </c>
      <c r="AB209" s="157">
        <f t="shared" si="303"/>
        <v>2.0300000000000002</v>
      </c>
      <c r="AC209" s="157">
        <f t="shared" si="303"/>
        <v>2.08</v>
      </c>
      <c r="AD209" s="157">
        <f t="shared" si="303"/>
        <v>1.2599999999999998</v>
      </c>
      <c r="AE209" s="157">
        <f t="shared" si="303"/>
        <v>1.4900000000000002</v>
      </c>
      <c r="AF209" s="157">
        <f t="shared" si="303"/>
        <v>1.9900000000000002</v>
      </c>
      <c r="AG209" s="157">
        <f t="shared" ref="AG209" si="304">+AG207-AG208</f>
        <v>1.8499999999999996</v>
      </c>
      <c r="AH209" s="157">
        <f t="shared" ref="AH209:AI209" si="305">+AH207-AH208</f>
        <v>2.3999999999999995</v>
      </c>
      <c r="AI209" s="157">
        <f t="shared" si="305"/>
        <v>1.4500000000000002</v>
      </c>
      <c r="AJ209" s="157">
        <f t="shared" ref="AJ209:AK209" si="306">+AJ207-AJ208</f>
        <v>1.79</v>
      </c>
      <c r="AK209" s="157">
        <f t="shared" si="306"/>
        <v>2.3499999999999996</v>
      </c>
      <c r="AL209" s="226">
        <f t="shared" si="299"/>
        <v>1.8359999999999999</v>
      </c>
    </row>
    <row r="210" spans="1:38" ht="15" x14ac:dyDescent="0.2">
      <c r="A210" s="72" t="s">
        <v>143</v>
      </c>
      <c r="B210" s="72"/>
      <c r="C210" s="72"/>
      <c r="D210" s="72"/>
      <c r="E210" s="72"/>
      <c r="F210" s="72"/>
      <c r="G210" s="158">
        <f t="shared" ref="G210:R210" si="307">+G134</f>
        <v>0.2984390069000894</v>
      </c>
      <c r="H210" s="158">
        <f t="shared" si="307"/>
        <v>0.25180484693214983</v>
      </c>
      <c r="I210" s="158">
        <f t="shared" si="307"/>
        <v>0.22806687957918467</v>
      </c>
      <c r="J210" s="158">
        <f t="shared" si="307"/>
        <v>0.26305630026809651</v>
      </c>
      <c r="K210" s="158">
        <f t="shared" si="307"/>
        <v>0.26332100369889033</v>
      </c>
      <c r="L210" s="158">
        <f t="shared" si="307"/>
        <v>0.31883900423959127</v>
      </c>
      <c r="M210" s="158">
        <f t="shared" si="307"/>
        <v>0.34411341233802195</v>
      </c>
      <c r="N210" s="158">
        <f t="shared" si="307"/>
        <v>0.33350536746490506</v>
      </c>
      <c r="O210" s="158">
        <f t="shared" si="307"/>
        <v>0.38146601716539086</v>
      </c>
      <c r="P210" s="158">
        <f t="shared" si="307"/>
        <v>0.34002840332724693</v>
      </c>
      <c r="Q210" s="158">
        <f t="shared" si="307"/>
        <v>0.37059007180768028</v>
      </c>
      <c r="R210" s="158">
        <f t="shared" si="307"/>
        <v>0.37673425827107793</v>
      </c>
      <c r="S210" s="43">
        <f>AVERAGE(M210:Q210)</f>
        <v>0.35394065442064904</v>
      </c>
      <c r="T210" s="72"/>
      <c r="U210" s="72"/>
      <c r="V210" s="72"/>
      <c r="W210" s="72"/>
      <c r="X210" s="72"/>
      <c r="Y210" s="72"/>
    </row>
    <row r="211" spans="1:38" ht="15" x14ac:dyDescent="0.2">
      <c r="A211" s="72" t="s">
        <v>170</v>
      </c>
      <c r="B211" s="72"/>
      <c r="C211" s="72"/>
      <c r="D211" s="72"/>
      <c r="E211" s="72"/>
      <c r="F211" s="72"/>
      <c r="G211" s="150"/>
      <c r="H211" s="150">
        <f t="shared" ref="H211:R211" si="308">(+H106-G106)/G106</f>
        <v>0.14347922825085027</v>
      </c>
      <c r="I211" s="150">
        <f t="shared" si="308"/>
        <v>2.8492008339124391E-2</v>
      </c>
      <c r="J211" s="150">
        <f t="shared" si="308"/>
        <v>1.0810810810810811E-2</v>
      </c>
      <c r="K211" s="150">
        <f t="shared" si="308"/>
        <v>7.4866310160427801E-2</v>
      </c>
      <c r="L211" s="150">
        <f t="shared" si="308"/>
        <v>3.482587064676617E-2</v>
      </c>
      <c r="M211" s="150">
        <f t="shared" si="308"/>
        <v>5.5288461538461536E-2</v>
      </c>
      <c r="N211" s="150">
        <f t="shared" si="308"/>
        <v>5.011389521640091E-2</v>
      </c>
      <c r="O211" s="150">
        <f t="shared" si="308"/>
        <v>2.1691973969631236E-2</v>
      </c>
      <c r="P211" s="150">
        <f t="shared" si="308"/>
        <v>0.12101910828025478</v>
      </c>
      <c r="Q211" s="150">
        <f t="shared" si="308"/>
        <v>4.5454545454545456E-2</v>
      </c>
      <c r="R211" s="150">
        <f t="shared" si="308"/>
        <v>-0.20652173913043478</v>
      </c>
      <c r="S211" s="43">
        <f>AVERAGE(M211:Q211)</f>
        <v>5.8713596891858788E-2</v>
      </c>
      <c r="T211" s="72" t="str">
        <f>+T160</f>
        <v>Temp Adjusted Usage / Cust (Dth)</v>
      </c>
      <c r="AC211" s="45">
        <f t="shared" ref="AC211:AJ211" si="309">(+AC160-AB160)/AB160</f>
        <v>-2.464788732394364E-2</v>
      </c>
      <c r="AD211" s="45">
        <f t="shared" si="309"/>
        <v>-8.1227436823103922E-3</v>
      </c>
      <c r="AE211" s="45">
        <f t="shared" si="309"/>
        <v>-8.1892629663330805E-3</v>
      </c>
      <c r="AF211" s="45">
        <f t="shared" si="309"/>
        <v>-1.9266055045871509E-2</v>
      </c>
      <c r="AG211" s="45">
        <f t="shared" si="309"/>
        <v>3.9289055191767897E-2</v>
      </c>
      <c r="AH211" s="45">
        <f t="shared" si="309"/>
        <v>-2.4302430243024201E-2</v>
      </c>
      <c r="AI211" s="45">
        <f t="shared" si="309"/>
        <v>-3.6900369003690561E-3</v>
      </c>
      <c r="AJ211" s="45">
        <f t="shared" si="309"/>
        <v>8.3333333333333853E-3</v>
      </c>
      <c r="AK211" s="45"/>
      <c r="AL211" s="157"/>
    </row>
    <row r="212" spans="1:38" ht="15" x14ac:dyDescent="0.2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43"/>
    </row>
    <row r="213" spans="1:38" ht="15" x14ac:dyDescent="0.2">
      <c r="A213" s="72" t="s">
        <v>175</v>
      </c>
      <c r="B213" s="72"/>
      <c r="C213" s="72"/>
      <c r="D213" s="72"/>
      <c r="E213" s="72"/>
      <c r="F213" s="72"/>
      <c r="G213" s="72"/>
      <c r="H213" s="72"/>
      <c r="I213" s="72"/>
      <c r="J213" s="102">
        <f t="shared" ref="J213:R213" si="310">+J109-I109</f>
        <v>500</v>
      </c>
      <c r="K213" s="102">
        <f t="shared" si="310"/>
        <v>500</v>
      </c>
      <c r="L213" s="102">
        <f t="shared" si="310"/>
        <v>700</v>
      </c>
      <c r="M213" s="102">
        <f t="shared" si="310"/>
        <v>600</v>
      </c>
      <c r="N213" s="102">
        <f t="shared" si="310"/>
        <v>1500</v>
      </c>
      <c r="O213" s="102">
        <f t="shared" si="310"/>
        <v>2700</v>
      </c>
      <c r="P213" s="102">
        <f t="shared" si="310"/>
        <v>2500</v>
      </c>
      <c r="Q213" s="102">
        <f t="shared" si="310"/>
        <v>500</v>
      </c>
      <c r="R213" s="102">
        <f t="shared" si="310"/>
        <v>-26500</v>
      </c>
      <c r="S213" s="199">
        <f>AVERAGE(M213:Q213)</f>
        <v>1560</v>
      </c>
    </row>
    <row r="214" spans="1:38" ht="15" x14ac:dyDescent="0.2">
      <c r="A214" s="72" t="s">
        <v>176</v>
      </c>
      <c r="B214" s="72"/>
      <c r="C214" s="72"/>
      <c r="D214" s="72"/>
      <c r="E214" s="72"/>
      <c r="F214" s="72"/>
      <c r="G214" s="72"/>
      <c r="H214" s="72"/>
      <c r="I214" s="72"/>
      <c r="J214" s="45">
        <f t="shared" ref="J214:R214" si="311">+J213/I109</f>
        <v>1.8867924528301886E-2</v>
      </c>
      <c r="K214" s="45">
        <f t="shared" si="311"/>
        <v>1.8518518518518517E-2</v>
      </c>
      <c r="L214" s="45">
        <f t="shared" si="311"/>
        <v>2.5454545454545455E-2</v>
      </c>
      <c r="M214" s="45">
        <f t="shared" si="311"/>
        <v>2.1276595744680851E-2</v>
      </c>
      <c r="N214" s="45">
        <f t="shared" si="311"/>
        <v>5.2083333333333336E-2</v>
      </c>
      <c r="O214" s="45">
        <f t="shared" si="311"/>
        <v>8.9108910891089105E-2</v>
      </c>
      <c r="P214" s="45">
        <f t="shared" si="311"/>
        <v>7.575757575757576E-2</v>
      </c>
      <c r="Q214" s="45">
        <f t="shared" si="311"/>
        <v>1.4084507042253521E-2</v>
      </c>
      <c r="R214" s="45">
        <f t="shared" si="311"/>
        <v>-0.73611111111111116</v>
      </c>
      <c r="S214" s="43">
        <f>AVERAGE(M214:Q214)</f>
        <v>5.0462184553786503E-2</v>
      </c>
    </row>
    <row r="215" spans="1:38" ht="15" x14ac:dyDescent="0.2">
      <c r="A215" s="72" t="s">
        <v>209</v>
      </c>
      <c r="B215" s="72"/>
      <c r="C215" s="72"/>
      <c r="D215" s="72"/>
      <c r="E215" s="72"/>
      <c r="F215" s="72"/>
      <c r="G215" s="72"/>
      <c r="H215" s="72"/>
      <c r="I215" s="72"/>
      <c r="J215" s="72"/>
      <c r="K215" s="45">
        <f t="shared" ref="K215:R215" si="312">+K109/K106</f>
        <v>0.6840796019900498</v>
      </c>
      <c r="L215" s="45">
        <f t="shared" si="312"/>
        <v>0.67788461538461542</v>
      </c>
      <c r="M215" s="45">
        <f t="shared" si="312"/>
        <v>0.6560364464692483</v>
      </c>
      <c r="N215" s="45">
        <f t="shared" si="312"/>
        <v>0.65726681127982645</v>
      </c>
      <c r="O215" s="45">
        <f t="shared" si="312"/>
        <v>0.70063694267515919</v>
      </c>
      <c r="P215" s="45">
        <f t="shared" si="312"/>
        <v>0.67234848484848486</v>
      </c>
      <c r="Q215" s="45">
        <f t="shared" si="312"/>
        <v>0.65217391304347827</v>
      </c>
      <c r="R215" s="45">
        <f t="shared" si="312"/>
        <v>0.21689497716894976</v>
      </c>
      <c r="S215" s="43">
        <f>AVERAGE(M215:Q215)</f>
        <v>0.6676925196632395</v>
      </c>
    </row>
    <row r="216" spans="1:38" ht="15" x14ac:dyDescent="0.2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43"/>
    </row>
    <row r="217" spans="1:38" ht="15.75" x14ac:dyDescent="0.25">
      <c r="A217" s="117" t="s">
        <v>186</v>
      </c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139"/>
      <c r="P217" s="72"/>
      <c r="Q217" s="72"/>
      <c r="R217" s="72"/>
      <c r="S217" s="43"/>
    </row>
    <row r="218" spans="1:38" ht="15" x14ac:dyDescent="0.2">
      <c r="A218" s="72" t="s">
        <v>187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215">
        <f t="shared" ref="K218:P218" si="313">+K95/K54</f>
        <v>0.22756756756756757</v>
      </c>
      <c r="L218" s="215">
        <f t="shared" si="313"/>
        <v>0.23486486486486485</v>
      </c>
      <c r="M218" s="215">
        <f t="shared" si="313"/>
        <v>0.24076086956521739</v>
      </c>
      <c r="N218" s="215">
        <f t="shared" si="313"/>
        <v>0.34032549728752259</v>
      </c>
      <c r="O218" s="215">
        <f t="shared" si="313"/>
        <v>0.24161248374512354</v>
      </c>
      <c r="P218" s="215">
        <f t="shared" si="313"/>
        <v>0.19064546304957905</v>
      </c>
      <c r="Q218" s="215">
        <f>(P95+Q95)/2/Q54</f>
        <v>0.19766136576239476</v>
      </c>
      <c r="R218" s="215">
        <f>(Q95+R95)/2/R54</f>
        <v>0.17399438727782976</v>
      </c>
      <c r="S218" s="43">
        <f>AVERAGE(M218:Q218)</f>
        <v>0.24220113588196743</v>
      </c>
    </row>
    <row r="219" spans="1:38" ht="15" x14ac:dyDescent="0.2">
      <c r="A219" s="72" t="s">
        <v>188</v>
      </c>
      <c r="B219" s="72"/>
      <c r="C219" s="72"/>
      <c r="D219" s="72"/>
      <c r="E219" s="72"/>
      <c r="F219" s="72"/>
      <c r="G219" s="72"/>
      <c r="H219" s="72"/>
      <c r="I219" s="72"/>
      <c r="J219" s="72"/>
      <c r="K219" s="215">
        <f t="shared" ref="K219:R219" si="314">(+K54+K44)/(+K44+K54+K67)</f>
        <v>0.49032600053008218</v>
      </c>
      <c r="L219" s="215">
        <f t="shared" si="314"/>
        <v>0.48114434330299088</v>
      </c>
      <c r="M219" s="215">
        <f t="shared" si="314"/>
        <v>0.47103755569700828</v>
      </c>
      <c r="N219" s="215">
        <f t="shared" si="314"/>
        <v>0.44856167723061918</v>
      </c>
      <c r="O219" s="215">
        <f t="shared" si="314"/>
        <v>0.47701599373671849</v>
      </c>
      <c r="P219" s="215">
        <f t="shared" si="314"/>
        <v>0.48118473172488296</v>
      </c>
      <c r="Q219" s="215">
        <f t="shared" si="314"/>
        <v>0.47238179407865666</v>
      </c>
      <c r="R219" s="215">
        <f t="shared" si="314"/>
        <v>0.45836549181030789</v>
      </c>
      <c r="S219" s="43">
        <f>AVERAGE(M219:Q219)</f>
        <v>0.47003635049357706</v>
      </c>
    </row>
    <row r="220" spans="1:38" ht="15" x14ac:dyDescent="0.2">
      <c r="A220" s="72" t="s">
        <v>189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216">
        <f t="shared" ref="K220:R220" si="315">(+K54+K44)/(K95+K91)</f>
        <v>2.9435163086714398</v>
      </c>
      <c r="L220" s="216">
        <f t="shared" si="315"/>
        <v>2.8309104820198927</v>
      </c>
      <c r="M220" s="216">
        <f t="shared" si="315"/>
        <v>2.796674225245654</v>
      </c>
      <c r="N220" s="216">
        <f t="shared" si="315"/>
        <v>2.6551226551226552</v>
      </c>
      <c r="O220" s="216">
        <f t="shared" si="315"/>
        <v>3.0442541042112778</v>
      </c>
      <c r="P220" s="216">
        <f t="shared" si="315"/>
        <v>3.5257255936675462</v>
      </c>
      <c r="Q220" s="216">
        <f t="shared" si="315"/>
        <v>3.2791411042944785</v>
      </c>
      <c r="R220" s="216">
        <f t="shared" si="315"/>
        <v>5.9322974472807992</v>
      </c>
      <c r="S220" s="231">
        <f>AVERAGE(M220:Q220)</f>
        <v>3.0601835365083225</v>
      </c>
    </row>
    <row r="221" spans="1:38" ht="15" x14ac:dyDescent="0.2">
      <c r="A221" s="72" t="s">
        <v>190</v>
      </c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216">
        <f>(O95-O109)/-'Historical CF - Exhibit 1B'!O30</f>
        <v>0.36952498457742133</v>
      </c>
      <c r="P221" s="216">
        <f>(P95-P109)/-'Historical CF - Exhibit 1B'!P30</f>
        <v>0.39951865222623345</v>
      </c>
      <c r="Q221" s="216">
        <f>(Q95-Q109)/-'Historical CF - Exhibit 1B'!Q30</f>
        <v>0.42014882655981683</v>
      </c>
      <c r="R221" s="216">
        <f>(R95-R109)/-'Historical CF - Exhibit 1B'!S30</f>
        <v>-1188837.4143305027</v>
      </c>
      <c r="S221" s="231">
        <f>AVERAGE(M221:Q221)</f>
        <v>0.39639748778782385</v>
      </c>
    </row>
    <row r="222" spans="1:38" ht="15" x14ac:dyDescent="0.2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43"/>
    </row>
    <row r="223" spans="1:38" ht="15" x14ac:dyDescent="0.2">
      <c r="A223" s="72" t="s">
        <v>201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43"/>
    </row>
    <row r="224" spans="1:38" ht="15" x14ac:dyDescent="0.2">
      <c r="A224" s="72" t="s">
        <v>202</v>
      </c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43"/>
    </row>
    <row r="225" spans="1:19" ht="15" x14ac:dyDescent="0.2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43"/>
    </row>
    <row r="226" spans="1:19" ht="15" x14ac:dyDescent="0.2">
      <c r="A226" s="72" t="s">
        <v>238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158">
        <f t="shared" ref="L226:O226" si="316">+L209</f>
        <v>0.51228854133418444</v>
      </c>
      <c r="M226" s="158">
        <f t="shared" si="316"/>
        <v>0.52971968929415736</v>
      </c>
      <c r="N226" s="158">
        <f t="shared" si="316"/>
        <v>0.50689174539259718</v>
      </c>
      <c r="O226" s="158">
        <f t="shared" si="316"/>
        <v>0.65197824864053999</v>
      </c>
      <c r="P226" s="158">
        <f>+P209</f>
        <v>0.5700891484783277</v>
      </c>
      <c r="Q226" s="158">
        <f>+Q209</f>
        <v>0.70006613756613756</v>
      </c>
      <c r="R226" s="72"/>
      <c r="S226" s="43"/>
    </row>
    <row r="227" spans="1:19" ht="15" x14ac:dyDescent="0.2">
      <c r="A227" s="72" t="s">
        <v>239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230">
        <f t="shared" ref="L227:P227" si="317">+AE166</f>
        <v>0.51</v>
      </c>
      <c r="M227" s="230">
        <f t="shared" si="317"/>
        <v>0.51</v>
      </c>
      <c r="N227" s="230">
        <f t="shared" si="317"/>
        <v>0.52</v>
      </c>
      <c r="O227" s="230">
        <f t="shared" si="317"/>
        <v>0.68</v>
      </c>
      <c r="P227" s="230">
        <f t="shared" si="317"/>
        <v>0.59</v>
      </c>
      <c r="Q227" s="230">
        <f>+AJ166</f>
        <v>0.62072336265884653</v>
      </c>
      <c r="R227" s="72"/>
      <c r="S227" s="43"/>
    </row>
    <row r="228" spans="1:19" ht="15" x14ac:dyDescent="0.2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158">
        <f>+L226-L227</f>
        <v>2.2885413341844352E-3</v>
      </c>
      <c r="M228" s="158">
        <f t="shared" ref="M228:Q228" si="318">+M226-M227</f>
        <v>1.971968929415735E-2</v>
      </c>
      <c r="N228" s="158">
        <f t="shared" si="318"/>
        <v>-1.3108254607402836E-2</v>
      </c>
      <c r="O228" s="158">
        <f t="shared" si="318"/>
        <v>-2.8021751359460056E-2</v>
      </c>
      <c r="P228" s="158">
        <f t="shared" si="318"/>
        <v>-1.9910851521672268E-2</v>
      </c>
      <c r="Q228" s="158">
        <f t="shared" si="318"/>
        <v>7.9342774907291025E-2</v>
      </c>
      <c r="R228" s="72"/>
      <c r="S228" s="43"/>
    </row>
  </sheetData>
  <mergeCells count="8">
    <mergeCell ref="A170:S170"/>
    <mergeCell ref="A171:S171"/>
    <mergeCell ref="A172:S172"/>
    <mergeCell ref="T114:AL114"/>
    <mergeCell ref="T115:AL115"/>
    <mergeCell ref="T116:AL116"/>
    <mergeCell ref="T165:AL165"/>
    <mergeCell ref="T138:AL138"/>
  </mergeCells>
  <phoneticPr fontId="4" type="noConversion"/>
  <printOptions horizontalCentered="1"/>
  <pageMargins left="0.5" right="0.5" top="1" bottom="1" header="0.5" footer="0.5"/>
  <pageSetup scale="65" fitToWidth="2" orientation="portrait" r:id="rId1"/>
  <headerFooter alignWithMargins="0"/>
  <rowBreaks count="3" manualBreakCount="3">
    <brk id="70" max="37" man="1"/>
    <brk id="111" max="37" man="1"/>
    <brk id="167" max="37" man="1"/>
  </rowBreaks>
  <colBreaks count="1" manualBreakCount="1">
    <brk id="19" max="1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showGridLines="0" view="pageBreakPreview" zoomScaleNormal="100" zoomScaleSheetLayoutView="100" workbookViewId="0">
      <selection activeCell="S25" sqref="S25"/>
    </sheetView>
  </sheetViews>
  <sheetFormatPr defaultRowHeight="12.75" x14ac:dyDescent="0.2"/>
  <cols>
    <col min="1" max="1" width="52.28515625" style="10" customWidth="1"/>
    <col min="2" max="5" width="10.7109375" style="9" hidden="1" customWidth="1"/>
    <col min="6" max="6" width="10.7109375" style="11" hidden="1" customWidth="1"/>
    <col min="7" max="11" width="10.7109375" style="9" hidden="1" customWidth="1"/>
    <col min="12" max="18" width="10.7109375" style="9" customWidth="1"/>
    <col min="19" max="19" width="11.28515625" style="12" customWidth="1"/>
    <col min="20" max="20" width="52.28515625" style="9" customWidth="1"/>
    <col min="21" max="27" width="11" style="9" hidden="1" customWidth="1"/>
    <col min="28" max="28" width="12.28515625" style="9" hidden="1" customWidth="1"/>
    <col min="29" max="29" width="11" style="9" hidden="1" customWidth="1"/>
    <col min="30" max="30" width="11.28515625" style="9" customWidth="1"/>
    <col min="31" max="36" width="11" style="9" customWidth="1"/>
    <col min="37" max="37" width="11.140625" style="9" customWidth="1"/>
    <col min="38" max="16384" width="9.140625" style="9"/>
  </cols>
  <sheetData>
    <row r="1" spans="1:38" ht="15.75" x14ac:dyDescent="0.25">
      <c r="S1" s="22" t="s">
        <v>114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23" t="s">
        <v>114</v>
      </c>
      <c r="AL1" s="12"/>
    </row>
    <row r="2" spans="1:38" ht="15.75" x14ac:dyDescent="0.25">
      <c r="S2" s="152" t="s">
        <v>237</v>
      </c>
      <c r="T2" s="12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52" t="s">
        <v>161</v>
      </c>
      <c r="AL2" s="12"/>
    </row>
    <row r="3" spans="1:38" ht="20.25" x14ac:dyDescent="0.3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63" t="str">
        <f>A3</f>
        <v>Questar Gas Company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3"/>
      <c r="AL3" s="12"/>
    </row>
    <row r="4" spans="1:38" ht="15.75" x14ac:dyDescent="0.25">
      <c r="A4" s="21" t="s">
        <v>92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21" t="s">
        <v>113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3"/>
      <c r="AL4" s="12"/>
    </row>
    <row r="5" spans="1:38" ht="15" customHeight="1" x14ac:dyDescent="0.25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21" t="str">
        <f>A5</f>
        <v>Years Ended December 31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3"/>
      <c r="AL5" s="12"/>
    </row>
    <row r="6" spans="1:38" ht="15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 t="str">
        <f>'Historical - Exhibit 1'!S7</f>
        <v xml:space="preserve">5 Year Avg 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5"/>
      <c r="AL6" s="12"/>
    </row>
    <row r="7" spans="1:38" ht="15.75" x14ac:dyDescent="0.25">
      <c r="A7" s="128" t="s">
        <v>130</v>
      </c>
      <c r="B7" s="260"/>
      <c r="C7" s="260"/>
      <c r="D7" s="260"/>
      <c r="E7" s="260"/>
      <c r="F7" s="260"/>
      <c r="G7" s="260"/>
      <c r="H7" s="129"/>
      <c r="I7" s="130"/>
      <c r="J7" s="130"/>
      <c r="K7" s="130"/>
      <c r="L7" s="130"/>
      <c r="M7" s="144"/>
      <c r="N7" s="144"/>
      <c r="O7" s="189"/>
      <c r="P7" s="210"/>
      <c r="Q7" s="210"/>
      <c r="R7" s="210" t="str">
        <f>+'Historical - Exhibit 1'!R119</f>
        <v>1st Qrtr</v>
      </c>
      <c r="S7" s="131" t="s">
        <v>3</v>
      </c>
      <c r="T7" s="24"/>
      <c r="U7" s="24"/>
      <c r="V7" s="24"/>
      <c r="W7" s="24"/>
      <c r="X7" s="24"/>
      <c r="Y7" s="135"/>
      <c r="Z7" s="135"/>
      <c r="AA7" s="89"/>
      <c r="AB7" s="89"/>
      <c r="AC7" s="89"/>
      <c r="AD7" s="89"/>
      <c r="AE7" s="89"/>
      <c r="AF7" s="145"/>
      <c r="AG7" s="145"/>
      <c r="AH7" s="145"/>
      <c r="AI7" s="145"/>
      <c r="AJ7" s="145"/>
      <c r="AK7" s="136" t="s">
        <v>213</v>
      </c>
      <c r="AL7" s="12"/>
    </row>
    <row r="8" spans="1:38" ht="15.75" x14ac:dyDescent="0.25">
      <c r="A8" s="128"/>
      <c r="B8" s="132">
        <f>'Historical - Exhibit 1'!B9</f>
        <v>1999</v>
      </c>
      <c r="C8" s="132">
        <f>'Historical - Exhibit 1'!C9</f>
        <v>2000</v>
      </c>
      <c r="D8" s="132">
        <f>'Historical - Exhibit 1'!D9</f>
        <v>2001</v>
      </c>
      <c r="E8" s="132">
        <f>'Historical - Exhibit 1'!E9</f>
        <v>2002</v>
      </c>
      <c r="F8" s="132">
        <f>'Historical - Exhibit 1'!F9</f>
        <v>2003</v>
      </c>
      <c r="G8" s="132">
        <f>'Historical - Exhibit 1'!G9</f>
        <v>2004</v>
      </c>
      <c r="H8" s="132">
        <f>'Historical - Exhibit 1'!H9</f>
        <v>2005</v>
      </c>
      <c r="I8" s="132">
        <f>'Historical - Exhibit 1'!I9</f>
        <v>2006</v>
      </c>
      <c r="J8" s="132">
        <f>'Historical - Exhibit 1'!J9</f>
        <v>2007</v>
      </c>
      <c r="K8" s="132">
        <f>'Historical - Exhibit 1'!K9</f>
        <v>2008</v>
      </c>
      <c r="L8" s="132">
        <f>+'Historical - Exhibit 1'!L9</f>
        <v>2009</v>
      </c>
      <c r="M8" s="132">
        <f>'Historical - Exhibit 1'!M9</f>
        <v>2010</v>
      </c>
      <c r="N8" s="132">
        <f>'Historical - Exhibit 1'!N9</f>
        <v>2011</v>
      </c>
      <c r="O8" s="132">
        <f>'Historical - Exhibit 1'!O9</f>
        <v>2012</v>
      </c>
      <c r="P8" s="132">
        <f>'Historical - Exhibit 1'!P9</f>
        <v>2013</v>
      </c>
      <c r="Q8" s="132">
        <f>'Historical - Exhibit 1'!Q9</f>
        <v>2014</v>
      </c>
      <c r="R8" s="132">
        <f>'Historical - Exhibit 1'!R9</f>
        <v>2015</v>
      </c>
      <c r="S8" s="133" t="s">
        <v>24</v>
      </c>
      <c r="T8" s="25"/>
      <c r="U8" s="29">
        <f t="shared" ref="U8:AD8" si="0">B8</f>
        <v>1999</v>
      </c>
      <c r="V8" s="29">
        <f t="shared" si="0"/>
        <v>2000</v>
      </c>
      <c r="W8" s="29">
        <f t="shared" si="0"/>
        <v>2001</v>
      </c>
      <c r="X8" s="29">
        <f t="shared" si="0"/>
        <v>2002</v>
      </c>
      <c r="Y8" s="137">
        <f t="shared" si="0"/>
        <v>2003</v>
      </c>
      <c r="Z8" s="137">
        <f t="shared" si="0"/>
        <v>2004</v>
      </c>
      <c r="AA8" s="137">
        <f t="shared" si="0"/>
        <v>2005</v>
      </c>
      <c r="AB8" s="137">
        <f t="shared" si="0"/>
        <v>2006</v>
      </c>
      <c r="AC8" s="137">
        <f t="shared" si="0"/>
        <v>2007</v>
      </c>
      <c r="AD8" s="137">
        <f t="shared" si="0"/>
        <v>2008</v>
      </c>
      <c r="AE8" s="137">
        <f>+L8</f>
        <v>2009</v>
      </c>
      <c r="AF8" s="137">
        <f>M8</f>
        <v>2010</v>
      </c>
      <c r="AG8" s="137">
        <f>N8</f>
        <v>2011</v>
      </c>
      <c r="AH8" s="137">
        <f>O8</f>
        <v>2012</v>
      </c>
      <c r="AI8" s="137">
        <f>P8</f>
        <v>2013</v>
      </c>
      <c r="AJ8" s="137">
        <f>Q8</f>
        <v>2014</v>
      </c>
      <c r="AK8" s="138" t="s">
        <v>2</v>
      </c>
      <c r="AL8" s="12"/>
    </row>
    <row r="9" spans="1:38" ht="12.75" customHeight="1" x14ac:dyDescent="0.2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25"/>
      <c r="U9" s="32"/>
      <c r="V9" s="33"/>
      <c r="W9" s="33"/>
      <c r="X9" s="33"/>
      <c r="Y9" s="33"/>
      <c r="Z9" s="33"/>
      <c r="AA9" s="34"/>
      <c r="AB9" s="33"/>
      <c r="AC9" s="33"/>
      <c r="AD9" s="33"/>
      <c r="AE9" s="33"/>
      <c r="AF9" s="33"/>
      <c r="AG9" s="33"/>
      <c r="AH9" s="33"/>
      <c r="AI9" s="33"/>
      <c r="AJ9" s="33"/>
      <c r="AK9" s="25"/>
      <c r="AL9" s="12"/>
    </row>
    <row r="10" spans="1:38" ht="15" x14ac:dyDescent="0.2">
      <c r="A10" s="26" t="str">
        <f>+T10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25" t="s">
        <v>54</v>
      </c>
      <c r="U10" s="134">
        <f>'Historical - Exhibit 1'!B84</f>
        <v>449937</v>
      </c>
      <c r="V10" s="134">
        <f>'Historical - Exhibit 1'!C84</f>
        <v>536762</v>
      </c>
      <c r="W10" s="134">
        <f>'Historical - Exhibit 1'!D84</f>
        <v>704113</v>
      </c>
      <c r="X10" s="134">
        <f>'Historical - Exhibit 1'!E84</f>
        <v>595511</v>
      </c>
      <c r="Y10" s="134">
        <f>'Historical - Exhibit 1'!F84</f>
        <v>620995</v>
      </c>
      <c r="Z10" s="134">
        <f>'Historical - Exhibit 1'!G84</f>
        <v>764193</v>
      </c>
      <c r="AA10" s="134">
        <f>'Historical - Exhibit 1'!H84</f>
        <v>962547</v>
      </c>
      <c r="AB10" s="134">
        <f>'Historical - Exhibit 1'!I84</f>
        <v>1064600</v>
      </c>
      <c r="AC10" s="134">
        <f>'Historical - Exhibit 1'!J84</f>
        <v>932500</v>
      </c>
      <c r="AD10" s="134">
        <f>'Historical - Exhibit 1'!K84</f>
        <v>1000300</v>
      </c>
      <c r="AE10" s="134">
        <f>'Historical - Exhibit 1'!L84</f>
        <v>919900</v>
      </c>
      <c r="AF10" s="134">
        <f>'Historical - Exhibit 1'!M84</f>
        <v>902900</v>
      </c>
      <c r="AG10" s="134">
        <f>'Historical - Exhibit 1'!N84</f>
        <v>968800</v>
      </c>
      <c r="AH10" s="134">
        <f>'Historical - Exhibit 1'!O84</f>
        <v>862200</v>
      </c>
      <c r="AI10" s="134">
        <f>'Historical - Exhibit 1'!P84</f>
        <v>985800</v>
      </c>
      <c r="AJ10" s="134">
        <f>'Historical - Exhibit 1'!Q84</f>
        <v>960900</v>
      </c>
      <c r="AK10" s="139">
        <f>AVERAGE(AE10:AI10)</f>
        <v>927920</v>
      </c>
      <c r="AL10" s="12"/>
    </row>
    <row r="11" spans="1:38" ht="15" x14ac:dyDescent="0.2">
      <c r="A11" s="36" t="s">
        <v>74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40" t="s">
        <v>74</v>
      </c>
      <c r="U11" s="25"/>
      <c r="V11" s="25"/>
      <c r="W11" s="25"/>
      <c r="X11" s="25"/>
      <c r="Y11" s="41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8" ht="15" x14ac:dyDescent="0.2">
      <c r="A12" s="42" t="s">
        <v>75</v>
      </c>
      <c r="B12" s="37">
        <f>'Historical - Exhibit 1'!B106</f>
        <v>19219</v>
      </c>
      <c r="C12" s="37">
        <f>'Historical - Exhibit 1'!C106</f>
        <v>24163</v>
      </c>
      <c r="D12" s="37">
        <f>'Historical - Exhibit 1'!D106</f>
        <v>25873</v>
      </c>
      <c r="E12" s="37">
        <f>'Historical - Exhibit 1'!E106</f>
        <v>32399</v>
      </c>
      <c r="F12" s="37">
        <f>'Historical - Exhibit 1'!F106</f>
        <v>20182</v>
      </c>
      <c r="G12" s="37">
        <f>'Historical - Exhibit 1'!G106</f>
        <v>31461</v>
      </c>
      <c r="H12" s="37">
        <f>'Historical - Exhibit 1'!H106</f>
        <v>35975</v>
      </c>
      <c r="I12" s="37">
        <f>'Historical - Exhibit 1'!I106</f>
        <v>37000</v>
      </c>
      <c r="J12" s="37">
        <f>'Historical - Exhibit 1'!J106</f>
        <v>37400</v>
      </c>
      <c r="K12" s="37">
        <f>'Historical - Exhibit 1'!K106</f>
        <v>40200</v>
      </c>
      <c r="L12" s="37">
        <v>41600</v>
      </c>
      <c r="M12" s="37">
        <f>'Historical - Exhibit 1'!M106</f>
        <v>43900</v>
      </c>
      <c r="N12" s="37">
        <f>'Historical - Exhibit 1'!N106</f>
        <v>46100</v>
      </c>
      <c r="O12" s="37">
        <f>'Historical - Exhibit 1'!O106</f>
        <v>47100</v>
      </c>
      <c r="P12" s="37">
        <f>'Historical - Exhibit 1'!P106</f>
        <v>52800</v>
      </c>
      <c r="Q12" s="37">
        <f>'Historical - Exhibit 1'!Q106</f>
        <v>55200</v>
      </c>
      <c r="R12" s="37">
        <f>'Historical - Exhibit 1'!R106</f>
        <v>43800</v>
      </c>
      <c r="S12" s="43">
        <f>RATE(5,,-K12,P12)</f>
        <v>5.604293121510194E-2</v>
      </c>
      <c r="T12" s="44" t="str">
        <f t="shared" ref="T12:T25" si="1">A12</f>
        <v xml:space="preserve">   Net income</v>
      </c>
      <c r="U12" s="45">
        <f t="shared" ref="U12:AJ12" si="2">B12/U$10</f>
        <v>4.2714868970544766E-2</v>
      </c>
      <c r="V12" s="45">
        <f t="shared" si="2"/>
        <v>4.5016226931116586E-2</v>
      </c>
      <c r="W12" s="45">
        <f t="shared" si="2"/>
        <v>3.6745522380640605E-2</v>
      </c>
      <c r="X12" s="45">
        <f t="shared" si="2"/>
        <v>5.4405376223109231E-2</v>
      </c>
      <c r="Y12" s="45">
        <f t="shared" si="2"/>
        <v>3.2499456517363266E-2</v>
      </c>
      <c r="Z12" s="45">
        <f t="shared" si="2"/>
        <v>4.1168919369845056E-2</v>
      </c>
      <c r="AA12" s="45">
        <f t="shared" si="2"/>
        <v>3.7374798321536506E-2</v>
      </c>
      <c r="AB12" s="45">
        <f t="shared" si="2"/>
        <v>3.4754837497651701E-2</v>
      </c>
      <c r="AC12" s="45">
        <f t="shared" si="2"/>
        <v>4.0107238605898127E-2</v>
      </c>
      <c r="AD12" s="45">
        <f t="shared" si="2"/>
        <v>4.0187943616914926E-2</v>
      </c>
      <c r="AE12" s="45">
        <f t="shared" si="2"/>
        <v>4.5222306772475268E-2</v>
      </c>
      <c r="AF12" s="45">
        <f t="shared" si="2"/>
        <v>4.8621109757448225E-2</v>
      </c>
      <c r="AG12" s="45">
        <f t="shared" si="2"/>
        <v>4.7584640792733279E-2</v>
      </c>
      <c r="AH12" s="45">
        <f t="shared" si="2"/>
        <v>5.4627696590118305E-2</v>
      </c>
      <c r="AI12" s="45">
        <f t="shared" si="2"/>
        <v>5.3560559951308581E-2</v>
      </c>
      <c r="AJ12" s="45">
        <f t="shared" si="2"/>
        <v>5.7446144239775211E-2</v>
      </c>
      <c r="AK12" s="45">
        <f>AVERAGE(AE12:AI12)</f>
        <v>4.9923262772816737E-2</v>
      </c>
    </row>
    <row r="13" spans="1:38" ht="15" x14ac:dyDescent="0.2">
      <c r="A13" s="36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43"/>
      <c r="T13" s="44" t="str">
        <f t="shared" si="1"/>
        <v xml:space="preserve">   Adjustments to reconcile net income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35"/>
    </row>
    <row r="14" spans="1:38" ht="15" x14ac:dyDescent="0.2">
      <c r="A14" s="42" t="s">
        <v>77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49200</v>
      </c>
      <c r="O14" s="46">
        <v>52100</v>
      </c>
      <c r="P14" s="46">
        <v>54700</v>
      </c>
      <c r="Q14" s="46">
        <v>58800</v>
      </c>
      <c r="R14" s="46">
        <v>14900</v>
      </c>
      <c r="S14" s="43">
        <f t="shared" ref="S14:S15" si="3">RATE(5,,-K14,P14)</f>
        <v>3.8890508054365509E-2</v>
      </c>
      <c r="T14" s="44" t="str">
        <f t="shared" si="1"/>
        <v xml:space="preserve">       Depreciation and amortization</v>
      </c>
      <c r="U14" s="45">
        <f t="shared" ref="U14:AJ15" si="4">B14/U$10</f>
        <v>8.7743395186437215E-2</v>
      </c>
      <c r="V14" s="45">
        <f t="shared" si="4"/>
        <v>7.0783699293169036E-2</v>
      </c>
      <c r="W14" s="45">
        <f t="shared" si="4"/>
        <v>5.4408880392777866E-2</v>
      </c>
      <c r="X14" s="45">
        <f t="shared" si="4"/>
        <v>7.1840822419736994E-2</v>
      </c>
      <c r="Y14" s="45">
        <f t="shared" si="4"/>
        <v>6.9589932286089257E-2</v>
      </c>
      <c r="Z14" s="45">
        <f t="shared" si="4"/>
        <v>5.980164696614599E-2</v>
      </c>
      <c r="AA14" s="45">
        <f t="shared" si="4"/>
        <v>5.2049406418595665E-2</v>
      </c>
      <c r="AB14" s="45">
        <f t="shared" si="4"/>
        <v>4.2081532970129627E-2</v>
      </c>
      <c r="AC14" s="45">
        <f t="shared" si="4"/>
        <v>4.579088471849866E-2</v>
      </c>
      <c r="AD14" s="45">
        <f t="shared" si="4"/>
        <v>4.5186444066779963E-2</v>
      </c>
      <c r="AE14" s="45">
        <f t="shared" si="4"/>
        <v>5.1962169801065335E-2</v>
      </c>
      <c r="AF14" s="45">
        <f t="shared" si="4"/>
        <v>5.316203344777938E-2</v>
      </c>
      <c r="AG14" s="45">
        <f t="shared" si="4"/>
        <v>5.0784475639966971E-2</v>
      </c>
      <c r="AH14" s="45">
        <f t="shared" si="4"/>
        <v>6.0426815124101134E-2</v>
      </c>
      <c r="AI14" s="45">
        <f t="shared" si="4"/>
        <v>5.5487928585920068E-2</v>
      </c>
      <c r="AJ14" s="45">
        <f t="shared" si="4"/>
        <v>6.1192631907586635E-2</v>
      </c>
      <c r="AK14" s="45">
        <f t="shared" ref="AK14:AK15" si="5">AVERAGE(AE14:AI14)</f>
        <v>5.436468451976658E-2</v>
      </c>
    </row>
    <row r="15" spans="1:38" ht="15" x14ac:dyDescent="0.2">
      <c r="A15" s="42" t="s">
        <v>78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25200</v>
      </c>
      <c r="O15" s="38">
        <v>45900</v>
      </c>
      <c r="P15" s="38">
        <v>37700</v>
      </c>
      <c r="Q15" s="38">
        <v>46000</v>
      </c>
      <c r="R15" s="38">
        <v>-2400</v>
      </c>
      <c r="S15" s="43">
        <f t="shared" si="3"/>
        <v>4.4671494210009502E-2</v>
      </c>
      <c r="T15" s="44" t="str">
        <f t="shared" si="1"/>
        <v xml:space="preserve">       Deferred income taxes and investment tax credits - net</v>
      </c>
      <c r="U15" s="45">
        <f t="shared" si="4"/>
        <v>1.1823877565081334E-2</v>
      </c>
      <c r="V15" s="45">
        <f t="shared" si="4"/>
        <v>2.5406045882532667E-2</v>
      </c>
      <c r="W15" s="45">
        <f t="shared" si="4"/>
        <v>-1.7573883737411467E-2</v>
      </c>
      <c r="X15" s="45">
        <f t="shared" si="4"/>
        <v>3.7665131290605882E-3</v>
      </c>
      <c r="Y15" s="45">
        <f t="shared" si="4"/>
        <v>1.5517033148415044E-2</v>
      </c>
      <c r="Z15" s="45">
        <f t="shared" si="4"/>
        <v>4.2266809562505808E-2</v>
      </c>
      <c r="AA15" s="45">
        <f t="shared" si="4"/>
        <v>3.8439681386986816E-3</v>
      </c>
      <c r="AB15" s="45">
        <f t="shared" si="4"/>
        <v>-1.4277662972008266E-2</v>
      </c>
      <c r="AC15" s="45">
        <f t="shared" si="4"/>
        <v>4.2895442359249334E-3</v>
      </c>
      <c r="AD15" s="45">
        <f t="shared" si="4"/>
        <v>3.0290912726182145E-2</v>
      </c>
      <c r="AE15" s="45">
        <f t="shared" si="4"/>
        <v>3.7069246657245356E-2</v>
      </c>
      <c r="AF15" s="45">
        <f t="shared" si="4"/>
        <v>4.82888470483996E-2</v>
      </c>
      <c r="AG15" s="45">
        <f t="shared" si="4"/>
        <v>2.6011560693641619E-2</v>
      </c>
      <c r="AH15" s="45">
        <f t="shared" si="4"/>
        <v>5.3235908141962419E-2</v>
      </c>
      <c r="AI15" s="45">
        <f t="shared" si="4"/>
        <v>3.8243051328869952E-2</v>
      </c>
      <c r="AJ15" s="45">
        <f t="shared" si="4"/>
        <v>4.7871786866479339E-2</v>
      </c>
      <c r="AK15" s="45">
        <f t="shared" si="5"/>
        <v>4.0569722774023792E-2</v>
      </c>
    </row>
    <row r="16" spans="1:38" ht="15" x14ac:dyDescent="0.2">
      <c r="A16" s="48" t="s">
        <v>101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38"/>
      <c r="P16" s="38"/>
      <c r="Q16" s="38">
        <v>-100</v>
      </c>
      <c r="R16" s="38"/>
      <c r="S16" s="43"/>
      <c r="T16" s="44" t="str">
        <f t="shared" si="1"/>
        <v xml:space="preserve">       (Gain) Loss on sale of assets</v>
      </c>
      <c r="U16" s="45">
        <f t="shared" ref="U16:Z16" si="6">B16/U$10</f>
        <v>0</v>
      </c>
      <c r="V16" s="45">
        <f t="shared" si="6"/>
        <v>-1.9189137830174268E-4</v>
      </c>
      <c r="W16" s="45">
        <f t="shared" si="6"/>
        <v>-1.6971707666241073E-3</v>
      </c>
      <c r="X16" s="45">
        <f t="shared" si="6"/>
        <v>7.0863510497707011E-4</v>
      </c>
      <c r="Y16" s="45">
        <f t="shared" si="6"/>
        <v>2.2544464931279639E-5</v>
      </c>
      <c r="Z16" s="45">
        <f t="shared" si="6"/>
        <v>2.6171399109910714E-4</v>
      </c>
      <c r="AA16" s="45"/>
      <c r="AB16" s="45">
        <f>I16/AB$10</f>
        <v>2.8179597971068947E-4</v>
      </c>
      <c r="AC16" s="45"/>
      <c r="AD16" s="45"/>
      <c r="AE16" s="45"/>
      <c r="AF16" s="45"/>
      <c r="AG16" s="45"/>
      <c r="AH16" s="45"/>
      <c r="AI16" s="45"/>
      <c r="AJ16" s="45"/>
      <c r="AK16" s="35"/>
    </row>
    <row r="17" spans="1:37" ht="15" x14ac:dyDescent="0.2">
      <c r="A17" s="48" t="s">
        <v>127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>
        <v>1100</v>
      </c>
      <c r="O17" s="38">
        <v>1200</v>
      </c>
      <c r="P17" s="38">
        <v>1400</v>
      </c>
      <c r="Q17" s="38">
        <v>1600</v>
      </c>
      <c r="R17" s="38">
        <v>80300</v>
      </c>
      <c r="S17" s="43">
        <f>RATE(5,,-K17,P17)</f>
        <v>3.1310306478541626E-2</v>
      </c>
      <c r="T17" s="44" t="str">
        <f t="shared" si="1"/>
        <v xml:space="preserve">       Cumulative Affect of Accounting Chng and Other</v>
      </c>
      <c r="U17" s="45">
        <f>B17/U$10</f>
        <v>0</v>
      </c>
      <c r="V17" s="45">
        <f>C17/V$10</f>
        <v>0</v>
      </c>
      <c r="W17" s="45">
        <f>D17/W$10</f>
        <v>0</v>
      </c>
      <c r="X17" s="45">
        <f>E17/X$10</f>
        <v>0</v>
      </c>
      <c r="Y17" s="45">
        <f>F17/Y$10</f>
        <v>5.3784652050338565E-4</v>
      </c>
      <c r="Z17" s="45"/>
      <c r="AA17" s="45"/>
      <c r="AB17" s="45">
        <f>I17/AB$10</f>
        <v>6.5752395265827543E-4</v>
      </c>
      <c r="AC17" s="45">
        <f t="shared" ref="AC17:AJ17" si="7">J17/AC$10</f>
        <v>7.5067024128686326E-4</v>
      </c>
      <c r="AD17" s="45">
        <f t="shared" si="7"/>
        <v>1.1996401079676098E-3</v>
      </c>
      <c r="AE17" s="45">
        <f t="shared" si="7"/>
        <v>1.0870746820306554E-3</v>
      </c>
      <c r="AF17" s="45">
        <f t="shared" si="7"/>
        <v>1.5505593088935652E-3</v>
      </c>
      <c r="AG17" s="45">
        <f t="shared" si="7"/>
        <v>1.1354252683732453E-3</v>
      </c>
      <c r="AH17" s="45">
        <f t="shared" si="7"/>
        <v>1.3917884481558804E-3</v>
      </c>
      <c r="AI17" s="45">
        <f t="shared" si="7"/>
        <v>1.4201663623453033E-3</v>
      </c>
      <c r="AJ17" s="45">
        <f t="shared" si="7"/>
        <v>1.665105630138412E-3</v>
      </c>
      <c r="AK17" s="45">
        <f>AVERAGE(AE17:AI17)</f>
        <v>1.31700281395973E-3</v>
      </c>
    </row>
    <row r="18" spans="1:37" ht="15" x14ac:dyDescent="0.2">
      <c r="A18" s="36" t="s">
        <v>79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3"/>
      <c r="T18" s="44" t="str">
        <f t="shared" si="1"/>
        <v xml:space="preserve">   Changes in: 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35"/>
    </row>
    <row r="19" spans="1:37" ht="15" x14ac:dyDescent="0.2">
      <c r="A19" s="50" t="s">
        <v>100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>
        <v>5000</v>
      </c>
      <c r="O19" s="38">
        <v>-12700</v>
      </c>
      <c r="P19" s="38">
        <v>-43700</v>
      </c>
      <c r="Q19" s="38">
        <v>4600</v>
      </c>
      <c r="R19" s="38"/>
      <c r="S19" s="43">
        <f t="shared" ref="S19:S21" si="8">RATE(5,,-K19,P19)</f>
        <v>0.15134515347235084</v>
      </c>
      <c r="T19" s="44" t="str">
        <f t="shared" si="1"/>
        <v xml:space="preserve">      Accounts receivable</v>
      </c>
      <c r="U19" s="45">
        <f t="shared" ref="U19:AB21" si="9">B19/U$10</f>
        <v>-5.7474713126504373E-3</v>
      </c>
      <c r="V19" s="45">
        <f t="shared" si="9"/>
        <v>-5.9622327959132727E-2</v>
      </c>
      <c r="W19" s="45">
        <f t="shared" si="9"/>
        <v>1.0512517166988821E-2</v>
      </c>
      <c r="X19" s="45">
        <f t="shared" si="9"/>
        <v>4.2146996445069862E-2</v>
      </c>
      <c r="Y19" s="45">
        <f t="shared" si="9"/>
        <v>-3.6005120814177248E-2</v>
      </c>
      <c r="Z19" s="45">
        <f t="shared" si="9"/>
        <v>-7.5897057418741077E-3</v>
      </c>
      <c r="AA19" s="45">
        <f t="shared" si="9"/>
        <v>-5.5166137341864867E-2</v>
      </c>
      <c r="AB19" s="45">
        <f t="shared" si="9"/>
        <v>3.4379109524704111E-2</v>
      </c>
      <c r="AC19" s="45"/>
      <c r="AD19" s="45">
        <f t="shared" ref="AD19:AJ21" si="10">K19/AD$10</f>
        <v>-2.1593521943416974E-2</v>
      </c>
      <c r="AE19" s="45">
        <f t="shared" si="10"/>
        <v>8.3704750516360466E-3</v>
      </c>
      <c r="AF19" s="45">
        <f t="shared" si="10"/>
        <v>-4.8731863993797765E-3</v>
      </c>
      <c r="AG19" s="45">
        <f t="shared" si="10"/>
        <v>5.1610239471511152E-3</v>
      </c>
      <c r="AH19" s="45">
        <f t="shared" si="10"/>
        <v>-1.47297610763164E-2</v>
      </c>
      <c r="AI19" s="45">
        <f t="shared" si="10"/>
        <v>-4.4329478596064113E-2</v>
      </c>
      <c r="AJ19" s="45">
        <f t="shared" si="10"/>
        <v>4.7871786866479343E-3</v>
      </c>
      <c r="AK19" s="45">
        <f t="shared" ref="AK19:AK21" si="11">AVERAGE(AE19:AI19)</f>
        <v>-1.0080185414594624E-2</v>
      </c>
    </row>
    <row r="20" spans="1:37" ht="15" x14ac:dyDescent="0.2">
      <c r="A20" s="50" t="s">
        <v>173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>
        <v>-1300</v>
      </c>
      <c r="O20" s="38">
        <v>700</v>
      </c>
      <c r="P20" s="38">
        <v>500</v>
      </c>
      <c r="Q20" s="38">
        <v>-8200</v>
      </c>
      <c r="R20" s="38"/>
      <c r="S20" s="43"/>
      <c r="T20" s="44" t="str">
        <f t="shared" si="1"/>
        <v xml:space="preserve">      Inventories</v>
      </c>
      <c r="U20" s="45">
        <f t="shared" si="9"/>
        <v>1.3690805601673122E-3</v>
      </c>
      <c r="V20" s="45">
        <f t="shared" si="9"/>
        <v>-8.022177426867028E-3</v>
      </c>
      <c r="W20" s="45">
        <f t="shared" si="9"/>
        <v>-1.2455387132463112E-3</v>
      </c>
      <c r="X20" s="45">
        <f t="shared" si="9"/>
        <v>3.4927986216879288E-4</v>
      </c>
      <c r="Y20" s="45">
        <f t="shared" si="9"/>
        <v>-1.8872937785328384E-3</v>
      </c>
      <c r="Z20" s="45">
        <f t="shared" si="9"/>
        <v>-2.8788539020901789E-2</v>
      </c>
      <c r="AA20" s="45">
        <f t="shared" si="9"/>
        <v>-1.4752526370140887E-2</v>
      </c>
      <c r="AB20" s="45">
        <f t="shared" si="9"/>
        <v>5.8237835806875821E-3</v>
      </c>
      <c r="AC20" s="45">
        <f>J20/AC$10</f>
        <v>8.5790884718498668E-3</v>
      </c>
      <c r="AD20" s="45">
        <f t="shared" si="10"/>
        <v>-2.3592922123362992E-2</v>
      </c>
      <c r="AE20" s="45">
        <f t="shared" si="10"/>
        <v>2.3045983259049895E-2</v>
      </c>
      <c r="AF20" s="45">
        <f t="shared" si="10"/>
        <v>3.7656440358843726E-3</v>
      </c>
      <c r="AG20" s="45">
        <f t="shared" si="10"/>
        <v>-1.3418662262592899E-3</v>
      </c>
      <c r="AH20" s="45">
        <f t="shared" si="10"/>
        <v>8.118765947575968E-4</v>
      </c>
      <c r="AI20" s="45">
        <f t="shared" si="10"/>
        <v>5.0720227226617976E-4</v>
      </c>
      <c r="AJ20" s="45">
        <f t="shared" si="10"/>
        <v>-8.5336663544593617E-3</v>
      </c>
      <c r="AK20" s="45">
        <f t="shared" si="11"/>
        <v>5.3577679871397513E-3</v>
      </c>
    </row>
    <row r="21" spans="1:37" ht="15" x14ac:dyDescent="0.2">
      <c r="A21" s="50" t="s">
        <v>102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>
        <v>-1800</v>
      </c>
      <c r="O21" s="38">
        <v>7800</v>
      </c>
      <c r="P21" s="38">
        <v>29500</v>
      </c>
      <c r="Q21" s="38">
        <v>-200</v>
      </c>
      <c r="R21" s="38"/>
      <c r="S21" s="43">
        <f t="shared" si="8"/>
        <v>0.46984220005802502</v>
      </c>
      <c r="T21" s="44" t="str">
        <f t="shared" si="1"/>
        <v xml:space="preserve">      Accounts payable and accrued expenses</v>
      </c>
      <c r="U21" s="45">
        <f t="shared" si="9"/>
        <v>-6.7098282648459674E-3</v>
      </c>
      <c r="V21" s="45">
        <f t="shared" si="9"/>
        <v>0.11498019606455002</v>
      </c>
      <c r="W21" s="45">
        <f t="shared" si="9"/>
        <v>-6.7689419169934373E-2</v>
      </c>
      <c r="X21" s="45">
        <f t="shared" si="9"/>
        <v>-6.9923141638021796E-3</v>
      </c>
      <c r="Y21" s="45">
        <f t="shared" si="9"/>
        <v>2.2273931352104284E-2</v>
      </c>
      <c r="Z21" s="45">
        <f t="shared" si="9"/>
        <v>5.2604512210920537E-2</v>
      </c>
      <c r="AA21" s="45">
        <f t="shared" si="9"/>
        <v>5.4231118064884107E-2</v>
      </c>
      <c r="AB21" s="45">
        <f t="shared" si="9"/>
        <v>-2.5643434153672741E-2</v>
      </c>
      <c r="AC21" s="45">
        <f>J21/AC$10</f>
        <v>1.1045576407506702E-2</v>
      </c>
      <c r="AD21" s="45">
        <f t="shared" si="10"/>
        <v>4.2987103868839345E-3</v>
      </c>
      <c r="AE21" s="45">
        <f t="shared" si="10"/>
        <v>7.9356451788237855E-3</v>
      </c>
      <c r="AF21" s="45">
        <f t="shared" si="10"/>
        <v>-2.392291505150072E-2</v>
      </c>
      <c r="AG21" s="45">
        <f t="shared" si="10"/>
        <v>-1.8579686209744012E-3</v>
      </c>
      <c r="AH21" s="45">
        <f t="shared" si="10"/>
        <v>9.046624913013222E-3</v>
      </c>
      <c r="AI21" s="45">
        <f t="shared" si="10"/>
        <v>2.9924934063704604E-2</v>
      </c>
      <c r="AJ21" s="45">
        <f t="shared" si="10"/>
        <v>-2.081382037673015E-4</v>
      </c>
      <c r="AK21" s="45">
        <f t="shared" si="11"/>
        <v>4.2252640966132975E-3</v>
      </c>
    </row>
    <row r="22" spans="1:37" ht="15" x14ac:dyDescent="0.2">
      <c r="A22" s="50" t="s">
        <v>103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3"/>
      <c r="T22" s="44" t="str">
        <f t="shared" si="1"/>
        <v xml:space="preserve">      Rate-refund obligation</v>
      </c>
      <c r="U22" s="45">
        <f t="shared" ref="U22:AA24" si="12">B22/U$10</f>
        <v>0</v>
      </c>
      <c r="V22" s="45">
        <f t="shared" si="12"/>
        <v>0</v>
      </c>
      <c r="W22" s="45">
        <f t="shared" si="12"/>
        <v>0</v>
      </c>
      <c r="X22" s="45">
        <f t="shared" si="12"/>
        <v>0</v>
      </c>
      <c r="Y22" s="45">
        <f t="shared" si="12"/>
        <v>4.0159743637227352E-2</v>
      </c>
      <c r="Z22" s="45">
        <f t="shared" si="12"/>
        <v>-5.6268508086308039E-3</v>
      </c>
      <c r="AA22" s="45">
        <f t="shared" si="12"/>
        <v>-2.1401552339781849E-2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35"/>
    </row>
    <row r="23" spans="1:37" ht="15" x14ac:dyDescent="0.2">
      <c r="A23" s="50" t="s">
        <v>104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38"/>
      <c r="P23" s="38"/>
      <c r="Q23" s="38"/>
      <c r="R23" s="38"/>
      <c r="S23" s="43"/>
      <c r="T23" s="44" t="str">
        <f t="shared" si="1"/>
        <v xml:space="preserve">      Purchased-gas adjustments</v>
      </c>
      <c r="U23" s="45">
        <f t="shared" si="12"/>
        <v>3.6338420712233046E-3</v>
      </c>
      <c r="V23" s="45">
        <f t="shared" si="12"/>
        <v>-6.5453590231797337E-2</v>
      </c>
      <c r="W23" s="45">
        <f t="shared" si="12"/>
        <v>3.8695493479029647E-2</v>
      </c>
      <c r="X23" s="45">
        <f t="shared" si="12"/>
        <v>3.6234427239799097E-2</v>
      </c>
      <c r="Y23" s="45">
        <f t="shared" si="12"/>
        <v>-2.2277151989951609E-2</v>
      </c>
      <c r="Z23" s="45">
        <f t="shared" si="12"/>
        <v>-4.6192519428992412E-2</v>
      </c>
      <c r="AA23" s="45">
        <f t="shared" si="12"/>
        <v>-4.1556412310256021E-3</v>
      </c>
      <c r="AB23" s="45">
        <f t="shared" ref="AB23:AE24" si="13">I23/AB$10</f>
        <v>7.6742438474544428E-2</v>
      </c>
      <c r="AC23" s="45">
        <f t="shared" si="13"/>
        <v>1.7372654155495978E-2</v>
      </c>
      <c r="AD23" s="45">
        <f t="shared" si="13"/>
        <v>-1.2296311106668E-2</v>
      </c>
      <c r="AE23" s="45">
        <f t="shared" si="13"/>
        <v>-2.5763669964126535E-2</v>
      </c>
      <c r="AF23" s="45"/>
      <c r="AG23" s="45"/>
      <c r="AH23" s="45"/>
      <c r="AI23" s="45"/>
      <c r="AJ23" s="45"/>
      <c r="AK23" s="45">
        <f t="shared" ref="AK23:AK24" si="14">AVERAGE(AE23:AI23)</f>
        <v>-2.5763669964126535E-2</v>
      </c>
    </row>
    <row r="24" spans="1:37" ht="15" x14ac:dyDescent="0.2">
      <c r="A24" s="50" t="s">
        <v>122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>
        <v>6000</v>
      </c>
      <c r="O24" s="38">
        <f>1500-100</f>
        <v>1400</v>
      </c>
      <c r="P24" s="38">
        <f>-2800+200</f>
        <v>-2600</v>
      </c>
      <c r="Q24" s="38">
        <f>-500+9200</f>
        <v>8700</v>
      </c>
      <c r="R24" s="38"/>
      <c r="S24" s="43"/>
      <c r="T24" s="44" t="str">
        <f t="shared" si="1"/>
        <v xml:space="preserve">      Other Assets and Liabilities</v>
      </c>
      <c r="U24" s="45">
        <f t="shared" si="12"/>
        <v>5.6563474441977436E-3</v>
      </c>
      <c r="V24" s="45">
        <f t="shared" si="12"/>
        <v>-8.0538488194022671E-3</v>
      </c>
      <c r="W24" s="45">
        <f t="shared" si="12"/>
        <v>7.8637945897888552E-3</v>
      </c>
      <c r="X24" s="45">
        <f t="shared" si="12"/>
        <v>6.337414422235693E-3</v>
      </c>
      <c r="Y24" s="45">
        <f t="shared" si="12"/>
        <v>2.198085330799765E-3</v>
      </c>
      <c r="Z24" s="45">
        <f t="shared" si="12"/>
        <v>-6.4119927819281256E-3</v>
      </c>
      <c r="AA24" s="45">
        <f t="shared" si="12"/>
        <v>1.2570814723852446E-2</v>
      </c>
      <c r="AB24" s="45">
        <f t="shared" si="13"/>
        <v>1.1647567161375164E-2</v>
      </c>
      <c r="AC24" s="45">
        <f t="shared" si="13"/>
        <v>-5.1474530831099197E-3</v>
      </c>
      <c r="AD24" s="45">
        <f t="shared" si="13"/>
        <v>-1.0996700989703088E-2</v>
      </c>
      <c r="AE24" s="45">
        <f t="shared" si="13"/>
        <v>-1.9241221871942601E-2</v>
      </c>
      <c r="AF24" s="45">
        <f>M24/AF$10</f>
        <v>-8.8603389079632295E-3</v>
      </c>
      <c r="AG24" s="45">
        <f>N24/AG$10</f>
        <v>6.1932287365813379E-3</v>
      </c>
      <c r="AH24" s="45">
        <f>O24/AH$10</f>
        <v>1.6237531895151936E-3</v>
      </c>
      <c r="AI24" s="45">
        <f>P24/AI$10</f>
        <v>-2.6374518157841345E-3</v>
      </c>
      <c r="AJ24" s="45">
        <f>Q24/AJ$10</f>
        <v>9.0540118638776142E-3</v>
      </c>
      <c r="AK24" s="45">
        <f t="shared" si="14"/>
        <v>-4.5844061339186861E-3</v>
      </c>
    </row>
    <row r="25" spans="1:37" ht="15" x14ac:dyDescent="0.2">
      <c r="A25" s="176" t="s">
        <v>174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>
        <v>17400</v>
      </c>
      <c r="O25" s="38">
        <f>-24400-6400</f>
        <v>-30800</v>
      </c>
      <c r="P25" s="38">
        <f>17600+5400</f>
        <v>23000</v>
      </c>
      <c r="Q25" s="38">
        <f>-46700-6000</f>
        <v>-52700</v>
      </c>
      <c r="R25" s="38"/>
      <c r="S25" s="43"/>
      <c r="T25" s="44" t="str">
        <f t="shared" si="1"/>
        <v xml:space="preserve">      Regulatory Assets, Liabilities &amp; Other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35"/>
    </row>
    <row r="26" spans="1:37" ht="12.75" customHeight="1" x14ac:dyDescent="0.2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51"/>
      <c r="T26" s="44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125"/>
    </row>
    <row r="27" spans="1:37" ht="15" x14ac:dyDescent="0.2">
      <c r="A27" s="42" t="s">
        <v>80</v>
      </c>
      <c r="B27" s="52">
        <f t="shared" ref="B27:I27" si="15">SUM(B11:B26)</f>
        <v>63209</v>
      </c>
      <c r="C27" s="52">
        <f t="shared" si="15"/>
        <v>61643</v>
      </c>
      <c r="D27" s="52">
        <f t="shared" si="15"/>
        <v>42261</v>
      </c>
      <c r="E27" s="52">
        <f t="shared" si="15"/>
        <v>124341</v>
      </c>
      <c r="F27" s="52">
        <f t="shared" si="15"/>
        <v>76152</v>
      </c>
      <c r="G27" s="52">
        <f t="shared" si="15"/>
        <v>77561</v>
      </c>
      <c r="H27" s="52">
        <f t="shared" si="15"/>
        <v>62175</v>
      </c>
      <c r="I27" s="52">
        <f t="shared" si="15"/>
        <v>177200</v>
      </c>
      <c r="J27" s="52">
        <f>SUM(J11:J26)</f>
        <v>114500</v>
      </c>
      <c r="K27" s="52">
        <f t="shared" ref="K27:O27" si="16">SUM(K11:K26)</f>
        <v>52700</v>
      </c>
      <c r="L27" s="52">
        <f t="shared" si="16"/>
        <v>119300</v>
      </c>
      <c r="M27" s="52">
        <f t="shared" si="16"/>
        <v>69300</v>
      </c>
      <c r="N27" s="52">
        <f t="shared" ref="N27" si="17">SUM(N11:N26)</f>
        <v>146900</v>
      </c>
      <c r="O27" s="52">
        <f t="shared" si="16"/>
        <v>112700</v>
      </c>
      <c r="P27" s="52">
        <f t="shared" ref="P27:Q27" si="18">SUM(P11:P26)</f>
        <v>153300</v>
      </c>
      <c r="Q27" s="52">
        <f t="shared" si="18"/>
        <v>113700</v>
      </c>
      <c r="R27" s="52">
        <f t="shared" ref="R27" si="19">SUM(R11:R26)</f>
        <v>136600</v>
      </c>
      <c r="S27" s="43">
        <f>RATE(5,,-K27,P27)</f>
        <v>0.23807315781431904</v>
      </c>
      <c r="T27" s="44" t="s">
        <v>80</v>
      </c>
      <c r="U27" s="53">
        <f t="shared" ref="U27:AJ27" si="20">(B27/U$10)</f>
        <v>0.14048411222015528</v>
      </c>
      <c r="V27" s="53">
        <f t="shared" si="20"/>
        <v>0.11484233235586722</v>
      </c>
      <c r="W27" s="53">
        <f t="shared" si="20"/>
        <v>6.0020195622009533E-2</v>
      </c>
      <c r="X27" s="53">
        <f t="shared" si="20"/>
        <v>0.20879715068235516</v>
      </c>
      <c r="Y27" s="53">
        <f t="shared" si="20"/>
        <v>0.12262900667477195</v>
      </c>
      <c r="Z27" s="53">
        <f t="shared" si="20"/>
        <v>0.10149399431818926</v>
      </c>
      <c r="AA27" s="53">
        <f t="shared" si="20"/>
        <v>6.4594248384754194E-2</v>
      </c>
      <c r="AB27" s="53">
        <f t="shared" si="20"/>
        <v>0.16644749201578057</v>
      </c>
      <c r="AC27" s="53">
        <f t="shared" si="20"/>
        <v>0.12278820375335121</v>
      </c>
      <c r="AD27" s="53">
        <f t="shared" si="20"/>
        <v>5.2684194741577525E-2</v>
      </c>
      <c r="AE27" s="53">
        <f t="shared" si="20"/>
        <v>0.1296880095662572</v>
      </c>
      <c r="AF27" s="53">
        <f t="shared" si="20"/>
        <v>7.6752685790231479E-2</v>
      </c>
      <c r="AG27" s="53">
        <f t="shared" si="20"/>
        <v>0.15163088356729976</v>
      </c>
      <c r="AH27" s="53">
        <f t="shared" si="20"/>
        <v>0.1307121317559731</v>
      </c>
      <c r="AI27" s="53">
        <f t="shared" si="20"/>
        <v>0.15550821667681072</v>
      </c>
      <c r="AJ27" s="53">
        <f t="shared" si="20"/>
        <v>0.1183265688417109</v>
      </c>
      <c r="AK27" s="45">
        <f>AVERAGE(AE27:AI27)</f>
        <v>0.12885838547131445</v>
      </c>
    </row>
    <row r="28" spans="1:37" ht="12" customHeight="1" x14ac:dyDescent="0.2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43"/>
      <c r="T28" s="44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35"/>
    </row>
    <row r="29" spans="1:37" ht="15" x14ac:dyDescent="0.2">
      <c r="A29" s="36" t="s">
        <v>81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3"/>
      <c r="T29" s="40" t="s">
        <v>81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35"/>
    </row>
    <row r="30" spans="1:37" ht="15" x14ac:dyDescent="0.2">
      <c r="A30" s="42" t="s">
        <v>82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-121500</v>
      </c>
      <c r="O30" s="38">
        <v>-162100</v>
      </c>
      <c r="P30" s="38">
        <v>-166200</v>
      </c>
      <c r="Q30" s="38">
        <v>-174700</v>
      </c>
      <c r="R30" s="38">
        <v>-43000</v>
      </c>
      <c r="S30" s="43">
        <f t="shared" ref="S30:S31" si="21">RATE(5,,-K30,P30)</f>
        <v>5.6441696056300145E-2</v>
      </c>
      <c r="T30" s="40" t="str">
        <f>A30</f>
        <v xml:space="preserve">     Capital expenditures</v>
      </c>
      <c r="U30" s="45">
        <f t="shared" ref="U30:AJ31" si="22">(B30/U$10)</f>
        <v>-0.15212574204833121</v>
      </c>
      <c r="V30" s="45">
        <f t="shared" si="22"/>
        <v>-0.12252543958029816</v>
      </c>
      <c r="W30" s="45">
        <f t="shared" si="22"/>
        <v>-0.1119010726971381</v>
      </c>
      <c r="X30" s="45">
        <f t="shared" si="22"/>
        <v>-0.12093647304583795</v>
      </c>
      <c r="Y30" s="45">
        <f t="shared" si="22"/>
        <v>-0.11494939572782389</v>
      </c>
      <c r="Z30" s="45">
        <f t="shared" si="22"/>
        <v>-0.10075988657315625</v>
      </c>
      <c r="AA30" s="45">
        <f t="shared" si="22"/>
        <v>-7.0542009896659597E-2</v>
      </c>
      <c r="AB30" s="45">
        <f t="shared" si="22"/>
        <v>-8.1439038136389252E-2</v>
      </c>
      <c r="AC30" s="45">
        <f t="shared" si="22"/>
        <v>-0.1457372654155496</v>
      </c>
      <c r="AD30" s="45">
        <f t="shared" si="22"/>
        <v>-0.12626212136359091</v>
      </c>
      <c r="AE30" s="45">
        <f t="shared" si="22"/>
        <v>-8.9792368735732139E-2</v>
      </c>
      <c r="AF30" s="45">
        <f t="shared" si="22"/>
        <v>-0.12027910067560084</v>
      </c>
      <c r="AG30" s="45">
        <f t="shared" si="22"/>
        <v>-0.1254128819157721</v>
      </c>
      <c r="AH30" s="45">
        <f t="shared" si="22"/>
        <v>-0.18800742287172351</v>
      </c>
      <c r="AI30" s="45">
        <f t="shared" si="22"/>
        <v>-0.16859403530127814</v>
      </c>
      <c r="AJ30" s="45">
        <f t="shared" si="22"/>
        <v>-0.18180872099073786</v>
      </c>
      <c r="AK30" s="45">
        <f t="shared" ref="AK30:AK32" si="23">AVERAGE(AE30:AI30)</f>
        <v>-0.13841716190002135</v>
      </c>
    </row>
    <row r="31" spans="1:37" ht="15" x14ac:dyDescent="0.2">
      <c r="A31" s="42" t="s">
        <v>83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>
        <v>-2000</v>
      </c>
      <c r="O31" s="38">
        <f>-2300+400</f>
        <v>-1900</v>
      </c>
      <c r="P31" s="38">
        <f>300-3900</f>
        <v>-3600</v>
      </c>
      <c r="Q31" s="38">
        <f>-3400+800</f>
        <v>-2600</v>
      </c>
      <c r="R31" s="38"/>
      <c r="S31" s="43">
        <f t="shared" si="21"/>
        <v>3.0358033102810131E-2</v>
      </c>
      <c r="T31" s="40" t="str">
        <f>A31</f>
        <v xml:space="preserve">     Proceeds from sales of assets</v>
      </c>
      <c r="U31" s="45">
        <f t="shared" si="22"/>
        <v>4.673987691610159E-3</v>
      </c>
      <c r="V31" s="45">
        <f t="shared" si="22"/>
        <v>9.2778549897347428E-4</v>
      </c>
      <c r="W31" s="45">
        <f t="shared" si="22"/>
        <v>4.2805629210084179E-3</v>
      </c>
      <c r="X31" s="45">
        <f t="shared" si="22"/>
        <v>1.6876262571136386E-3</v>
      </c>
      <c r="Y31" s="45">
        <f t="shared" si="22"/>
        <v>1.0177215597549094E-3</v>
      </c>
      <c r="Z31" s="45">
        <f t="shared" si="22"/>
        <v>-4.1874238575857143E-3</v>
      </c>
      <c r="AA31" s="45">
        <f t="shared" si="22"/>
        <v>6.2334618465384028E-4</v>
      </c>
      <c r="AB31" s="45">
        <f t="shared" si="22"/>
        <v>5.6359195942137894E-4</v>
      </c>
      <c r="AC31" s="45">
        <f t="shared" si="22"/>
        <v>-3.002680965147453E-3</v>
      </c>
      <c r="AD31" s="45">
        <f t="shared" si="22"/>
        <v>-3.0990702789163251E-3</v>
      </c>
      <c r="AE31" s="45">
        <f t="shared" si="22"/>
        <v>-1.4131970866398521E-3</v>
      </c>
      <c r="AF31" s="45">
        <f t="shared" si="22"/>
        <v>-1.1075423634954037E-3</v>
      </c>
      <c r="AG31" s="45">
        <f t="shared" si="22"/>
        <v>-2.0644095788604458E-3</v>
      </c>
      <c r="AH31" s="45">
        <f t="shared" si="22"/>
        <v>-2.2036650429134771E-3</v>
      </c>
      <c r="AI31" s="45">
        <f t="shared" si="22"/>
        <v>-3.6518563603164943E-3</v>
      </c>
      <c r="AJ31" s="45">
        <f t="shared" si="22"/>
        <v>-2.7057966489749193E-3</v>
      </c>
      <c r="AK31" s="45">
        <f t="shared" si="23"/>
        <v>-2.0881340864451346E-3</v>
      </c>
    </row>
    <row r="32" spans="1:37" ht="15" x14ac:dyDescent="0.2">
      <c r="A32" s="42" t="s">
        <v>84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100</v>
      </c>
      <c r="O32" s="38"/>
      <c r="P32" s="38">
        <v>10800</v>
      </c>
      <c r="Q32" s="38"/>
      <c r="R32" s="38">
        <f>-11400-500+100</f>
        <v>-11800</v>
      </c>
      <c r="S32" s="43"/>
      <c r="T32" s="40" t="str">
        <f>A32</f>
        <v xml:space="preserve">     Other</v>
      </c>
      <c r="U32" s="45">
        <f>(B32/U$10)</f>
        <v>0</v>
      </c>
      <c r="V32" s="45">
        <f>(C32/V$10)</f>
        <v>0</v>
      </c>
      <c r="W32" s="45">
        <f>(D32/W$10)</f>
        <v>0</v>
      </c>
      <c r="X32" s="45">
        <f>(E32/X$10)</f>
        <v>0</v>
      </c>
      <c r="Y32" s="45">
        <f>(F32/Y$10)</f>
        <v>0</v>
      </c>
      <c r="Z32" s="45"/>
      <c r="AA32" s="45"/>
      <c r="AB32" s="45"/>
      <c r="AC32" s="45">
        <f>(J32/AC$10)</f>
        <v>2.1447721179624667E-3</v>
      </c>
      <c r="AD32" s="45">
        <f>(K32/AD$10)</f>
        <v>4.9985004498650403E-4</v>
      </c>
      <c r="AE32" s="45">
        <f>(L32/AE$10)</f>
        <v>1.0870746820306555E-4</v>
      </c>
      <c r="AF32" s="45"/>
      <c r="AG32" s="45">
        <f>(N32/AG$10)</f>
        <v>1.0322047894302229E-4</v>
      </c>
      <c r="AH32" s="45"/>
      <c r="AI32" s="45">
        <f>(P32/AI$10)</f>
        <v>1.0955569080949483E-2</v>
      </c>
      <c r="AJ32" s="45"/>
      <c r="AK32" s="45">
        <f t="shared" si="23"/>
        <v>3.7224990093651903E-3</v>
      </c>
    </row>
    <row r="33" spans="1:37" ht="12.75" customHeight="1" x14ac:dyDescent="0.2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124"/>
      <c r="P33" s="124"/>
      <c r="Q33" s="124"/>
      <c r="R33" s="124"/>
      <c r="S33" s="51"/>
      <c r="T33" s="44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25"/>
    </row>
    <row r="34" spans="1:37" ht="15" x14ac:dyDescent="0.2">
      <c r="A34" s="42" t="s">
        <v>85</v>
      </c>
      <c r="B34" s="52">
        <f t="shared" ref="B34:J34" si="24">SUM(B29:B33)</f>
        <v>-66344</v>
      </c>
      <c r="C34" s="52">
        <f t="shared" si="24"/>
        <v>-65269</v>
      </c>
      <c r="D34" s="52">
        <f t="shared" si="24"/>
        <v>-75777</v>
      </c>
      <c r="E34" s="52">
        <f t="shared" si="24"/>
        <v>-71014</v>
      </c>
      <c r="F34" s="52">
        <f t="shared" si="24"/>
        <v>-70751</v>
      </c>
      <c r="G34" s="52">
        <f t="shared" si="24"/>
        <v>-80200</v>
      </c>
      <c r="H34" s="52">
        <f t="shared" si="24"/>
        <v>-67300</v>
      </c>
      <c r="I34" s="52">
        <f t="shared" si="24"/>
        <v>-86100</v>
      </c>
      <c r="J34" s="52">
        <f t="shared" si="24"/>
        <v>-136700</v>
      </c>
      <c r="K34" s="37">
        <f t="shared" ref="K34:O34" si="25">SUM(K29:K33)</f>
        <v>-128900</v>
      </c>
      <c r="L34" s="37">
        <f t="shared" si="25"/>
        <v>-83800</v>
      </c>
      <c r="M34" s="37">
        <f t="shared" si="25"/>
        <v>-109600</v>
      </c>
      <c r="N34" s="37">
        <f t="shared" ref="N34" si="26">SUM(N29:N33)</f>
        <v>-123400</v>
      </c>
      <c r="O34" s="37">
        <f t="shared" si="25"/>
        <v>-164000</v>
      </c>
      <c r="P34" s="37">
        <f t="shared" ref="P34:Q34" si="27">SUM(P29:P33)</f>
        <v>-159000</v>
      </c>
      <c r="Q34" s="37">
        <f t="shared" si="27"/>
        <v>-177300</v>
      </c>
      <c r="R34" s="37">
        <f t="shared" ref="R34" si="28">SUM(R29:R33)</f>
        <v>-54800</v>
      </c>
      <c r="S34" s="43">
        <f>RATE(5,,-K34,P34)</f>
        <v>4.2866799087449219E-2</v>
      </c>
      <c r="T34" s="44" t="s">
        <v>85</v>
      </c>
      <c r="U34" s="53">
        <f t="shared" ref="U34:AJ34" si="29">B34/U$10</f>
        <v>-0.14745175435672106</v>
      </c>
      <c r="V34" s="53">
        <f t="shared" si="29"/>
        <v>-0.12159765408132468</v>
      </c>
      <c r="W34" s="53">
        <f t="shared" si="29"/>
        <v>-0.10762050977612968</v>
      </c>
      <c r="X34" s="53">
        <f t="shared" si="29"/>
        <v>-0.1192488467887243</v>
      </c>
      <c r="Y34" s="53">
        <f t="shared" si="29"/>
        <v>-0.11393167416806899</v>
      </c>
      <c r="Z34" s="53">
        <f t="shared" si="29"/>
        <v>-0.10494731043074197</v>
      </c>
      <c r="AA34" s="53">
        <f t="shared" si="29"/>
        <v>-6.9918663712005752E-2</v>
      </c>
      <c r="AB34" s="53">
        <f t="shared" si="29"/>
        <v>-8.0875446176967875E-2</v>
      </c>
      <c r="AC34" s="53">
        <f t="shared" si="29"/>
        <v>-0.14659517426273458</v>
      </c>
      <c r="AD34" s="53">
        <f t="shared" si="29"/>
        <v>-0.12886134159752075</v>
      </c>
      <c r="AE34" s="53">
        <f t="shared" si="29"/>
        <v>-9.1096858354168933E-2</v>
      </c>
      <c r="AF34" s="53">
        <f t="shared" si="29"/>
        <v>-0.12138664303909624</v>
      </c>
      <c r="AG34" s="53">
        <f t="shared" si="29"/>
        <v>-0.12737407101568951</v>
      </c>
      <c r="AH34" s="53">
        <f t="shared" si="29"/>
        <v>-0.19021108791463698</v>
      </c>
      <c r="AI34" s="53">
        <f t="shared" si="29"/>
        <v>-0.16129032258064516</v>
      </c>
      <c r="AJ34" s="53">
        <f t="shared" si="29"/>
        <v>-0.18451451763971277</v>
      </c>
      <c r="AK34" s="45">
        <f>AVERAGE(AE34:AI34)</f>
        <v>-0.13827179658084734</v>
      </c>
    </row>
    <row r="35" spans="1:37" ht="13.5" customHeight="1" x14ac:dyDescent="0.2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3"/>
      <c r="T35" s="44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35"/>
    </row>
    <row r="36" spans="1:37" ht="15" x14ac:dyDescent="0.2">
      <c r="A36" s="36" t="s">
        <v>86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3"/>
      <c r="T36" s="40" t="s">
        <v>86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35"/>
    </row>
    <row r="37" spans="1:37" ht="15" x14ac:dyDescent="0.2">
      <c r="A37" s="50" t="s">
        <v>109</v>
      </c>
      <c r="B37" s="37">
        <v>40000</v>
      </c>
      <c r="C37" s="38"/>
      <c r="D37" s="38">
        <v>40000</v>
      </c>
      <c r="E37" s="38"/>
      <c r="F37" s="38"/>
      <c r="G37" s="38"/>
      <c r="H37" s="38"/>
      <c r="I37" s="38"/>
      <c r="J37" s="38"/>
      <c r="K37" s="38">
        <v>30000</v>
      </c>
      <c r="L37" s="38"/>
      <c r="M37" s="38"/>
      <c r="N37" s="38">
        <v>20000</v>
      </c>
      <c r="O37" s="38"/>
      <c r="P37" s="38"/>
      <c r="Q37" s="38"/>
      <c r="R37" s="38"/>
      <c r="S37" s="43"/>
      <c r="T37" s="40" t="str">
        <f t="shared" ref="T37:T43" si="30">A37</f>
        <v xml:space="preserve">     Issuance of Common Stock</v>
      </c>
      <c r="U37" s="45">
        <f t="shared" ref="U37:Y39" si="31">B37/U$10</f>
        <v>8.8901335075799504E-2</v>
      </c>
      <c r="V37" s="45">
        <f t="shared" si="31"/>
        <v>0</v>
      </c>
      <c r="W37" s="45">
        <f t="shared" si="31"/>
        <v>5.6809063317961747E-2</v>
      </c>
      <c r="X37" s="45">
        <f t="shared" si="31"/>
        <v>0</v>
      </c>
      <c r="Y37" s="45">
        <f t="shared" si="31"/>
        <v>0</v>
      </c>
      <c r="Z37" s="45"/>
      <c r="AA37" s="45"/>
      <c r="AB37" s="45"/>
      <c r="AC37" s="45"/>
      <c r="AD37" s="45">
        <f>K37/AD$10</f>
        <v>2.9991002699190243E-2</v>
      </c>
      <c r="AE37" s="45"/>
      <c r="AF37" s="45"/>
      <c r="AG37" s="45">
        <f>N37/AG$10</f>
        <v>2.0644095788604461E-2</v>
      </c>
      <c r="AH37" s="45"/>
      <c r="AI37" s="45"/>
      <c r="AJ37" s="45"/>
      <c r="AK37" s="45">
        <f t="shared" ref="AK37:AK42" si="32">AVERAGE(AE37:AI37)</f>
        <v>2.0644095788604461E-2</v>
      </c>
    </row>
    <row r="38" spans="1:37" ht="15" x14ac:dyDescent="0.2">
      <c r="A38" s="50" t="s">
        <v>105</v>
      </c>
      <c r="B38" s="37"/>
      <c r="C38" s="38"/>
      <c r="D38" s="38">
        <v>60000</v>
      </c>
      <c r="E38" s="38"/>
      <c r="F38" s="38">
        <v>110000</v>
      </c>
      <c r="G38" s="38"/>
      <c r="H38" s="38">
        <v>50000</v>
      </c>
      <c r="I38" s="38"/>
      <c r="J38" s="38"/>
      <c r="K38" s="38">
        <v>148400</v>
      </c>
      <c r="L38" s="38"/>
      <c r="M38" s="38"/>
      <c r="N38" s="38"/>
      <c r="O38" s="38">
        <v>148800</v>
      </c>
      <c r="P38" s="38">
        <v>149000</v>
      </c>
      <c r="Q38" s="38"/>
      <c r="R38" s="38"/>
      <c r="S38" s="43"/>
      <c r="T38" s="44" t="str">
        <f t="shared" si="30"/>
        <v xml:space="preserve">     Proceeds from long-term debt</v>
      </c>
      <c r="U38" s="45">
        <f t="shared" si="31"/>
        <v>0</v>
      </c>
      <c r="V38" s="45">
        <f t="shared" si="31"/>
        <v>0</v>
      </c>
      <c r="W38" s="45">
        <f t="shared" si="31"/>
        <v>8.5213594976942628E-2</v>
      </c>
      <c r="X38" s="45">
        <f t="shared" si="31"/>
        <v>0</v>
      </c>
      <c r="Y38" s="45">
        <f t="shared" si="31"/>
        <v>0.17713508160291144</v>
      </c>
      <c r="Z38" s="45"/>
      <c r="AA38" s="45">
        <f>H38/AA$10</f>
        <v>5.1945515387820024E-2</v>
      </c>
      <c r="AB38" s="45"/>
      <c r="AC38" s="45"/>
      <c r="AD38" s="45">
        <f>K38/AD$10</f>
        <v>0.14835549335199441</v>
      </c>
      <c r="AE38" s="45"/>
      <c r="AF38" s="45"/>
      <c r="AG38" s="45"/>
      <c r="AH38" s="45"/>
      <c r="AI38" s="45"/>
      <c r="AJ38" s="45"/>
      <c r="AK38" s="45"/>
    </row>
    <row r="39" spans="1:37" ht="15" x14ac:dyDescent="0.2">
      <c r="A39" s="50" t="s">
        <v>106</v>
      </c>
      <c r="B39" s="37"/>
      <c r="C39" s="38"/>
      <c r="D39" s="38"/>
      <c r="E39" s="38"/>
      <c r="F39" s="38">
        <v>-105000</v>
      </c>
      <c r="G39" s="38">
        <v>-17000</v>
      </c>
      <c r="H39" s="38"/>
      <c r="I39" s="38"/>
      <c r="J39" s="38">
        <v>-10000</v>
      </c>
      <c r="K39" s="38">
        <v>-93000</v>
      </c>
      <c r="L39" s="38"/>
      <c r="M39" s="38"/>
      <c r="N39" s="38">
        <v>-2000</v>
      </c>
      <c r="O39" s="38">
        <v>-91500</v>
      </c>
      <c r="P39" s="38">
        <v>-42000</v>
      </c>
      <c r="Q39" s="38"/>
      <c r="R39" s="38"/>
      <c r="S39" s="43">
        <f t="shared" ref="S39:S42" si="33">RATE(5,,-K39,P39)</f>
        <v>-0.14699167765067048</v>
      </c>
      <c r="T39" s="44" t="str">
        <f t="shared" si="30"/>
        <v xml:space="preserve">     Long-term debt repaid</v>
      </c>
      <c r="U39" s="45">
        <f t="shared" si="31"/>
        <v>0</v>
      </c>
      <c r="V39" s="45">
        <f t="shared" si="31"/>
        <v>0</v>
      </c>
      <c r="W39" s="45">
        <f t="shared" si="31"/>
        <v>0</v>
      </c>
      <c r="X39" s="45">
        <f t="shared" si="31"/>
        <v>0</v>
      </c>
      <c r="Y39" s="45">
        <f t="shared" si="31"/>
        <v>-0.1690834869845973</v>
      </c>
      <c r="Z39" s="45">
        <f>G39/Z$10</f>
        <v>-2.224568924342411E-2</v>
      </c>
      <c r="AA39" s="45"/>
      <c r="AB39" s="45"/>
      <c r="AC39" s="45">
        <f>J39/AC$10</f>
        <v>-1.0723860589812333E-2</v>
      </c>
      <c r="AD39" s="45">
        <f>K39/AD$10</f>
        <v>-9.2972108367489759E-2</v>
      </c>
      <c r="AE39" s="45"/>
      <c r="AF39" s="45"/>
      <c r="AG39" s="45">
        <f>N39/AG$10</f>
        <v>-2.0644095788604458E-3</v>
      </c>
      <c r="AH39" s="45">
        <f>O39/AH$10</f>
        <v>-0.10612386917188588</v>
      </c>
      <c r="AI39" s="45">
        <f>P39/AI$10</f>
        <v>-4.26049908703591E-2</v>
      </c>
      <c r="AJ39" s="45">
        <f>Q39/AJ$10</f>
        <v>0</v>
      </c>
      <c r="AK39" s="45">
        <f t="shared" si="32"/>
        <v>-5.0264423207035142E-2</v>
      </c>
    </row>
    <row r="40" spans="1:37" ht="15" x14ac:dyDescent="0.2">
      <c r="A40" s="176" t="s">
        <v>211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3"/>
      <c r="T40" s="42" t="str">
        <f>+A40</f>
        <v xml:space="preserve">     Change in note receivable from Questar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f>Q40/AJ$10</f>
        <v>0</v>
      </c>
      <c r="AK40" s="45"/>
    </row>
    <row r="41" spans="1:37" ht="15" x14ac:dyDescent="0.2">
      <c r="A41" s="50" t="s">
        <v>107</v>
      </c>
      <c r="B41" s="37">
        <v>-17400</v>
      </c>
      <c r="C41" s="38">
        <v>26300</v>
      </c>
      <c r="D41" s="38">
        <v>-39000</v>
      </c>
      <c r="E41" s="38">
        <v>-30200</v>
      </c>
      <c r="F41" s="38">
        <v>15500</v>
      </c>
      <c r="G41" s="38">
        <v>43300</v>
      </c>
      <c r="H41" s="38">
        <v>-17800</v>
      </c>
      <c r="I41" s="38">
        <v>-64200</v>
      </c>
      <c r="J41" s="38">
        <v>59700</v>
      </c>
      <c r="K41" s="38">
        <v>15400</v>
      </c>
      <c r="L41" s="38">
        <v>-1300</v>
      </c>
      <c r="M41" s="38">
        <v>66600</v>
      </c>
      <c r="N41" s="38">
        <v>-10900</v>
      </c>
      <c r="O41" s="38">
        <v>23400</v>
      </c>
      <c r="P41" s="38">
        <v>-58400</v>
      </c>
      <c r="Q41" s="38">
        <v>101600</v>
      </c>
      <c r="R41" s="38">
        <v>-83500</v>
      </c>
      <c r="S41" s="43"/>
      <c r="T41" s="44" t="str">
        <f t="shared" si="30"/>
        <v xml:space="preserve">     Change in note payable to Questar</v>
      </c>
      <c r="U41" s="45">
        <f t="shared" ref="U41:AI42" si="34">B41/U$10</f>
        <v>-3.8672080757972786E-2</v>
      </c>
      <c r="V41" s="45">
        <f t="shared" si="34"/>
        <v>4.899750727510517E-2</v>
      </c>
      <c r="W41" s="45">
        <f t="shared" si="34"/>
        <v>-5.5388836735012707E-2</v>
      </c>
      <c r="X41" s="45">
        <f t="shared" si="34"/>
        <v>-5.0712749218738196E-2</v>
      </c>
      <c r="Y41" s="45">
        <f t="shared" si="34"/>
        <v>2.4959943316773887E-2</v>
      </c>
      <c r="Z41" s="45">
        <f t="shared" si="34"/>
        <v>5.6661079072956699E-2</v>
      </c>
      <c r="AA41" s="45">
        <f t="shared" si="34"/>
        <v>-1.8492603478063929E-2</v>
      </c>
      <c r="AB41" s="45">
        <f t="shared" si="34"/>
        <v>-6.0304339658087541E-2</v>
      </c>
      <c r="AC41" s="45">
        <f t="shared" si="34"/>
        <v>6.4021447721179625E-2</v>
      </c>
      <c r="AD41" s="45">
        <f t="shared" si="34"/>
        <v>1.5395381385584325E-2</v>
      </c>
      <c r="AE41" s="45">
        <f t="shared" si="34"/>
        <v>-1.4131970866398521E-3</v>
      </c>
      <c r="AF41" s="45">
        <f t="shared" si="34"/>
        <v>7.3762321408793879E-2</v>
      </c>
      <c r="AG41" s="45">
        <f t="shared" si="34"/>
        <v>-1.125103220478943E-2</v>
      </c>
      <c r="AH41" s="45">
        <f t="shared" si="34"/>
        <v>2.7139874739039668E-2</v>
      </c>
      <c r="AI41" s="45">
        <f t="shared" si="34"/>
        <v>-5.9241225400689795E-2</v>
      </c>
      <c r="AJ41" s="45">
        <f>Q41/AJ$10</f>
        <v>0.10573420751378916</v>
      </c>
      <c r="AK41" s="45">
        <f t="shared" si="32"/>
        <v>5.7993482911428947E-3</v>
      </c>
    </row>
    <row r="42" spans="1:37" ht="12.75" customHeight="1" x14ac:dyDescent="0.2">
      <c r="A42" s="42" t="s">
        <v>87</v>
      </c>
      <c r="B42" s="47">
        <v>-23000</v>
      </c>
      <c r="C42" s="38">
        <v>-23500</v>
      </c>
      <c r="D42" s="38">
        <v>-24000</v>
      </c>
      <c r="E42" s="38">
        <v>-24500</v>
      </c>
      <c r="F42" s="38">
        <v>-25000</v>
      </c>
      <c r="G42" s="38">
        <v>-25500</v>
      </c>
      <c r="H42" s="38">
        <v>-26000</v>
      </c>
      <c r="I42" s="38">
        <v>-26500</v>
      </c>
      <c r="J42" s="38">
        <v>-27000</v>
      </c>
      <c r="K42" s="38">
        <v>-27500</v>
      </c>
      <c r="L42" s="38">
        <v>-28200</v>
      </c>
      <c r="M42" s="38">
        <v>-28800</v>
      </c>
      <c r="N42" s="38">
        <v>-30300</v>
      </c>
      <c r="O42" s="38">
        <v>-33000</v>
      </c>
      <c r="P42" s="38">
        <v>-35500</v>
      </c>
      <c r="Q42" s="38">
        <v>-27000</v>
      </c>
      <c r="R42" s="38">
        <v>-18500</v>
      </c>
      <c r="S42" s="43">
        <f t="shared" si="33"/>
        <v>5.2395862158424567E-2</v>
      </c>
      <c r="T42" s="44" t="str">
        <f t="shared" si="30"/>
        <v xml:space="preserve">     Dividends paid</v>
      </c>
      <c r="U42" s="45">
        <f t="shared" si="34"/>
        <v>-5.111826766858471E-2</v>
      </c>
      <c r="V42" s="45">
        <f t="shared" si="34"/>
        <v>-4.3781042622242257E-2</v>
      </c>
      <c r="W42" s="45">
        <f t="shared" si="34"/>
        <v>-3.4085437990777047E-2</v>
      </c>
      <c r="X42" s="45">
        <f t="shared" si="34"/>
        <v>-4.1141137611228007E-2</v>
      </c>
      <c r="Y42" s="45">
        <f t="shared" si="34"/>
        <v>-4.0257973091570788E-2</v>
      </c>
      <c r="Z42" s="45">
        <f t="shared" si="34"/>
        <v>-3.3368533865136163E-2</v>
      </c>
      <c r="AA42" s="45">
        <f t="shared" si="34"/>
        <v>-2.7011668001666413E-2</v>
      </c>
      <c r="AB42" s="45">
        <f t="shared" si="34"/>
        <v>-2.4891978207777568E-2</v>
      </c>
      <c r="AC42" s="45">
        <f t="shared" si="34"/>
        <v>-2.8954423592493297E-2</v>
      </c>
      <c r="AD42" s="45">
        <f t="shared" si="34"/>
        <v>-2.7491752474257721E-2</v>
      </c>
      <c r="AE42" s="45">
        <f t="shared" si="34"/>
        <v>-3.0655506033264484E-2</v>
      </c>
      <c r="AF42" s="45">
        <f t="shared" si="34"/>
        <v>-3.1897220068667624E-2</v>
      </c>
      <c r="AG42" s="45">
        <f t="shared" si="34"/>
        <v>-3.1275805119735753E-2</v>
      </c>
      <c r="AH42" s="45">
        <f t="shared" si="34"/>
        <v>-3.8274182324286705E-2</v>
      </c>
      <c r="AI42" s="45">
        <f t="shared" si="34"/>
        <v>-3.6011361330898765E-2</v>
      </c>
      <c r="AJ42" s="45">
        <f>Q42/AJ$10</f>
        <v>-2.80986575085857E-2</v>
      </c>
      <c r="AK42" s="45">
        <f t="shared" si="32"/>
        <v>-3.3622814975370667E-2</v>
      </c>
    </row>
    <row r="43" spans="1:37" ht="12.75" customHeight="1" x14ac:dyDescent="0.2">
      <c r="A43" s="42" t="s">
        <v>84</v>
      </c>
      <c r="B43" s="37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>
        <v>-400</v>
      </c>
      <c r="S43" s="43"/>
      <c r="T43" s="44" t="str">
        <f t="shared" si="30"/>
        <v xml:space="preserve">     Other</v>
      </c>
      <c r="U43" s="45">
        <f>B43/U$10</f>
        <v>0</v>
      </c>
      <c r="V43" s="45">
        <f>C43/V$10</f>
        <v>0</v>
      </c>
      <c r="W43" s="45">
        <f>D43/W$10</f>
        <v>0</v>
      </c>
      <c r="X43" s="45">
        <f>E43/X$10</f>
        <v>0</v>
      </c>
      <c r="Y43" s="45">
        <f>F43/Y$10</f>
        <v>0</v>
      </c>
      <c r="Z43" s="45"/>
      <c r="AA43" s="45"/>
      <c r="AB43" s="45"/>
      <c r="AC43" s="45"/>
      <c r="AD43" s="45"/>
      <c r="AE43" s="45"/>
      <c r="AF43" s="45"/>
      <c r="AG43" s="45"/>
      <c r="AH43" s="45">
        <f>O43/AH$10</f>
        <v>0</v>
      </c>
      <c r="AI43" s="45">
        <f>P43/AI$10</f>
        <v>0</v>
      </c>
      <c r="AJ43" s="45">
        <f>Q43/AJ$10</f>
        <v>0</v>
      </c>
      <c r="AK43" s="35"/>
    </row>
    <row r="44" spans="1:37" ht="12.75" customHeight="1" x14ac:dyDescent="0.2">
      <c r="A44" s="42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51"/>
      <c r="T44" s="44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125"/>
    </row>
    <row r="45" spans="1:37" ht="12.75" customHeight="1" x14ac:dyDescent="0.2">
      <c r="A45" s="42" t="s">
        <v>88</v>
      </c>
      <c r="B45" s="54">
        <f t="shared" ref="B45:J45" si="35">SUM(B36:B44)</f>
        <v>-400</v>
      </c>
      <c r="C45" s="54">
        <f t="shared" si="35"/>
        <v>2800</v>
      </c>
      <c r="D45" s="54">
        <f t="shared" si="35"/>
        <v>37000</v>
      </c>
      <c r="E45" s="54">
        <f t="shared" si="35"/>
        <v>-54700</v>
      </c>
      <c r="F45" s="54">
        <f t="shared" si="35"/>
        <v>-4500</v>
      </c>
      <c r="G45" s="54">
        <f t="shared" si="35"/>
        <v>800</v>
      </c>
      <c r="H45" s="54">
        <f t="shared" si="35"/>
        <v>6200</v>
      </c>
      <c r="I45" s="54">
        <f t="shared" si="35"/>
        <v>-90700</v>
      </c>
      <c r="J45" s="54">
        <f t="shared" si="35"/>
        <v>22700</v>
      </c>
      <c r="K45" s="54">
        <f t="shared" ref="K45:M45" si="36">SUM(K36:K44)</f>
        <v>73300</v>
      </c>
      <c r="L45" s="54">
        <f t="shared" si="36"/>
        <v>-29500</v>
      </c>
      <c r="M45" s="54">
        <f t="shared" si="36"/>
        <v>37800</v>
      </c>
      <c r="N45" s="54">
        <f t="shared" ref="N45" si="37">SUM(N36:N44)</f>
        <v>-23200</v>
      </c>
      <c r="O45" s="54">
        <f t="shared" ref="O45:P45" si="38">SUM(O36:O44)</f>
        <v>47700</v>
      </c>
      <c r="P45" s="54">
        <f t="shared" si="38"/>
        <v>13100</v>
      </c>
      <c r="Q45" s="54">
        <f t="shared" ref="Q45:R45" si="39">SUM(Q36:Q44)</f>
        <v>74600</v>
      </c>
      <c r="R45" s="54">
        <f t="shared" si="39"/>
        <v>-102400</v>
      </c>
      <c r="S45" s="43">
        <f>RATE(5,,-K45,P45)</f>
        <v>-0.2913472705356398</v>
      </c>
      <c r="T45" s="44" t="s">
        <v>88</v>
      </c>
      <c r="U45" s="53">
        <f t="shared" ref="U45:AJ45" si="40">B45/U$10</f>
        <v>-8.8901335075799504E-4</v>
      </c>
      <c r="V45" s="53">
        <f t="shared" si="40"/>
        <v>5.2164646528629075E-3</v>
      </c>
      <c r="W45" s="53">
        <f t="shared" si="40"/>
        <v>5.2548383569114614E-2</v>
      </c>
      <c r="X45" s="53">
        <f t="shared" si="40"/>
        <v>-9.1853886829966203E-2</v>
      </c>
      <c r="Y45" s="53">
        <f t="shared" si="40"/>
        <v>-7.2464351564827416E-3</v>
      </c>
      <c r="Z45" s="53">
        <f t="shared" si="40"/>
        <v>1.0468559643964286E-3</v>
      </c>
      <c r="AA45" s="53">
        <f t="shared" si="40"/>
        <v>6.4412439080896826E-3</v>
      </c>
      <c r="AB45" s="53">
        <f t="shared" si="40"/>
        <v>-8.5196317865865109E-2</v>
      </c>
      <c r="AC45" s="53">
        <f t="shared" si="40"/>
        <v>2.4343163538873995E-2</v>
      </c>
      <c r="AD45" s="53">
        <f t="shared" si="40"/>
        <v>7.3278016595021492E-2</v>
      </c>
      <c r="AE45" s="53">
        <f t="shared" si="40"/>
        <v>-3.206870311990434E-2</v>
      </c>
      <c r="AF45" s="53">
        <f t="shared" si="40"/>
        <v>4.1865101340126262E-2</v>
      </c>
      <c r="AG45" s="53">
        <f t="shared" si="40"/>
        <v>-2.3947151114781174E-2</v>
      </c>
      <c r="AH45" s="53">
        <f t="shared" si="40"/>
        <v>5.5323590814196244E-2</v>
      </c>
      <c r="AI45" s="53">
        <f t="shared" si="40"/>
        <v>1.328869953337391E-2</v>
      </c>
      <c r="AJ45" s="53">
        <f t="shared" si="40"/>
        <v>7.763555000520346E-2</v>
      </c>
      <c r="AK45" s="45">
        <f>AVERAGE(AE45:AI45)</f>
        <v>1.0892307490602181E-2</v>
      </c>
    </row>
    <row r="46" spans="1:37" ht="12.75" customHeight="1" x14ac:dyDescent="0.2">
      <c r="A46" s="42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51"/>
      <c r="T46" s="44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125"/>
    </row>
    <row r="47" spans="1:37" ht="12.75" customHeight="1" x14ac:dyDescent="0.2">
      <c r="A47" s="42" t="s">
        <v>89</v>
      </c>
      <c r="B47" s="55">
        <f t="shared" ref="B47:J47" si="41">B27+B34+B45</f>
        <v>-3535</v>
      </c>
      <c r="C47" s="55">
        <f t="shared" si="41"/>
        <v>-826</v>
      </c>
      <c r="D47" s="55">
        <f t="shared" si="41"/>
        <v>3484</v>
      </c>
      <c r="E47" s="55">
        <f t="shared" si="41"/>
        <v>-1373</v>
      </c>
      <c r="F47" s="55">
        <f t="shared" si="41"/>
        <v>901</v>
      </c>
      <c r="G47" s="55">
        <f t="shared" si="41"/>
        <v>-1839</v>
      </c>
      <c r="H47" s="55">
        <f t="shared" si="41"/>
        <v>1075</v>
      </c>
      <c r="I47" s="55">
        <f t="shared" si="41"/>
        <v>400</v>
      </c>
      <c r="J47" s="55">
        <f t="shared" si="41"/>
        <v>500</v>
      </c>
      <c r="K47" s="55">
        <f>K27+K34+K45</f>
        <v>-2900</v>
      </c>
      <c r="L47" s="55">
        <f>L27+L34+L45</f>
        <v>6000</v>
      </c>
      <c r="M47" s="55">
        <f t="shared" ref="M47:O47" si="42">M27+M34+M45</f>
        <v>-2500</v>
      </c>
      <c r="N47" s="55">
        <f t="shared" ref="N47" si="43">N27+N34+N45</f>
        <v>300</v>
      </c>
      <c r="O47" s="55">
        <f t="shared" si="42"/>
        <v>-3600</v>
      </c>
      <c r="P47" s="55">
        <f t="shared" ref="P47:Q47" si="44">P27+P34+P45</f>
        <v>7400</v>
      </c>
      <c r="Q47" s="55">
        <f t="shared" si="44"/>
        <v>11000</v>
      </c>
      <c r="R47" s="55">
        <f t="shared" ref="R47" si="45">R27+R34+R45</f>
        <v>-20600</v>
      </c>
      <c r="S47" s="43"/>
      <c r="T47" s="44" t="s">
        <v>89</v>
      </c>
      <c r="U47" s="53">
        <f t="shared" ref="U47:AJ47" si="46">B47/U$10</f>
        <v>-7.8566554873237809E-3</v>
      </c>
      <c r="V47" s="53">
        <f t="shared" si="46"/>
        <v>-1.5388570725945578E-3</v>
      </c>
      <c r="W47" s="53">
        <f t="shared" si="46"/>
        <v>4.9480694149944679E-3</v>
      </c>
      <c r="X47" s="53">
        <f t="shared" si="46"/>
        <v>-2.3055829363353491E-3</v>
      </c>
      <c r="Y47" s="53">
        <f t="shared" si="46"/>
        <v>1.4508973502202112E-3</v>
      </c>
      <c r="Z47" s="53">
        <f t="shared" si="46"/>
        <v>-2.4064601481562902E-3</v>
      </c>
      <c r="AA47" s="53">
        <f t="shared" si="46"/>
        <v>1.1168285808381305E-3</v>
      </c>
      <c r="AB47" s="53">
        <f t="shared" si="46"/>
        <v>3.7572797294758596E-4</v>
      </c>
      <c r="AC47" s="53">
        <f t="shared" si="46"/>
        <v>5.3619302949061668E-4</v>
      </c>
      <c r="AD47" s="53">
        <f t="shared" si="46"/>
        <v>-2.8991302609217237E-3</v>
      </c>
      <c r="AE47" s="53">
        <f t="shared" si="46"/>
        <v>6.5224480921839334E-3</v>
      </c>
      <c r="AF47" s="53">
        <f t="shared" si="46"/>
        <v>-2.7688559087385091E-3</v>
      </c>
      <c r="AG47" s="53">
        <f t="shared" si="46"/>
        <v>3.0966143682906687E-4</v>
      </c>
      <c r="AH47" s="53">
        <f t="shared" si="46"/>
        <v>-4.1753653444676405E-3</v>
      </c>
      <c r="AI47" s="53">
        <f t="shared" si="46"/>
        <v>7.5065936295394603E-3</v>
      </c>
      <c r="AJ47" s="53">
        <f t="shared" si="46"/>
        <v>1.1447601207201582E-2</v>
      </c>
      <c r="AK47" s="45">
        <f>AVERAGE(AE47:AI47)</f>
        <v>1.478896381069262E-3</v>
      </c>
    </row>
    <row r="48" spans="1:37" ht="12" customHeight="1" x14ac:dyDescent="0.2">
      <c r="A48" s="42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51"/>
      <c r="T48" s="44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125"/>
    </row>
    <row r="49" spans="1:37" ht="12.75" customHeight="1" x14ac:dyDescent="0.2">
      <c r="A49" s="42" t="s">
        <v>90</v>
      </c>
      <c r="B49" s="52">
        <v>3326</v>
      </c>
      <c r="C49" s="55">
        <v>1708</v>
      </c>
      <c r="D49" s="55">
        <f t="shared" ref="D49:J49" si="47">C51</f>
        <v>882</v>
      </c>
      <c r="E49" s="55">
        <f t="shared" si="47"/>
        <v>4366</v>
      </c>
      <c r="F49" s="55">
        <f t="shared" si="47"/>
        <v>2993</v>
      </c>
      <c r="G49" s="55">
        <f t="shared" si="47"/>
        <v>3894</v>
      </c>
      <c r="H49" s="55">
        <f t="shared" si="47"/>
        <v>2131</v>
      </c>
      <c r="I49" s="55">
        <f t="shared" si="47"/>
        <v>3206</v>
      </c>
      <c r="J49" s="55">
        <f t="shared" si="47"/>
        <v>3606</v>
      </c>
      <c r="K49" s="55">
        <f t="shared" ref="K49:L49" si="48">J51</f>
        <v>4106</v>
      </c>
      <c r="L49" s="55">
        <f t="shared" si="48"/>
        <v>1206</v>
      </c>
      <c r="M49" s="55">
        <f t="shared" ref="M49:R49" si="49">L51</f>
        <v>7206</v>
      </c>
      <c r="N49" s="55">
        <f t="shared" si="49"/>
        <v>4700</v>
      </c>
      <c r="O49" s="55">
        <f t="shared" si="49"/>
        <v>5000</v>
      </c>
      <c r="P49" s="55">
        <f t="shared" si="49"/>
        <v>1400</v>
      </c>
      <c r="Q49" s="55">
        <f t="shared" si="49"/>
        <v>8800</v>
      </c>
      <c r="R49" s="55">
        <f t="shared" si="49"/>
        <v>19800</v>
      </c>
      <c r="S49" s="43">
        <f>RATE(5,,-K49,P49)</f>
        <v>-0.19361615584449121</v>
      </c>
      <c r="T49" s="44" t="s">
        <v>90</v>
      </c>
      <c r="U49" s="53">
        <f t="shared" ref="U49:AJ49" si="50">B49/U$10</f>
        <v>7.3921460115527289E-3</v>
      </c>
      <c r="V49" s="53">
        <f t="shared" si="50"/>
        <v>3.1820434382463735E-3</v>
      </c>
      <c r="W49" s="53">
        <f t="shared" si="50"/>
        <v>1.2526398461610566E-3</v>
      </c>
      <c r="X49" s="53">
        <f t="shared" si="50"/>
        <v>7.3315186453314883E-3</v>
      </c>
      <c r="Y49" s="53">
        <f t="shared" si="50"/>
        <v>4.8196845385228542E-3</v>
      </c>
      <c r="Z49" s="53">
        <f t="shared" si="50"/>
        <v>5.0955714066996168E-3</v>
      </c>
      <c r="AA49" s="53">
        <f t="shared" si="50"/>
        <v>2.2139178658288892E-3</v>
      </c>
      <c r="AB49" s="53">
        <f t="shared" si="50"/>
        <v>3.0114597031749013E-3</v>
      </c>
      <c r="AC49" s="53">
        <f t="shared" si="50"/>
        <v>3.8670241286863269E-3</v>
      </c>
      <c r="AD49" s="53">
        <f t="shared" si="50"/>
        <v>4.1047685694291713E-3</v>
      </c>
      <c r="AE49" s="53">
        <f t="shared" si="50"/>
        <v>1.3110120665289706E-3</v>
      </c>
      <c r="AF49" s="53">
        <f t="shared" si="50"/>
        <v>7.9809502713478787E-3</v>
      </c>
      <c r="AG49" s="53">
        <f t="shared" si="50"/>
        <v>4.8513625103220482E-3</v>
      </c>
      <c r="AH49" s="53">
        <f t="shared" si="50"/>
        <v>5.7991185339828343E-3</v>
      </c>
      <c r="AI49" s="53">
        <f t="shared" si="50"/>
        <v>1.4201663623453033E-3</v>
      </c>
      <c r="AJ49" s="53">
        <f t="shared" si="50"/>
        <v>9.1580809657612651E-3</v>
      </c>
      <c r="AK49" s="45">
        <f>AVERAGE(AE49:AI49)</f>
        <v>4.272521948905407E-3</v>
      </c>
    </row>
    <row r="50" spans="1:37" ht="12" customHeight="1" x14ac:dyDescent="0.2">
      <c r="A50" s="42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51"/>
      <c r="T50" s="44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125"/>
    </row>
    <row r="51" spans="1:37" ht="12.75" customHeight="1" thickBot="1" x14ac:dyDescent="0.25">
      <c r="A51" s="42" t="s">
        <v>91</v>
      </c>
      <c r="B51" s="56">
        <f>B47+B49</f>
        <v>-209</v>
      </c>
      <c r="C51" s="55">
        <v>882</v>
      </c>
      <c r="D51" s="55">
        <v>4366</v>
      </c>
      <c r="E51" s="55">
        <v>2993</v>
      </c>
      <c r="F51" s="55">
        <v>3894</v>
      </c>
      <c r="G51" s="55">
        <v>2131</v>
      </c>
      <c r="H51" s="55">
        <f>H47+H49</f>
        <v>3206</v>
      </c>
      <c r="I51" s="55">
        <f>I47+I49</f>
        <v>3606</v>
      </c>
      <c r="J51" s="55">
        <f>J47+J49</f>
        <v>4106</v>
      </c>
      <c r="K51" s="55">
        <f t="shared" ref="K51:L51" si="51">K47+K49</f>
        <v>1206</v>
      </c>
      <c r="L51" s="55">
        <f t="shared" si="51"/>
        <v>7206</v>
      </c>
      <c r="M51" s="55">
        <f>M47+M49-6</f>
        <v>4700</v>
      </c>
      <c r="N51" s="55">
        <f>N47+N49</f>
        <v>5000</v>
      </c>
      <c r="O51" s="55">
        <f t="shared" ref="O51:P51" si="52">O47+O49</f>
        <v>1400</v>
      </c>
      <c r="P51" s="55">
        <f t="shared" si="52"/>
        <v>8800</v>
      </c>
      <c r="Q51" s="55">
        <f t="shared" ref="Q51:R51" si="53">Q47+Q49</f>
        <v>19800</v>
      </c>
      <c r="R51" s="55">
        <f t="shared" si="53"/>
        <v>-800</v>
      </c>
      <c r="S51" s="43">
        <f>RATE(5,,-K51,P51)</f>
        <v>0.48808271757774097</v>
      </c>
      <c r="T51" s="44" t="s">
        <v>91</v>
      </c>
      <c r="U51" s="53">
        <f t="shared" ref="U51:AJ51" si="54">B51/U$10</f>
        <v>-4.6450947577105238E-4</v>
      </c>
      <c r="V51" s="53">
        <f t="shared" si="54"/>
        <v>1.6431863656518159E-3</v>
      </c>
      <c r="W51" s="53">
        <f t="shared" si="54"/>
        <v>6.2007092611555247E-3</v>
      </c>
      <c r="X51" s="53">
        <f t="shared" si="54"/>
        <v>5.0259357089961392E-3</v>
      </c>
      <c r="Y51" s="53">
        <f t="shared" si="54"/>
        <v>6.2705818887430652E-3</v>
      </c>
      <c r="Z51" s="53">
        <f t="shared" si="54"/>
        <v>2.7885625751609866E-3</v>
      </c>
      <c r="AA51" s="53">
        <f t="shared" si="54"/>
        <v>3.3307464466670201E-3</v>
      </c>
      <c r="AB51" s="53">
        <f t="shared" si="54"/>
        <v>3.3871876761224873E-3</v>
      </c>
      <c r="AC51" s="53">
        <f t="shared" si="54"/>
        <v>4.4032171581769438E-3</v>
      </c>
      <c r="AD51" s="53">
        <f t="shared" si="54"/>
        <v>1.2056383085074479E-3</v>
      </c>
      <c r="AE51" s="53">
        <f t="shared" si="54"/>
        <v>7.8334601587129044E-3</v>
      </c>
      <c r="AF51" s="53">
        <f t="shared" si="54"/>
        <v>5.2054491084283974E-3</v>
      </c>
      <c r="AG51" s="53">
        <f t="shared" si="54"/>
        <v>5.1610239471511152E-3</v>
      </c>
      <c r="AH51" s="53">
        <f t="shared" si="54"/>
        <v>1.6237531895151936E-3</v>
      </c>
      <c r="AI51" s="53">
        <f t="shared" si="54"/>
        <v>8.9267599918847629E-3</v>
      </c>
      <c r="AJ51" s="53">
        <f t="shared" si="54"/>
        <v>2.0605682172962846E-2</v>
      </c>
      <c r="AK51" s="45">
        <f>AVERAGE(AE51:AI51)</f>
        <v>5.7500892791384744E-3</v>
      </c>
    </row>
    <row r="52" spans="1:37" ht="12.75" customHeight="1" thickTop="1" x14ac:dyDescent="0.2">
      <c r="A52" s="57"/>
      <c r="B52" s="58"/>
      <c r="C52" s="59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60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65" fitToWidth="2" orientation="portrait" r:id="rId1"/>
  <headerFooter alignWithMargins="0"/>
  <colBreaks count="1" manualBreakCount="1">
    <brk id="1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Historical - Exhibit 1</vt:lpstr>
      <vt:lpstr>Historical CF - Exhibit 1B</vt:lpstr>
      <vt:lpstr>OSF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2015-06-23T14:45:20Z</cp:lastPrinted>
  <dcterms:created xsi:type="dcterms:W3CDTF">2005-09-19T14:11:29Z</dcterms:created>
  <dcterms:modified xsi:type="dcterms:W3CDTF">2015-06-25T15:13:12Z</dcterms:modified>
</cp:coreProperties>
</file>