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6docs\1699902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OSF">'Historical - Exhibit 1'!$U$180:$AP$207</definedName>
    <definedName name="_xlnm.Print_Area" localSheetId="0">'Historical - Exhibit 1'!$A$1:$AN$206</definedName>
    <definedName name="_xlnm.Print_Area" localSheetId="1">'Historical CF - Exhibit 1B'!$A$1:$T$56</definedName>
  </definedNames>
  <calcPr calcId="152511"/>
</workbook>
</file>

<file path=xl/calcChain.xml><?xml version="1.0" encoding="utf-8"?>
<calcChain xmlns="http://schemas.openxmlformats.org/spreadsheetml/2006/main">
  <c r="B13" i="5" l="1"/>
  <c r="C13" i="5"/>
  <c r="D13" i="5"/>
  <c r="E13" i="5"/>
  <c r="F13" i="5"/>
  <c r="G13" i="5"/>
  <c r="H13" i="5"/>
  <c r="I13" i="5"/>
  <c r="J13" i="5"/>
  <c r="K13" i="5"/>
  <c r="L13" i="5"/>
  <c r="R162" i="5" l="1"/>
  <c r="R167" i="5"/>
  <c r="T223" i="5" l="1"/>
  <c r="T222" i="5"/>
  <c r="T221" i="5"/>
  <c r="T220" i="5"/>
  <c r="T215" i="5"/>
  <c r="T217" i="5"/>
  <c r="T216" i="5"/>
  <c r="T213" i="5"/>
  <c r="T212" i="5"/>
  <c r="T211" i="5"/>
  <c r="T210" i="5"/>
  <c r="T209" i="5"/>
  <c r="Q145" i="5" l="1"/>
  <c r="P145" i="5"/>
  <c r="O145" i="5"/>
  <c r="N145" i="5"/>
  <c r="M145" i="5"/>
  <c r="R145" i="5"/>
  <c r="Q127" i="5"/>
  <c r="P127" i="5"/>
  <c r="O127" i="5"/>
  <c r="N127" i="5"/>
  <c r="M127" i="5"/>
  <c r="Q126" i="5"/>
  <c r="P126" i="5"/>
  <c r="O126" i="5"/>
  <c r="N126" i="5"/>
  <c r="M126" i="5"/>
  <c r="R127" i="5"/>
  <c r="R126" i="5"/>
  <c r="AM17" i="5"/>
  <c r="AL17" i="5"/>
  <c r="AN16" i="5"/>
  <c r="AM16" i="5"/>
  <c r="AL16" i="5"/>
  <c r="AK16" i="5"/>
  <c r="AJ16" i="5"/>
  <c r="AI16" i="5"/>
  <c r="AH16" i="5"/>
  <c r="AG16" i="5"/>
  <c r="AN15" i="5"/>
  <c r="AM15" i="5"/>
  <c r="AL15" i="5"/>
  <c r="AK15" i="5"/>
  <c r="AJ15" i="5"/>
  <c r="AI15" i="5"/>
  <c r="AH15" i="5"/>
  <c r="AG15" i="5"/>
  <c r="AN14" i="5"/>
  <c r="AM14" i="5"/>
  <c r="AL14" i="5"/>
  <c r="AK14" i="5"/>
  <c r="AJ14" i="5"/>
  <c r="AI14" i="5"/>
  <c r="AH14" i="5"/>
  <c r="AG14" i="5"/>
  <c r="U17" i="5"/>
  <c r="AG13" i="5"/>
  <c r="U15" i="5"/>
  <c r="U14" i="5"/>
  <c r="T15" i="5"/>
  <c r="T14" i="5"/>
  <c r="M13" i="5"/>
  <c r="N13" i="5"/>
  <c r="P13" i="5"/>
  <c r="O13" i="5"/>
  <c r="Q13" i="5"/>
  <c r="R13" i="5"/>
  <c r="R190" i="5" l="1"/>
  <c r="AL213" i="5"/>
  <c r="AL210" i="5"/>
  <c r="AL209" i="5"/>
  <c r="AN163" i="5"/>
  <c r="AN162" i="5"/>
  <c r="AN160" i="5"/>
  <c r="AN158" i="5"/>
  <c r="AN157" i="5"/>
  <c r="AN156" i="5"/>
  <c r="AN145" i="5"/>
  <c r="AN143" i="5"/>
  <c r="AN142" i="5"/>
  <c r="AN128" i="5"/>
  <c r="AN127" i="5"/>
  <c r="AN126" i="5"/>
  <c r="AN125" i="5"/>
  <c r="AN124" i="5"/>
  <c r="T84" i="5"/>
  <c r="T11" i="5"/>
  <c r="R211" i="5"/>
  <c r="R228" i="5" s="1"/>
  <c r="R230" i="5" s="1"/>
  <c r="R210" i="5"/>
  <c r="R204" i="5"/>
  <c r="R203" i="5"/>
  <c r="R201" i="5"/>
  <c r="Q201" i="5"/>
  <c r="AL168" i="5"/>
  <c r="R229" i="5" s="1"/>
  <c r="AL169" i="5"/>
  <c r="AK168" i="5"/>
  <c r="AL166" i="5"/>
  <c r="AL138" i="5"/>
  <c r="AL137" i="5"/>
  <c r="AL134" i="5"/>
  <c r="AL133" i="5"/>
  <c r="AL129" i="5"/>
  <c r="AL136" i="5" s="1"/>
  <c r="AL153" i="5"/>
  <c r="AL152" i="5"/>
  <c r="AL146" i="5"/>
  <c r="AL144" i="5"/>
  <c r="R199" i="5"/>
  <c r="R198" i="5" s="1"/>
  <c r="R194" i="5"/>
  <c r="R186" i="5"/>
  <c r="T197" i="5"/>
  <c r="T192" i="5"/>
  <c r="T188" i="5"/>
  <c r="T185" i="5"/>
  <c r="T183" i="5"/>
  <c r="T182" i="5"/>
  <c r="T181" i="5"/>
  <c r="T180" i="5"/>
  <c r="T179" i="5"/>
  <c r="T178" i="5"/>
  <c r="T141" i="5"/>
  <c r="T107" i="5"/>
  <c r="T100" i="5"/>
  <c r="T99" i="5"/>
  <c r="T95" i="5"/>
  <c r="T93" i="5"/>
  <c r="T92" i="5"/>
  <c r="T91" i="5"/>
  <c r="T90" i="5"/>
  <c r="T89" i="5"/>
  <c r="T85" i="5"/>
  <c r="T68" i="5"/>
  <c r="T57" i="5"/>
  <c r="T56" i="5"/>
  <c r="T50" i="5"/>
  <c r="T49" i="5"/>
  <c r="T48" i="5"/>
  <c r="T44" i="5"/>
  <c r="T38" i="5"/>
  <c r="T37" i="5"/>
  <c r="T36" i="5"/>
  <c r="T31" i="5"/>
  <c r="T27" i="5"/>
  <c r="T21" i="5"/>
  <c r="T18" i="5"/>
  <c r="T16" i="5"/>
  <c r="T47" i="6"/>
  <c r="T44" i="6"/>
  <c r="T43" i="6"/>
  <c r="T36" i="6"/>
  <c r="T33" i="6"/>
  <c r="T31" i="6"/>
  <c r="T26" i="6"/>
  <c r="T25" i="6"/>
  <c r="T20" i="6"/>
  <c r="T15" i="6"/>
  <c r="T14" i="6"/>
  <c r="R33" i="6"/>
  <c r="U16" i="6"/>
  <c r="AL151" i="5" l="1"/>
  <c r="AL150" i="5"/>
  <c r="AN168" i="5"/>
  <c r="AL135" i="5"/>
  <c r="R206" i="5"/>
  <c r="AL211" i="5"/>
  <c r="R36" i="6"/>
  <c r="R47" i="6"/>
  <c r="Q47" i="6"/>
  <c r="R67" i="5"/>
  <c r="R59" i="5"/>
  <c r="R26" i="5"/>
  <c r="R111" i="5"/>
  <c r="R158" i="5"/>
  <c r="R103" i="5"/>
  <c r="R96" i="5"/>
  <c r="R86" i="5"/>
  <c r="R54" i="5"/>
  <c r="R39" i="5"/>
  <c r="R60" i="5" l="1"/>
  <c r="R29" i="5"/>
  <c r="T111" i="5"/>
  <c r="R69" i="5"/>
  <c r="AL100" i="5"/>
  <c r="AL95" i="5"/>
  <c r="AL90" i="5"/>
  <c r="AL107" i="5"/>
  <c r="AL99" i="5"/>
  <c r="AL93" i="5"/>
  <c r="AL89" i="5"/>
  <c r="AL92" i="5"/>
  <c r="AL86" i="5"/>
  <c r="AL103" i="5"/>
  <c r="AL96" i="5"/>
  <c r="AL91" i="5"/>
  <c r="AL85" i="5"/>
  <c r="AL84" i="5"/>
  <c r="R155" i="5"/>
  <c r="R161" i="5"/>
  <c r="R166" i="5"/>
  <c r="R165" i="5"/>
  <c r="R62" i="5"/>
  <c r="R23" i="5"/>
  <c r="R136" i="5"/>
  <c r="R144" i="5"/>
  <c r="R97" i="5"/>
  <c r="R70" i="5"/>
  <c r="R130" i="5" l="1"/>
  <c r="R33" i="5"/>
  <c r="R41" i="5" s="1"/>
  <c r="AL60" i="5" s="1"/>
  <c r="R125" i="5"/>
  <c r="R131" i="5"/>
  <c r="R221" i="5"/>
  <c r="R212" i="5"/>
  <c r="R105" i="5"/>
  <c r="R154" i="5" s="1"/>
  <c r="AL97" i="5"/>
  <c r="R223" i="5"/>
  <c r="R222" i="5"/>
  <c r="U52" i="5"/>
  <c r="U51" i="5"/>
  <c r="AL69" i="5" l="1"/>
  <c r="AL57" i="5"/>
  <c r="AL52" i="5"/>
  <c r="AL48" i="5"/>
  <c r="AL36" i="5"/>
  <c r="AL27" i="5"/>
  <c r="AL21" i="5"/>
  <c r="AL56" i="5"/>
  <c r="AL51" i="5"/>
  <c r="AL46" i="5"/>
  <c r="AL18" i="5"/>
  <c r="AL53" i="5"/>
  <c r="AL41" i="5"/>
  <c r="AL11" i="5"/>
  <c r="AL50" i="5"/>
  <c r="AL38" i="5"/>
  <c r="AL58" i="5"/>
  <c r="AL49" i="5"/>
  <c r="AL37" i="5"/>
  <c r="AL22" i="5"/>
  <c r="AL68" i="5"/>
  <c r="AL44" i="5"/>
  <c r="AL31" i="5"/>
  <c r="AL54" i="5"/>
  <c r="AL59" i="5"/>
  <c r="AL26" i="5"/>
  <c r="AL67" i="5"/>
  <c r="AL39" i="5"/>
  <c r="AL13" i="5"/>
  <c r="AL29" i="5"/>
  <c r="AL62" i="5"/>
  <c r="AL23" i="5"/>
  <c r="AL33" i="5"/>
  <c r="R40" i="5"/>
  <c r="AL40" i="5" s="1"/>
  <c r="R132" i="5"/>
  <c r="R108" i="5"/>
  <c r="AL70" i="5"/>
  <c r="R157" i="5"/>
  <c r="AL108" i="5"/>
  <c r="R217" i="5"/>
  <c r="AL111" i="5"/>
  <c r="R12" i="6"/>
  <c r="AL105" i="5"/>
  <c r="R133" i="5"/>
  <c r="R71" i="5"/>
  <c r="R137" i="5"/>
  <c r="S199" i="5"/>
  <c r="S206" i="5" s="1"/>
  <c r="S201" i="5"/>
  <c r="Q199" i="5"/>
  <c r="AM168" i="5"/>
  <c r="S229" i="5" s="1"/>
  <c r="R28" i="6" l="1"/>
  <c r="R156" i="5" s="1"/>
  <c r="AM144" i="5"/>
  <c r="AK144" i="5"/>
  <c r="AJ144" i="5"/>
  <c r="AI144" i="5"/>
  <c r="AH144" i="5"/>
  <c r="AG144" i="5"/>
  <c r="AF144" i="5"/>
  <c r="S203" i="5"/>
  <c r="S198" i="5"/>
  <c r="S204" i="5" s="1"/>
  <c r="AN144" i="5" l="1"/>
  <c r="R49" i="6"/>
  <c r="AM169" i="5"/>
  <c r="S158" i="5" l="1"/>
  <c r="AM166" i="5" l="1"/>
  <c r="AM146" i="5" l="1"/>
  <c r="Q158" i="5" l="1"/>
  <c r="Q111" i="5"/>
  <c r="R215" i="5" l="1"/>
  <c r="R216" i="5" s="1"/>
  <c r="L203" i="5"/>
  <c r="Q203" i="5"/>
  <c r="Q206" i="5" l="1"/>
  <c r="P199" i="5"/>
  <c r="O199" i="5"/>
  <c r="O206" i="5" s="1"/>
  <c r="N199" i="5"/>
  <c r="M199" i="5"/>
  <c r="Q198" i="5"/>
  <c r="Q204" i="5" s="1"/>
  <c r="O198" i="5"/>
  <c r="O204" i="5" s="1"/>
  <c r="N198" i="5"/>
  <c r="N204" i="5" s="1"/>
  <c r="M198" i="5"/>
  <c r="T198" i="5" s="1"/>
  <c r="L199" i="5"/>
  <c r="L198" i="5" s="1"/>
  <c r="L204" i="5" s="1"/>
  <c r="M201" i="5"/>
  <c r="T201" i="5" s="1"/>
  <c r="P203" i="5"/>
  <c r="O203" i="5"/>
  <c r="N203" i="5"/>
  <c r="M203" i="5"/>
  <c r="T203" i="5" s="1"/>
  <c r="Q211" i="5"/>
  <c r="Q228" i="5" s="1"/>
  <c r="P229" i="5"/>
  <c r="O229" i="5"/>
  <c r="N229" i="5"/>
  <c r="M229" i="5"/>
  <c r="L229" i="5"/>
  <c r="Q229" i="5"/>
  <c r="L201" i="5"/>
  <c r="K201" i="5"/>
  <c r="M206" i="5" l="1"/>
  <c r="T206" i="5" s="1"/>
  <c r="T199" i="5"/>
  <c r="M204" i="5"/>
  <c r="T204" i="5" s="1"/>
  <c r="P198" i="5"/>
  <c r="P206" i="5"/>
  <c r="Q230" i="5"/>
  <c r="T80" i="5"/>
  <c r="Q210" i="5"/>
  <c r="V192" i="5"/>
  <c r="V188" i="5"/>
  <c r="V185" i="5"/>
  <c r="V184" i="5"/>
  <c r="V183" i="5"/>
  <c r="V182" i="5"/>
  <c r="V181" i="5"/>
  <c r="V180" i="5"/>
  <c r="V179" i="5"/>
  <c r="V178" i="5"/>
  <c r="Q33" i="6"/>
  <c r="Q26" i="6"/>
  <c r="Q25" i="6"/>
  <c r="Q67" i="5"/>
  <c r="Q59" i="5"/>
  <c r="Q53" i="5"/>
  <c r="Q26" i="5"/>
  <c r="Q84" i="5"/>
  <c r="S47" i="6" l="1"/>
  <c r="S36" i="6"/>
  <c r="S186" i="5"/>
  <c r="S190" i="5" s="1"/>
  <c r="S194" i="5" s="1"/>
  <c r="AK213" i="5"/>
  <c r="AM210" i="5"/>
  <c r="AM209" i="5"/>
  <c r="AM152" i="5"/>
  <c r="AM151" i="5"/>
  <c r="AM150" i="5"/>
  <c r="AM129" i="5"/>
  <c r="AM137" i="5" s="1"/>
  <c r="AM7" i="5"/>
  <c r="S215" i="5"/>
  <c r="S216" i="5" s="1"/>
  <c r="S211" i="5"/>
  <c r="S228" i="5" s="1"/>
  <c r="S230" i="5" s="1"/>
  <c r="S210" i="5"/>
  <c r="S103" i="5"/>
  <c r="S96" i="5"/>
  <c r="S86" i="5"/>
  <c r="AM100" i="5" s="1"/>
  <c r="S80" i="5"/>
  <c r="AM80" i="5" s="1"/>
  <c r="S69" i="5"/>
  <c r="S166" i="5" s="1"/>
  <c r="S60" i="5"/>
  <c r="S54" i="5"/>
  <c r="S126" i="5" s="1"/>
  <c r="S39" i="5"/>
  <c r="S29" i="5"/>
  <c r="S33" i="5" s="1"/>
  <c r="S23" i="5"/>
  <c r="AM211" i="5" l="1"/>
  <c r="AM103" i="5"/>
  <c r="AM92" i="5"/>
  <c r="S161" i="5"/>
  <c r="AM85" i="5"/>
  <c r="AM96" i="5"/>
  <c r="AM86" i="5"/>
  <c r="S155" i="5"/>
  <c r="S162" i="5"/>
  <c r="S165" i="5"/>
  <c r="S136" i="5"/>
  <c r="S212" i="5" s="1"/>
  <c r="S167" i="5"/>
  <c r="S221" i="5"/>
  <c r="AM91" i="5"/>
  <c r="AM138" i="5"/>
  <c r="V197" i="5"/>
  <c r="S121" i="5"/>
  <c r="S131" i="5"/>
  <c r="AM89" i="5"/>
  <c r="AM93" i="5"/>
  <c r="AM99" i="5"/>
  <c r="AM107" i="5"/>
  <c r="S97" i="5"/>
  <c r="S125" i="5"/>
  <c r="S132" i="5"/>
  <c r="AM84" i="5"/>
  <c r="AM90" i="5"/>
  <c r="AM95" i="5"/>
  <c r="AM153" i="5"/>
  <c r="AM134" i="5"/>
  <c r="AM135" i="5"/>
  <c r="AM136" i="5"/>
  <c r="AM133" i="5"/>
  <c r="S62" i="5"/>
  <c r="S40" i="5"/>
  <c r="S41" i="5"/>
  <c r="Q215" i="5"/>
  <c r="Q216" i="5" s="1"/>
  <c r="P201" i="5"/>
  <c r="AJ213" i="5"/>
  <c r="AM60" i="5" l="1"/>
  <c r="AM52" i="5"/>
  <c r="AM51" i="5"/>
  <c r="S105" i="5"/>
  <c r="S223" i="5"/>
  <c r="AK169" i="5"/>
  <c r="S222" i="5"/>
  <c r="AM97" i="5"/>
  <c r="AM57" i="5"/>
  <c r="AM50" i="5"/>
  <c r="AM44" i="5"/>
  <c r="AM38" i="5"/>
  <c r="AM31" i="5"/>
  <c r="AM13" i="5"/>
  <c r="AM69" i="5"/>
  <c r="AM56" i="5"/>
  <c r="AM49" i="5"/>
  <c r="AM41" i="5"/>
  <c r="AM37" i="5"/>
  <c r="AM29" i="5"/>
  <c r="AM22" i="5"/>
  <c r="AM68" i="5"/>
  <c r="AM59" i="5"/>
  <c r="AM48" i="5"/>
  <c r="AM36" i="5"/>
  <c r="AM27" i="5"/>
  <c r="AM21" i="5"/>
  <c r="AM67" i="5"/>
  <c r="AM58" i="5"/>
  <c r="AM53" i="5"/>
  <c r="AM46" i="5"/>
  <c r="AM33" i="5"/>
  <c r="AM26" i="5"/>
  <c r="AM18" i="5"/>
  <c r="AM23" i="5"/>
  <c r="AM40" i="5"/>
  <c r="AM54" i="5"/>
  <c r="S70" i="5"/>
  <c r="AM62" i="5"/>
  <c r="S130" i="5"/>
  <c r="S7" i="6"/>
  <c r="AM121" i="5"/>
  <c r="S176" i="5" s="1"/>
  <c r="AM39" i="5"/>
  <c r="U45" i="5"/>
  <c r="AM105" i="5" l="1"/>
  <c r="S108" i="5"/>
  <c r="S137" i="5" s="1"/>
  <c r="S154" i="5"/>
  <c r="S133" i="5"/>
  <c r="S71" i="5"/>
  <c r="AM70" i="5"/>
  <c r="U58" i="5"/>
  <c r="AO161" i="5"/>
  <c r="AO162" i="5" s="1"/>
  <c r="AO159" i="5"/>
  <c r="S28" i="6" l="1"/>
  <c r="S49" i="6" s="1"/>
  <c r="S157" i="5"/>
  <c r="S217" i="5"/>
  <c r="AM108" i="5"/>
  <c r="AM111" i="5"/>
  <c r="U42" i="6"/>
  <c r="S156" i="5" l="1"/>
  <c r="U12" i="5"/>
  <c r="Q86" i="5"/>
  <c r="P84" i="5"/>
  <c r="R209" i="5" l="1"/>
  <c r="Q144" i="5"/>
  <c r="S209" i="5"/>
  <c r="S127" i="5"/>
  <c r="AK10" i="6"/>
  <c r="AK18" i="6" s="1"/>
  <c r="O211" i="5"/>
  <c r="O228" i="5" s="1"/>
  <c r="O230" i="5" s="1"/>
  <c r="AJ146" i="5"/>
  <c r="P33" i="6"/>
  <c r="P26" i="6"/>
  <c r="P25" i="6"/>
  <c r="P67" i="5"/>
  <c r="P59" i="5"/>
  <c r="O59" i="5"/>
  <c r="P53" i="5"/>
  <c r="P26" i="5"/>
  <c r="P22" i="5"/>
  <c r="P89" i="5"/>
  <c r="O201" i="5"/>
  <c r="N201" i="5"/>
  <c r="P204" i="5" l="1"/>
  <c r="P96" i="5"/>
  <c r="P211" i="5"/>
  <c r="P228" i="5" s="1"/>
  <c r="P230" i="5" s="1"/>
  <c r="V201" i="5"/>
  <c r="AK25" i="6"/>
  <c r="AK15" i="6"/>
  <c r="AK41" i="6"/>
  <c r="AK33" i="6"/>
  <c r="AK14" i="6"/>
  <c r="AK44" i="6"/>
  <c r="AK21" i="6"/>
  <c r="AK20" i="6"/>
  <c r="AK43" i="6"/>
  <c r="AK31" i="6"/>
  <c r="AK45" i="6"/>
  <c r="AK42" i="6"/>
  <c r="AK22" i="6"/>
  <c r="AK47" i="6"/>
  <c r="Q36" i="6"/>
  <c r="AK36" i="6" s="1"/>
  <c r="AN80" i="5"/>
  <c r="AN121" i="5" s="1"/>
  <c r="P158" i="5"/>
  <c r="P215" i="5"/>
  <c r="AK210" i="5"/>
  <c r="AK209" i="5"/>
  <c r="Q186" i="5"/>
  <c r="Q190" i="5" s="1"/>
  <c r="AJ210" i="5"/>
  <c r="AJ209" i="5"/>
  <c r="AJ169" i="5"/>
  <c r="AK166" i="5"/>
  <c r="AK146" i="5"/>
  <c r="AL147" i="5" s="1"/>
  <c r="AK129" i="5"/>
  <c r="AL130" i="5" s="1"/>
  <c r="Q103" i="5"/>
  <c r="Q96" i="5"/>
  <c r="AK96" i="5" s="1"/>
  <c r="AK100" i="5"/>
  <c r="Q69" i="5"/>
  <c r="Q60" i="5"/>
  <c r="Q54" i="5"/>
  <c r="Q39" i="5"/>
  <c r="Q29" i="5"/>
  <c r="Q33" i="5" s="1"/>
  <c r="R147" i="5" s="1"/>
  <c r="Q23" i="5"/>
  <c r="AC194" i="5"/>
  <c r="AC197" i="5" s="1"/>
  <c r="AC202" i="5" s="1"/>
  <c r="AB194" i="5"/>
  <c r="AB197" i="5" s="1"/>
  <c r="AB202" i="5" s="1"/>
  <c r="AA194" i="5"/>
  <c r="AA197" i="5" s="1"/>
  <c r="AA202" i="5" s="1"/>
  <c r="Z194" i="5"/>
  <c r="Z197" i="5" s="1"/>
  <c r="Z202" i="5" s="1"/>
  <c r="Y194" i="5"/>
  <c r="Y197" i="5" s="1"/>
  <c r="Y202" i="5" s="1"/>
  <c r="X194" i="5"/>
  <c r="X197" i="5" s="1"/>
  <c r="X202" i="5" s="1"/>
  <c r="W194" i="5"/>
  <c r="W197" i="5" s="1"/>
  <c r="W202" i="5" s="1"/>
  <c r="V202" i="5"/>
  <c r="P186" i="5"/>
  <c r="N186" i="5"/>
  <c r="N190" i="5" s="1"/>
  <c r="N194" i="5" s="1"/>
  <c r="M186" i="5"/>
  <c r="T186" i="5" s="1"/>
  <c r="AD194" i="5"/>
  <c r="AD197" i="5" s="1"/>
  <c r="AD202" i="5" s="1"/>
  <c r="O186" i="5"/>
  <c r="O190" i="5" s="1"/>
  <c r="O194" i="5" s="1"/>
  <c r="R146" i="5" l="1"/>
  <c r="R140" i="5"/>
  <c r="R139" i="5"/>
  <c r="AK153" i="5"/>
  <c r="AK150" i="5"/>
  <c r="AK147" i="5"/>
  <c r="AK138" i="5"/>
  <c r="V186" i="5"/>
  <c r="S140" i="5"/>
  <c r="S139" i="5"/>
  <c r="AK133" i="5"/>
  <c r="AK211" i="5"/>
  <c r="Q40" i="5"/>
  <c r="AK103" i="5"/>
  <c r="Q136" i="5"/>
  <c r="Q212" i="5" s="1"/>
  <c r="M190" i="5"/>
  <c r="T190" i="5" s="1"/>
  <c r="Q125" i="5"/>
  <c r="Q132" i="5"/>
  <c r="Q161" i="5"/>
  <c r="Q165" i="5"/>
  <c r="Q167" i="5"/>
  <c r="AK85" i="5"/>
  <c r="AK89" i="5"/>
  <c r="AK91" i="5"/>
  <c r="AK93" i="5"/>
  <c r="AK99" i="5"/>
  <c r="AK107" i="5"/>
  <c r="P190" i="5"/>
  <c r="Q131" i="5"/>
  <c r="Q155" i="5"/>
  <c r="Q162" i="5"/>
  <c r="Q166" i="5"/>
  <c r="Q221" i="5"/>
  <c r="AK84" i="5"/>
  <c r="AK86" i="5"/>
  <c r="AK90" i="5"/>
  <c r="AK92" i="5"/>
  <c r="AK95" i="5"/>
  <c r="AK137" i="5"/>
  <c r="AJ211" i="5"/>
  <c r="P216" i="5"/>
  <c r="AK135" i="5"/>
  <c r="AK152" i="5"/>
  <c r="AK151" i="5"/>
  <c r="AK134" i="5"/>
  <c r="AK136" i="5"/>
  <c r="Q97" i="5"/>
  <c r="R220" i="5" s="1"/>
  <c r="Q62" i="5"/>
  <c r="Q41" i="5"/>
  <c r="AI209" i="5"/>
  <c r="S138" i="5" l="1"/>
  <c r="R148" i="5"/>
  <c r="R138" i="5"/>
  <c r="Q194" i="5"/>
  <c r="V190" i="5"/>
  <c r="AK52" i="5"/>
  <c r="AK51" i="5"/>
  <c r="AK58" i="5"/>
  <c r="Q223" i="5"/>
  <c r="S220" i="5"/>
  <c r="AK54" i="5"/>
  <c r="AK11" i="5"/>
  <c r="Q105" i="5"/>
  <c r="Q154" i="5" s="1"/>
  <c r="AK97" i="5"/>
  <c r="Q222" i="5"/>
  <c r="P194" i="5"/>
  <c r="Q70" i="5"/>
  <c r="AK70" i="5" s="1"/>
  <c r="AK62" i="5"/>
  <c r="M194" i="5"/>
  <c r="T194" i="5" s="1"/>
  <c r="AK33" i="5"/>
  <c r="AK29" i="5"/>
  <c r="AK60" i="5"/>
  <c r="AK23" i="5"/>
  <c r="AK67" i="5"/>
  <c r="AK57" i="5"/>
  <c r="AK50" i="5"/>
  <c r="AK48" i="5"/>
  <c r="AK44" i="5"/>
  <c r="AK38" i="5"/>
  <c r="AK36" i="5"/>
  <c r="AK31" i="5"/>
  <c r="AK27" i="5"/>
  <c r="AK21" i="5"/>
  <c r="AK13" i="5"/>
  <c r="AK68" i="5"/>
  <c r="AK59" i="5"/>
  <c r="AK56" i="5"/>
  <c r="AK53" i="5"/>
  <c r="AK49" i="5"/>
  <c r="AK46" i="5"/>
  <c r="AK41" i="5"/>
  <c r="AK37" i="5"/>
  <c r="AK26" i="5"/>
  <c r="AK22" i="5"/>
  <c r="AK18" i="5"/>
  <c r="Q130" i="5"/>
  <c r="AK40" i="5"/>
  <c r="AK39" i="5"/>
  <c r="AK69" i="5"/>
  <c r="V194" i="5" l="1"/>
  <c r="Q71" i="5"/>
  <c r="Q108" i="5"/>
  <c r="AK105" i="5"/>
  <c r="Q133" i="5"/>
  <c r="AO146" i="5"/>
  <c r="AO147" i="5" s="1"/>
  <c r="AQ146" i="5"/>
  <c r="AQ147" i="5" s="1"/>
  <c r="AP146" i="5"/>
  <c r="AP147" i="5" s="1"/>
  <c r="AR146" i="5"/>
  <c r="AR147" i="5" s="1"/>
  <c r="Q157" i="5" l="1"/>
  <c r="R213" i="5"/>
  <c r="Q217" i="5"/>
  <c r="S213" i="5"/>
  <c r="AK108" i="5"/>
  <c r="Q137" i="5"/>
  <c r="Q12" i="6"/>
  <c r="AK111" i="5"/>
  <c r="AB207" i="5"/>
  <c r="AD207" i="5"/>
  <c r="AC207" i="5"/>
  <c r="Q28" i="6" l="1"/>
  <c r="Q156" i="5" s="1"/>
  <c r="AK12" i="6"/>
  <c r="P47" i="6"/>
  <c r="P36" i="6"/>
  <c r="AJ166" i="5"/>
  <c r="AJ153" i="5"/>
  <c r="AJ129" i="5"/>
  <c r="P210" i="5"/>
  <c r="P103" i="5"/>
  <c r="P86" i="5"/>
  <c r="P144" i="5" s="1"/>
  <c r="P69" i="5"/>
  <c r="P60" i="5"/>
  <c r="P54" i="5"/>
  <c r="P39" i="5"/>
  <c r="P29" i="5"/>
  <c r="AD169" i="5"/>
  <c r="AE169" i="5"/>
  <c r="AF169" i="5"/>
  <c r="AH169" i="5"/>
  <c r="AN169" i="5" s="1"/>
  <c r="AG169" i="5"/>
  <c r="AI169" i="5"/>
  <c r="Q49" i="6" l="1"/>
  <c r="AK49" i="6" s="1"/>
  <c r="Q140" i="5"/>
  <c r="Q139" i="5"/>
  <c r="AK130" i="5"/>
  <c r="AJ10" i="6"/>
  <c r="AK28" i="6"/>
  <c r="AJ137" i="5"/>
  <c r="P221" i="5"/>
  <c r="P33" i="5"/>
  <c r="Q147" i="5" s="1"/>
  <c r="Q209" i="5"/>
  <c r="P155" i="5"/>
  <c r="P40" i="5"/>
  <c r="AJ107" i="5"/>
  <c r="AJ150" i="5"/>
  <c r="AJ152" i="5"/>
  <c r="P62" i="5"/>
  <c r="AJ86" i="5"/>
  <c r="AJ92" i="5"/>
  <c r="AJ100" i="5"/>
  <c r="AJ84" i="5"/>
  <c r="AJ90" i="5"/>
  <c r="AJ95" i="5"/>
  <c r="AJ85" i="5"/>
  <c r="AJ89" i="5"/>
  <c r="AJ91" i="5"/>
  <c r="AJ93" i="5"/>
  <c r="AJ96" i="5"/>
  <c r="AJ99" i="5"/>
  <c r="AJ103" i="5"/>
  <c r="AJ151" i="5"/>
  <c r="AJ134" i="5"/>
  <c r="AJ136" i="5"/>
  <c r="AJ138" i="5"/>
  <c r="AJ133" i="5"/>
  <c r="AJ135" i="5"/>
  <c r="P136" i="5"/>
  <c r="P97" i="5"/>
  <c r="P166" i="5"/>
  <c r="P161" i="5"/>
  <c r="P131" i="5"/>
  <c r="P167" i="5"/>
  <c r="P165" i="5"/>
  <c r="P162" i="5"/>
  <c r="P132" i="5"/>
  <c r="P23" i="5"/>
  <c r="Q146" i="5" s="1"/>
  <c r="AI213" i="5"/>
  <c r="AO88" i="5"/>
  <c r="AO87" i="5"/>
  <c r="AO90" i="5"/>
  <c r="AO89" i="5"/>
  <c r="AI146" i="5"/>
  <c r="O33" i="6"/>
  <c r="O26" i="6"/>
  <c r="O25" i="6"/>
  <c r="O67" i="5"/>
  <c r="O53" i="5"/>
  <c r="O26" i="5"/>
  <c r="O22" i="5"/>
  <c r="O84" i="5"/>
  <c r="AH210" i="5"/>
  <c r="AH209" i="5"/>
  <c r="AN209" i="5" s="1"/>
  <c r="AJ47" i="6" l="1"/>
  <c r="AJ14" i="6"/>
  <c r="AJ44" i="6"/>
  <c r="AJ45" i="6"/>
  <c r="AJ21" i="6"/>
  <c r="AJ15" i="6"/>
  <c r="AJ18" i="6"/>
  <c r="AJ20" i="6"/>
  <c r="AJ41" i="6"/>
  <c r="AJ31" i="6"/>
  <c r="AJ34" i="6"/>
  <c r="AJ22" i="6"/>
  <c r="AJ43" i="6"/>
  <c r="AJ33" i="6"/>
  <c r="AJ25" i="6"/>
  <c r="AJ36" i="6"/>
  <c r="AJ147" i="5"/>
  <c r="AO145" i="5"/>
  <c r="AP88" i="5"/>
  <c r="AP90" i="5" s="1"/>
  <c r="P70" i="5"/>
  <c r="P125" i="5"/>
  <c r="P212" i="5"/>
  <c r="P223" i="5"/>
  <c r="Q220" i="5"/>
  <c r="P222" i="5"/>
  <c r="P220" i="5"/>
  <c r="P130" i="5"/>
  <c r="P105" i="5"/>
  <c r="AJ97" i="5"/>
  <c r="P41" i="5"/>
  <c r="O215" i="5"/>
  <c r="O210" i="5"/>
  <c r="K26" i="5"/>
  <c r="K67" i="5"/>
  <c r="N56" i="5"/>
  <c r="N67" i="5"/>
  <c r="M158" i="5"/>
  <c r="L158" i="5"/>
  <c r="AI166" i="5"/>
  <c r="U213" i="5"/>
  <c r="AG213" i="5"/>
  <c r="AF213" i="5"/>
  <c r="AE213" i="5"/>
  <c r="AD213" i="5"/>
  <c r="AH213" i="5"/>
  <c r="N84" i="5"/>
  <c r="N85" i="5"/>
  <c r="N59" i="5"/>
  <c r="N53" i="5"/>
  <c r="N26" i="5"/>
  <c r="N206" i="5" l="1"/>
  <c r="Q148" i="5"/>
  <c r="Q138" i="5"/>
  <c r="N158" i="5"/>
  <c r="T158" i="5" s="1"/>
  <c r="P71" i="5"/>
  <c r="AJ27" i="5"/>
  <c r="AJ46" i="5"/>
  <c r="AJ105" i="5"/>
  <c r="P133" i="5"/>
  <c r="P154" i="5"/>
  <c r="O158" i="5"/>
  <c r="O216" i="5"/>
  <c r="AJ69" i="5"/>
  <c r="AJ67" i="5"/>
  <c r="AJ60" i="5"/>
  <c r="AJ57" i="5"/>
  <c r="AJ54" i="5"/>
  <c r="AJ50" i="5"/>
  <c r="AJ48" i="5"/>
  <c r="AJ41" i="5"/>
  <c r="AJ39" i="5"/>
  <c r="AJ33" i="5"/>
  <c r="AJ13" i="5"/>
  <c r="AJ70" i="5"/>
  <c r="AJ68" i="5"/>
  <c r="AJ62" i="5"/>
  <c r="AJ59" i="5"/>
  <c r="AJ56" i="5"/>
  <c r="AJ53" i="5"/>
  <c r="AJ49" i="5"/>
  <c r="AJ44" i="5"/>
  <c r="AJ40" i="5"/>
  <c r="AJ38" i="5"/>
  <c r="AJ36" i="5"/>
  <c r="AJ31" i="5"/>
  <c r="AJ26" i="5"/>
  <c r="AJ22" i="5"/>
  <c r="AJ18" i="5"/>
  <c r="AJ11" i="5"/>
  <c r="AJ37" i="5"/>
  <c r="AJ29" i="5"/>
  <c r="AJ21" i="5"/>
  <c r="AJ23" i="5"/>
  <c r="P108" i="5"/>
  <c r="N22" i="5"/>
  <c r="N47" i="6"/>
  <c r="N36" i="6"/>
  <c r="AH166" i="5"/>
  <c r="AN166" i="5" s="1"/>
  <c r="AH146" i="5"/>
  <c r="AN146" i="5" s="1"/>
  <c r="AH129" i="5"/>
  <c r="N215" i="5"/>
  <c r="N216" i="5" s="1"/>
  <c r="N211" i="5"/>
  <c r="N228" i="5" s="1"/>
  <c r="N230" i="5" s="1"/>
  <c r="N210" i="5"/>
  <c r="N103" i="5"/>
  <c r="N96" i="5"/>
  <c r="N86" i="5"/>
  <c r="N69" i="5"/>
  <c r="N60" i="5"/>
  <c r="N54" i="5"/>
  <c r="N39" i="5"/>
  <c r="N29" i="5"/>
  <c r="M215" i="5"/>
  <c r="L215" i="5"/>
  <c r="K215" i="5"/>
  <c r="K216" i="5" s="1"/>
  <c r="J215" i="5"/>
  <c r="J216" i="5" s="1"/>
  <c r="O29" i="5"/>
  <c r="O69" i="5"/>
  <c r="O86" i="5"/>
  <c r="O47" i="6"/>
  <c r="O36" i="6"/>
  <c r="AI153" i="5"/>
  <c r="AI129" i="5"/>
  <c r="AJ130" i="5" s="1"/>
  <c r="O103" i="5"/>
  <c r="O96" i="5"/>
  <c r="O60" i="5"/>
  <c r="O54" i="5"/>
  <c r="O39" i="5"/>
  <c r="AN100" i="5" l="1"/>
  <c r="AN95" i="5"/>
  <c r="AN90" i="5"/>
  <c r="AN107" i="5"/>
  <c r="AN99" i="5"/>
  <c r="AN93" i="5"/>
  <c r="AN92" i="5"/>
  <c r="AN91" i="5"/>
  <c r="AN86" i="5"/>
  <c r="AN89" i="5"/>
  <c r="AN84" i="5"/>
  <c r="AN96" i="5"/>
  <c r="AN103" i="5"/>
  <c r="AN129" i="5"/>
  <c r="N33" i="5"/>
  <c r="N221" i="5"/>
  <c r="AN85" i="5"/>
  <c r="P217" i="5"/>
  <c r="P140" i="5"/>
  <c r="M216" i="5"/>
  <c r="AH153" i="5"/>
  <c r="AN153" i="5" s="1"/>
  <c r="AI147" i="5"/>
  <c r="AI130" i="5"/>
  <c r="AH137" i="5"/>
  <c r="AN137" i="5" s="1"/>
  <c r="L216" i="5"/>
  <c r="P157" i="5"/>
  <c r="P139" i="5"/>
  <c r="Q213" i="5"/>
  <c r="O221" i="5"/>
  <c r="O161" i="5"/>
  <c r="O144" i="5"/>
  <c r="O136" i="5"/>
  <c r="P209" i="5"/>
  <c r="AO86" i="5"/>
  <c r="N144" i="5"/>
  <c r="N136" i="5"/>
  <c r="AH10" i="6"/>
  <c r="T126" i="5"/>
  <c r="AJ111" i="5"/>
  <c r="P12" i="6"/>
  <c r="AJ108" i="5"/>
  <c r="P137" i="5"/>
  <c r="O131" i="5"/>
  <c r="O33" i="5"/>
  <c r="O209" i="5"/>
  <c r="AI137" i="5"/>
  <c r="O167" i="5"/>
  <c r="O165" i="5"/>
  <c r="O155" i="5"/>
  <c r="O166" i="5"/>
  <c r="O162" i="5"/>
  <c r="N167" i="5"/>
  <c r="T167" i="5" s="1"/>
  <c r="N166" i="5"/>
  <c r="T166" i="5" s="1"/>
  <c r="N165" i="5"/>
  <c r="N162" i="5"/>
  <c r="T162" i="5" s="1"/>
  <c r="N161" i="5"/>
  <c r="T161" i="5" s="1"/>
  <c r="N155" i="5"/>
  <c r="T155" i="5" s="1"/>
  <c r="N131" i="5"/>
  <c r="T131" i="5" s="1"/>
  <c r="AI10" i="6"/>
  <c r="AH211" i="5"/>
  <c r="AH150" i="5"/>
  <c r="AH152" i="5"/>
  <c r="AN152" i="5" s="1"/>
  <c r="AH85" i="5"/>
  <c r="AH89" i="5"/>
  <c r="AH91" i="5"/>
  <c r="AH93" i="5"/>
  <c r="AH96" i="5"/>
  <c r="AH99" i="5"/>
  <c r="AH103" i="5"/>
  <c r="AH107" i="5"/>
  <c r="AH84" i="5"/>
  <c r="AH86" i="5"/>
  <c r="AH90" i="5"/>
  <c r="AH92" i="5"/>
  <c r="AH95" i="5"/>
  <c r="AH100" i="5"/>
  <c r="N62" i="5"/>
  <c r="N40" i="5"/>
  <c r="AH151" i="5"/>
  <c r="AN151" i="5" s="1"/>
  <c r="AH134" i="5"/>
  <c r="AH136" i="5"/>
  <c r="AN136" i="5" s="1"/>
  <c r="AH138" i="5"/>
  <c r="AN138" i="5" s="1"/>
  <c r="AH133" i="5"/>
  <c r="AN133" i="5" s="1"/>
  <c r="AH135" i="5"/>
  <c r="N23" i="5"/>
  <c r="N97" i="5"/>
  <c r="AN97" i="5" s="1"/>
  <c r="AI150" i="5"/>
  <c r="O97" i="5"/>
  <c r="AI152" i="5"/>
  <c r="O62" i="5"/>
  <c r="O23" i="5"/>
  <c r="P146" i="5" s="1"/>
  <c r="AI85" i="5"/>
  <c r="AI89" i="5"/>
  <c r="AI91" i="5"/>
  <c r="AI93" i="5"/>
  <c r="AI96" i="5"/>
  <c r="AI99" i="5"/>
  <c r="AI103" i="5"/>
  <c r="AI107" i="5"/>
  <c r="AI84" i="5"/>
  <c r="AI86" i="5"/>
  <c r="AI90" i="5"/>
  <c r="AI92" i="5"/>
  <c r="AI95" i="5"/>
  <c r="AI100" i="5"/>
  <c r="AI151" i="5"/>
  <c r="AI134" i="5"/>
  <c r="AI136" i="5"/>
  <c r="AI138" i="5"/>
  <c r="AI133" i="5"/>
  <c r="AI135" i="5"/>
  <c r="M25" i="6"/>
  <c r="U26" i="6"/>
  <c r="M67" i="5"/>
  <c r="T67" i="5" s="1"/>
  <c r="M59" i="5"/>
  <c r="T59" i="5" s="1"/>
  <c r="L53" i="5"/>
  <c r="M53" i="5"/>
  <c r="T53" i="5" s="1"/>
  <c r="M26" i="5"/>
  <c r="T26" i="5" s="1"/>
  <c r="M22" i="5"/>
  <c r="T22" i="5" s="1"/>
  <c r="T13" i="5"/>
  <c r="N125" i="5" l="1"/>
  <c r="AN150" i="5"/>
  <c r="N212" i="5"/>
  <c r="T136" i="5"/>
  <c r="AN135" i="5"/>
  <c r="AN134" i="5"/>
  <c r="N132" i="5"/>
  <c r="T132" i="5" s="1"/>
  <c r="T165" i="5"/>
  <c r="T144" i="5"/>
  <c r="P28" i="6"/>
  <c r="AJ12" i="6"/>
  <c r="P147" i="5"/>
  <c r="O40" i="5"/>
  <c r="N220" i="5"/>
  <c r="N222" i="5"/>
  <c r="O147" i="5"/>
  <c r="O146" i="5"/>
  <c r="O220" i="5"/>
  <c r="O222" i="5"/>
  <c r="O223" i="5"/>
  <c r="AO97" i="5"/>
  <c r="AP97" i="5" s="1"/>
  <c r="AH41" i="6"/>
  <c r="AH14" i="6"/>
  <c r="AH33" i="6"/>
  <c r="AH44" i="6"/>
  <c r="AH20" i="6"/>
  <c r="AH39" i="6"/>
  <c r="AM39" i="6" s="1"/>
  <c r="AH25" i="6"/>
  <c r="AH34" i="6"/>
  <c r="AH21" i="6"/>
  <c r="AH18" i="6"/>
  <c r="AH36" i="6"/>
  <c r="AH47" i="6"/>
  <c r="AH22" i="6"/>
  <c r="AH15" i="6"/>
  <c r="AH31" i="6"/>
  <c r="AH43" i="6"/>
  <c r="T145" i="5"/>
  <c r="O130" i="5"/>
  <c r="O132" i="5"/>
  <c r="O125" i="5"/>
  <c r="O105" i="5"/>
  <c r="O154" i="5" s="1"/>
  <c r="O212" i="5"/>
  <c r="N70" i="5"/>
  <c r="N130" i="5"/>
  <c r="AI44" i="6"/>
  <c r="AI36" i="6"/>
  <c r="AI15" i="6"/>
  <c r="AI20" i="6"/>
  <c r="AI47" i="6"/>
  <c r="AI41" i="6"/>
  <c r="AI33" i="6"/>
  <c r="AI22" i="6"/>
  <c r="AI14" i="6"/>
  <c r="AI21" i="6"/>
  <c r="AI31" i="6"/>
  <c r="AI45" i="6"/>
  <c r="AI18" i="6"/>
  <c r="AI25" i="6"/>
  <c r="AI43" i="6"/>
  <c r="AI97" i="5"/>
  <c r="N105" i="5"/>
  <c r="AH97" i="5"/>
  <c r="N41" i="5"/>
  <c r="AI210" i="5"/>
  <c r="AN210" i="5" s="1"/>
  <c r="O41" i="5"/>
  <c r="P138" i="5" s="1"/>
  <c r="O70" i="5"/>
  <c r="M210" i="5"/>
  <c r="AG209" i="5"/>
  <c r="M211" i="5"/>
  <c r="AG210" i="5"/>
  <c r="AN40" i="5" l="1"/>
  <c r="AN23" i="5"/>
  <c r="N108" i="5"/>
  <c r="AN105" i="5"/>
  <c r="T125" i="5"/>
  <c r="T130" i="5"/>
  <c r="AN33" i="5"/>
  <c r="AN68" i="5"/>
  <c r="AN46" i="5"/>
  <c r="AN18" i="5"/>
  <c r="AN57" i="5"/>
  <c r="AN50" i="5"/>
  <c r="AN44" i="5"/>
  <c r="AN38" i="5"/>
  <c r="AN31" i="5"/>
  <c r="AN49" i="5"/>
  <c r="AN37" i="5"/>
  <c r="AN48" i="5"/>
  <c r="AN36" i="5"/>
  <c r="AN21" i="5"/>
  <c r="AN41" i="5"/>
  <c r="AN11" i="5"/>
  <c r="AN27" i="5"/>
  <c r="AN53" i="5"/>
  <c r="AN59" i="5"/>
  <c r="AN56" i="5"/>
  <c r="AN67" i="5"/>
  <c r="AN26" i="5"/>
  <c r="AN39" i="5"/>
  <c r="AN54" i="5"/>
  <c r="AN69" i="5"/>
  <c r="AN13" i="5"/>
  <c r="AN22" i="5"/>
  <c r="AN60" i="5"/>
  <c r="AN29" i="5"/>
  <c r="AN70" i="5"/>
  <c r="AN62" i="5"/>
  <c r="M228" i="5"/>
  <c r="M230" i="5" s="1"/>
  <c r="AM41" i="6"/>
  <c r="P156" i="5"/>
  <c r="AJ28" i="6"/>
  <c r="P49" i="6"/>
  <c r="AJ49" i="6" s="1"/>
  <c r="AH27" i="5"/>
  <c r="AH46" i="5"/>
  <c r="O133" i="5"/>
  <c r="AI105" i="5"/>
  <c r="AI46" i="5"/>
  <c r="AI27" i="5"/>
  <c r="P148" i="5"/>
  <c r="O71" i="5"/>
  <c r="N12" i="6"/>
  <c r="AH12" i="6" s="1"/>
  <c r="N137" i="5"/>
  <c r="N157" i="5"/>
  <c r="AH105" i="5"/>
  <c r="N154" i="5"/>
  <c r="T154" i="5" s="1"/>
  <c r="N133" i="5"/>
  <c r="O148" i="5"/>
  <c r="AI211" i="5"/>
  <c r="AN211" i="5" s="1"/>
  <c r="AI13" i="5"/>
  <c r="O108" i="5"/>
  <c r="AI48" i="5"/>
  <c r="AI50" i="5"/>
  <c r="AI40" i="5"/>
  <c r="AI23" i="5"/>
  <c r="AI21" i="5"/>
  <c r="AI22" i="5"/>
  <c r="AI59" i="5"/>
  <c r="AI26" i="5"/>
  <c r="AI56" i="5"/>
  <c r="AI37" i="5"/>
  <c r="AI67" i="5"/>
  <c r="AI53" i="5"/>
  <c r="AI54" i="5"/>
  <c r="AI60" i="5"/>
  <c r="AI18" i="5"/>
  <c r="AI36" i="5"/>
  <c r="AI49" i="5"/>
  <c r="AI62" i="5"/>
  <c r="AI29" i="5"/>
  <c r="AI41" i="5"/>
  <c r="AI57" i="5"/>
  <c r="AI38" i="5"/>
  <c r="AI68" i="5"/>
  <c r="AI39" i="5"/>
  <c r="AI31" i="5"/>
  <c r="AI33" i="5"/>
  <c r="AI44" i="5"/>
  <c r="AI70" i="5"/>
  <c r="AH108" i="5"/>
  <c r="AH111" i="5"/>
  <c r="AH69" i="5"/>
  <c r="AH67" i="5"/>
  <c r="AH60" i="5"/>
  <c r="AH57" i="5"/>
  <c r="AH54" i="5"/>
  <c r="AH50" i="5"/>
  <c r="AH48" i="5"/>
  <c r="AH41" i="5"/>
  <c r="AH39" i="5"/>
  <c r="AH37" i="5"/>
  <c r="AH33" i="5"/>
  <c r="AH29" i="5"/>
  <c r="AH21" i="5"/>
  <c r="AH13" i="5"/>
  <c r="AH70" i="5"/>
  <c r="AH68" i="5"/>
  <c r="AH62" i="5"/>
  <c r="AH59" i="5"/>
  <c r="AH56" i="5"/>
  <c r="AH53" i="5"/>
  <c r="AH49" i="5"/>
  <c r="AH44" i="5"/>
  <c r="AH40" i="5"/>
  <c r="AH38" i="5"/>
  <c r="AH36" i="5"/>
  <c r="AH31" i="5"/>
  <c r="AH26" i="5"/>
  <c r="AH22" i="5"/>
  <c r="AH18" i="5"/>
  <c r="AH11" i="5"/>
  <c r="AH23" i="5"/>
  <c r="AI69" i="5"/>
  <c r="AI11" i="5"/>
  <c r="O12" i="6"/>
  <c r="T133" i="5" l="1"/>
  <c r="T137" i="5"/>
  <c r="N217" i="5"/>
  <c r="AN108" i="5"/>
  <c r="AN111" i="5"/>
  <c r="O217" i="5"/>
  <c r="N28" i="6"/>
  <c r="N49" i="6" s="1"/>
  <c r="AH49" i="6" s="1"/>
  <c r="O157" i="5"/>
  <c r="T157" i="5" s="1"/>
  <c r="AO108" i="5"/>
  <c r="AP108" i="5" s="1"/>
  <c r="O138" i="5"/>
  <c r="O139" i="5"/>
  <c r="O140" i="5"/>
  <c r="O137" i="5"/>
  <c r="P213" i="5"/>
  <c r="AI108" i="5"/>
  <c r="O213" i="5"/>
  <c r="AI111" i="5"/>
  <c r="O28" i="6"/>
  <c r="AI12" i="6"/>
  <c r="L211" i="5"/>
  <c r="L228" i="5" s="1"/>
  <c r="L230" i="5" s="1"/>
  <c r="K211" i="5"/>
  <c r="J211" i="5"/>
  <c r="I211" i="5"/>
  <c r="L210" i="5"/>
  <c r="K210" i="5"/>
  <c r="J210" i="5"/>
  <c r="I210" i="5"/>
  <c r="G211" i="5"/>
  <c r="G210" i="5"/>
  <c r="H211" i="5"/>
  <c r="H210" i="5"/>
  <c r="AG211" i="5"/>
  <c r="AN122" i="5"/>
  <c r="H91" i="5"/>
  <c r="I91" i="5"/>
  <c r="K91" i="5"/>
  <c r="L91" i="5"/>
  <c r="U20" i="5"/>
  <c r="U16" i="5"/>
  <c r="U92" i="5"/>
  <c r="AF210" i="5"/>
  <c r="AE210" i="5"/>
  <c r="AD210" i="5"/>
  <c r="AC210" i="5"/>
  <c r="AB210" i="5"/>
  <c r="AF209" i="5"/>
  <c r="AE209" i="5"/>
  <c r="AD209" i="5"/>
  <c r="AC209" i="5"/>
  <c r="AB209" i="5"/>
  <c r="AA210" i="5"/>
  <c r="AA209" i="5"/>
  <c r="A10" i="6"/>
  <c r="AN114" i="5"/>
  <c r="AC166" i="5"/>
  <c r="AB166" i="5"/>
  <c r="AD166" i="5"/>
  <c r="AG166" i="5"/>
  <c r="AF166" i="5"/>
  <c r="AE166" i="5"/>
  <c r="U153" i="5"/>
  <c r="AF146" i="5"/>
  <c r="AE146" i="5"/>
  <c r="AD146" i="5"/>
  <c r="AD153" i="5" s="1"/>
  <c r="AC146" i="5"/>
  <c r="AC153" i="5" s="1"/>
  <c r="AB146" i="5"/>
  <c r="AB153" i="5" s="1"/>
  <c r="AA146" i="5"/>
  <c r="AA153" i="5" s="1"/>
  <c r="AG146" i="5"/>
  <c r="U138" i="5"/>
  <c r="U137" i="5"/>
  <c r="U136" i="5"/>
  <c r="U135" i="5"/>
  <c r="U145" i="5" s="1"/>
  <c r="U152" i="5" s="1"/>
  <c r="U158" i="5" s="1"/>
  <c r="U134" i="5"/>
  <c r="U143" i="5" s="1"/>
  <c r="U133" i="5"/>
  <c r="U142" i="5" s="1"/>
  <c r="AF129" i="5"/>
  <c r="AE129" i="5"/>
  <c r="AD129" i="5"/>
  <c r="AD138" i="5" s="1"/>
  <c r="AC129" i="5"/>
  <c r="AC138" i="5" s="1"/>
  <c r="AB129" i="5"/>
  <c r="AA129" i="5"/>
  <c r="AA138" i="5" s="1"/>
  <c r="AG129" i="5"/>
  <c r="AH130" i="5" l="1"/>
  <c r="AN130" i="5" s="1"/>
  <c r="U151" i="5"/>
  <c r="U157" i="5" s="1"/>
  <c r="U150" i="5"/>
  <c r="U156" i="5" s="1"/>
  <c r="AE147" i="5"/>
  <c r="AF138" i="5"/>
  <c r="AF130" i="5"/>
  <c r="AG153" i="5"/>
  <c r="AG147" i="5"/>
  <c r="AH147" i="5"/>
  <c r="AN147" i="5" s="1"/>
  <c r="AF147" i="5"/>
  <c r="AF153" i="5"/>
  <c r="N156" i="5"/>
  <c r="AH28" i="6"/>
  <c r="AE138" i="5"/>
  <c r="AG130" i="5"/>
  <c r="AB138" i="5"/>
  <c r="AB130" i="5"/>
  <c r="AC130" i="5"/>
  <c r="AE130" i="5"/>
  <c r="AD130" i="5"/>
  <c r="AE153" i="5"/>
  <c r="AA211" i="5"/>
  <c r="AB211" i="5"/>
  <c r="AD211" i="5"/>
  <c r="AF211" i="5"/>
  <c r="AE211" i="5"/>
  <c r="AC211" i="5"/>
  <c r="O49" i="6"/>
  <c r="O156" i="5"/>
  <c r="AI28" i="6"/>
  <c r="AG138" i="5"/>
  <c r="AG135" i="5"/>
  <c r="AG133" i="5"/>
  <c r="AG137" i="5"/>
  <c r="AG134" i="5"/>
  <c r="AG136" i="5"/>
  <c r="AB133" i="5"/>
  <c r="AD133" i="5"/>
  <c r="AF133" i="5"/>
  <c r="AB134" i="5"/>
  <c r="AD134" i="5"/>
  <c r="AF134" i="5"/>
  <c r="AB135" i="5"/>
  <c r="AD135" i="5"/>
  <c r="AF135" i="5"/>
  <c r="AB136" i="5"/>
  <c r="AD136" i="5"/>
  <c r="AF136" i="5"/>
  <c r="AB137" i="5"/>
  <c r="AD137" i="5"/>
  <c r="AF137" i="5"/>
  <c r="AG150" i="5"/>
  <c r="AG152" i="5"/>
  <c r="AA150" i="5"/>
  <c r="AC150" i="5"/>
  <c r="AE150" i="5"/>
  <c r="AA151" i="5"/>
  <c r="AC151" i="5"/>
  <c r="AE151" i="5"/>
  <c r="AA152" i="5"/>
  <c r="AC152" i="5"/>
  <c r="AE152" i="5"/>
  <c r="AA133" i="5"/>
  <c r="AC133" i="5"/>
  <c r="AE133" i="5"/>
  <c r="AA134" i="5"/>
  <c r="AC134" i="5"/>
  <c r="AE134" i="5"/>
  <c r="AA135" i="5"/>
  <c r="AC135" i="5"/>
  <c r="AE135" i="5"/>
  <c r="AA136" i="5"/>
  <c r="AC136" i="5"/>
  <c r="AE136" i="5"/>
  <c r="AA137" i="5"/>
  <c r="AC137" i="5"/>
  <c r="AE137" i="5"/>
  <c r="AG151" i="5"/>
  <c r="AB150" i="5"/>
  <c r="AD150" i="5"/>
  <c r="AF150" i="5"/>
  <c r="AB151" i="5"/>
  <c r="AD151" i="5"/>
  <c r="AF151" i="5"/>
  <c r="AB152" i="5"/>
  <c r="AD152" i="5"/>
  <c r="AF152" i="5"/>
  <c r="T156" i="5" l="1"/>
  <c r="AI49" i="6"/>
  <c r="A3" i="6"/>
  <c r="L31" i="6"/>
  <c r="L22" i="6"/>
  <c r="L84" i="5"/>
  <c r="L85" i="5"/>
  <c r="L67" i="5"/>
  <c r="L59" i="5"/>
  <c r="L26" i="5"/>
  <c r="L22" i="5"/>
  <c r="U21" i="5"/>
  <c r="U19" i="5"/>
  <c r="L206" i="5" l="1"/>
  <c r="F158" i="5"/>
  <c r="E158" i="5"/>
  <c r="D158" i="5"/>
  <c r="C158" i="5"/>
  <c r="G158" i="5"/>
  <c r="H158" i="5"/>
  <c r="I158" i="5"/>
  <c r="L47" i="6" l="1"/>
  <c r="L36" i="6"/>
  <c r="L103" i="5"/>
  <c r="L96" i="5"/>
  <c r="L86" i="5"/>
  <c r="L69" i="5"/>
  <c r="L60" i="5"/>
  <c r="L54" i="5"/>
  <c r="L39" i="5"/>
  <c r="L29" i="5"/>
  <c r="L23" i="5"/>
  <c r="K33" i="6"/>
  <c r="K25" i="6"/>
  <c r="K59" i="5"/>
  <c r="K60" i="5" s="1"/>
  <c r="K53" i="5"/>
  <c r="K18" i="5"/>
  <c r="M47" i="6"/>
  <c r="K47" i="6"/>
  <c r="M36" i="6"/>
  <c r="M103" i="5"/>
  <c r="T103" i="5" s="1"/>
  <c r="M96" i="5"/>
  <c r="T96" i="5" s="1"/>
  <c r="M86" i="5"/>
  <c r="T86" i="5" s="1"/>
  <c r="M69" i="5"/>
  <c r="M60" i="5"/>
  <c r="T60" i="5" s="1"/>
  <c r="M54" i="5"/>
  <c r="T54" i="5" s="1"/>
  <c r="M39" i="5"/>
  <c r="T39" i="5" s="1"/>
  <c r="M29" i="5"/>
  <c r="T29" i="5" s="1"/>
  <c r="M23" i="5"/>
  <c r="T23" i="5" s="1"/>
  <c r="J86" i="5"/>
  <c r="AD84" i="5" s="1"/>
  <c r="I86" i="5"/>
  <c r="AC100" i="5" s="1"/>
  <c r="H86" i="5"/>
  <c r="AB85" i="5" s="1"/>
  <c r="G86" i="5"/>
  <c r="AA84" i="5" s="1"/>
  <c r="F86" i="5"/>
  <c r="F136" i="5" s="1"/>
  <c r="E85" i="5"/>
  <c r="E84" i="5" s="1"/>
  <c r="E86" i="5" s="1"/>
  <c r="Y107" i="5" s="1"/>
  <c r="D85" i="5"/>
  <c r="D84" i="5" s="1"/>
  <c r="D86" i="5" s="1"/>
  <c r="D144" i="5" s="1"/>
  <c r="C85" i="5"/>
  <c r="C84" i="5" s="1"/>
  <c r="C86" i="5" s="1"/>
  <c r="W101" i="5" s="1"/>
  <c r="B85" i="5"/>
  <c r="B84" i="5" s="1"/>
  <c r="D96" i="5"/>
  <c r="D103" i="5"/>
  <c r="E96" i="5"/>
  <c r="E103" i="5"/>
  <c r="F96" i="5"/>
  <c r="F103" i="5"/>
  <c r="G91" i="5"/>
  <c r="G103" i="5"/>
  <c r="H96" i="5"/>
  <c r="H103" i="5"/>
  <c r="AB103" i="5" s="1"/>
  <c r="I96" i="5"/>
  <c r="I103" i="5"/>
  <c r="C96" i="5"/>
  <c r="C103" i="5"/>
  <c r="D25" i="6"/>
  <c r="E25" i="6"/>
  <c r="F25" i="6"/>
  <c r="G25" i="6"/>
  <c r="H25" i="6"/>
  <c r="I25" i="6"/>
  <c r="J14" i="6"/>
  <c r="J15" i="6"/>
  <c r="J21" i="6"/>
  <c r="J22" i="6"/>
  <c r="J24" i="6"/>
  <c r="J25" i="6"/>
  <c r="C25" i="6"/>
  <c r="T6" i="6"/>
  <c r="I36" i="6"/>
  <c r="I47" i="6"/>
  <c r="H36" i="6"/>
  <c r="H47" i="6"/>
  <c r="H51" i="6"/>
  <c r="J31" i="6"/>
  <c r="J36" i="6" s="1"/>
  <c r="J33" i="6"/>
  <c r="J47" i="6"/>
  <c r="C8" i="5"/>
  <c r="D8" i="5" s="1"/>
  <c r="B96" i="5"/>
  <c r="B103" i="5"/>
  <c r="B25" i="6"/>
  <c r="B36" i="6"/>
  <c r="B47" i="6"/>
  <c r="D51" i="6"/>
  <c r="E51" i="6"/>
  <c r="F51" i="6"/>
  <c r="G51" i="6"/>
  <c r="C36" i="6"/>
  <c r="C47" i="6"/>
  <c r="D36" i="6"/>
  <c r="D47" i="6"/>
  <c r="E36" i="6"/>
  <c r="E47" i="6"/>
  <c r="F36" i="6"/>
  <c r="F47" i="6"/>
  <c r="G36" i="6"/>
  <c r="G47" i="6"/>
  <c r="B8" i="6"/>
  <c r="V8" i="6" s="1"/>
  <c r="A5" i="6"/>
  <c r="U5" i="6" s="1"/>
  <c r="U3" i="6"/>
  <c r="J26" i="5"/>
  <c r="C26" i="5"/>
  <c r="C29" i="5" s="1"/>
  <c r="C33" i="5" s="1"/>
  <c r="H26" i="5"/>
  <c r="H29" i="5" s="1"/>
  <c r="H33" i="5" s="1"/>
  <c r="I26" i="5"/>
  <c r="I29" i="5" s="1"/>
  <c r="I33" i="5" s="1"/>
  <c r="D26" i="5"/>
  <c r="D29" i="5" s="1"/>
  <c r="D33" i="5" s="1"/>
  <c r="E26" i="5"/>
  <c r="E29" i="5" s="1"/>
  <c r="E33" i="5" s="1"/>
  <c r="F26" i="5"/>
  <c r="F29" i="5" s="1"/>
  <c r="G26" i="5"/>
  <c r="G29" i="5" s="1"/>
  <c r="G33" i="5" s="1"/>
  <c r="J57" i="5"/>
  <c r="F18" i="5"/>
  <c r="F22" i="5"/>
  <c r="F39" i="5"/>
  <c r="G18" i="5"/>
  <c r="G22" i="5"/>
  <c r="G39" i="5"/>
  <c r="H18" i="5"/>
  <c r="H22" i="5"/>
  <c r="H39" i="5"/>
  <c r="I18" i="5"/>
  <c r="I22" i="5"/>
  <c r="I39" i="5"/>
  <c r="J50" i="5"/>
  <c r="J18" i="5"/>
  <c r="J22" i="5"/>
  <c r="J27" i="5"/>
  <c r="J31" i="5"/>
  <c r="J36" i="5"/>
  <c r="J37" i="5"/>
  <c r="J38" i="5"/>
  <c r="J48" i="5"/>
  <c r="K29" i="5"/>
  <c r="K37" i="5"/>
  <c r="C67" i="5"/>
  <c r="C69" i="5" s="1"/>
  <c r="C155" i="5" s="1"/>
  <c r="B67" i="5"/>
  <c r="B69" i="5" s="1"/>
  <c r="D67" i="5"/>
  <c r="D69" i="5" s="1"/>
  <c r="D155" i="5" s="1"/>
  <c r="E67" i="5"/>
  <c r="E69" i="5" s="1"/>
  <c r="F67" i="5"/>
  <c r="F69" i="5" s="1"/>
  <c r="F155" i="5" s="1"/>
  <c r="G67" i="5"/>
  <c r="H67" i="5"/>
  <c r="H69" i="5" s="1"/>
  <c r="I67" i="5"/>
  <c r="I69" i="5" s="1"/>
  <c r="J96" i="5"/>
  <c r="J103" i="5"/>
  <c r="J67" i="5"/>
  <c r="J68" i="5"/>
  <c r="J44" i="5"/>
  <c r="J56" i="5"/>
  <c r="K69" i="5"/>
  <c r="K86" i="5"/>
  <c r="AE93" i="5" s="1"/>
  <c r="J59" i="5"/>
  <c r="J53" i="5"/>
  <c r="J49" i="5"/>
  <c r="K96" i="5"/>
  <c r="K103" i="5"/>
  <c r="C111" i="5"/>
  <c r="D111" i="5"/>
  <c r="E111" i="5"/>
  <c r="F111" i="5"/>
  <c r="G111" i="5"/>
  <c r="H111" i="5"/>
  <c r="C59" i="5"/>
  <c r="C60" i="5" s="1"/>
  <c r="C53" i="5"/>
  <c r="C54" i="5" s="1"/>
  <c r="D59" i="5"/>
  <c r="D60" i="5" s="1"/>
  <c r="D53" i="5"/>
  <c r="D54" i="5" s="1"/>
  <c r="E59" i="5"/>
  <c r="E60" i="5" s="1"/>
  <c r="E53" i="5"/>
  <c r="E54" i="5" s="1"/>
  <c r="F59" i="5"/>
  <c r="F60" i="5" s="1"/>
  <c r="F53" i="5"/>
  <c r="F54" i="5" s="1"/>
  <c r="G59" i="5"/>
  <c r="G53" i="5"/>
  <c r="H59" i="5"/>
  <c r="H60" i="5" s="1"/>
  <c r="H53" i="5"/>
  <c r="H54" i="5" s="1"/>
  <c r="I59" i="5"/>
  <c r="I60" i="5" s="1"/>
  <c r="I53" i="5"/>
  <c r="I54" i="5" s="1"/>
  <c r="C18" i="5"/>
  <c r="C22" i="5"/>
  <c r="C39" i="5"/>
  <c r="D18" i="5"/>
  <c r="D22" i="5"/>
  <c r="D39" i="5"/>
  <c r="E18" i="5"/>
  <c r="E22" i="5"/>
  <c r="E39" i="5"/>
  <c r="U35" i="5"/>
  <c r="V8" i="5"/>
  <c r="W8" i="5" s="1"/>
  <c r="B81" i="5"/>
  <c r="C81" i="5" s="1"/>
  <c r="B18" i="5"/>
  <c r="B22" i="5"/>
  <c r="B26" i="5"/>
  <c r="B29" i="5" s="1"/>
  <c r="B33" i="5" s="1"/>
  <c r="B39" i="5"/>
  <c r="B53" i="5"/>
  <c r="B54" i="5" s="1"/>
  <c r="U46" i="5"/>
  <c r="AD107" i="5"/>
  <c r="U85" i="5"/>
  <c r="U86" i="5"/>
  <c r="U84" i="5"/>
  <c r="B59" i="5"/>
  <c r="B60" i="5" s="1"/>
  <c r="B111" i="5"/>
  <c r="U33" i="5"/>
  <c r="U100" i="5"/>
  <c r="U101" i="5"/>
  <c r="U102" i="5"/>
  <c r="U103" i="5"/>
  <c r="U105" i="5"/>
  <c r="U106" i="5"/>
  <c r="U107" i="5"/>
  <c r="U108" i="5"/>
  <c r="U110" i="5"/>
  <c r="U111" i="5"/>
  <c r="U99" i="5"/>
  <c r="U90" i="5"/>
  <c r="U91" i="5"/>
  <c r="U93" i="5"/>
  <c r="U94" i="5"/>
  <c r="U95" i="5"/>
  <c r="U89" i="5"/>
  <c r="A118" i="5"/>
  <c r="A77" i="5"/>
  <c r="T79" i="5"/>
  <c r="U39" i="6"/>
  <c r="U70" i="5"/>
  <c r="U69" i="5"/>
  <c r="U68" i="5"/>
  <c r="U67" i="5"/>
  <c r="U66" i="5"/>
  <c r="U64" i="5"/>
  <c r="U62" i="5"/>
  <c r="U57" i="5"/>
  <c r="U59" i="5"/>
  <c r="U60" i="5"/>
  <c r="U56" i="5"/>
  <c r="U37" i="5"/>
  <c r="U38" i="5"/>
  <c r="U36" i="5"/>
  <c r="U31" i="5"/>
  <c r="U27" i="5"/>
  <c r="U28" i="5"/>
  <c r="U29" i="5"/>
  <c r="U26" i="5"/>
  <c r="U45" i="6"/>
  <c r="U44" i="6"/>
  <c r="U43" i="6"/>
  <c r="U41" i="6"/>
  <c r="U40" i="6"/>
  <c r="U34" i="6"/>
  <c r="U33" i="6"/>
  <c r="U31" i="6"/>
  <c r="U25" i="6"/>
  <c r="U24" i="6"/>
  <c r="U23" i="6"/>
  <c r="U22" i="6"/>
  <c r="U21" i="6"/>
  <c r="U20" i="6"/>
  <c r="U19" i="6"/>
  <c r="U18" i="6"/>
  <c r="U17" i="6"/>
  <c r="U15" i="6"/>
  <c r="U14" i="6"/>
  <c r="U13" i="6"/>
  <c r="U12" i="6"/>
  <c r="AA99" i="5"/>
  <c r="AA89" i="5"/>
  <c r="U48" i="5"/>
  <c r="U49" i="5"/>
  <c r="U50" i="5"/>
  <c r="U53" i="5"/>
  <c r="U44" i="5"/>
  <c r="U13" i="5"/>
  <c r="U18" i="5"/>
  <c r="U22" i="5"/>
  <c r="U23" i="5"/>
  <c r="U11" i="5"/>
  <c r="A116" i="5"/>
  <c r="M161" i="5" l="1"/>
  <c r="T69" i="5"/>
  <c r="C126" i="5"/>
  <c r="M146" i="5"/>
  <c r="X103" i="5"/>
  <c r="AC101" i="5"/>
  <c r="AE100" i="5"/>
  <c r="Z85" i="5"/>
  <c r="Z91" i="5"/>
  <c r="Z101" i="5"/>
  <c r="AD90" i="5"/>
  <c r="W86" i="5"/>
  <c r="W94" i="5"/>
  <c r="W106" i="5"/>
  <c r="AA95" i="5"/>
  <c r="Z89" i="5"/>
  <c r="Z94" i="5"/>
  <c r="AD89" i="5"/>
  <c r="M33" i="5"/>
  <c r="G127" i="5"/>
  <c r="J69" i="5"/>
  <c r="J155" i="5" s="1"/>
  <c r="U116" i="5"/>
  <c r="A172" i="5"/>
  <c r="U118" i="5"/>
  <c r="A174" i="5"/>
  <c r="AB93" i="5"/>
  <c r="X95" i="5"/>
  <c r="AC86" i="5"/>
  <c r="Z99" i="5"/>
  <c r="X106" i="5"/>
  <c r="AC95" i="5"/>
  <c r="AC84" i="5"/>
  <c r="AE86" i="5"/>
  <c r="K54" i="5"/>
  <c r="K126" i="5" s="1"/>
  <c r="W85" i="5"/>
  <c r="AA86" i="5"/>
  <c r="W90" i="5"/>
  <c r="AA91" i="5"/>
  <c r="W100" i="5"/>
  <c r="AA101" i="5"/>
  <c r="W84" i="5"/>
  <c r="W103" i="5"/>
  <c r="W89" i="5"/>
  <c r="AA90" i="5"/>
  <c r="W93" i="5"/>
  <c r="W99" i="5"/>
  <c r="AA100" i="5"/>
  <c r="W102" i="5"/>
  <c r="W107" i="5"/>
  <c r="W95" i="5"/>
  <c r="AA85" i="5"/>
  <c r="W91" i="5"/>
  <c r="AA93" i="5"/>
  <c r="AA103" i="5"/>
  <c r="AA107" i="5"/>
  <c r="AB90" i="5"/>
  <c r="I131" i="5"/>
  <c r="W96" i="5"/>
  <c r="I126" i="5"/>
  <c r="X89" i="5"/>
  <c r="X94" i="5"/>
  <c r="X99" i="5"/>
  <c r="AB99" i="5"/>
  <c r="AD100" i="5"/>
  <c r="Z95" i="5"/>
  <c r="F144" i="5"/>
  <c r="AD93" i="5"/>
  <c r="J60" i="5"/>
  <c r="Z96" i="5"/>
  <c r="X85" i="5"/>
  <c r="X91" i="5"/>
  <c r="X96" i="5"/>
  <c r="X101" i="5"/>
  <c r="Z106" i="5"/>
  <c r="AD85" i="5"/>
  <c r="B40" i="5"/>
  <c r="Y86" i="5"/>
  <c r="Y100" i="5"/>
  <c r="AC89" i="5"/>
  <c r="AC96" i="5"/>
  <c r="AC107" i="5"/>
  <c r="AC90" i="5"/>
  <c r="K23" i="5"/>
  <c r="Y90" i="5"/>
  <c r="Y96" i="5"/>
  <c r="AC91" i="5"/>
  <c r="AC99" i="5"/>
  <c r="Y84" i="5"/>
  <c r="Y95" i="5"/>
  <c r="J127" i="5"/>
  <c r="F127" i="5"/>
  <c r="Y85" i="5"/>
  <c r="Y89" i="5"/>
  <c r="Y91" i="5"/>
  <c r="Y93" i="5"/>
  <c r="Y94" i="5"/>
  <c r="Y99" i="5"/>
  <c r="Y101" i="5"/>
  <c r="Y102" i="5"/>
  <c r="Y103" i="5"/>
  <c r="Y106" i="5"/>
  <c r="AC85" i="5"/>
  <c r="AC93" i="5"/>
  <c r="I127" i="5"/>
  <c r="Z103" i="5"/>
  <c r="K36" i="6"/>
  <c r="K136" i="5"/>
  <c r="L125" i="5"/>
  <c r="B23" i="5"/>
  <c r="B41" i="5" s="1"/>
  <c r="H62" i="5"/>
  <c r="H70" i="5" s="1"/>
  <c r="H127" i="5"/>
  <c r="AC103" i="5"/>
  <c r="L126" i="5"/>
  <c r="K144" i="5"/>
  <c r="K145" i="5"/>
  <c r="K209" i="5"/>
  <c r="AE92" i="5"/>
  <c r="J165" i="5"/>
  <c r="J97" i="5"/>
  <c r="J105" i="5" s="1"/>
  <c r="K39" i="5"/>
  <c r="H136" i="5"/>
  <c r="H212" i="5" s="1"/>
  <c r="H145" i="5"/>
  <c r="H147" i="5"/>
  <c r="H144" i="5"/>
  <c r="AB92" i="5"/>
  <c r="H209" i="5"/>
  <c r="AB91" i="5"/>
  <c r="J136" i="5"/>
  <c r="J212" i="5" s="1"/>
  <c r="J145" i="5"/>
  <c r="J144" i="5"/>
  <c r="AD92" i="5"/>
  <c r="J209" i="5"/>
  <c r="M221" i="5"/>
  <c r="M167" i="5"/>
  <c r="M166" i="5"/>
  <c r="M165" i="5"/>
  <c r="M162" i="5"/>
  <c r="M155" i="5"/>
  <c r="M131" i="5"/>
  <c r="N139" i="5"/>
  <c r="T139" i="5" s="1"/>
  <c r="N140" i="5"/>
  <c r="T140" i="5" s="1"/>
  <c r="L127" i="5"/>
  <c r="L145" i="5"/>
  <c r="L144" i="5"/>
  <c r="L136" i="5"/>
  <c r="AF92" i="5"/>
  <c r="L209" i="5"/>
  <c r="K221" i="5"/>
  <c r="G136" i="5"/>
  <c r="G212" i="5" s="1"/>
  <c r="G144" i="5"/>
  <c r="G145" i="5"/>
  <c r="AA94" i="5"/>
  <c r="I136" i="5"/>
  <c r="I212" i="5" s="1"/>
  <c r="I144" i="5"/>
  <c r="I145" i="5"/>
  <c r="I147" i="5"/>
  <c r="I209" i="5"/>
  <c r="AC92" i="5"/>
  <c r="M125" i="5"/>
  <c r="N146" i="5"/>
  <c r="T146" i="5" s="1"/>
  <c r="M209" i="5"/>
  <c r="M144" i="5"/>
  <c r="M136" i="5"/>
  <c r="N209" i="5"/>
  <c r="T127" i="5"/>
  <c r="L221" i="5"/>
  <c r="L131" i="5"/>
  <c r="L167" i="5"/>
  <c r="L166" i="5"/>
  <c r="L165" i="5"/>
  <c r="L162" i="5"/>
  <c r="L161" i="5"/>
  <c r="L155" i="5"/>
  <c r="X86" i="5"/>
  <c r="Z86" i="5"/>
  <c r="X90" i="5"/>
  <c r="Z90" i="5"/>
  <c r="X93" i="5"/>
  <c r="Z93" i="5"/>
  <c r="X100" i="5"/>
  <c r="Z100" i="5"/>
  <c r="X102" i="5"/>
  <c r="Z102" i="5"/>
  <c r="Z107" i="5"/>
  <c r="X107" i="5"/>
  <c r="AB86" i="5"/>
  <c r="AB95" i="5"/>
  <c r="AB100" i="5"/>
  <c r="AB107" i="5"/>
  <c r="V81" i="5"/>
  <c r="B122" i="5"/>
  <c r="AB89" i="5"/>
  <c r="AD86" i="5"/>
  <c r="AD99" i="5"/>
  <c r="AD103" i="5"/>
  <c r="AB84" i="5"/>
  <c r="Z84" i="5"/>
  <c r="X84" i="5"/>
  <c r="F145" i="5"/>
  <c r="AD95" i="5"/>
  <c r="AD91" i="5"/>
  <c r="AD96" i="5"/>
  <c r="AE84" i="5"/>
  <c r="AE90" i="5"/>
  <c r="AE95" i="5"/>
  <c r="AE107" i="5"/>
  <c r="H126" i="5"/>
  <c r="F126" i="5"/>
  <c r="K155" i="5"/>
  <c r="K33" i="5"/>
  <c r="AG92" i="5"/>
  <c r="E165" i="5"/>
  <c r="E155" i="5"/>
  <c r="E131" i="5"/>
  <c r="H97" i="5"/>
  <c r="AB97" i="5" s="1"/>
  <c r="AB96" i="5"/>
  <c r="D23" i="5"/>
  <c r="D125" i="5" s="1"/>
  <c r="K162" i="5"/>
  <c r="J23" i="5"/>
  <c r="I97" i="5"/>
  <c r="AC97" i="5" s="1"/>
  <c r="B167" i="5"/>
  <c r="B165" i="5"/>
  <c r="B166" i="5"/>
  <c r="B162" i="5"/>
  <c r="B161" i="5"/>
  <c r="B155" i="5"/>
  <c r="E23" i="5"/>
  <c r="E41" i="5" s="1"/>
  <c r="J39" i="5"/>
  <c r="W81" i="5"/>
  <c r="B131" i="5"/>
  <c r="B62" i="5"/>
  <c r="B130" i="5" s="1"/>
  <c r="X8" i="5"/>
  <c r="C122" i="5"/>
  <c r="E40" i="5"/>
  <c r="E132" i="5"/>
  <c r="C40" i="5"/>
  <c r="C147" i="5"/>
  <c r="C166" i="5"/>
  <c r="C165" i="5"/>
  <c r="C162" i="5"/>
  <c r="C131" i="5"/>
  <c r="C167" i="5"/>
  <c r="C132" i="5"/>
  <c r="B126" i="5"/>
  <c r="E147" i="5"/>
  <c r="D40" i="5"/>
  <c r="B132" i="5"/>
  <c r="I23" i="5"/>
  <c r="I125" i="5" s="1"/>
  <c r="D145" i="5"/>
  <c r="D127" i="5"/>
  <c r="E126" i="5"/>
  <c r="C23" i="5"/>
  <c r="C125" i="5" s="1"/>
  <c r="G54" i="5"/>
  <c r="G60" i="5"/>
  <c r="D126" i="5"/>
  <c r="E162" i="5"/>
  <c r="E166" i="5"/>
  <c r="G69" i="5"/>
  <c r="G132" i="5" s="1"/>
  <c r="J29" i="5"/>
  <c r="H23" i="5"/>
  <c r="H125" i="5" s="1"/>
  <c r="F23" i="5"/>
  <c r="F125" i="5" s="1"/>
  <c r="AG10" i="6"/>
  <c r="H155" i="5"/>
  <c r="H166" i="5"/>
  <c r="H161" i="5"/>
  <c r="H131" i="5"/>
  <c r="H165" i="5"/>
  <c r="H167" i="5"/>
  <c r="H162" i="5"/>
  <c r="D165" i="5"/>
  <c r="D167" i="5"/>
  <c r="D162" i="5"/>
  <c r="D131" i="5"/>
  <c r="D132" i="5"/>
  <c r="D166" i="5"/>
  <c r="D161" i="5"/>
  <c r="D163" i="5" s="1"/>
  <c r="B86" i="5"/>
  <c r="V84" i="5" s="1"/>
  <c r="D136" i="5"/>
  <c r="X10" i="6"/>
  <c r="D97" i="5"/>
  <c r="E127" i="5"/>
  <c r="D147" i="5"/>
  <c r="I62" i="5"/>
  <c r="I130" i="5" s="1"/>
  <c r="F62" i="5"/>
  <c r="E62" i="5"/>
  <c r="E70" i="5" s="1"/>
  <c r="D62" i="5"/>
  <c r="C62" i="5"/>
  <c r="C70" i="5" s="1"/>
  <c r="I155" i="5"/>
  <c r="I166" i="5"/>
  <c r="I161" i="5"/>
  <c r="I165" i="5"/>
  <c r="I167" i="5"/>
  <c r="I162" i="5"/>
  <c r="F165" i="5"/>
  <c r="F167" i="5"/>
  <c r="F162" i="5"/>
  <c r="F131" i="5"/>
  <c r="F166" i="5"/>
  <c r="F161" i="5"/>
  <c r="C136" i="5"/>
  <c r="W10" i="6"/>
  <c r="C144" i="5"/>
  <c r="C145" i="5"/>
  <c r="C97" i="5"/>
  <c r="E136" i="5"/>
  <c r="Y10" i="6"/>
  <c r="E97" i="5"/>
  <c r="E144" i="5"/>
  <c r="E145" i="5"/>
  <c r="K158" i="5"/>
  <c r="J158" i="5"/>
  <c r="AF10" i="6"/>
  <c r="D81" i="5"/>
  <c r="AE85" i="5"/>
  <c r="AE89" i="5"/>
  <c r="AE91" i="5"/>
  <c r="AE99" i="5"/>
  <c r="K127" i="5"/>
  <c r="J54" i="5"/>
  <c r="AE103" i="5"/>
  <c r="C161" i="5"/>
  <c r="K161" i="5"/>
  <c r="E161" i="5"/>
  <c r="K166" i="5"/>
  <c r="E167" i="5"/>
  <c r="G23" i="5"/>
  <c r="G41" i="5" s="1"/>
  <c r="G96" i="5"/>
  <c r="F97" i="5"/>
  <c r="Z10" i="6"/>
  <c r="AA10" i="6"/>
  <c r="AB10" i="6"/>
  <c r="AC10" i="6"/>
  <c r="AD10" i="6"/>
  <c r="L33" i="5"/>
  <c r="AF85" i="5"/>
  <c r="AF89" i="5"/>
  <c r="AF91" i="5"/>
  <c r="AF96" i="5"/>
  <c r="AF99" i="5"/>
  <c r="AF103" i="5"/>
  <c r="L97" i="5"/>
  <c r="AF84" i="5"/>
  <c r="AF86" i="5"/>
  <c r="AF90" i="5"/>
  <c r="AF93" i="5"/>
  <c r="AF95" i="5"/>
  <c r="AF100" i="5"/>
  <c r="AF107" i="5"/>
  <c r="L62" i="5"/>
  <c r="L40" i="5"/>
  <c r="D8" i="6"/>
  <c r="X8" i="6" s="1"/>
  <c r="E8" i="5"/>
  <c r="C8" i="6"/>
  <c r="W8" i="6" s="1"/>
  <c r="K167" i="5"/>
  <c r="K165" i="5"/>
  <c r="K131" i="5"/>
  <c r="AE96" i="5"/>
  <c r="K97" i="5"/>
  <c r="AE10" i="6"/>
  <c r="M62" i="5"/>
  <c r="T62" i="5" s="1"/>
  <c r="I40" i="5"/>
  <c r="I132" i="5"/>
  <c r="H40" i="5"/>
  <c r="H132" i="5"/>
  <c r="G40" i="5"/>
  <c r="F33" i="5"/>
  <c r="G147" i="5" s="1"/>
  <c r="M97" i="5"/>
  <c r="T97" i="5" s="1"/>
  <c r="AG84" i="5"/>
  <c r="AG86" i="5"/>
  <c r="AG90" i="5"/>
  <c r="AG93" i="5"/>
  <c r="AG95" i="5"/>
  <c r="AG100" i="5"/>
  <c r="AG107" i="5"/>
  <c r="AG85" i="5"/>
  <c r="AG89" i="5"/>
  <c r="AG91" i="5"/>
  <c r="AG96" i="5"/>
  <c r="AG99" i="5"/>
  <c r="AG103" i="5"/>
  <c r="U3" i="5"/>
  <c r="U75" i="5"/>
  <c r="A75" i="5"/>
  <c r="V60" i="5" l="1"/>
  <c r="M132" i="5"/>
  <c r="T33" i="5"/>
  <c r="M40" i="5"/>
  <c r="T40" i="5" s="1"/>
  <c r="K62" i="5"/>
  <c r="K130" i="5" s="1"/>
  <c r="J161" i="5"/>
  <c r="J166" i="5"/>
  <c r="D41" i="5"/>
  <c r="M41" i="5"/>
  <c r="T41" i="5" s="1"/>
  <c r="J131" i="5"/>
  <c r="M130" i="5"/>
  <c r="M212" i="5"/>
  <c r="J167" i="5"/>
  <c r="J162" i="5"/>
  <c r="N147" i="5"/>
  <c r="T147" i="5" s="1"/>
  <c r="K125" i="5"/>
  <c r="K132" i="5"/>
  <c r="B125" i="5"/>
  <c r="I105" i="5"/>
  <c r="I154" i="5" s="1"/>
  <c r="G166" i="5"/>
  <c r="G161" i="5"/>
  <c r="H105" i="5"/>
  <c r="H154" i="5" s="1"/>
  <c r="C146" i="5"/>
  <c r="E169" i="5"/>
  <c r="I146" i="5"/>
  <c r="B163" i="5"/>
  <c r="AD97" i="5"/>
  <c r="H41" i="5"/>
  <c r="B70" i="5"/>
  <c r="V70" i="5" s="1"/>
  <c r="AF43" i="6"/>
  <c r="AM10" i="6"/>
  <c r="K41" i="5"/>
  <c r="E163" i="5"/>
  <c r="H130" i="5"/>
  <c r="L146" i="5"/>
  <c r="B169" i="5"/>
  <c r="AA33" i="5"/>
  <c r="L70" i="5"/>
  <c r="AA40" i="5"/>
  <c r="L130" i="5"/>
  <c r="L132" i="5"/>
  <c r="M147" i="5"/>
  <c r="L212" i="5"/>
  <c r="AF36" i="6"/>
  <c r="M222" i="5"/>
  <c r="M220" i="5"/>
  <c r="J154" i="5"/>
  <c r="K212" i="5"/>
  <c r="K222" i="5"/>
  <c r="K220" i="5"/>
  <c r="L222" i="5"/>
  <c r="L220" i="5"/>
  <c r="I41" i="5"/>
  <c r="K40" i="5"/>
  <c r="K163" i="5"/>
  <c r="K146" i="5"/>
  <c r="C163" i="5"/>
  <c r="E146" i="5"/>
  <c r="E125" i="5"/>
  <c r="L163" i="5"/>
  <c r="L169" i="5"/>
  <c r="AF33" i="6"/>
  <c r="AF15" i="6"/>
  <c r="AF20" i="6"/>
  <c r="AF21" i="6"/>
  <c r="AF47" i="6"/>
  <c r="AF24" i="6"/>
  <c r="AM24" i="6" s="1"/>
  <c r="AE33" i="6"/>
  <c r="AF18" i="6"/>
  <c r="AF25" i="6"/>
  <c r="AF44" i="6"/>
  <c r="AF14" i="6"/>
  <c r="AF22" i="6"/>
  <c r="AF34" i="6"/>
  <c r="AM34" i="6" s="1"/>
  <c r="L147" i="5"/>
  <c r="AG22" i="6"/>
  <c r="AG20" i="6"/>
  <c r="AG21" i="6"/>
  <c r="M105" i="5"/>
  <c r="T105" i="5" s="1"/>
  <c r="AF31" i="6"/>
  <c r="Y23" i="5"/>
  <c r="F163" i="5"/>
  <c r="F169" i="5"/>
  <c r="I169" i="5"/>
  <c r="C127" i="5"/>
  <c r="Y70" i="5"/>
  <c r="M70" i="5"/>
  <c r="T70" i="5" s="1"/>
  <c r="AG44" i="6"/>
  <c r="AG25" i="6"/>
  <c r="AG15" i="6"/>
  <c r="AG33" i="6"/>
  <c r="AG18" i="6"/>
  <c r="AG47" i="6"/>
  <c r="AG43" i="6"/>
  <c r="AG31" i="6"/>
  <c r="AG14" i="6"/>
  <c r="AG36" i="6"/>
  <c r="G62" i="5"/>
  <c r="AA62" i="5" s="1"/>
  <c r="G126" i="5"/>
  <c r="Y46" i="5"/>
  <c r="Y39" i="5"/>
  <c r="Y26" i="5"/>
  <c r="Y69" i="5"/>
  <c r="Y67" i="5"/>
  <c r="Y60" i="5"/>
  <c r="Y57" i="5"/>
  <c r="Y54" i="5"/>
  <c r="Y50" i="5"/>
  <c r="Y48" i="5"/>
  <c r="Y41" i="5"/>
  <c r="Y36" i="5"/>
  <c r="Y29" i="5"/>
  <c r="Y27" i="5"/>
  <c r="Y22" i="5"/>
  <c r="Y13" i="5"/>
  <c r="Y64" i="5"/>
  <c r="Y56" i="5"/>
  <c r="Y53" i="5"/>
  <c r="Y49" i="5"/>
  <c r="Y44" i="5"/>
  <c r="Y37" i="5"/>
  <c r="Y28" i="5"/>
  <c r="Y18" i="5"/>
  <c r="Y11" i="5"/>
  <c r="Y31" i="5"/>
  <c r="Y38" i="5"/>
  <c r="Y68" i="5"/>
  <c r="Y59" i="5"/>
  <c r="Y8" i="5"/>
  <c r="D122" i="5"/>
  <c r="K169" i="5"/>
  <c r="I70" i="5"/>
  <c r="H163" i="5"/>
  <c r="H169" i="5"/>
  <c r="C169" i="5"/>
  <c r="Y33" i="5"/>
  <c r="Y40" i="5"/>
  <c r="J33" i="5"/>
  <c r="K147" i="5" s="1"/>
  <c r="G155" i="5"/>
  <c r="G167" i="5"/>
  <c r="G131" i="5"/>
  <c r="G165" i="5"/>
  <c r="G162" i="5"/>
  <c r="C41" i="5"/>
  <c r="D146" i="5"/>
  <c r="F146" i="5"/>
  <c r="AC14" i="6"/>
  <c r="AC15" i="6"/>
  <c r="AC17" i="6"/>
  <c r="AC18" i="6"/>
  <c r="AC20" i="6"/>
  <c r="AC21" i="6"/>
  <c r="AC22" i="6"/>
  <c r="AC24" i="6"/>
  <c r="AC25" i="6"/>
  <c r="AC31" i="6"/>
  <c r="AC33" i="6"/>
  <c r="AC36" i="6"/>
  <c r="AC43" i="6"/>
  <c r="AC44" i="6"/>
  <c r="AC47" i="6"/>
  <c r="AA51" i="6"/>
  <c r="AA53" i="6"/>
  <c r="AA14" i="6"/>
  <c r="AA15" i="6"/>
  <c r="AA17" i="6"/>
  <c r="AA20" i="6"/>
  <c r="AA21" i="6"/>
  <c r="AA22" i="6"/>
  <c r="AA23" i="6"/>
  <c r="AA24" i="6"/>
  <c r="AA25" i="6"/>
  <c r="AA31" i="6"/>
  <c r="AA33" i="6"/>
  <c r="AA36" i="6"/>
  <c r="AA41" i="6"/>
  <c r="AA43" i="6"/>
  <c r="AA44" i="6"/>
  <c r="AA47" i="6"/>
  <c r="F105" i="5"/>
  <c r="F154" i="5" s="1"/>
  <c r="Z97" i="5"/>
  <c r="G125" i="5"/>
  <c r="H146" i="5"/>
  <c r="J126" i="5"/>
  <c r="J62" i="5"/>
  <c r="J125" i="5"/>
  <c r="J146" i="5"/>
  <c r="E81" i="5"/>
  <c r="X81" i="5"/>
  <c r="Y51" i="6"/>
  <c r="Y53" i="6"/>
  <c r="Y14" i="6"/>
  <c r="Y15" i="6"/>
  <c r="Y17" i="6"/>
  <c r="Y18" i="6"/>
  <c r="Y20" i="6"/>
  <c r="Y21" i="6"/>
  <c r="Y22" i="6"/>
  <c r="Y23" i="6"/>
  <c r="Y24" i="6"/>
  <c r="Y25" i="6"/>
  <c r="Y31" i="6"/>
  <c r="Y33" i="6"/>
  <c r="Y34" i="6"/>
  <c r="Y36" i="6"/>
  <c r="Y39" i="6"/>
  <c r="Y40" i="6"/>
  <c r="Y41" i="6"/>
  <c r="Y43" i="6"/>
  <c r="Y44" i="6"/>
  <c r="Y45" i="6"/>
  <c r="Y47" i="6"/>
  <c r="C105" i="5"/>
  <c r="C154" i="5" s="1"/>
  <c r="W97" i="5"/>
  <c r="C130" i="5"/>
  <c r="E130" i="5"/>
  <c r="Y62" i="5"/>
  <c r="V69" i="5"/>
  <c r="V67" i="5"/>
  <c r="V62" i="5"/>
  <c r="V59" i="5"/>
  <c r="V56" i="5"/>
  <c r="V53" i="5"/>
  <c r="V49" i="5"/>
  <c r="V44" i="5"/>
  <c r="V39" i="5"/>
  <c r="V37" i="5"/>
  <c r="V33" i="5"/>
  <c r="V26" i="5"/>
  <c r="V28" i="5"/>
  <c r="V23" i="5"/>
  <c r="V18" i="5"/>
  <c r="V11" i="5"/>
  <c r="V68" i="5"/>
  <c r="V64" i="5"/>
  <c r="V57" i="5"/>
  <c r="V54" i="5"/>
  <c r="V50" i="5"/>
  <c r="V48" i="5"/>
  <c r="V41" i="5"/>
  <c r="V38" i="5"/>
  <c r="V36" i="5"/>
  <c r="V31" i="5"/>
  <c r="V29" i="5"/>
  <c r="V27" i="5"/>
  <c r="V22" i="5"/>
  <c r="V13" i="5"/>
  <c r="D105" i="5"/>
  <c r="D154" i="5" s="1"/>
  <c r="X97" i="5"/>
  <c r="G146" i="5"/>
  <c r="D169" i="5"/>
  <c r="V40" i="5"/>
  <c r="AD14" i="6"/>
  <c r="AD15" i="6"/>
  <c r="AD18" i="6"/>
  <c r="AD21" i="6"/>
  <c r="AD22" i="6"/>
  <c r="AD24" i="6"/>
  <c r="AD25" i="6"/>
  <c r="AD31" i="6"/>
  <c r="AD33" i="6"/>
  <c r="AD34" i="6"/>
  <c r="AD36" i="6"/>
  <c r="AD41" i="6"/>
  <c r="AD43" i="6"/>
  <c r="AD44" i="6"/>
  <c r="AD47" i="6"/>
  <c r="AB14" i="6"/>
  <c r="AB15" i="6"/>
  <c r="AB20" i="6"/>
  <c r="AB21" i="6"/>
  <c r="AB22" i="6"/>
  <c r="AB23" i="6"/>
  <c r="AB24" i="6"/>
  <c r="AB25" i="6"/>
  <c r="AB31" i="6"/>
  <c r="AB33" i="6"/>
  <c r="AB36" i="6"/>
  <c r="AB40" i="6"/>
  <c r="AB43" i="6"/>
  <c r="AB44" i="6"/>
  <c r="AB47" i="6"/>
  <c r="AB51" i="6"/>
  <c r="Z14" i="6"/>
  <c r="Z15" i="6"/>
  <c r="Z17" i="6"/>
  <c r="Z18" i="6"/>
  <c r="Z20" i="6"/>
  <c r="Z21" i="6"/>
  <c r="Z22" i="6"/>
  <c r="Z23" i="6"/>
  <c r="Z24" i="6"/>
  <c r="Z25" i="6"/>
  <c r="Z31" i="6"/>
  <c r="Z33" i="6"/>
  <c r="Z34" i="6"/>
  <c r="Z36" i="6"/>
  <c r="Z39" i="6"/>
  <c r="Z40" i="6"/>
  <c r="Z41" i="6"/>
  <c r="Z43" i="6"/>
  <c r="Z44" i="6"/>
  <c r="Z45" i="6"/>
  <c r="Z47" i="6"/>
  <c r="Z51" i="6"/>
  <c r="Z53" i="6"/>
  <c r="G97" i="5"/>
  <c r="AA96" i="5"/>
  <c r="E105" i="5"/>
  <c r="E154" i="5" s="1"/>
  <c r="Y97" i="5"/>
  <c r="W51" i="6"/>
  <c r="W53" i="6"/>
  <c r="W14" i="6"/>
  <c r="W15" i="6"/>
  <c r="W17" i="6"/>
  <c r="W18" i="6"/>
  <c r="W20" i="6"/>
  <c r="W21" i="6"/>
  <c r="W22" i="6"/>
  <c r="W23" i="6"/>
  <c r="W24" i="6"/>
  <c r="W25" i="6"/>
  <c r="W31" i="6"/>
  <c r="W33" i="6"/>
  <c r="W34" i="6"/>
  <c r="W36" i="6"/>
  <c r="W39" i="6"/>
  <c r="W40" i="6"/>
  <c r="W41" i="6"/>
  <c r="W43" i="6"/>
  <c r="W44" i="6"/>
  <c r="W45" i="6"/>
  <c r="W47" i="6"/>
  <c r="D130" i="5"/>
  <c r="F70" i="5"/>
  <c r="F130" i="5"/>
  <c r="X14" i="6"/>
  <c r="X15" i="6"/>
  <c r="X17" i="6"/>
  <c r="X18" i="6"/>
  <c r="X20" i="6"/>
  <c r="X21" i="6"/>
  <c r="X22" i="6"/>
  <c r="X23" i="6"/>
  <c r="X24" i="6"/>
  <c r="X25" i="6"/>
  <c r="X31" i="6"/>
  <c r="X33" i="6"/>
  <c r="X34" i="6"/>
  <c r="X36" i="6"/>
  <c r="X39" i="6"/>
  <c r="X40" i="6"/>
  <c r="X41" i="6"/>
  <c r="X43" i="6"/>
  <c r="X44" i="6"/>
  <c r="X45" i="6"/>
  <c r="X47" i="6"/>
  <c r="X53" i="6"/>
  <c r="X51" i="6"/>
  <c r="B136" i="5"/>
  <c r="V10" i="6"/>
  <c r="B97" i="5"/>
  <c r="B147" i="5"/>
  <c r="B145" i="5"/>
  <c r="B127" i="5"/>
  <c r="V107" i="5"/>
  <c r="V103" i="5"/>
  <c r="V101" i="5"/>
  <c r="V99" i="5"/>
  <c r="V96" i="5"/>
  <c r="V94" i="5"/>
  <c r="V91" i="5"/>
  <c r="V89" i="5"/>
  <c r="V85" i="5"/>
  <c r="B148" i="5"/>
  <c r="B146" i="5"/>
  <c r="B144" i="5"/>
  <c r="V106" i="5"/>
  <c r="V102" i="5"/>
  <c r="V100" i="5"/>
  <c r="V95" i="5"/>
  <c r="V93" i="5"/>
  <c r="V90" i="5"/>
  <c r="V86" i="5"/>
  <c r="I163" i="5"/>
  <c r="D70" i="5"/>
  <c r="L41" i="5"/>
  <c r="AF97" i="5"/>
  <c r="L105" i="5"/>
  <c r="F8" i="5"/>
  <c r="E8" i="6"/>
  <c r="Y8" i="6" s="1"/>
  <c r="AG97" i="5"/>
  <c r="AE44" i="6"/>
  <c r="AE43" i="6"/>
  <c r="AE41" i="6"/>
  <c r="AE40" i="6"/>
  <c r="AE39" i="6"/>
  <c r="AE34" i="6"/>
  <c r="AE31" i="6"/>
  <c r="AE24" i="6"/>
  <c r="AE22" i="6"/>
  <c r="AE21" i="6"/>
  <c r="AE20" i="6"/>
  <c r="AE18" i="6"/>
  <c r="AE15" i="6"/>
  <c r="AE14" i="6"/>
  <c r="AE36" i="6"/>
  <c r="AE47" i="6"/>
  <c r="AE25" i="6"/>
  <c r="AE97" i="5"/>
  <c r="K105" i="5"/>
  <c r="AA31" i="5"/>
  <c r="AA49" i="5"/>
  <c r="AA48" i="5"/>
  <c r="AA44" i="5"/>
  <c r="AA41" i="5"/>
  <c r="AA37" i="5"/>
  <c r="AA36" i="5"/>
  <c r="AA29" i="5"/>
  <c r="AA27" i="5"/>
  <c r="AA23" i="5"/>
  <c r="AA22" i="5"/>
  <c r="AA18" i="5"/>
  <c r="AA13" i="5"/>
  <c r="AA11" i="5"/>
  <c r="AA50" i="5"/>
  <c r="AA38" i="5"/>
  <c r="AA39" i="5"/>
  <c r="AA26" i="5"/>
  <c r="AA69" i="5"/>
  <c r="AA68" i="5"/>
  <c r="AA67" i="5"/>
  <c r="AA60" i="5"/>
  <c r="AA59" i="5"/>
  <c r="AA57" i="5"/>
  <c r="AA56" i="5"/>
  <c r="AA54" i="5"/>
  <c r="AA53" i="5"/>
  <c r="F40" i="5"/>
  <c r="F147" i="5"/>
  <c r="F41" i="5"/>
  <c r="F132" i="5"/>
  <c r="J108" i="5"/>
  <c r="AD111" i="5" s="1"/>
  <c r="J133" i="5"/>
  <c r="AD105" i="5"/>
  <c r="W70" i="5" l="1"/>
  <c r="X33" i="5"/>
  <c r="G148" i="5"/>
  <c r="AB33" i="5"/>
  <c r="AC40" i="5"/>
  <c r="AE46" i="5"/>
  <c r="AC59" i="5"/>
  <c r="X64" i="5"/>
  <c r="AC31" i="5"/>
  <c r="AC50" i="5"/>
  <c r="AC60" i="5"/>
  <c r="AG44" i="5"/>
  <c r="X22" i="5"/>
  <c r="AC39" i="5"/>
  <c r="AC44" i="5"/>
  <c r="AG59" i="5"/>
  <c r="AB36" i="5"/>
  <c r="AC46" i="5"/>
  <c r="AC68" i="5"/>
  <c r="N138" i="5"/>
  <c r="T138" i="5" s="1"/>
  <c r="AG57" i="5"/>
  <c r="K70" i="5"/>
  <c r="AE70" i="5" s="1"/>
  <c r="AG23" i="5"/>
  <c r="AG18" i="5"/>
  <c r="X26" i="5"/>
  <c r="AG31" i="5"/>
  <c r="AG39" i="5"/>
  <c r="X18" i="5"/>
  <c r="J169" i="5"/>
  <c r="X29" i="5"/>
  <c r="X39" i="5"/>
  <c r="X28" i="5"/>
  <c r="X68" i="5"/>
  <c r="X70" i="5"/>
  <c r="X62" i="5"/>
  <c r="X54" i="5"/>
  <c r="X36" i="5"/>
  <c r="X49" i="5"/>
  <c r="E148" i="5"/>
  <c r="AC56" i="5"/>
  <c r="AC29" i="5"/>
  <c r="X57" i="5"/>
  <c r="X48" i="5"/>
  <c r="X53" i="5"/>
  <c r="X40" i="5"/>
  <c r="J163" i="5"/>
  <c r="AG36" i="5"/>
  <c r="AG48" i="5"/>
  <c r="AG60" i="5"/>
  <c r="AG29" i="5"/>
  <c r="AG41" i="5"/>
  <c r="AG62" i="5"/>
  <c r="AB62" i="5"/>
  <c r="N148" i="5"/>
  <c r="T148" i="5" s="1"/>
  <c r="AG27" i="5"/>
  <c r="AG22" i="5"/>
  <c r="AG38" i="5"/>
  <c r="AG50" i="5"/>
  <c r="AG68" i="5"/>
  <c r="AG33" i="5"/>
  <c r="AG49" i="5"/>
  <c r="AG67" i="5"/>
  <c r="AB57" i="5"/>
  <c r="X41" i="5"/>
  <c r="X67" i="5"/>
  <c r="X46" i="5"/>
  <c r="X60" i="5"/>
  <c r="X37" i="5"/>
  <c r="X56" i="5"/>
  <c r="X38" i="5"/>
  <c r="AG21" i="5"/>
  <c r="AG46" i="5"/>
  <c r="I108" i="5"/>
  <c r="J213" i="5" s="1"/>
  <c r="AG26" i="5"/>
  <c r="AG40" i="5"/>
  <c r="AG54" i="5"/>
  <c r="AG11" i="5"/>
  <c r="AG37" i="5"/>
  <c r="AG56" i="5"/>
  <c r="AG69" i="5"/>
  <c r="AB11" i="5"/>
  <c r="AB31" i="5"/>
  <c r="X13" i="5"/>
  <c r="X50" i="5"/>
  <c r="X69" i="5"/>
  <c r="X27" i="5"/>
  <c r="X11" i="5"/>
  <c r="X44" i="5"/>
  <c r="X59" i="5"/>
  <c r="X31" i="5"/>
  <c r="AG53" i="5"/>
  <c r="X23" i="5"/>
  <c r="AC22" i="5"/>
  <c r="AC41" i="5"/>
  <c r="AC62" i="5"/>
  <c r="AC18" i="5"/>
  <c r="AC49" i="5"/>
  <c r="AC37" i="5"/>
  <c r="I133" i="5"/>
  <c r="AB13" i="5"/>
  <c r="AC26" i="5"/>
  <c r="AC48" i="5"/>
  <c r="AC69" i="5"/>
  <c r="AC23" i="5"/>
  <c r="AC54" i="5"/>
  <c r="AE13" i="5"/>
  <c r="AB41" i="5"/>
  <c r="AB22" i="5"/>
  <c r="AB37" i="5"/>
  <c r="AB40" i="5"/>
  <c r="G163" i="5"/>
  <c r="AB59" i="5"/>
  <c r="AB49" i="5"/>
  <c r="AG70" i="5"/>
  <c r="AE23" i="5"/>
  <c r="AB105" i="5"/>
  <c r="AB23" i="5"/>
  <c r="AB48" i="5"/>
  <c r="AB67" i="5"/>
  <c r="AB38" i="5"/>
  <c r="AB60" i="5"/>
  <c r="AB27" i="5"/>
  <c r="AE29" i="5"/>
  <c r="AC105" i="5"/>
  <c r="H133" i="5"/>
  <c r="AB29" i="5"/>
  <c r="AB53" i="5"/>
  <c r="AB50" i="5"/>
  <c r="AB44" i="5"/>
  <c r="AB68" i="5"/>
  <c r="AC13" i="5"/>
  <c r="AC36" i="5"/>
  <c r="AC53" i="5"/>
  <c r="AC67" i="5"/>
  <c r="AC11" i="5"/>
  <c r="AC38" i="5"/>
  <c r="AC57" i="5"/>
  <c r="AC27" i="5"/>
  <c r="AC70" i="5"/>
  <c r="I148" i="5"/>
  <c r="H148" i="5"/>
  <c r="AE41" i="5"/>
  <c r="AE56" i="5"/>
  <c r="G169" i="5"/>
  <c r="H108" i="5"/>
  <c r="H12" i="6" s="1"/>
  <c r="AB18" i="5"/>
  <c r="AB39" i="5"/>
  <c r="AB56" i="5"/>
  <c r="AB69" i="5"/>
  <c r="AB26" i="5"/>
  <c r="AB54" i="5"/>
  <c r="AB70" i="5"/>
  <c r="AE54" i="5"/>
  <c r="AE62" i="5"/>
  <c r="AE26" i="5"/>
  <c r="AE60" i="5"/>
  <c r="AE39" i="5"/>
  <c r="AE69" i="5"/>
  <c r="AE36" i="5"/>
  <c r="AE11" i="5"/>
  <c r="AE48" i="5"/>
  <c r="AE19" i="5"/>
  <c r="AE40" i="5"/>
  <c r="AE31" i="5"/>
  <c r="AE50" i="5"/>
  <c r="AE68" i="5"/>
  <c r="AE27" i="5"/>
  <c r="AE44" i="5"/>
  <c r="AE59" i="5"/>
  <c r="AE49" i="5"/>
  <c r="AE33" i="5"/>
  <c r="AE22" i="5"/>
  <c r="AE38" i="5"/>
  <c r="AE57" i="5"/>
  <c r="AE18" i="5"/>
  <c r="AE37" i="5"/>
  <c r="AE53" i="5"/>
  <c r="AE67" i="5"/>
  <c r="AE21" i="5"/>
  <c r="AM31" i="6"/>
  <c r="AM14" i="6"/>
  <c r="AM20" i="6"/>
  <c r="AM43" i="6"/>
  <c r="AM25" i="6"/>
  <c r="AM47" i="6"/>
  <c r="AM33" i="6"/>
  <c r="AM36" i="6"/>
  <c r="AM22" i="6"/>
  <c r="AM44" i="6"/>
  <c r="AM18" i="6"/>
  <c r="AM21" i="6"/>
  <c r="AM15" i="6"/>
  <c r="K154" i="5"/>
  <c r="M148" i="5"/>
  <c r="AF46" i="5"/>
  <c r="W62" i="5"/>
  <c r="L148" i="5"/>
  <c r="Z33" i="5"/>
  <c r="M154" i="5"/>
  <c r="M133" i="5"/>
  <c r="L154" i="5"/>
  <c r="L133" i="5"/>
  <c r="J147" i="5"/>
  <c r="AC33" i="5"/>
  <c r="AG105" i="5"/>
  <c r="M108" i="5"/>
  <c r="T108" i="5" s="1"/>
  <c r="AF21" i="5"/>
  <c r="G130" i="5"/>
  <c r="G70" i="5"/>
  <c r="W23" i="5"/>
  <c r="W46" i="5"/>
  <c r="W39" i="5"/>
  <c r="W26" i="5"/>
  <c r="W67" i="5"/>
  <c r="W60" i="5"/>
  <c r="W57" i="5"/>
  <c r="W54" i="5"/>
  <c r="W50" i="5"/>
  <c r="W48" i="5"/>
  <c r="W41" i="5"/>
  <c r="W36" i="5"/>
  <c r="W29" i="5"/>
  <c r="W27" i="5"/>
  <c r="W22" i="5"/>
  <c r="W13" i="5"/>
  <c r="W68" i="5"/>
  <c r="W59" i="5"/>
  <c r="W53" i="5"/>
  <c r="W18" i="5"/>
  <c r="D148" i="5"/>
  <c r="W38" i="5"/>
  <c r="W31" i="5"/>
  <c r="W64" i="5"/>
  <c r="W56" i="5"/>
  <c r="W49" i="5"/>
  <c r="W44" i="5"/>
  <c r="W37" i="5"/>
  <c r="W28" i="5"/>
  <c r="W11" i="5"/>
  <c r="W33" i="5"/>
  <c r="W69" i="5"/>
  <c r="C148" i="5"/>
  <c r="J40" i="5"/>
  <c r="J132" i="5"/>
  <c r="J41" i="5"/>
  <c r="Z8" i="5"/>
  <c r="E122" i="5"/>
  <c r="W40" i="5"/>
  <c r="I137" i="5"/>
  <c r="V18" i="6"/>
  <c r="V51" i="6"/>
  <c r="V45" i="6"/>
  <c r="V43" i="6"/>
  <c r="V40" i="6"/>
  <c r="V34" i="6"/>
  <c r="V31" i="6"/>
  <c r="V25" i="6"/>
  <c r="V23" i="6"/>
  <c r="V21" i="6"/>
  <c r="V17" i="6"/>
  <c r="V14" i="6"/>
  <c r="V39" i="6"/>
  <c r="V47" i="6"/>
  <c r="V44" i="6"/>
  <c r="V41" i="6"/>
  <c r="V36" i="6"/>
  <c r="V33" i="6"/>
  <c r="V24" i="6"/>
  <c r="V22" i="6"/>
  <c r="V20" i="6"/>
  <c r="V15" i="6"/>
  <c r="D108" i="5"/>
  <c r="D157" i="5" s="1"/>
  <c r="X105" i="5"/>
  <c r="D133" i="5"/>
  <c r="C108" i="5"/>
  <c r="C157" i="5" s="1"/>
  <c r="C133" i="5"/>
  <c r="W105" i="5"/>
  <c r="F108" i="5"/>
  <c r="F157" i="5" s="1"/>
  <c r="F133" i="5"/>
  <c r="Z105" i="5"/>
  <c r="J137" i="5"/>
  <c r="J157" i="5"/>
  <c r="B105" i="5"/>
  <c r="B154" i="5" s="1"/>
  <c r="V97" i="5"/>
  <c r="E133" i="5"/>
  <c r="E108" i="5"/>
  <c r="E157" i="5" s="1"/>
  <c r="Y105" i="5"/>
  <c r="G105" i="5"/>
  <c r="AA97" i="5"/>
  <c r="F81" i="5"/>
  <c r="Y81" i="5"/>
  <c r="J130" i="5"/>
  <c r="J70" i="5"/>
  <c r="AF18" i="5"/>
  <c r="AF69" i="5"/>
  <c r="AF49" i="5"/>
  <c r="AF40" i="5"/>
  <c r="AF37" i="5"/>
  <c r="AF62" i="5"/>
  <c r="AF54" i="5"/>
  <c r="AF29" i="5"/>
  <c r="AF41" i="5"/>
  <c r="AF56" i="5"/>
  <c r="AF70" i="5"/>
  <c r="AF22" i="5"/>
  <c r="AF36" i="5"/>
  <c r="AF48" i="5"/>
  <c r="AF60" i="5"/>
  <c r="AF23" i="5"/>
  <c r="AF11" i="5"/>
  <c r="AF27" i="5"/>
  <c r="AF33" i="5"/>
  <c r="AF39" i="5"/>
  <c r="AF53" i="5"/>
  <c r="AF59" i="5"/>
  <c r="AF68" i="5"/>
  <c r="AF13" i="5"/>
  <c r="AF26" i="5"/>
  <c r="AF31" i="5"/>
  <c r="AF38" i="5"/>
  <c r="AF44" i="5"/>
  <c r="AF50" i="5"/>
  <c r="AF57" i="5"/>
  <c r="AF67" i="5"/>
  <c r="L108" i="5"/>
  <c r="AF105" i="5"/>
  <c r="F8" i="6"/>
  <c r="Z8" i="6" s="1"/>
  <c r="G8" i="5"/>
  <c r="AE105" i="5"/>
  <c r="K133" i="5"/>
  <c r="K108" i="5"/>
  <c r="Z50" i="5"/>
  <c r="F148" i="5"/>
  <c r="Z46" i="5"/>
  <c r="Z38" i="5"/>
  <c r="Z70" i="5"/>
  <c r="Z68" i="5"/>
  <c r="Z60" i="5"/>
  <c r="Z57" i="5"/>
  <c r="Z54" i="5"/>
  <c r="Z48" i="5"/>
  <c r="Z41" i="5"/>
  <c r="Z36" i="5"/>
  <c r="Z29" i="5"/>
  <c r="Z27" i="5"/>
  <c r="Z22" i="5"/>
  <c r="Z13" i="5"/>
  <c r="Z31" i="5"/>
  <c r="Z39" i="5"/>
  <c r="Z26" i="5"/>
  <c r="Z69" i="5"/>
  <c r="Z67" i="5"/>
  <c r="Z62" i="5"/>
  <c r="Z59" i="5"/>
  <c r="Z56" i="5"/>
  <c r="Z53" i="5"/>
  <c r="Z49" i="5"/>
  <c r="Z44" i="5"/>
  <c r="Z37" i="5"/>
  <c r="Z28" i="5"/>
  <c r="Z23" i="5"/>
  <c r="Z18" i="5"/>
  <c r="Z11" i="5"/>
  <c r="Z40" i="5"/>
  <c r="AC108" i="5"/>
  <c r="I140" i="5"/>
  <c r="AD108" i="5"/>
  <c r="J12" i="6"/>
  <c r="J140" i="5"/>
  <c r="J139" i="5"/>
  <c r="J148" i="5" l="1"/>
  <c r="I213" i="5"/>
  <c r="AC111" i="5"/>
  <c r="I138" i="5"/>
  <c r="I139" i="5"/>
  <c r="H137" i="5"/>
  <c r="I12" i="6"/>
  <c r="I28" i="6" s="1"/>
  <c r="I157" i="5"/>
  <c r="M217" i="5"/>
  <c r="AB108" i="5"/>
  <c r="H139" i="5"/>
  <c r="H157" i="5"/>
  <c r="H140" i="5"/>
  <c r="H138" i="5"/>
  <c r="AB111" i="5"/>
  <c r="M12" i="6"/>
  <c r="N213" i="5"/>
  <c r="K213" i="5"/>
  <c r="K217" i="5"/>
  <c r="L217" i="5"/>
  <c r="L140" i="5"/>
  <c r="M140" i="5"/>
  <c r="M157" i="5"/>
  <c r="M139" i="5"/>
  <c r="M138" i="5"/>
  <c r="M137" i="5"/>
  <c r="AG111" i="5"/>
  <c r="AG108" i="5"/>
  <c r="AD70" i="5"/>
  <c r="K148" i="5"/>
  <c r="M213" i="5"/>
  <c r="L157" i="5"/>
  <c r="L137" i="5"/>
  <c r="L139" i="5"/>
  <c r="L138" i="5"/>
  <c r="J138" i="5"/>
  <c r="F138" i="5"/>
  <c r="AD62" i="5"/>
  <c r="L213" i="5"/>
  <c r="AA8" i="5"/>
  <c r="F122" i="5"/>
  <c r="AD33" i="5"/>
  <c r="AD68" i="5"/>
  <c r="AD49" i="5"/>
  <c r="AD36" i="5"/>
  <c r="AD22" i="5"/>
  <c r="AD67" i="5"/>
  <c r="AD48" i="5"/>
  <c r="AD18" i="5"/>
  <c r="AD46" i="5"/>
  <c r="AD60" i="5"/>
  <c r="AD54" i="5"/>
  <c r="AD44" i="5"/>
  <c r="AD38" i="5"/>
  <c r="AD31" i="5"/>
  <c r="AD26" i="5"/>
  <c r="AD13" i="5"/>
  <c r="AD69" i="5"/>
  <c r="AD59" i="5"/>
  <c r="AD53" i="5"/>
  <c r="AD41" i="5"/>
  <c r="AD37" i="5"/>
  <c r="AD29" i="5"/>
  <c r="AD23" i="5"/>
  <c r="AD11" i="5"/>
  <c r="AD57" i="5"/>
  <c r="AD50" i="5"/>
  <c r="AD56" i="5"/>
  <c r="AD39" i="5"/>
  <c r="AD27" i="5"/>
  <c r="AA70" i="5"/>
  <c r="AD40" i="5"/>
  <c r="K137" i="5"/>
  <c r="AE111" i="5"/>
  <c r="K157" i="5"/>
  <c r="G81" i="5"/>
  <c r="Z81" i="5"/>
  <c r="B108" i="5"/>
  <c r="B157" i="5" s="1"/>
  <c r="V105" i="5"/>
  <c r="B133" i="5"/>
  <c r="F137" i="5"/>
  <c r="F12" i="6"/>
  <c r="F140" i="5"/>
  <c r="F139" i="5"/>
  <c r="Z110" i="5"/>
  <c r="Z108" i="5"/>
  <c r="Z111" i="5"/>
  <c r="D137" i="5"/>
  <c r="D12" i="6"/>
  <c r="D138" i="5"/>
  <c r="D140" i="5"/>
  <c r="X110" i="5"/>
  <c r="D139" i="5"/>
  <c r="X108" i="5"/>
  <c r="X111" i="5"/>
  <c r="G154" i="5"/>
  <c r="G108" i="5"/>
  <c r="G133" i="5"/>
  <c r="AA105" i="5"/>
  <c r="E137" i="5"/>
  <c r="E12" i="6"/>
  <c r="E140" i="5"/>
  <c r="E139" i="5"/>
  <c r="E138" i="5"/>
  <c r="Y108" i="5"/>
  <c r="Y111" i="5"/>
  <c r="Y110" i="5"/>
  <c r="M28" i="6"/>
  <c r="C137" i="5"/>
  <c r="C140" i="5"/>
  <c r="C139" i="5"/>
  <c r="C12" i="6"/>
  <c r="W111" i="5"/>
  <c r="C138" i="5"/>
  <c r="W108" i="5"/>
  <c r="W110" i="5"/>
  <c r="AF111" i="5"/>
  <c r="AF108" i="5"/>
  <c r="H8" i="5"/>
  <c r="G8" i="6"/>
  <c r="AA8" i="6" s="1"/>
  <c r="K140" i="5"/>
  <c r="K139" i="5"/>
  <c r="K12" i="6"/>
  <c r="AE108" i="5"/>
  <c r="K138" i="5"/>
  <c r="H28" i="6"/>
  <c r="AB12" i="6"/>
  <c r="J28" i="6"/>
  <c r="AD12" i="6"/>
  <c r="M156" i="5" l="1"/>
  <c r="T28" i="6"/>
  <c r="AG12" i="6"/>
  <c r="T12" i="6"/>
  <c r="AC12" i="6"/>
  <c r="J156" i="5"/>
  <c r="I156" i="5"/>
  <c r="H156" i="5"/>
  <c r="H213" i="5"/>
  <c r="AB8" i="5"/>
  <c r="G122" i="5"/>
  <c r="AA122" i="5" s="1"/>
  <c r="E28" i="6"/>
  <c r="E156" i="5" s="1"/>
  <c r="Y12" i="6"/>
  <c r="D28" i="6"/>
  <c r="D156" i="5" s="1"/>
  <c r="X12" i="6"/>
  <c r="F28" i="6"/>
  <c r="F156" i="5" s="1"/>
  <c r="Z12" i="6"/>
  <c r="C28" i="6"/>
  <c r="C156" i="5" s="1"/>
  <c r="W12" i="6"/>
  <c r="AG28" i="6"/>
  <c r="M49" i="6"/>
  <c r="G137" i="5"/>
  <c r="G157" i="5"/>
  <c r="G140" i="5"/>
  <c r="G139" i="5"/>
  <c r="G12" i="6"/>
  <c r="AA108" i="5"/>
  <c r="AA111" i="5"/>
  <c r="G138" i="5"/>
  <c r="B137" i="5"/>
  <c r="B12" i="6"/>
  <c r="V108" i="5"/>
  <c r="B140" i="5"/>
  <c r="B138" i="5"/>
  <c r="B139" i="5"/>
  <c r="V110" i="5"/>
  <c r="V111" i="5"/>
  <c r="H81" i="5"/>
  <c r="AA81" i="5"/>
  <c r="L28" i="6"/>
  <c r="L156" i="5" s="1"/>
  <c r="AF12" i="6"/>
  <c r="H8" i="6"/>
  <c r="AB8" i="6" s="1"/>
  <c r="I8" i="5"/>
  <c r="K28" i="6"/>
  <c r="AE12" i="6"/>
  <c r="H49" i="6"/>
  <c r="AB28" i="6"/>
  <c r="I49" i="6"/>
  <c r="AC28" i="6"/>
  <c r="J49" i="6"/>
  <c r="AD28" i="6"/>
  <c r="AM12" i="6" l="1"/>
  <c r="AG49" i="6"/>
  <c r="T49" i="6"/>
  <c r="K156" i="5"/>
  <c r="AC8" i="5"/>
  <c r="H122" i="5"/>
  <c r="AB122" i="5" s="1"/>
  <c r="I81" i="5"/>
  <c r="AB81" i="5"/>
  <c r="B28" i="6"/>
  <c r="B156" i="5" s="1"/>
  <c r="V12" i="6"/>
  <c r="G28" i="6"/>
  <c r="AA12" i="6"/>
  <c r="C49" i="6"/>
  <c r="W49" i="6" s="1"/>
  <c r="W28" i="6"/>
  <c r="Z28" i="6"/>
  <c r="F49" i="6"/>
  <c r="Z49" i="6" s="1"/>
  <c r="X28" i="6"/>
  <c r="D49" i="6"/>
  <c r="X49" i="6" s="1"/>
  <c r="Y28" i="6"/>
  <c r="E49" i="6"/>
  <c r="Y49" i="6" s="1"/>
  <c r="AF28" i="6"/>
  <c r="AM28" i="6" s="1"/>
  <c r="L49" i="6"/>
  <c r="J8" i="5"/>
  <c r="I8" i="6"/>
  <c r="AC8" i="6" s="1"/>
  <c r="AE28" i="6"/>
  <c r="K49" i="6"/>
  <c r="H53" i="6"/>
  <c r="AB49" i="6"/>
  <c r="AC49" i="6"/>
  <c r="AD49" i="6"/>
  <c r="AE49" i="6" l="1"/>
  <c r="AD8" i="5"/>
  <c r="I122" i="5"/>
  <c r="AC122" i="5" s="1"/>
  <c r="G156" i="5"/>
  <c r="G49" i="6"/>
  <c r="AA49" i="6" s="1"/>
  <c r="AA28" i="6"/>
  <c r="V28" i="6"/>
  <c r="B49" i="6"/>
  <c r="J81" i="5"/>
  <c r="AC81" i="5"/>
  <c r="AF49" i="6"/>
  <c r="AM49" i="6" s="1"/>
  <c r="K8" i="5"/>
  <c r="L8" i="5" s="1"/>
  <c r="J8" i="6"/>
  <c r="AD8" i="6" s="1"/>
  <c r="I51" i="6"/>
  <c r="AB53" i="6"/>
  <c r="AE8" i="5" l="1"/>
  <c r="K122" i="5" s="1"/>
  <c r="AE122" i="5" s="1"/>
  <c r="K177" i="5" s="1"/>
  <c r="J122" i="5"/>
  <c r="AD122" i="5" s="1"/>
  <c r="AD182" i="5" s="1"/>
  <c r="M8" i="5"/>
  <c r="L8" i="6"/>
  <c r="AF8" i="6" s="1"/>
  <c r="AF8" i="5"/>
  <c r="L81" i="5"/>
  <c r="K81" i="5"/>
  <c r="AD81" i="5"/>
  <c r="V49" i="6"/>
  <c r="B53" i="6"/>
  <c r="V53" i="6" s="1"/>
  <c r="K8" i="6"/>
  <c r="AE8" i="6" s="1"/>
  <c r="AC51" i="6"/>
  <c r="I53" i="6"/>
  <c r="AG8" i="5" l="1"/>
  <c r="AG81" i="5" s="1"/>
  <c r="N8" i="5"/>
  <c r="AE81" i="5"/>
  <c r="AF81" i="5"/>
  <c r="L122" i="5"/>
  <c r="AF122" i="5" s="1"/>
  <c r="L177" i="5" s="1"/>
  <c r="M122" i="5"/>
  <c r="AG122" i="5" s="1"/>
  <c r="M177" i="5" s="1"/>
  <c r="M8" i="6"/>
  <c r="AG8" i="6" s="1"/>
  <c r="M81" i="5"/>
  <c r="AC53" i="6"/>
  <c r="J51" i="6"/>
  <c r="N81" i="5" l="1"/>
  <c r="AH8" i="5"/>
  <c r="AH81" i="5" s="1"/>
  <c r="N8" i="6"/>
  <c r="AH8" i="6" s="1"/>
  <c r="N122" i="5"/>
  <c r="AH122" i="5" s="1"/>
  <c r="N177" i="5" s="1"/>
  <c r="O8" i="5"/>
  <c r="AD51" i="6"/>
  <c r="J53" i="6"/>
  <c r="K51" i="6" s="1"/>
  <c r="P8" i="5" l="1"/>
  <c r="Q8" i="5" s="1"/>
  <c r="R8" i="5" s="1"/>
  <c r="O8" i="6"/>
  <c r="AI8" i="6" s="1"/>
  <c r="O122" i="5"/>
  <c r="AI122" i="5" s="1"/>
  <c r="O177" i="5" s="1"/>
  <c r="AI8" i="5"/>
  <c r="AI81" i="5" s="1"/>
  <c r="O81" i="5"/>
  <c r="AE51" i="6"/>
  <c r="K53" i="6"/>
  <c r="AD53" i="6"/>
  <c r="R8" i="6" l="1"/>
  <c r="R81" i="5"/>
  <c r="R122" i="5" s="1"/>
  <c r="AL122" i="5" s="1"/>
  <c r="R177" i="5" s="1"/>
  <c r="AL8" i="5"/>
  <c r="AL81" i="5" s="1"/>
  <c r="Q8" i="6"/>
  <c r="AK8" i="6" s="1"/>
  <c r="AK8" i="5"/>
  <c r="AK81" i="5" s="1"/>
  <c r="Q81" i="5"/>
  <c r="Q122" i="5" s="1"/>
  <c r="AK122" i="5" s="1"/>
  <c r="Q177" i="5" s="1"/>
  <c r="L51" i="6"/>
  <c r="AF51" i="6" s="1"/>
  <c r="P122" i="5"/>
  <c r="AJ122" i="5" s="1"/>
  <c r="P177" i="5" s="1"/>
  <c r="P8" i="6"/>
  <c r="AJ8" i="6" s="1"/>
  <c r="AJ8" i="5"/>
  <c r="AJ81" i="5" s="1"/>
  <c r="P81" i="5"/>
  <c r="AE53" i="6"/>
  <c r="AM8" i="5" l="1"/>
  <c r="AM81" i="5" s="1"/>
  <c r="S81" i="5"/>
  <c r="S122" i="5" s="1"/>
  <c r="AM122" i="5" s="1"/>
  <c r="S177" i="5" s="1"/>
  <c r="S8" i="6"/>
  <c r="L53" i="6"/>
  <c r="M51" i="6" s="1"/>
  <c r="M53" i="6" l="1"/>
  <c r="N51" i="6" s="1"/>
  <c r="AG51" i="6"/>
  <c r="AF53" i="6"/>
  <c r="AG53" i="6" l="1"/>
  <c r="N53" i="6"/>
  <c r="AH51" i="6"/>
  <c r="AH53" i="6" l="1"/>
  <c r="O51" i="6"/>
  <c r="O53" i="6" l="1"/>
  <c r="P51" i="6" s="1"/>
  <c r="AJ51" i="6" s="1"/>
  <c r="AI51" i="6"/>
  <c r="AM51" i="6" l="1"/>
  <c r="P53" i="6"/>
  <c r="AJ53" i="6" s="1"/>
  <c r="AI53" i="6"/>
  <c r="AM53" i="6" l="1"/>
  <c r="Q51" i="6"/>
  <c r="Q53" i="6" l="1"/>
  <c r="R51" i="6" s="1"/>
  <c r="AK51" i="6"/>
  <c r="R53" i="6" l="1"/>
  <c r="S51" i="6" s="1"/>
  <c r="S53" i="6" s="1"/>
  <c r="T51" i="6"/>
  <c r="AK53" i="6"/>
  <c r="T53" i="6" l="1"/>
</calcChain>
</file>

<file path=xl/sharedStrings.xml><?xml version="1.0" encoding="utf-8"?>
<sst xmlns="http://schemas.openxmlformats.org/spreadsheetml/2006/main" count="330" uniqueCount="256">
  <si>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</si>
  <si>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</si>
  <si>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</si>
  <si>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</si>
  <si>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</si>
  <si>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</si>
  <si>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</si>
  <si>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</si>
  <si>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</si>
  <si>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</si>
  <si>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</si>
  <si>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</si>
  <si>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</si>
  <si>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</si>
  <si>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</si>
  <si>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</si>
  <si>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</si>
  <si>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</si>
  <si>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</si>
  <si>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</si>
  <si>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</si>
  <si>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</si>
  <si>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</si>
  <si>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</si>
  <si>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</si>
  <si>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</si>
  <si>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</si>
  <si>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</si>
  <si>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</si>
  <si>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</si>
  <si>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</si>
  <si>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</si>
  <si>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</si>
  <si>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</si>
  <si>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</si>
  <si>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</si>
  <si>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</si>
  <si>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</si>
  <si>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</si>
  <si>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</si>
  <si>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</si>
  <si>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</si>
  <si>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</si>
  <si>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</si>
  <si>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</si>
  <si>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</si>
  <si>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</si>
  <si>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</si>
  <si>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</si>
  <si>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</si>
  <si>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</si>
  <si>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</si>
  <si>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</si>
  <si>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</si>
  <si>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</si>
  <si>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</si>
  <si>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</si>
  <si>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</si>
  <si>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</si>
  <si>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</si>
  <si>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</si>
  <si>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</si>
  <si>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</si>
  <si>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</si>
  <si>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</si>
  <si>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</si>
  <si>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</si>
  <si>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</si>
  <si>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</si>
  <si>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</si>
  <si>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</si>
  <si>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</si>
  <si>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</si>
  <si>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</si>
  <si>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</si>
  <si>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</si>
  <si>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</si>
  <si>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</si>
  <si>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</si>
  <si>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</si>
  <si>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</si>
  <si>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</si>
  <si>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</si>
  <si>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</si>
  <si>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</si>
  <si>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</si>
  <si>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</si>
  <si>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</si>
  <si>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</si>
  <si>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</si>
  <si>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</si>
  <si>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</si>
  <si>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</si>
  <si>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</si>
  <si>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</si>
  <si>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</si>
  <si>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</si>
  <si>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</si>
  <si>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</si>
  <si>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</si>
  <si>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</si>
  <si>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</si>
  <si>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</si>
  <si>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</si>
  <si>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</si>
  <si>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</si>
  <si>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</si>
  <si>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</si>
  <si>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</si>
  <si>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</si>
  <si>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</si>
  <si>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</si>
  <si>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</si>
  <si>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</si>
  <si>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</si>
  <si>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</si>
  <si>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</si>
  <si>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</si>
  <si>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</si>
  <si>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</si>
  <si>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</si>
  <si>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</si>
  <si>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</si>
  <si>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</si>
  <si>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</si>
  <si>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</si>
  <si>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</si>
  <si>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</si>
  <si>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</si>
  <si>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</si>
  <si>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</si>
  <si>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</si>
  <si>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</si>
  <si>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</si>
  <si>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</si>
  <si>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</si>
  <si>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</si>
  <si>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</si>
  <si>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</si>
  <si>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</si>
  <si>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</si>
  <si>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</si>
  <si>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</si>
  <si>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</si>
  <si>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</si>
  <si>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</si>
  <si>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</si>
  <si>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</si>
  <si>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</si>
  <si>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</si>
  <si>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</si>
  <si>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</si>
  <si>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</si>
  <si>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</si>
  <si>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</si>
  <si>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</si>
  <si>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</si>
  <si>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</si>
  <si>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</si>
  <si>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</si>
  <si>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</si>
  <si>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</si>
  <si>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</si>
  <si>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</si>
  <si>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</si>
  <si>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</si>
  <si>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</si>
  <si>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</si>
  <si>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</si>
  <si>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</si>
  <si>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</si>
  <si>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</si>
  <si>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</si>
  <si>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</si>
  <si>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</si>
  <si>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</si>
  <si>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</si>
  <si>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</si>
  <si>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</si>
  <si>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</si>
  <si>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</si>
  <si>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</si>
  <si>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</si>
  <si>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</si>
  <si>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</si>
  <si>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</si>
  <si>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</si>
  <si>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</si>
  <si>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</si>
  <si>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</si>
  <si>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</si>
  <si>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</si>
  <si>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</si>
  <si>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</si>
  <si>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</si>
  <si>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</si>
  <si>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</si>
  <si>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</si>
  <si>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>Elimination of Gas From Affiliated Parties</t>
  </si>
  <si>
    <t>Total Cost of Sales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</si>
  <si>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</si>
  <si>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</si>
  <si>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</si>
  <si>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</si>
  <si>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</si>
  <si>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</si>
  <si>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Return On Equity (Regulatory)</t>
  </si>
  <si>
    <t xml:space="preserve">Return On Equity (SEC) </t>
  </si>
  <si>
    <t>Dividend Payout Ratio</t>
  </si>
  <si>
    <t>Notes Receivable from Questar</t>
  </si>
  <si>
    <t xml:space="preserve">     Change in note receivable from Questar</t>
  </si>
  <si>
    <t>My Calculation</t>
  </si>
  <si>
    <t xml:space="preserve">5 year </t>
  </si>
  <si>
    <t>Short Term Debt</t>
  </si>
  <si>
    <t>Other Cost of Sales</t>
  </si>
  <si>
    <t>Dividends Payable to Questar</t>
  </si>
  <si>
    <t>Current Regulatory Liabilities</t>
  </si>
  <si>
    <t>Accrued Expenses</t>
  </si>
  <si>
    <t xml:space="preserve">Annual </t>
  </si>
  <si>
    <t>% Increase</t>
  </si>
  <si>
    <t>Purchased Gas - DOLLARS</t>
  </si>
  <si>
    <t>Wexpro Gas - DOLLARS</t>
  </si>
  <si>
    <t xml:space="preserve">5 Year </t>
  </si>
  <si>
    <t xml:space="preserve">5 Year Avg </t>
  </si>
  <si>
    <t>Annual</t>
  </si>
  <si>
    <t xml:space="preserve">   TOTAL COST OF GAS SOLD</t>
  </si>
  <si>
    <t>Cost of Gas Sold Comparison</t>
  </si>
  <si>
    <t>Wexpro Cost as % of Total</t>
  </si>
  <si>
    <t>Cost of Service Price / Bcf</t>
  </si>
  <si>
    <t>Purchase Gas Cost / Bcf</t>
  </si>
  <si>
    <t>Total Cost of Gas Sold / Bcf</t>
  </si>
  <si>
    <t>Operator Service Fee / Bcf</t>
  </si>
  <si>
    <t>Cost-of-service production (Bcf)</t>
  </si>
  <si>
    <t>Purchased Gas (Bcf)</t>
  </si>
  <si>
    <t xml:space="preserve">   Total Residential &amp; Industrial Sales</t>
  </si>
  <si>
    <t>Cost of Service Gas Production (Item 2 Production - Page 21)</t>
  </si>
  <si>
    <t xml:space="preserve">      Total Sales</t>
  </si>
  <si>
    <t>Federal Tax Receivable</t>
  </si>
  <si>
    <t>1st Qrtr</t>
  </si>
  <si>
    <t xml:space="preserve">       Share-based compensation</t>
  </si>
  <si>
    <t xml:space="preserve">     Questar Gas Acquisition</t>
  </si>
  <si>
    <t>2011 to 2015</t>
  </si>
  <si>
    <t>Wexpro Increase</t>
  </si>
  <si>
    <t>Purchases Decrease</t>
  </si>
  <si>
    <t>Wexpro Volume as % of Total</t>
  </si>
  <si>
    <t xml:space="preserve">   Gas From Unaffilated Parties</t>
  </si>
  <si>
    <t>page 3 of 6</t>
  </si>
  <si>
    <t>DON’T INCLUDE</t>
  </si>
  <si>
    <t>DON'T INCLUDE</t>
  </si>
  <si>
    <t>page 5 of 6</t>
  </si>
  <si>
    <t>page 2 of 6</t>
  </si>
  <si>
    <t>page 1 of 6</t>
  </si>
  <si>
    <t>page 4 of 6</t>
  </si>
  <si>
    <t>page 6 of 6</t>
  </si>
  <si>
    <t>Unbilled Gas Accounts Receivable</t>
  </si>
  <si>
    <t>Accounts Receivable from Affiliates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</si>
</sst>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74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1" fillId="0" borderId="0" xfId="0" applyNumberFormat="1" applyFont="1" applyFill="1"/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70" fontId="11" fillId="2" borderId="14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4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43" fontId="11" fillId="2" borderId="11" xfId="0" applyNumberFormat="1" applyFont="1" applyFill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1" fontId="11" fillId="2" borderId="3" xfId="0" applyNumberFormat="1" applyFont="1" applyFill="1" applyBorder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0" fontId="11" fillId="2" borderId="0" xfId="11" applyNumberFormat="1" applyFont="1" applyFill="1"/>
    <xf numFmtId="0" fontId="3" fillId="2" borderId="0" xfId="9" applyNumberFormat="1" applyFont="1"/>
    <xf numFmtId="170" fontId="0" fillId="2" borderId="0" xfId="11" applyNumberFormat="1" applyFont="1" applyFill="1"/>
    <xf numFmtId="171" fontId="2" fillId="2" borderId="0" xfId="0" applyNumberFormat="1" applyFont="1" applyFill="1"/>
    <xf numFmtId="5" fontId="13" fillId="2" borderId="3" xfId="0" applyNumberFormat="1" applyFont="1" applyFill="1" applyBorder="1" applyAlignment="1">
      <alignment horizontal="right"/>
    </xf>
    <xf numFmtId="170" fontId="11" fillId="0" borderId="0" xfId="11" applyNumberFormat="1" applyFont="1" applyFill="1" applyBorder="1"/>
    <xf numFmtId="170" fontId="11" fillId="0" borderId="3" xfId="11" applyNumberFormat="1" applyFont="1" applyFill="1" applyBorder="1"/>
    <xf numFmtId="10" fontId="13" fillId="2" borderId="0" xfId="0" applyNumberFormat="1" applyFont="1" applyFill="1" applyAlignment="1">
      <alignment horizontal="center"/>
    </xf>
    <xf numFmtId="171" fontId="2" fillId="2" borderId="4" xfId="9" applyNumberFormat="1" applyFont="1" applyBorder="1"/>
    <xf numFmtId="10" fontId="2" fillId="2" borderId="11" xfId="9" applyFont="1" applyBorder="1"/>
    <xf numFmtId="0" fontId="11" fillId="2" borderId="0" xfId="0" applyNumberFormat="1" applyFont="1" applyFill="1"/>
    <xf numFmtId="170" fontId="11" fillId="0" borderId="0" xfId="11" applyNumberFormat="1" applyFont="1" applyFill="1"/>
    <xf numFmtId="44" fontId="11" fillId="2" borderId="0" xfId="2" applyNumberFormat="1" applyFont="1"/>
    <xf numFmtId="5" fontId="13" fillId="2" borderId="0" xfId="0" applyNumberFormat="1" applyFont="1" applyFill="1"/>
    <xf numFmtId="2" fontId="11" fillId="0" borderId="0" xfId="0" applyNumberFormat="1" applyFont="1" applyFill="1"/>
    <xf numFmtId="43" fontId="2" fillId="2" borderId="0" xfId="11" applyFont="1" applyFill="1"/>
    <xf numFmtId="0" fontId="2" fillId="2" borderId="0" xfId="11" applyNumberFormat="1" applyFont="1" applyFill="1"/>
    <xf numFmtId="10" fontId="6" fillId="2" borderId="0" xfId="9"/>
    <xf numFmtId="5" fontId="11" fillId="0" borderId="0" xfId="0" applyNumberFormat="1" applyFont="1" applyFill="1" applyAlignment="1">
      <alignment horizontal="right"/>
    </xf>
    <xf numFmtId="170" fontId="11" fillId="2" borderId="4" xfId="11" applyNumberFormat="1" applyFont="1" applyFill="1" applyBorder="1"/>
    <xf numFmtId="0" fontId="10" fillId="0" borderId="0" xfId="8" applyFont="1" applyFill="1" applyBorder="1" applyAlignment="1">
      <alignment horizontal="right"/>
    </xf>
    <xf numFmtId="0" fontId="6" fillId="0" borderId="0" xfId="8" applyFont="1" applyFill="1" applyAlignment="1">
      <alignment horizontal="centerContinuous"/>
    </xf>
    <xf numFmtId="37" fontId="13" fillId="0" borderId="0" xfId="8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2" xfId="0" applyNumberFormat="1" applyFont="1" applyFill="1" applyBorder="1" applyAlignment="1">
      <alignment horizontal="right"/>
    </xf>
    <xf numFmtId="10" fontId="11" fillId="2" borderId="15" xfId="0" applyNumberFormat="1" applyFont="1" applyFill="1" applyBorder="1"/>
    <xf numFmtId="5" fontId="2" fillId="2" borderId="0" xfId="0" applyNumberFormat="1" applyFont="1" applyFill="1" applyBorder="1"/>
    <xf numFmtId="171" fontId="2" fillId="2" borderId="0" xfId="9" applyNumberFormat="1" applyFont="1" applyBorder="1"/>
    <xf numFmtId="10" fontId="13" fillId="0" borderId="0" xfId="0" quotePrefix="1" applyNumberFormat="1" applyFont="1" applyFill="1" applyAlignment="1">
      <alignment horizontal="right"/>
    </xf>
    <xf numFmtId="10" fontId="13" fillId="0" borderId="0" xfId="0" applyNumberFormat="1" applyFont="1" applyFill="1" applyAlignment="1">
      <alignment horizontal="center"/>
    </xf>
    <xf numFmtId="10" fontId="13" fillId="0" borderId="2" xfId="0" applyNumberFormat="1" applyFont="1" applyFill="1" applyBorder="1" applyAlignment="1">
      <alignment horizontal="right"/>
    </xf>
    <xf numFmtId="10" fontId="13" fillId="0" borderId="0" xfId="0" applyNumberFormat="1" applyFont="1" applyFill="1"/>
    <xf numFmtId="10" fontId="13" fillId="0" borderId="0" xfId="0" applyNumberFormat="1" applyFont="1" applyFill="1" applyBorder="1" applyAlignment="1">
      <alignment horizontal="right"/>
    </xf>
    <xf numFmtId="171" fontId="11" fillId="2" borderId="11" xfId="9" applyNumberFormat="1" applyFont="1" applyBorder="1"/>
    <xf numFmtId="171" fontId="11" fillId="2" borderId="14" xfId="9" applyNumberFormat="1" applyFont="1" applyBorder="1"/>
    <xf numFmtId="173" fontId="11" fillId="2" borderId="11" xfId="9" applyNumberFormat="1" applyFont="1" applyBorder="1"/>
    <xf numFmtId="171" fontId="20" fillId="2" borderId="0" xfId="9" applyNumberFormat="1" applyFont="1"/>
    <xf numFmtId="169" fontId="11" fillId="0" borderId="0" xfId="11" applyNumberFormat="1" applyFont="1" applyFill="1" applyBorder="1"/>
    <xf numFmtId="171" fontId="11" fillId="0" borderId="0" xfId="0" applyNumberFormat="1" applyFont="1" applyFill="1"/>
    <xf numFmtId="171" fontId="11" fillId="0" borderId="0" xfId="9" applyNumberFormat="1" applyFont="1" applyFill="1"/>
    <xf numFmtId="171" fontId="11" fillId="2" borderId="0" xfId="0" applyNumberFormat="1" applyFont="1" applyFill="1" applyBorder="1"/>
    <xf numFmtId="5" fontId="2" fillId="2" borderId="4" xfId="0" applyNumberFormat="1" applyFont="1" applyFill="1" applyBorder="1"/>
    <xf numFmtId="168" fontId="10" fillId="2" borderId="0" xfId="0" applyNumberFormat="1" applyFont="1" applyFill="1" applyAlignment="1">
      <alignment horizontal="center"/>
    </xf>
    <xf numFmtId="5" fontId="12" fillId="2" borderId="0" xfId="0" applyNumberFormat="1" applyFont="1" applyFill="1" applyAlignment="1">
      <alignment horizontal="center"/>
    </xf>
    <xf numFmtId="5" fontId="10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4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0"/>
  <sheetViews>
    <sheetView showGridLines="0" tabSelected="1" view="pageBreakPreview" zoomScaleNormal="100" zoomScaleSheetLayoutView="100" workbookViewId="0">
      <selection activeCell="N9" sqref="N9"/>
    </sheetView>
  </sheetViews>
  <sheetFormatPr defaultColWidth="13.7109375" defaultRowHeight="12.75" x14ac:dyDescent="0.2"/>
  <cols>
    <col min="1" max="1" width="37.28515625" customWidth="1"/>
    <col min="2" max="2" width="12.5703125" hidden="1" customWidth="1"/>
    <col min="3" max="5" width="11.140625" hidden="1" customWidth="1"/>
    <col min="6" max="12" width="11.85546875" hidden="1" customWidth="1"/>
    <col min="13" max="18" width="11.85546875" customWidth="1"/>
    <col min="19" max="19" width="11.85546875" hidden="1" customWidth="1"/>
    <col min="20" max="20" width="11.140625" style="1" customWidth="1"/>
    <col min="21" max="21" width="36.85546875" customWidth="1"/>
    <col min="22" max="32" width="10.7109375" hidden="1" customWidth="1"/>
    <col min="33" max="38" width="10.7109375" customWidth="1"/>
    <col min="39" max="39" width="10.7109375" hidden="1" customWidth="1"/>
    <col min="40" max="40" width="11.42578125" customWidth="1"/>
    <col min="41" max="42" width="12.7109375" customWidth="1"/>
  </cols>
  <sheetData>
    <row r="1" spans="1:41" ht="15.7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87" t="s">
        <v>114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87" t="s">
        <v>114</v>
      </c>
      <c r="AO1" s="19"/>
    </row>
    <row r="2" spans="1:41" ht="15.75" x14ac:dyDescent="0.25">
      <c r="A2" s="119"/>
      <c r="B2" s="119"/>
      <c r="C2" s="119"/>
      <c r="D2" s="119"/>
      <c r="E2" s="119"/>
      <c r="F2" s="133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45" t="s">
        <v>250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45" t="s">
        <v>247</v>
      </c>
      <c r="AO2" s="2"/>
    </row>
    <row r="3" spans="1:41" ht="20.25" x14ac:dyDescent="0.3">
      <c r="A3" s="266" t="s">
        <v>93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5"/>
      <c r="U3" s="63" t="str">
        <f>A3</f>
        <v>Questar Gas Company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2"/>
    </row>
    <row r="4" spans="1:41" ht="15.75" x14ac:dyDescent="0.25">
      <c r="A4" s="267" t="s">
        <v>46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82"/>
      <c r="U4" s="64" t="s">
        <v>45</v>
      </c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82"/>
      <c r="AO4" s="2"/>
    </row>
    <row r="5" spans="1:41" ht="15.75" x14ac:dyDescent="0.25">
      <c r="A5" s="265" t="s">
        <v>110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82"/>
      <c r="U5" s="64" t="s">
        <v>46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82"/>
      <c r="AO5" s="6"/>
    </row>
    <row r="6" spans="1:41" ht="15.75" x14ac:dyDescent="0.25">
      <c r="A6" s="123" t="s">
        <v>130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251" t="s">
        <v>223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175"/>
      <c r="AJ6" s="175"/>
      <c r="AK6" s="175"/>
      <c r="AL6" s="175"/>
      <c r="AM6" s="175"/>
      <c r="AN6" s="84"/>
      <c r="AO6" s="2"/>
    </row>
    <row r="7" spans="1:41" ht="15.75" x14ac:dyDescent="0.25">
      <c r="A7" s="83"/>
      <c r="B7" s="83"/>
      <c r="C7" s="83"/>
      <c r="D7" s="83"/>
      <c r="E7" s="83"/>
      <c r="F7" s="83"/>
      <c r="G7" s="83"/>
      <c r="H7" s="85"/>
      <c r="I7" s="85"/>
      <c r="J7" s="85"/>
      <c r="K7" s="86"/>
      <c r="L7" s="135"/>
      <c r="M7" s="135"/>
      <c r="N7" s="135"/>
      <c r="O7" s="135"/>
      <c r="P7" s="135"/>
      <c r="Q7" s="135"/>
      <c r="R7" s="135"/>
      <c r="S7" s="135" t="s">
        <v>238</v>
      </c>
      <c r="T7" s="252" t="s">
        <v>224</v>
      </c>
      <c r="U7" s="83"/>
      <c r="V7" s="83"/>
      <c r="W7" s="83"/>
      <c r="X7" s="83"/>
      <c r="Y7" s="83"/>
      <c r="Z7" s="83"/>
      <c r="AA7" s="83"/>
      <c r="AB7" s="85"/>
      <c r="AC7" s="85"/>
      <c r="AD7" s="85"/>
      <c r="AE7" s="88"/>
      <c r="AF7" s="88"/>
      <c r="AG7" s="86"/>
      <c r="AH7" s="86"/>
      <c r="AI7" s="176"/>
      <c r="AJ7" s="198"/>
      <c r="AK7" s="198"/>
      <c r="AL7" s="198"/>
      <c r="AM7" s="198" t="str">
        <f>+S7</f>
        <v>1st Qrtr</v>
      </c>
      <c r="AN7" s="118" t="s">
        <v>241</v>
      </c>
      <c r="AO7" s="2"/>
    </row>
    <row r="8" spans="1:41" ht="15.75" x14ac:dyDescent="0.25">
      <c r="A8" s="89" t="s">
        <v>0</v>
      </c>
      <c r="B8" s="89">
        <v>1999</v>
      </c>
      <c r="C8" s="89">
        <f t="shared" ref="C8:L8" si="0">B8+1</f>
        <v>2000</v>
      </c>
      <c r="D8" s="89">
        <f t="shared" si="0"/>
        <v>2001</v>
      </c>
      <c r="E8" s="89">
        <f t="shared" si="0"/>
        <v>2002</v>
      </c>
      <c r="F8" s="89">
        <f t="shared" si="0"/>
        <v>2003</v>
      </c>
      <c r="G8" s="89">
        <f t="shared" si="0"/>
        <v>2004</v>
      </c>
      <c r="H8" s="89">
        <f t="shared" si="0"/>
        <v>2005</v>
      </c>
      <c r="I8" s="89">
        <f t="shared" si="0"/>
        <v>2006</v>
      </c>
      <c r="J8" s="89">
        <f t="shared" si="0"/>
        <v>2007</v>
      </c>
      <c r="K8" s="89">
        <f t="shared" si="0"/>
        <v>2008</v>
      </c>
      <c r="L8" s="89">
        <f t="shared" si="0"/>
        <v>2009</v>
      </c>
      <c r="M8" s="89">
        <f>L8+1</f>
        <v>2010</v>
      </c>
      <c r="N8" s="89">
        <f>M8+1</f>
        <v>2011</v>
      </c>
      <c r="O8" s="89">
        <f>N8+1</f>
        <v>2012</v>
      </c>
      <c r="P8" s="89">
        <f>O8+1</f>
        <v>2013</v>
      </c>
      <c r="Q8" s="89">
        <f>+P8+1</f>
        <v>2014</v>
      </c>
      <c r="R8" s="89">
        <f>+Q8+1</f>
        <v>2015</v>
      </c>
      <c r="S8" s="89">
        <v>2016</v>
      </c>
      <c r="T8" s="253" t="s">
        <v>24</v>
      </c>
      <c r="U8" s="90" t="s">
        <v>0</v>
      </c>
      <c r="V8" s="89">
        <f>B8</f>
        <v>1999</v>
      </c>
      <c r="W8" s="89">
        <f t="shared" ref="W8:AD8" si="1">V8+1</f>
        <v>2000</v>
      </c>
      <c r="X8" s="89">
        <f t="shared" si="1"/>
        <v>2001</v>
      </c>
      <c r="Y8" s="89">
        <f t="shared" si="1"/>
        <v>2002</v>
      </c>
      <c r="Z8" s="89">
        <f t="shared" si="1"/>
        <v>2003</v>
      </c>
      <c r="AA8" s="89">
        <f t="shared" si="1"/>
        <v>2004</v>
      </c>
      <c r="AB8" s="89">
        <f t="shared" si="1"/>
        <v>2005</v>
      </c>
      <c r="AC8" s="89">
        <f t="shared" si="1"/>
        <v>2006</v>
      </c>
      <c r="AD8" s="89">
        <f t="shared" si="1"/>
        <v>2007</v>
      </c>
      <c r="AE8" s="89">
        <f>AD8+1</f>
        <v>2008</v>
      </c>
      <c r="AF8" s="89">
        <f t="shared" ref="AF8:AL8" si="2">+L8</f>
        <v>2009</v>
      </c>
      <c r="AG8" s="89">
        <f t="shared" si="2"/>
        <v>2010</v>
      </c>
      <c r="AH8" s="89">
        <f t="shared" si="2"/>
        <v>2011</v>
      </c>
      <c r="AI8" s="177">
        <f t="shared" si="2"/>
        <v>2012</v>
      </c>
      <c r="AJ8" s="177">
        <f t="shared" si="2"/>
        <v>2013</v>
      </c>
      <c r="AK8" s="177">
        <f t="shared" si="2"/>
        <v>2014</v>
      </c>
      <c r="AL8" s="177">
        <f t="shared" si="2"/>
        <v>2015</v>
      </c>
      <c r="AM8" s="177">
        <f>+S8</f>
        <v>2016</v>
      </c>
      <c r="AN8" s="116" t="s">
        <v>44</v>
      </c>
      <c r="AO8" s="2"/>
    </row>
    <row r="9" spans="1:41" ht="12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2"/>
    </row>
    <row r="10" spans="1:41" ht="15.75" x14ac:dyDescent="0.25">
      <c r="A10" s="113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42"/>
      <c r="U10" s="146" t="s">
        <v>7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42"/>
      <c r="AO10" s="2"/>
    </row>
    <row r="11" spans="1:41" ht="15" x14ac:dyDescent="0.2">
      <c r="A11" s="69" t="s">
        <v>4</v>
      </c>
      <c r="B11" s="69">
        <v>1708</v>
      </c>
      <c r="C11" s="91">
        <v>882</v>
      </c>
      <c r="D11" s="91">
        <v>4366</v>
      </c>
      <c r="E11" s="91">
        <v>2993</v>
      </c>
      <c r="F11" s="91">
        <v>3894</v>
      </c>
      <c r="G11" s="91">
        <v>2131</v>
      </c>
      <c r="H11" s="91">
        <v>3206</v>
      </c>
      <c r="I11" s="91">
        <v>3600</v>
      </c>
      <c r="J11" s="91">
        <v>4100</v>
      </c>
      <c r="K11" s="91">
        <v>1200</v>
      </c>
      <c r="L11" s="91">
        <v>7200</v>
      </c>
      <c r="M11" s="91">
        <v>4700</v>
      </c>
      <c r="N11" s="91">
        <v>5000</v>
      </c>
      <c r="O11" s="91">
        <v>1400</v>
      </c>
      <c r="P11" s="91">
        <v>8800</v>
      </c>
      <c r="Q11" s="91">
        <v>19800</v>
      </c>
      <c r="R11" s="91">
        <v>10500</v>
      </c>
      <c r="S11" s="91"/>
      <c r="T11" s="42">
        <f>RATE(5,,-M11,R11)</f>
        <v>0.17440607261658353</v>
      </c>
      <c r="U11" s="69" t="str">
        <f>A11</f>
        <v>Cash &amp; Equivalents</v>
      </c>
      <c r="V11" s="42">
        <f t="shared" ref="V11:AL11" si="3">B11/B$41</f>
        <v>2.3605767104506654E-3</v>
      </c>
      <c r="W11" s="42">
        <f t="shared" si="3"/>
        <v>1.0622333878500733E-3</v>
      </c>
      <c r="X11" s="42">
        <f t="shared" si="3"/>
        <v>5.2359913844795911E-3</v>
      </c>
      <c r="Y11" s="42">
        <f t="shared" si="3"/>
        <v>3.5982596589768344E-3</v>
      </c>
      <c r="Z11" s="42">
        <f t="shared" si="3"/>
        <v>4.2800050999547163E-3</v>
      </c>
      <c r="AA11" s="42">
        <f t="shared" si="3"/>
        <v>2.1065055534247768E-3</v>
      </c>
      <c r="AB11" s="42">
        <f t="shared" si="3"/>
        <v>2.8971127370847598E-3</v>
      </c>
      <c r="AC11" s="42">
        <f t="shared" si="3"/>
        <v>3.3541414329637566E-3</v>
      </c>
      <c r="AD11" s="42">
        <f t="shared" si="3"/>
        <v>3.5111758157060891E-3</v>
      </c>
      <c r="AE11" s="42">
        <f t="shared" si="3"/>
        <v>9.1954022988505744E-4</v>
      </c>
      <c r="AF11" s="42">
        <f t="shared" si="3"/>
        <v>5.3767455753864534E-3</v>
      </c>
      <c r="AG11" s="42">
        <f t="shared" si="3"/>
        <v>3.3302628781974068E-3</v>
      </c>
      <c r="AH11" s="42">
        <f t="shared" si="3"/>
        <v>3.4537542308489327E-3</v>
      </c>
      <c r="AI11" s="42">
        <f t="shared" si="3"/>
        <v>8.6137943764228147E-4</v>
      </c>
      <c r="AJ11" s="42">
        <f t="shared" si="3"/>
        <v>4.9096183887525104E-3</v>
      </c>
      <c r="AK11" s="42">
        <f t="shared" si="3"/>
        <v>1.0055865921787709E-2</v>
      </c>
      <c r="AL11" s="42">
        <f t="shared" si="3"/>
        <v>4.7814207650273225E-3</v>
      </c>
      <c r="AM11" s="42"/>
      <c r="AN11" s="42">
        <f>SUM(N11:R11)/SUM(N$41:R$41)</f>
        <v>5.0385364989369245E-3</v>
      </c>
      <c r="AO11" s="139"/>
    </row>
    <row r="12" spans="1:41" ht="15" x14ac:dyDescent="0.2">
      <c r="A12" s="69" t="s">
        <v>209</v>
      </c>
      <c r="B12" s="6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42"/>
      <c r="U12" s="69" t="str">
        <f>+A12</f>
        <v>Notes Receivable from Questar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139"/>
    </row>
    <row r="13" spans="1:41" ht="15" x14ac:dyDescent="0.2">
      <c r="A13" s="73" t="s">
        <v>108</v>
      </c>
      <c r="B13" s="69">
        <f>44549</f>
        <v>44549</v>
      </c>
      <c r="C13" s="91">
        <f>69808</f>
        <v>69808</v>
      </c>
      <c r="D13" s="91">
        <f>53697</f>
        <v>53697</v>
      </c>
      <c r="E13" s="91">
        <f>50570</f>
        <v>50570</v>
      </c>
      <c r="F13" s="91">
        <f>80227</f>
        <v>80227</v>
      </c>
      <c r="G13" s="91">
        <f>76352</f>
        <v>76352</v>
      </c>
      <c r="H13" s="91">
        <f>101188</f>
        <v>101188</v>
      </c>
      <c r="I13" s="91">
        <f>83300</f>
        <v>83300</v>
      </c>
      <c r="J13" s="91">
        <f>72100</f>
        <v>72100</v>
      </c>
      <c r="K13" s="91">
        <f>76600</f>
        <v>76600</v>
      </c>
      <c r="L13" s="91">
        <f>77000</f>
        <v>77000</v>
      </c>
      <c r="M13" s="91">
        <f>85300</f>
        <v>85300</v>
      </c>
      <c r="N13" s="91">
        <f>76100</f>
        <v>76100</v>
      </c>
      <c r="O13" s="91">
        <f>67000</f>
        <v>67000</v>
      </c>
      <c r="P13" s="91">
        <f>86100</f>
        <v>86100</v>
      </c>
      <c r="Q13" s="91">
        <f>66400</f>
        <v>66400</v>
      </c>
      <c r="R13" s="91">
        <f>77800</f>
        <v>77800</v>
      </c>
      <c r="S13" s="91"/>
      <c r="T13" s="42">
        <f t="shared" ref="T13:T16" si="4">RATE(5,,-M13,R13)</f>
        <v>-1.8238237718893872E-2</v>
      </c>
      <c r="U13" s="69" t="str">
        <f>A13</f>
        <v>Accounts Receivable, net</v>
      </c>
      <c r="V13" s="42">
        <f t="shared" ref="V13:AL13" si="5">B13/B$41</f>
        <v>6.1569866436690109E-2</v>
      </c>
      <c r="W13" s="42">
        <f t="shared" si="5"/>
        <v>8.407300265197043E-2</v>
      </c>
      <c r="X13" s="42">
        <f t="shared" si="5"/>
        <v>6.4396937556665271E-2</v>
      </c>
      <c r="Y13" s="42">
        <f t="shared" si="5"/>
        <v>6.079652220329386E-2</v>
      </c>
      <c r="Z13" s="42">
        <f t="shared" si="5"/>
        <v>8.8179755817685418E-2</v>
      </c>
      <c r="AA13" s="42">
        <f t="shared" si="5"/>
        <v>7.5474383864424469E-2</v>
      </c>
      <c r="AB13" s="42">
        <f t="shared" si="5"/>
        <v>9.1438878240839891E-2</v>
      </c>
      <c r="AC13" s="42">
        <f t="shared" si="5"/>
        <v>7.7611105934966923E-2</v>
      </c>
      <c r="AD13" s="42">
        <f t="shared" si="5"/>
        <v>6.1745311295709517E-2</v>
      </c>
      <c r="AE13" s="42">
        <f t="shared" si="5"/>
        <v>5.8697318007662834E-2</v>
      </c>
      <c r="AF13" s="42">
        <f t="shared" si="5"/>
        <v>5.7501306847882905E-2</v>
      </c>
      <c r="AG13" s="42">
        <f>M13/M$41</f>
        <v>6.0440728406433782E-2</v>
      </c>
      <c r="AH13" s="42">
        <f t="shared" si="5"/>
        <v>5.2566139393520755E-2</v>
      </c>
      <c r="AI13" s="42">
        <f t="shared" si="5"/>
        <v>4.1223158801452039E-2</v>
      </c>
      <c r="AJ13" s="42">
        <f t="shared" si="5"/>
        <v>4.8036152644498994E-2</v>
      </c>
      <c r="AK13" s="42">
        <f t="shared" si="5"/>
        <v>3.372270187912646E-2</v>
      </c>
      <c r="AL13" s="42">
        <f t="shared" si="5"/>
        <v>3.5428051001821496E-2</v>
      </c>
      <c r="AM13" s="42" t="e">
        <f>S13/S$41</f>
        <v>#DIV/0!</v>
      </c>
      <c r="AN13" s="42">
        <f>SUM(N13:R13)/SUM(N$41:R$41)</f>
        <v>4.1349220411055987E-2</v>
      </c>
      <c r="AO13" s="2"/>
    </row>
    <row r="14" spans="1:41" ht="15" x14ac:dyDescent="0.2">
      <c r="A14" s="73" t="s">
        <v>254</v>
      </c>
      <c r="B14" s="69">
        <v>37287</v>
      </c>
      <c r="C14" s="91">
        <v>45293</v>
      </c>
      <c r="D14" s="91">
        <v>53613</v>
      </c>
      <c r="E14" s="91">
        <v>39788</v>
      </c>
      <c r="F14" s="91">
        <v>49722</v>
      </c>
      <c r="G14" s="91">
        <v>59160</v>
      </c>
      <c r="H14" s="91">
        <v>86161</v>
      </c>
      <c r="I14" s="91">
        <v>67500</v>
      </c>
      <c r="J14" s="91">
        <v>78200</v>
      </c>
      <c r="K14" s="91">
        <v>95800</v>
      </c>
      <c r="L14" s="91">
        <v>86600</v>
      </c>
      <c r="M14" s="91">
        <v>81500</v>
      </c>
      <c r="N14" s="91">
        <v>75200</v>
      </c>
      <c r="O14" s="91">
        <v>78200</v>
      </c>
      <c r="P14" s="91">
        <v>93400</v>
      </c>
      <c r="Q14" s="91">
        <v>93700</v>
      </c>
      <c r="R14" s="91">
        <v>91000</v>
      </c>
      <c r="S14" s="91"/>
      <c r="T14" s="42">
        <f t="shared" si="4"/>
        <v>2.2296224114500166E-2</v>
      </c>
      <c r="U14" s="69" t="str">
        <f t="shared" ref="U14:U15" si="6">A14</f>
        <v>Unbilled Gas Accounts Receivable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>
        <f t="shared" ref="AG14:AG16" si="7">M14/M$41</f>
        <v>5.774817544108269E-2</v>
      </c>
      <c r="AH14" s="42">
        <f t="shared" ref="AH14:AH16" si="8">N14/N$41</f>
        <v>5.1944463631967946E-2</v>
      </c>
      <c r="AI14" s="42">
        <f t="shared" ref="AI14:AI16" si="9">O14/O$41</f>
        <v>4.8114194302590292E-2</v>
      </c>
      <c r="AJ14" s="42">
        <f t="shared" ref="AJ14:AJ16" si="10">P14/P$41</f>
        <v>5.210890426244142E-2</v>
      </c>
      <c r="AK14" s="42">
        <f t="shared" ref="AK14:AK16" si="11">Q14/Q$41</f>
        <v>4.7587607922803456E-2</v>
      </c>
      <c r="AL14" s="42">
        <f t="shared" ref="AL14:AL17" si="12">R14/R$41</f>
        <v>4.1438979963570127E-2</v>
      </c>
      <c r="AM14" s="42" t="e">
        <f t="shared" ref="AM14:AM17" si="13">S14/S$41</f>
        <v>#DIV/0!</v>
      </c>
      <c r="AN14" s="42">
        <f t="shared" ref="AN14:AN16" si="14">SUM(N14:R14)/SUM(N$41:R$41)</f>
        <v>4.7783043940467756E-2</v>
      </c>
      <c r="AO14" s="2"/>
    </row>
    <row r="15" spans="1:41" ht="15" x14ac:dyDescent="0.2">
      <c r="A15" s="73" t="s">
        <v>255</v>
      </c>
      <c r="B15" s="69">
        <v>1262</v>
      </c>
      <c r="C15" s="91"/>
      <c r="D15" s="91">
        <v>576</v>
      </c>
      <c r="E15" s="91">
        <v>380</v>
      </c>
      <c r="F15" s="91">
        <v>281</v>
      </c>
      <c r="G15" s="91">
        <v>544</v>
      </c>
      <c r="H15" s="91">
        <v>2102</v>
      </c>
      <c r="I15" s="91">
        <v>2100</v>
      </c>
      <c r="J15" s="91">
        <v>2700</v>
      </c>
      <c r="K15" s="91">
        <v>2200</v>
      </c>
      <c r="L15" s="91">
        <v>3300</v>
      </c>
      <c r="M15" s="91">
        <v>4500</v>
      </c>
      <c r="N15" s="91">
        <v>1800</v>
      </c>
      <c r="O15" s="91">
        <v>31800</v>
      </c>
      <c r="P15" s="91">
        <v>30400</v>
      </c>
      <c r="Q15" s="91">
        <v>45200</v>
      </c>
      <c r="R15" s="91">
        <v>69200</v>
      </c>
      <c r="S15" s="91"/>
      <c r="T15" s="42">
        <f t="shared" si="4"/>
        <v>0.72734352410782155</v>
      </c>
      <c r="U15" s="69" t="str">
        <f t="shared" si="6"/>
        <v>Accounts Receivable from Affiliates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>
        <f t="shared" si="7"/>
        <v>3.1885495642315596E-3</v>
      </c>
      <c r="AH15" s="42">
        <f t="shared" si="8"/>
        <v>1.2433515231056159E-3</v>
      </c>
      <c r="AI15" s="42">
        <f t="shared" si="9"/>
        <v>1.9565618655017537E-2</v>
      </c>
      <c r="AJ15" s="42">
        <f t="shared" si="10"/>
        <v>1.6960499888417763E-2</v>
      </c>
      <c r="AK15" s="42">
        <f t="shared" si="11"/>
        <v>2.2955815134586083E-2</v>
      </c>
      <c r="AL15" s="42">
        <f t="shared" si="12"/>
        <v>3.1511839708561022E-2</v>
      </c>
      <c r="AM15" s="42" t="e">
        <f t="shared" si="13"/>
        <v>#DIV/0!</v>
      </c>
      <c r="AN15" s="42">
        <f t="shared" si="14"/>
        <v>1.975549255846917E-2</v>
      </c>
      <c r="AO15" s="2"/>
    </row>
    <row r="16" spans="1:41" ht="15" x14ac:dyDescent="0.2">
      <c r="A16" s="79" t="s">
        <v>172</v>
      </c>
      <c r="B16" s="69"/>
      <c r="C16" s="91"/>
      <c r="D16" s="91"/>
      <c r="E16" s="91"/>
      <c r="F16" s="91"/>
      <c r="G16" s="91"/>
      <c r="H16" s="91"/>
      <c r="I16" s="91"/>
      <c r="J16" s="91"/>
      <c r="K16" s="91"/>
      <c r="L16" s="91">
        <v>42500</v>
      </c>
      <c r="M16" s="91">
        <v>43300</v>
      </c>
      <c r="N16" s="91">
        <v>40300</v>
      </c>
      <c r="O16" s="91">
        <v>38300</v>
      </c>
      <c r="P16" s="91">
        <v>39200</v>
      </c>
      <c r="Q16" s="91">
        <v>40300</v>
      </c>
      <c r="R16" s="91">
        <v>43900</v>
      </c>
      <c r="S16" s="91"/>
      <c r="T16" s="42">
        <f t="shared" si="4"/>
        <v>2.7561281714397223E-3</v>
      </c>
      <c r="U16" s="69" t="str">
        <f>+A16</f>
        <v>Gas Stored Underground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>
        <f t="shared" si="7"/>
        <v>3.0680932473605895E-2</v>
      </c>
      <c r="AH16" s="42">
        <f t="shared" si="8"/>
        <v>2.7837259100642397E-2</v>
      </c>
      <c r="AI16" s="42">
        <f t="shared" si="9"/>
        <v>2.3564880329785272E-2</v>
      </c>
      <c r="AJ16" s="42">
        <f t="shared" si="10"/>
        <v>2.1870118277170274E-2</v>
      </c>
      <c r="AK16" s="42">
        <f t="shared" si="11"/>
        <v>2.0467242254951751E-2</v>
      </c>
      <c r="AL16" s="42">
        <f t="shared" si="12"/>
        <v>1.999089253187614E-2</v>
      </c>
      <c r="AM16" s="42" t="e">
        <f t="shared" si="13"/>
        <v>#DIV/0!</v>
      </c>
      <c r="AN16" s="42">
        <f t="shared" si="14"/>
        <v>2.2368887313961729E-2</v>
      </c>
      <c r="AO16" s="2"/>
    </row>
    <row r="17" spans="1:43" ht="15" x14ac:dyDescent="0.2">
      <c r="A17" s="79" t="s">
        <v>237</v>
      </c>
      <c r="B17" s="6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>
        <v>34200</v>
      </c>
      <c r="S17" s="91"/>
      <c r="T17" s="42"/>
      <c r="U17" s="69" t="str">
        <f>+A17</f>
        <v>Federal Tax Receivable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>
        <f t="shared" si="12"/>
        <v>1.5573770491803279E-2</v>
      </c>
      <c r="AM17" s="42" t="e">
        <f t="shared" si="13"/>
        <v>#DIV/0!</v>
      </c>
      <c r="AN17" s="42"/>
      <c r="AO17" s="2"/>
    </row>
    <row r="18" spans="1:43" ht="15" x14ac:dyDescent="0.2">
      <c r="A18" s="73" t="s">
        <v>94</v>
      </c>
      <c r="B18" s="69">
        <f>18497+3183</f>
        <v>21680</v>
      </c>
      <c r="C18" s="91">
        <f>22444+3542</f>
        <v>25986</v>
      </c>
      <c r="D18" s="91">
        <f>22810+4213</f>
        <v>27023</v>
      </c>
      <c r="E18" s="91">
        <f>22742+4073</f>
        <v>26815</v>
      </c>
      <c r="F18" s="91">
        <f>23126+4861</f>
        <v>27987</v>
      </c>
      <c r="G18" s="91">
        <f>44340+5660</f>
        <v>50000</v>
      </c>
      <c r="H18" s="91">
        <f>57526+6649</f>
        <v>64175</v>
      </c>
      <c r="I18" s="91">
        <f>50200+7800</f>
        <v>58000</v>
      </c>
      <c r="J18" s="91">
        <f>42900+9300</f>
        <v>52200</v>
      </c>
      <c r="K18" s="91">
        <f>61900+13900</f>
        <v>75800</v>
      </c>
      <c r="L18" s="91">
        <v>12100</v>
      </c>
      <c r="M18" s="91">
        <v>7900</v>
      </c>
      <c r="N18" s="91">
        <v>12200</v>
      </c>
      <c r="O18" s="91">
        <v>13500</v>
      </c>
      <c r="P18" s="91">
        <v>12100</v>
      </c>
      <c r="Q18" s="91">
        <v>19200</v>
      </c>
      <c r="R18" s="91">
        <v>17100</v>
      </c>
      <c r="S18" s="91"/>
      <c r="T18" s="42">
        <f>RATE(5,,-M18,R18)</f>
        <v>0.16700792104170945</v>
      </c>
      <c r="U18" s="69" t="str">
        <f>A18</f>
        <v>Material and Supplies</v>
      </c>
      <c r="V18" s="42">
        <f t="shared" ref="V18:AL18" si="15">B18/B$41</f>
        <v>2.9963292202910087E-2</v>
      </c>
      <c r="W18" s="42">
        <f t="shared" si="15"/>
        <v>3.1296141515501141E-2</v>
      </c>
      <c r="X18" s="42">
        <f t="shared" si="15"/>
        <v>3.2407740536599172E-2</v>
      </c>
      <c r="Y18" s="42">
        <f t="shared" si="15"/>
        <v>3.2237665471254194E-2</v>
      </c>
      <c r="Z18" s="42">
        <f t="shared" si="15"/>
        <v>3.0761300136731545E-2</v>
      </c>
      <c r="AA18" s="42">
        <f t="shared" si="15"/>
        <v>4.9425282811468248E-2</v>
      </c>
      <c r="AB18" s="42">
        <f t="shared" si="15"/>
        <v>5.7991955677609008E-2</v>
      </c>
      <c r="AC18" s="42">
        <f t="shared" si="15"/>
        <v>5.4038945308860525E-2</v>
      </c>
      <c r="AD18" s="42">
        <f t="shared" si="15"/>
        <v>4.470326282435557E-2</v>
      </c>
      <c r="AE18" s="42">
        <f t="shared" si="15"/>
        <v>5.8084291187739466E-2</v>
      </c>
      <c r="AF18" s="42">
        <f t="shared" si="15"/>
        <v>9.0359196475244576E-3</v>
      </c>
      <c r="AG18" s="42">
        <f t="shared" si="15"/>
        <v>5.5976759016509604E-3</v>
      </c>
      <c r="AH18" s="42">
        <f t="shared" si="15"/>
        <v>8.4271603232713953E-3</v>
      </c>
      <c r="AI18" s="42">
        <f t="shared" si="15"/>
        <v>8.3061588629791423E-3</v>
      </c>
      <c r="AJ18" s="42">
        <f t="shared" si="15"/>
        <v>6.7507252845347022E-3</v>
      </c>
      <c r="AK18" s="42">
        <f t="shared" si="15"/>
        <v>9.751142712036566E-3</v>
      </c>
      <c r="AL18" s="42">
        <f t="shared" si="15"/>
        <v>7.7868852459016397E-3</v>
      </c>
      <c r="AM18" s="42" t="e">
        <f t="shared" ref="AM18" si="16">S18/S$41</f>
        <v>#DIV/0!</v>
      </c>
      <c r="AN18" s="42">
        <f>SUM(N18:R18)/SUM(N$41:R$41)</f>
        <v>8.2056165839829911E-3</v>
      </c>
      <c r="AO18" s="2"/>
    </row>
    <row r="19" spans="1:43" ht="15" x14ac:dyDescent="0.2">
      <c r="A19" s="79" t="s">
        <v>145</v>
      </c>
      <c r="B19" s="69"/>
      <c r="C19" s="91"/>
      <c r="D19" s="91"/>
      <c r="E19" s="91"/>
      <c r="F19" s="91"/>
      <c r="G19" s="91"/>
      <c r="H19" s="91"/>
      <c r="I19" s="91"/>
      <c r="J19" s="91"/>
      <c r="K19" s="91">
        <v>7100</v>
      </c>
      <c r="L19" s="91"/>
      <c r="M19" s="91">
        <v>7700</v>
      </c>
      <c r="N19" s="91">
        <v>1500</v>
      </c>
      <c r="O19" s="91"/>
      <c r="P19" s="91">
        <v>2800</v>
      </c>
      <c r="Q19" s="91"/>
      <c r="R19" s="91"/>
      <c r="S19" s="91"/>
      <c r="T19" s="42"/>
      <c r="U19" s="69" t="str">
        <f>+A19</f>
        <v>Income Tax Receivable</v>
      </c>
      <c r="V19" s="42"/>
      <c r="W19" s="42"/>
      <c r="X19" s="42"/>
      <c r="Y19" s="42"/>
      <c r="Z19" s="42"/>
      <c r="AA19" s="42"/>
      <c r="AB19" s="42"/>
      <c r="AC19" s="42"/>
      <c r="AD19" s="42"/>
      <c r="AE19" s="42">
        <f>K19/K$41</f>
        <v>5.4406130268199234E-3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2"/>
    </row>
    <row r="20" spans="1:43" ht="15" hidden="1" x14ac:dyDescent="0.2">
      <c r="A20" s="79" t="s">
        <v>163</v>
      </c>
      <c r="B20" s="6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42"/>
      <c r="U20" s="69" t="str">
        <f>+A20</f>
        <v>Purchased-Gas Adjustment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"/>
    </row>
    <row r="21" spans="1:43" ht="15" x14ac:dyDescent="0.2">
      <c r="A21" s="79" t="s">
        <v>60</v>
      </c>
      <c r="B21" s="69"/>
      <c r="C21" s="91"/>
      <c r="D21" s="91"/>
      <c r="E21" s="91"/>
      <c r="F21" s="91"/>
      <c r="G21" s="91"/>
      <c r="H21" s="91"/>
      <c r="I21" s="91"/>
      <c r="J21" s="91"/>
      <c r="K21" s="91">
        <v>20600</v>
      </c>
      <c r="L21" s="91">
        <v>43300</v>
      </c>
      <c r="M21" s="91">
        <v>52700</v>
      </c>
      <c r="N21" s="91">
        <v>26500</v>
      </c>
      <c r="O21" s="91">
        <v>41000</v>
      </c>
      <c r="P21" s="91">
        <v>30200</v>
      </c>
      <c r="Q21" s="91">
        <v>78300</v>
      </c>
      <c r="R21" s="91">
        <v>69800</v>
      </c>
      <c r="S21" s="91"/>
      <c r="T21" s="42">
        <f t="shared" ref="T21:T23" si="17">RATE(5,,-M21,R21)</f>
        <v>5.7813149799234964E-2</v>
      </c>
      <c r="U21" s="69" t="str">
        <f>+A21</f>
        <v>Regulatory Assets</v>
      </c>
      <c r="V21" s="42"/>
      <c r="W21" s="42"/>
      <c r="X21" s="42"/>
      <c r="Y21" s="42"/>
      <c r="Z21" s="42"/>
      <c r="AA21" s="42"/>
      <c r="AB21" s="42"/>
      <c r="AC21" s="42"/>
      <c r="AD21" s="42"/>
      <c r="AE21" s="42">
        <f t="shared" ref="AE21:AL23" si="18">K21/K$41</f>
        <v>1.5785440613026822E-2</v>
      </c>
      <c r="AF21" s="42">
        <f t="shared" si="18"/>
        <v>3.233515047419909E-2</v>
      </c>
      <c r="AG21" s="42">
        <f t="shared" si="18"/>
        <v>3.7341458230000707E-2</v>
      </c>
      <c r="AH21" s="42">
        <f t="shared" si="18"/>
        <v>1.8304897423499344E-2</v>
      </c>
      <c r="AI21" s="42">
        <f t="shared" si="18"/>
        <v>2.5226112102381099E-2</v>
      </c>
      <c r="AJ21" s="42">
        <f t="shared" si="18"/>
        <v>1.6848917652309753E-2</v>
      </c>
      <c r="AK21" s="42">
        <f t="shared" si="18"/>
        <v>3.976637887252412E-2</v>
      </c>
      <c r="AL21" s="42">
        <f t="shared" si="18"/>
        <v>3.1785063752276868E-2</v>
      </c>
      <c r="AM21" s="42" t="e">
        <f t="shared" ref="AM21:AM23" si="19">S21/S$41</f>
        <v>#DIV/0!</v>
      </c>
      <c r="AN21" s="42">
        <f>SUM(N21:R21)/SUM(N$41:R$41)</f>
        <v>2.721917080085046E-2</v>
      </c>
      <c r="AO21" s="2"/>
    </row>
    <row r="22" spans="1:43" ht="15" x14ac:dyDescent="0.2">
      <c r="A22" s="69" t="s">
        <v>23</v>
      </c>
      <c r="B22" s="69">
        <f>432+3168</f>
        <v>3600</v>
      </c>
      <c r="C22" s="91">
        <f>5019+35565+773</f>
        <v>41357</v>
      </c>
      <c r="D22" s="91">
        <f>363+8296+1097</f>
        <v>9756</v>
      </c>
      <c r="E22" s="91">
        <f>1474+5047</f>
        <v>6521</v>
      </c>
      <c r="F22" s="91">
        <f>1780+552</f>
        <v>2332</v>
      </c>
      <c r="G22" s="91">
        <f>6701+2188+35853</f>
        <v>44742</v>
      </c>
      <c r="H22" s="91">
        <f>5508+2857+39852</f>
        <v>48217</v>
      </c>
      <c r="I22" s="91">
        <f>2100+1700</f>
        <v>3800</v>
      </c>
      <c r="J22" s="91">
        <f>11900+2000+4000</f>
        <v>17900</v>
      </c>
      <c r="K22" s="91">
        <v>4700</v>
      </c>
      <c r="L22" s="91">
        <f>3600+3400</f>
        <v>7000</v>
      </c>
      <c r="M22" s="91">
        <f>2900+1300</f>
        <v>4200</v>
      </c>
      <c r="N22" s="91">
        <f>3100+5600</f>
        <v>8700</v>
      </c>
      <c r="O22" s="91">
        <f>3200+1500</f>
        <v>4700</v>
      </c>
      <c r="P22" s="91">
        <f>3000+2900</f>
        <v>5900</v>
      </c>
      <c r="Q22" s="91">
        <v>3500</v>
      </c>
      <c r="R22" s="91">
        <v>3500</v>
      </c>
      <c r="S22" s="91"/>
      <c r="T22" s="50">
        <f t="shared" si="17"/>
        <v>-3.5807495997299744E-2</v>
      </c>
      <c r="U22" s="69" t="str">
        <f>A22</f>
        <v>Other Current Assets</v>
      </c>
      <c r="V22" s="74">
        <f t="shared" ref="V22:AD23" si="20">B22/B$41</f>
        <v>4.9754544248374688E-3</v>
      </c>
      <c r="W22" s="74">
        <f t="shared" si="20"/>
        <v>4.9808147643214833E-2</v>
      </c>
      <c r="X22" s="74">
        <f t="shared" si="20"/>
        <v>1.1700030221480277E-2</v>
      </c>
      <c r="Y22" s="74">
        <f t="shared" si="20"/>
        <v>7.8397097347771248E-3</v>
      </c>
      <c r="Z22" s="74">
        <f t="shared" si="20"/>
        <v>2.5631668960180783E-3</v>
      </c>
      <c r="AA22" s="74">
        <f t="shared" si="20"/>
        <v>4.4227720071014248E-2</v>
      </c>
      <c r="AB22" s="74">
        <f t="shared" si="20"/>
        <v>4.3571455035563277E-2</v>
      </c>
      <c r="AC22" s="74">
        <f t="shared" si="20"/>
        <v>3.5404826236839653E-3</v>
      </c>
      <c r="AD22" s="74">
        <f t="shared" si="20"/>
        <v>1.5329279780765608E-2</v>
      </c>
      <c r="AE22" s="74">
        <f t="shared" si="18"/>
        <v>3.6015325670498083E-3</v>
      </c>
      <c r="AF22" s="74">
        <f t="shared" si="18"/>
        <v>5.2273915316257188E-3</v>
      </c>
      <c r="AG22" s="74">
        <f t="shared" si="18"/>
        <v>2.9759795932827889E-3</v>
      </c>
      <c r="AH22" s="74">
        <f t="shared" si="18"/>
        <v>6.0095323616771428E-3</v>
      </c>
      <c r="AI22" s="74">
        <f t="shared" si="18"/>
        <v>2.8917738263705161E-3</v>
      </c>
      <c r="AJ22" s="74">
        <f t="shared" si="18"/>
        <v>3.2916759651863423E-3</v>
      </c>
      <c r="AK22" s="74">
        <f t="shared" si="18"/>
        <v>1.7775520568816658E-3</v>
      </c>
      <c r="AL22" s="74">
        <f t="shared" si="18"/>
        <v>1.5938069216757742E-3</v>
      </c>
      <c r="AM22" s="74" t="e">
        <f t="shared" si="19"/>
        <v>#DIV/0!</v>
      </c>
      <c r="AN22" s="50">
        <f>SUM(N22:R22)/SUM(N$41:R$41)</f>
        <v>2.9123848334514529E-3</v>
      </c>
      <c r="AO22" s="2"/>
    </row>
    <row r="23" spans="1:43" ht="15" x14ac:dyDescent="0.2">
      <c r="A23" s="69" t="s">
        <v>38</v>
      </c>
      <c r="B23" s="75">
        <f t="shared" ref="B23:M23" si="21">SUM(B10:B22)</f>
        <v>110086</v>
      </c>
      <c r="C23" s="92">
        <f t="shared" si="21"/>
        <v>183326</v>
      </c>
      <c r="D23" s="92">
        <f t="shared" si="21"/>
        <v>149031</v>
      </c>
      <c r="E23" s="92">
        <f t="shared" si="21"/>
        <v>127067</v>
      </c>
      <c r="F23" s="92">
        <f t="shared" si="21"/>
        <v>164443</v>
      </c>
      <c r="G23" s="92">
        <f t="shared" si="21"/>
        <v>232929</v>
      </c>
      <c r="H23" s="92">
        <f t="shared" si="21"/>
        <v>305049</v>
      </c>
      <c r="I23" s="92">
        <f t="shared" si="21"/>
        <v>218300</v>
      </c>
      <c r="J23" s="92">
        <f t="shared" si="21"/>
        <v>227200</v>
      </c>
      <c r="K23" s="92">
        <f t="shared" si="21"/>
        <v>284000</v>
      </c>
      <c r="L23" s="92">
        <f t="shared" si="21"/>
        <v>279000</v>
      </c>
      <c r="M23" s="92">
        <f t="shared" si="21"/>
        <v>291800</v>
      </c>
      <c r="N23" s="92">
        <f t="shared" ref="N23" si="22">SUM(N10:N22)</f>
        <v>247300</v>
      </c>
      <c r="O23" s="92">
        <f t="shared" ref="O23:P23" si="23">SUM(O10:O22)</f>
        <v>275900</v>
      </c>
      <c r="P23" s="92">
        <f t="shared" si="23"/>
        <v>308900</v>
      </c>
      <c r="Q23" s="92">
        <f t="shared" ref="Q23:S23" si="24">SUM(Q10:Q22)</f>
        <v>366400</v>
      </c>
      <c r="R23" s="92">
        <f t="shared" ref="R23" si="25">SUM(R10:R22)</f>
        <v>417000</v>
      </c>
      <c r="S23" s="92">
        <f t="shared" si="24"/>
        <v>0</v>
      </c>
      <c r="T23" s="42">
        <f t="shared" si="17"/>
        <v>7.4014521711620485E-2</v>
      </c>
      <c r="U23" s="69" t="str">
        <f>A23</f>
        <v>Total Current Assets</v>
      </c>
      <c r="V23" s="42">
        <f t="shared" si="20"/>
        <v>0.15214663217018265</v>
      </c>
      <c r="W23" s="42">
        <f t="shared" si="20"/>
        <v>0.22078797966100061</v>
      </c>
      <c r="X23" s="42">
        <f t="shared" si="20"/>
        <v>0.17872767568034309</v>
      </c>
      <c r="Y23" s="42">
        <f t="shared" si="20"/>
        <v>0.15276313400842279</v>
      </c>
      <c r="Z23" s="42">
        <f t="shared" si="20"/>
        <v>0.1807439339116213</v>
      </c>
      <c r="AA23" s="42">
        <f t="shared" si="20"/>
        <v>0.23025163399984974</v>
      </c>
      <c r="AB23" s="42">
        <f t="shared" si="20"/>
        <v>0.27565855999219241</v>
      </c>
      <c r="AC23" s="42">
        <f t="shared" si="20"/>
        <v>0.2033914096711078</v>
      </c>
      <c r="AD23" s="42">
        <f t="shared" si="20"/>
        <v>0.19457052325083499</v>
      </c>
      <c r="AE23" s="42">
        <f t="shared" si="18"/>
        <v>0.21762452107279692</v>
      </c>
      <c r="AF23" s="42">
        <f t="shared" si="18"/>
        <v>0.20834889104622509</v>
      </c>
      <c r="AG23" s="42">
        <f t="shared" si="18"/>
        <v>0.20675972507617091</v>
      </c>
      <c r="AH23" s="42">
        <f t="shared" si="18"/>
        <v>0.17082268425778821</v>
      </c>
      <c r="AI23" s="42">
        <f t="shared" si="18"/>
        <v>0.16975327631821818</v>
      </c>
      <c r="AJ23" s="42">
        <f t="shared" si="18"/>
        <v>0.17233876366882392</v>
      </c>
      <c r="AK23" s="42">
        <f t="shared" si="18"/>
        <v>0.18608430675469781</v>
      </c>
      <c r="AL23" s="42">
        <f t="shared" si="18"/>
        <v>0.18989071038251365</v>
      </c>
      <c r="AM23" s="42" t="e">
        <f t="shared" si="19"/>
        <v>#DIV/0!</v>
      </c>
      <c r="AN23" s="42">
        <f>SUM(N23:R23)/SUM(N$41:R$41)</f>
        <v>0.17889572997873848</v>
      </c>
      <c r="AO23" s="2"/>
    </row>
    <row r="24" spans="1:43" ht="15" x14ac:dyDescent="0.2">
      <c r="A24" s="69"/>
      <c r="B24" s="6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42"/>
      <c r="U24" s="69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6"/>
    </row>
    <row r="25" spans="1:43" ht="15.75" x14ac:dyDescent="0.25">
      <c r="A25" s="113" t="s">
        <v>25</v>
      </c>
      <c r="B25" s="6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34"/>
      <c r="U25" s="113" t="s">
        <v>25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6"/>
    </row>
    <row r="26" spans="1:43" ht="15" x14ac:dyDescent="0.2">
      <c r="A26" s="69" t="s">
        <v>116</v>
      </c>
      <c r="B26" s="69">
        <f>725874+97870+121421</f>
        <v>945165</v>
      </c>
      <c r="C26" s="91">
        <f>818802+97870+125970</f>
        <v>1042642</v>
      </c>
      <c r="D26" s="91">
        <f>875415+97870+139299</f>
        <v>1112584</v>
      </c>
      <c r="E26" s="91">
        <f>941645+92594+143734</f>
        <v>1177973</v>
      </c>
      <c r="F26" s="91">
        <f>990984+91343+137972</f>
        <v>1220299</v>
      </c>
      <c r="G26" s="91">
        <f>1047365+91032+162246</f>
        <v>1300643</v>
      </c>
      <c r="H26" s="91">
        <f>1104430+90038+169814</f>
        <v>1364282</v>
      </c>
      <c r="I26" s="91">
        <f>1174100+89500+123400</f>
        <v>1387000</v>
      </c>
      <c r="J26" s="91">
        <f>1293800+211900</f>
        <v>1505700</v>
      </c>
      <c r="K26" s="91">
        <f>1646800-23900</f>
        <v>1622900</v>
      </c>
      <c r="L26" s="91">
        <f>1414100+267500</f>
        <v>1681600</v>
      </c>
      <c r="M26" s="91">
        <f>1490100+272400</f>
        <v>1762500</v>
      </c>
      <c r="N26" s="91">
        <f>1583100+284400</f>
        <v>1867500</v>
      </c>
      <c r="O26" s="91">
        <f>1690500+281600</f>
        <v>1972100</v>
      </c>
      <c r="P26" s="91">
        <f>1839800+289800</f>
        <v>2129600</v>
      </c>
      <c r="Q26" s="91">
        <f>1991600+306300</f>
        <v>2297900</v>
      </c>
      <c r="R26" s="91">
        <f>2186900+320900</f>
        <v>2507800</v>
      </c>
      <c r="S26" s="91"/>
      <c r="T26" s="42">
        <f t="shared" ref="T26:T27" si="26">RATE(5,,-M26,R26)</f>
        <v>7.308161566132966E-2</v>
      </c>
      <c r="U26" s="69" t="str">
        <f>A26</f>
        <v>Plant in Service</v>
      </c>
      <c r="V26" s="42">
        <f t="shared" ref="V26:AL26" si="27">B26/B$41</f>
        <v>1.3062848281809738</v>
      </c>
      <c r="W26" s="42">
        <f t="shared" si="27"/>
        <v>1.2557019772956646</v>
      </c>
      <c r="X26" s="42">
        <f t="shared" si="27"/>
        <v>1.3342831512848927</v>
      </c>
      <c r="Y26" s="42">
        <f t="shared" si="27"/>
        <v>1.416188682012669</v>
      </c>
      <c r="Z26" s="42">
        <f t="shared" si="27"/>
        <v>1.3412650085951823</v>
      </c>
      <c r="AA26" s="42">
        <f t="shared" si="27"/>
        <v>1.2856929622351299</v>
      </c>
      <c r="AB26" s="42">
        <f t="shared" si="27"/>
        <v>1.2328380409156177</v>
      </c>
      <c r="AC26" s="42">
        <f t="shared" si="27"/>
        <v>1.2922761576446473</v>
      </c>
      <c r="AD26" s="42">
        <f t="shared" si="27"/>
        <v>1.2894579087094289</v>
      </c>
      <c r="AE26" s="42">
        <f t="shared" si="27"/>
        <v>1.2436015325670497</v>
      </c>
      <c r="AF26" s="42">
        <f t="shared" si="27"/>
        <v>1.2557687999402585</v>
      </c>
      <c r="AG26" s="42">
        <f t="shared" si="27"/>
        <v>1.2488485793240276</v>
      </c>
      <c r="AH26" s="42">
        <f t="shared" si="27"/>
        <v>1.2899772052220764</v>
      </c>
      <c r="AI26" s="42">
        <f t="shared" si="27"/>
        <v>1.2133759921245308</v>
      </c>
      <c r="AJ26" s="42">
        <f t="shared" si="27"/>
        <v>1.1881276500781075</v>
      </c>
      <c r="AK26" s="42">
        <f t="shared" si="27"/>
        <v>1.1670391061452514</v>
      </c>
      <c r="AL26" s="42">
        <f t="shared" si="27"/>
        <v>1.1419854280510018</v>
      </c>
      <c r="AM26" s="42" t="e">
        <f t="shared" ref="AM26" si="28">S26/S$41</f>
        <v>#DIV/0!</v>
      </c>
      <c r="AN26" s="42">
        <f>SUM(N26:R26)/SUM(N$41:R$41)</f>
        <v>1.193180811481219</v>
      </c>
      <c r="AO26" s="6"/>
      <c r="AQ26" s="1"/>
    </row>
    <row r="27" spans="1:43" ht="15" x14ac:dyDescent="0.2">
      <c r="A27" s="73" t="s">
        <v>124</v>
      </c>
      <c r="B27" s="69">
        <v>68434</v>
      </c>
      <c r="C27" s="91">
        <v>24720</v>
      </c>
      <c r="D27" s="91">
        <v>31871</v>
      </c>
      <c r="E27" s="91">
        <v>15580</v>
      </c>
      <c r="F27" s="91">
        <v>20254</v>
      </c>
      <c r="G27" s="91">
        <v>14894</v>
      </c>
      <c r="H27" s="26">
        <v>19080</v>
      </c>
      <c r="I27" s="26">
        <v>31100</v>
      </c>
      <c r="J27" s="26">
        <f>33500</f>
        <v>33500</v>
      </c>
      <c r="K27" s="26">
        <v>23900</v>
      </c>
      <c r="L27" s="26">
        <v>40300</v>
      </c>
      <c r="M27" s="26">
        <v>55100</v>
      </c>
      <c r="N27" s="26">
        <v>59500</v>
      </c>
      <c r="O27" s="26">
        <v>68800</v>
      </c>
      <c r="P27" s="26">
        <v>73400</v>
      </c>
      <c r="Q27" s="26">
        <v>54400</v>
      </c>
      <c r="R27" s="26">
        <v>62500</v>
      </c>
      <c r="S27" s="26"/>
      <c r="T27" s="50">
        <f t="shared" si="26"/>
        <v>2.552365813374299E-2</v>
      </c>
      <c r="U27" s="69" t="str">
        <f>A27</f>
        <v>Construction Work in Progress</v>
      </c>
      <c r="V27" s="42">
        <f t="shared" ref="V27:AF27" si="29">B27/B$41</f>
        <v>9.4580624474813149E-2</v>
      </c>
      <c r="W27" s="42">
        <f t="shared" si="29"/>
        <v>2.9771439169675524E-2</v>
      </c>
      <c r="X27" s="42">
        <f t="shared" si="29"/>
        <v>3.8221777694628735E-2</v>
      </c>
      <c r="Y27" s="42">
        <f t="shared" si="29"/>
        <v>1.8730666717961603E-2</v>
      </c>
      <c r="Z27" s="42">
        <f t="shared" si="29"/>
        <v>2.2261741986256502E-2</v>
      </c>
      <c r="AA27" s="42">
        <f t="shared" si="29"/>
        <v>1.4722803243880162E-2</v>
      </c>
      <c r="AB27" s="42">
        <f t="shared" si="29"/>
        <v>1.7241706495189402E-2</v>
      </c>
      <c r="AC27" s="42">
        <f t="shared" si="29"/>
        <v>2.8976055156992454E-2</v>
      </c>
      <c r="AD27" s="42">
        <f t="shared" si="29"/>
        <v>2.8688875567354628E-2</v>
      </c>
      <c r="AE27" s="42">
        <f t="shared" si="29"/>
        <v>1.8314176245210728E-2</v>
      </c>
      <c r="AF27" s="42">
        <f t="shared" si="29"/>
        <v>3.0094839817788068E-2</v>
      </c>
      <c r="AG27" s="152">
        <f t="shared" ref="AG27" si="30">M27/M$41</f>
        <v>3.9042017997590876E-2</v>
      </c>
      <c r="AH27" s="152">
        <f t="shared" ref="AH27" si="31">N27/N$41</f>
        <v>4.10996753471023E-2</v>
      </c>
      <c r="AI27" s="152">
        <f>O27/O$41</f>
        <v>4.2330646649849257E-2</v>
      </c>
      <c r="AJ27" s="152">
        <f>P27/P$41</f>
        <v>4.0950680651640259E-2</v>
      </c>
      <c r="AK27" s="152">
        <f>Q27/Q$41</f>
        <v>2.7628237684103607E-2</v>
      </c>
      <c r="AL27" s="152">
        <f>R27/R$41</f>
        <v>2.8460837887067394E-2</v>
      </c>
      <c r="AM27" s="152" t="e">
        <f>S27/S$41</f>
        <v>#DIV/0!</v>
      </c>
      <c r="AN27" s="42">
        <f>SUM(N27:R27)/SUM(N$41:R$41)</f>
        <v>3.5280829199149537E-2</v>
      </c>
      <c r="AO27" s="6"/>
    </row>
    <row r="28" spans="1:43" ht="15" hidden="1" x14ac:dyDescent="0.2">
      <c r="A28" s="69" t="s">
        <v>58</v>
      </c>
      <c r="B28" s="69">
        <v>0</v>
      </c>
      <c r="C28" s="91">
        <v>0</v>
      </c>
      <c r="D28" s="91">
        <v>0</v>
      </c>
      <c r="E28" s="91">
        <v>0</v>
      </c>
      <c r="F28" s="91"/>
      <c r="G28" s="9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0"/>
      <c r="U28" s="69" t="str">
        <f>A28</f>
        <v>Other PP&amp;E</v>
      </c>
      <c r="V28" s="76">
        <f t="shared" ref="V28:Z29" si="32">B28/B$41</f>
        <v>0</v>
      </c>
      <c r="W28" s="76">
        <f t="shared" si="32"/>
        <v>0</v>
      </c>
      <c r="X28" s="76">
        <f t="shared" si="32"/>
        <v>0</v>
      </c>
      <c r="Y28" s="76">
        <f t="shared" si="32"/>
        <v>0</v>
      </c>
      <c r="Z28" s="76">
        <f t="shared" si="32"/>
        <v>0</v>
      </c>
      <c r="AA28" s="76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50"/>
      <c r="AO28" s="2"/>
    </row>
    <row r="29" spans="1:43" ht="15" customHeight="1" x14ac:dyDescent="0.2">
      <c r="A29" s="69" t="s">
        <v>65</v>
      </c>
      <c r="B29" s="75">
        <f t="shared" ref="B29:M29" si="33">SUM(B26:B28)</f>
        <v>1013599</v>
      </c>
      <c r="C29" s="92">
        <f t="shared" si="33"/>
        <v>1067362</v>
      </c>
      <c r="D29" s="92">
        <f t="shared" si="33"/>
        <v>1144455</v>
      </c>
      <c r="E29" s="92">
        <f t="shared" si="33"/>
        <v>1193553</v>
      </c>
      <c r="F29" s="92">
        <f t="shared" si="33"/>
        <v>1240553</v>
      </c>
      <c r="G29" s="92">
        <f t="shared" si="33"/>
        <v>1315537</v>
      </c>
      <c r="H29" s="92">
        <f t="shared" si="33"/>
        <v>1383362</v>
      </c>
      <c r="I29" s="92">
        <f t="shared" si="33"/>
        <v>1418100</v>
      </c>
      <c r="J29" s="92">
        <f t="shared" si="33"/>
        <v>1539200</v>
      </c>
      <c r="K29" s="92">
        <f t="shared" si="33"/>
        <v>1646800</v>
      </c>
      <c r="L29" s="92">
        <f t="shared" si="33"/>
        <v>1721900</v>
      </c>
      <c r="M29" s="92">
        <f t="shared" si="33"/>
        <v>1817600</v>
      </c>
      <c r="N29" s="92">
        <f t="shared" ref="N29" si="34">SUM(N26:N28)</f>
        <v>1927000</v>
      </c>
      <c r="O29" s="92">
        <f t="shared" ref="O29:P29" si="35">SUM(O26:O28)</f>
        <v>2040900</v>
      </c>
      <c r="P29" s="92">
        <f t="shared" si="35"/>
        <v>2203000</v>
      </c>
      <c r="Q29" s="92">
        <f t="shared" ref="Q29:S29" si="36">SUM(Q26:Q28)</f>
        <v>2352300</v>
      </c>
      <c r="R29" s="92">
        <f t="shared" ref="R29" si="37">SUM(R26:R28)</f>
        <v>2570300</v>
      </c>
      <c r="S29" s="92">
        <f t="shared" si="36"/>
        <v>0</v>
      </c>
      <c r="T29" s="42">
        <f>RATE(5,,-M29,R29)</f>
        <v>7.1758904476293073E-2</v>
      </c>
      <c r="U29" s="69" t="str">
        <f>A29</f>
        <v>Total Plant &amp; Equipment:</v>
      </c>
      <c r="V29" s="77">
        <f t="shared" si="32"/>
        <v>1.4008654526557871</v>
      </c>
      <c r="W29" s="77">
        <f t="shared" si="32"/>
        <v>1.2854734164653401</v>
      </c>
      <c r="X29" s="77">
        <f t="shared" si="32"/>
        <v>1.3725049289795213</v>
      </c>
      <c r="Y29" s="77">
        <f t="shared" si="32"/>
        <v>1.4349193487306307</v>
      </c>
      <c r="Z29" s="77">
        <f t="shared" si="32"/>
        <v>1.3635267505814388</v>
      </c>
      <c r="AA29" s="77">
        <f t="shared" ref="AA29:AL29" si="38">G29/G$41</f>
        <v>1.3004157654790101</v>
      </c>
      <c r="AB29" s="77">
        <f t="shared" si="38"/>
        <v>1.2500797474108072</v>
      </c>
      <c r="AC29" s="77">
        <f t="shared" si="38"/>
        <v>1.3212522128016397</v>
      </c>
      <c r="AD29" s="77">
        <f t="shared" si="38"/>
        <v>1.3181467842767833</v>
      </c>
      <c r="AE29" s="77">
        <f t="shared" si="38"/>
        <v>1.2619157088122606</v>
      </c>
      <c r="AF29" s="77">
        <f t="shared" si="38"/>
        <v>1.2858636397580465</v>
      </c>
      <c r="AG29" s="77">
        <f t="shared" si="38"/>
        <v>1.2878905973216184</v>
      </c>
      <c r="AH29" s="77">
        <f t="shared" si="38"/>
        <v>1.3310768805691786</v>
      </c>
      <c r="AI29" s="77">
        <f t="shared" si="38"/>
        <v>1.25570663877438</v>
      </c>
      <c r="AJ29" s="77">
        <f t="shared" si="38"/>
        <v>1.2290783307297479</v>
      </c>
      <c r="AK29" s="77">
        <f t="shared" si="38"/>
        <v>1.1946673438293549</v>
      </c>
      <c r="AL29" s="77">
        <f t="shared" si="38"/>
        <v>1.1704462659380692</v>
      </c>
      <c r="AM29" s="77" t="e">
        <f t="shared" ref="AM29" si="39">S29/S$41</f>
        <v>#DIV/0!</v>
      </c>
      <c r="AN29" s="42">
        <f>SUM(N29:R29)/SUM(N$41:R$41)</f>
        <v>1.2284616406803686</v>
      </c>
      <c r="AO29" s="2"/>
    </row>
    <row r="30" spans="1:43" ht="12" customHeight="1" x14ac:dyDescent="0.2">
      <c r="A30" s="69"/>
      <c r="B30" s="6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42"/>
      <c r="U30" s="70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42"/>
      <c r="AO30" s="2"/>
    </row>
    <row r="31" spans="1:43" ht="12.75" customHeight="1" x14ac:dyDescent="0.2">
      <c r="A31" s="69" t="s">
        <v>128</v>
      </c>
      <c r="B31" s="69">
        <v>421111</v>
      </c>
      <c r="C31" s="91">
        <v>447496</v>
      </c>
      <c r="D31" s="91">
        <v>489583</v>
      </c>
      <c r="E31" s="91">
        <v>513485</v>
      </c>
      <c r="F31" s="91">
        <v>532747</v>
      </c>
      <c r="G31" s="91">
        <v>572290</v>
      </c>
      <c r="H31" s="91">
        <v>615934</v>
      </c>
      <c r="I31" s="91">
        <v>598000</v>
      </c>
      <c r="J31" s="91">
        <f>630300</f>
        <v>630300</v>
      </c>
      <c r="K31" s="91">
        <v>657300</v>
      </c>
      <c r="L31" s="91">
        <v>690400</v>
      </c>
      <c r="M31" s="91">
        <v>721300</v>
      </c>
      <c r="N31" s="91">
        <v>749600</v>
      </c>
      <c r="O31" s="91">
        <v>716600</v>
      </c>
      <c r="P31" s="91">
        <v>745200</v>
      </c>
      <c r="Q31" s="91">
        <v>780300</v>
      </c>
      <c r="R31" s="91">
        <v>812200</v>
      </c>
      <c r="S31" s="91"/>
      <c r="T31" s="42">
        <f>RATE(5,,-M31,R31)</f>
        <v>2.4022291218569459E-2</v>
      </c>
      <c r="U31" s="69" t="str">
        <f>A31</f>
        <v>Accumulated Dep &amp; Amort</v>
      </c>
      <c r="V31" s="42">
        <f t="shared" ref="V31:AL31" si="40">B31/B$41</f>
        <v>0.58200516341603648</v>
      </c>
      <c r="W31" s="42">
        <f t="shared" si="40"/>
        <v>0.53894012713078965</v>
      </c>
      <c r="X31" s="42">
        <f t="shared" si="40"/>
        <v>0.58713980073011263</v>
      </c>
      <c r="Y31" s="42">
        <f t="shared" si="40"/>
        <v>0.6173245442665285</v>
      </c>
      <c r="Z31" s="42">
        <f t="shared" si="40"/>
        <v>0.58555723600040444</v>
      </c>
      <c r="AA31" s="42">
        <f t="shared" si="40"/>
        <v>0.5657119020035033</v>
      </c>
      <c r="AB31" s="42">
        <f t="shared" si="40"/>
        <v>0.55659084111152979</v>
      </c>
      <c r="AC31" s="42">
        <f t="shared" si="40"/>
        <v>0.55716016025342396</v>
      </c>
      <c r="AD31" s="42">
        <f t="shared" si="40"/>
        <v>0.53977905283891414</v>
      </c>
      <c r="AE31" s="42">
        <f t="shared" si="40"/>
        <v>0.50367816091954021</v>
      </c>
      <c r="AF31" s="42">
        <f t="shared" si="40"/>
        <v>0.51557015906205661</v>
      </c>
      <c r="AG31" s="42">
        <f t="shared" si="40"/>
        <v>0.51108906681782751</v>
      </c>
      <c r="AH31" s="42">
        <f t="shared" si="40"/>
        <v>0.51778683428887196</v>
      </c>
      <c r="AI31" s="42">
        <f t="shared" si="40"/>
        <v>0.44090321786747061</v>
      </c>
      <c r="AJ31" s="42">
        <f t="shared" si="40"/>
        <v>0.41575541173845126</v>
      </c>
      <c r="AK31" s="42">
        <f t="shared" si="40"/>
        <v>0.39629253428136108</v>
      </c>
      <c r="AL31" s="42">
        <f t="shared" si="40"/>
        <v>0.36985428051001823</v>
      </c>
      <c r="AM31" s="42" t="e">
        <f t="shared" ref="AM31" si="41">S31/S$41</f>
        <v>#DIV/0!</v>
      </c>
      <c r="AN31" s="42">
        <f>SUM(N31:R31)/SUM(N$41:R$41)</f>
        <v>0.42123272501771791</v>
      </c>
      <c r="AO31" s="2"/>
    </row>
    <row r="32" spans="1:43" ht="12" customHeight="1" x14ac:dyDescent="0.2">
      <c r="A32" s="69"/>
      <c r="B32" s="6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42"/>
      <c r="U32" s="69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42"/>
      <c r="AO32" s="2"/>
    </row>
    <row r="33" spans="1:41" ht="15" x14ac:dyDescent="0.2">
      <c r="A33" s="69" t="s">
        <v>59</v>
      </c>
      <c r="B33" s="69">
        <f t="shared" ref="B33:H33" si="42">B29-B31</f>
        <v>592488</v>
      </c>
      <c r="C33" s="91">
        <f t="shared" si="42"/>
        <v>619866</v>
      </c>
      <c r="D33" s="91">
        <f t="shared" si="42"/>
        <v>654872</v>
      </c>
      <c r="E33" s="91">
        <f t="shared" si="42"/>
        <v>680068</v>
      </c>
      <c r="F33" s="91">
        <f t="shared" si="42"/>
        <v>707806</v>
      </c>
      <c r="G33" s="91">
        <f t="shared" si="42"/>
        <v>743247</v>
      </c>
      <c r="H33" s="91">
        <f t="shared" si="42"/>
        <v>767428</v>
      </c>
      <c r="I33" s="91">
        <f t="shared" ref="I33:O33" si="43">I29-I31</f>
        <v>820100</v>
      </c>
      <c r="J33" s="91">
        <f t="shared" si="43"/>
        <v>908900</v>
      </c>
      <c r="K33" s="91">
        <f t="shared" si="43"/>
        <v>989500</v>
      </c>
      <c r="L33" s="91">
        <f t="shared" si="43"/>
        <v>1031500</v>
      </c>
      <c r="M33" s="91">
        <f t="shared" si="43"/>
        <v>1096300</v>
      </c>
      <c r="N33" s="91">
        <f t="shared" ref="N33" si="44">N29-N31</f>
        <v>1177400</v>
      </c>
      <c r="O33" s="91">
        <f t="shared" si="43"/>
        <v>1324300</v>
      </c>
      <c r="P33" s="91">
        <f t="shared" ref="P33:Q33" si="45">P29-P31</f>
        <v>1457800</v>
      </c>
      <c r="Q33" s="91">
        <f t="shared" si="45"/>
        <v>1572000</v>
      </c>
      <c r="R33" s="91">
        <f t="shared" ref="R33" si="46">R29-R31</f>
        <v>1758100</v>
      </c>
      <c r="S33" s="91">
        <f t="shared" ref="S33" si="47">S29-S31</f>
        <v>0</v>
      </c>
      <c r="T33" s="42">
        <f>RATE(5,,-M33,R33)</f>
        <v>9.9063618480739829E-2</v>
      </c>
      <c r="U33" s="69" t="str">
        <f>A33</f>
        <v>Net Plant &amp; Equipment</v>
      </c>
      <c r="V33" s="42">
        <f t="shared" ref="V33:AL33" si="48">B33/B$41</f>
        <v>0.81886028923975052</v>
      </c>
      <c r="W33" s="42">
        <f t="shared" si="48"/>
        <v>0.74653328933455054</v>
      </c>
      <c r="X33" s="42">
        <f t="shared" si="48"/>
        <v>0.78536512824940874</v>
      </c>
      <c r="Y33" s="42">
        <f t="shared" si="48"/>
        <v>0.81759480446410215</v>
      </c>
      <c r="Z33" s="42">
        <f t="shared" si="48"/>
        <v>0.77796951458103436</v>
      </c>
      <c r="AA33" s="42">
        <f t="shared" si="48"/>
        <v>0.73470386347550676</v>
      </c>
      <c r="AB33" s="42">
        <f t="shared" si="48"/>
        <v>0.6934889062992774</v>
      </c>
      <c r="AC33" s="42">
        <f t="shared" si="48"/>
        <v>0.76409205254821577</v>
      </c>
      <c r="AD33" s="42">
        <f t="shared" si="48"/>
        <v>0.7783677314378693</v>
      </c>
      <c r="AE33" s="42">
        <f t="shared" si="48"/>
        <v>0.75823754789272035</v>
      </c>
      <c r="AF33" s="42">
        <f t="shared" si="48"/>
        <v>0.7702934806959898</v>
      </c>
      <c r="AG33" s="42">
        <f t="shared" si="48"/>
        <v>0.77680153050379086</v>
      </c>
      <c r="AH33" s="42">
        <f t="shared" si="48"/>
        <v>0.81329004628030666</v>
      </c>
      <c r="AI33" s="42">
        <f t="shared" si="48"/>
        <v>0.81480342090690949</v>
      </c>
      <c r="AJ33" s="42">
        <f t="shared" si="48"/>
        <v>0.81332291899129661</v>
      </c>
      <c r="AK33" s="42">
        <f t="shared" si="48"/>
        <v>0.79837480954799389</v>
      </c>
      <c r="AL33" s="42">
        <f t="shared" si="48"/>
        <v>0.80059198542805099</v>
      </c>
      <c r="AM33" s="42" t="e">
        <f t="shared" ref="AM33" si="49">S33/S$41</f>
        <v>#DIV/0!</v>
      </c>
      <c r="AN33" s="42">
        <f>SUM(N33:R33)/SUM(N$41:R$41)</f>
        <v>0.80722891566265065</v>
      </c>
      <c r="AO33" s="2"/>
    </row>
    <row r="34" spans="1:41" ht="12" customHeight="1" x14ac:dyDescent="0.2">
      <c r="A34" s="69"/>
      <c r="B34" s="6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42"/>
      <c r="U34" s="69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2"/>
    </row>
    <row r="35" spans="1:41" ht="15.75" x14ac:dyDescent="0.25">
      <c r="A35" s="113" t="s">
        <v>72</v>
      </c>
      <c r="B35" s="69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42"/>
      <c r="U35" s="113" t="str">
        <f>A35</f>
        <v>Other Assets: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2"/>
    </row>
    <row r="36" spans="1:41" ht="15" x14ac:dyDescent="0.2">
      <c r="A36" s="69" t="s">
        <v>60</v>
      </c>
      <c r="B36" s="69">
        <v>16353</v>
      </c>
      <c r="C36" s="91">
        <v>22359</v>
      </c>
      <c r="D36" s="91">
        <v>19211</v>
      </c>
      <c r="E36" s="91">
        <v>13942</v>
      </c>
      <c r="F36" s="91">
        <v>24635</v>
      </c>
      <c r="G36" s="91">
        <v>21843</v>
      </c>
      <c r="H36" s="91">
        <v>22052</v>
      </c>
      <c r="I36" s="91">
        <v>23000</v>
      </c>
      <c r="J36" s="91">
        <f>19100</f>
        <v>19100</v>
      </c>
      <c r="K36" s="91">
        <v>18100</v>
      </c>
      <c r="L36" s="91">
        <v>16000</v>
      </c>
      <c r="M36" s="91">
        <v>15000</v>
      </c>
      <c r="N36" s="91">
        <v>15100</v>
      </c>
      <c r="O36" s="91">
        <v>16400</v>
      </c>
      <c r="P36" s="91">
        <v>16100</v>
      </c>
      <c r="Q36" s="91">
        <v>21300</v>
      </c>
      <c r="R36" s="91">
        <v>11900</v>
      </c>
      <c r="S36" s="91"/>
      <c r="T36" s="42">
        <f t="shared" ref="T36:T40" si="50">RATE(5,,-M36,R36)</f>
        <v>-4.5246760833404509E-2</v>
      </c>
      <c r="U36" s="69" t="str">
        <f>A36</f>
        <v>Regulatory Assets</v>
      </c>
      <c r="V36" s="42">
        <f t="shared" ref="V36:AL41" si="51">B36/B$41</f>
        <v>2.26010017248242E-2</v>
      </c>
      <c r="W36" s="42">
        <f t="shared" si="51"/>
        <v>2.6927977685872777E-2</v>
      </c>
      <c r="X36" s="42">
        <f t="shared" si="51"/>
        <v>2.3039081650764411E-2</v>
      </c>
      <c r="Y36" s="42">
        <f t="shared" si="51"/>
        <v>1.6761422039911468E-2</v>
      </c>
      <c r="Z36" s="42">
        <f t="shared" si="51"/>
        <v>2.7077022505748439E-2</v>
      </c>
      <c r="AA36" s="42">
        <f t="shared" si="51"/>
        <v>2.1591929049018018E-2</v>
      </c>
      <c r="AB36" s="42">
        <f t="shared" si="51"/>
        <v>1.9927364341295422E-2</v>
      </c>
      <c r="AC36" s="42">
        <f t="shared" si="51"/>
        <v>2.1429236932823999E-2</v>
      </c>
      <c r="AD36" s="42">
        <f t="shared" si="51"/>
        <v>1.6356940995118609E-2</v>
      </c>
      <c r="AE36" s="42">
        <f t="shared" si="51"/>
        <v>1.3869731800766283E-2</v>
      </c>
      <c r="AF36" s="42">
        <f t="shared" si="51"/>
        <v>1.1948323500858785E-2</v>
      </c>
      <c r="AG36" s="42">
        <f t="shared" si="51"/>
        <v>1.0628498547438532E-2</v>
      </c>
      <c r="AH36" s="42">
        <f t="shared" si="51"/>
        <v>1.0430337777163777E-2</v>
      </c>
      <c r="AI36" s="42">
        <f t="shared" si="51"/>
        <v>1.009044484095244E-2</v>
      </c>
      <c r="AJ36" s="42">
        <f t="shared" si="51"/>
        <v>8.9823700066949345E-3</v>
      </c>
      <c r="AK36" s="42">
        <f t="shared" si="51"/>
        <v>1.0817673946165566E-2</v>
      </c>
      <c r="AL36" s="42">
        <f t="shared" si="51"/>
        <v>5.4189435336976319E-3</v>
      </c>
      <c r="AM36" s="42" t="e">
        <f t="shared" ref="AM36:AM41" si="52">S36/S$41</f>
        <v>#DIV/0!</v>
      </c>
      <c r="AN36" s="42">
        <f>SUM(N36:R36)/SUM(N$41:R$41)</f>
        <v>8.9475549255846921E-3</v>
      </c>
      <c r="AO36" s="2"/>
    </row>
    <row r="37" spans="1:41" ht="15" x14ac:dyDescent="0.2">
      <c r="A37" s="69" t="s">
        <v>95</v>
      </c>
      <c r="B37" s="69">
        <v>0</v>
      </c>
      <c r="C37" s="91">
        <v>0</v>
      </c>
      <c r="D37" s="91">
        <v>5876</v>
      </c>
      <c r="E37" s="91">
        <v>5652</v>
      </c>
      <c r="F37" s="91">
        <v>5652</v>
      </c>
      <c r="G37" s="91">
        <v>5652</v>
      </c>
      <c r="H37" s="26">
        <v>5652</v>
      </c>
      <c r="I37" s="26">
        <v>5600</v>
      </c>
      <c r="J37" s="26">
        <f>5600</f>
        <v>5600</v>
      </c>
      <c r="K37" s="26">
        <f>5600</f>
        <v>5600</v>
      </c>
      <c r="L37" s="26">
        <v>5600</v>
      </c>
      <c r="M37" s="26">
        <v>5600</v>
      </c>
      <c r="N37" s="26">
        <v>5600</v>
      </c>
      <c r="O37" s="26">
        <v>5600</v>
      </c>
      <c r="P37" s="26">
        <v>5600</v>
      </c>
      <c r="Q37" s="26">
        <v>5600</v>
      </c>
      <c r="R37" s="26">
        <v>5600</v>
      </c>
      <c r="S37" s="26"/>
      <c r="T37" s="42">
        <f t="shared" si="50"/>
        <v>1.2661654631550869E-16</v>
      </c>
      <c r="U37" s="69" t="str">
        <f>A37</f>
        <v>Goodwill</v>
      </c>
      <c r="V37" s="42">
        <f t="shared" si="51"/>
        <v>0</v>
      </c>
      <c r="W37" s="42">
        <f t="shared" si="51"/>
        <v>0</v>
      </c>
      <c r="X37" s="42">
        <f t="shared" si="51"/>
        <v>7.0468816709120651E-3</v>
      </c>
      <c r="Y37" s="42">
        <f t="shared" si="51"/>
        <v>6.7949761418433239E-3</v>
      </c>
      <c r="Z37" s="42">
        <f t="shared" si="51"/>
        <v>6.2122724255120835E-3</v>
      </c>
      <c r="AA37" s="42">
        <f t="shared" si="51"/>
        <v>5.5870339690083709E-3</v>
      </c>
      <c r="AB37" s="42">
        <f t="shared" si="51"/>
        <v>5.1074489051787467E-3</v>
      </c>
      <c r="AC37" s="42">
        <f t="shared" si="51"/>
        <v>5.2175533401658441E-3</v>
      </c>
      <c r="AD37" s="42">
        <f t="shared" si="51"/>
        <v>4.795752333647341E-3</v>
      </c>
      <c r="AE37" s="42">
        <f t="shared" si="51"/>
        <v>4.2911877394636016E-3</v>
      </c>
      <c r="AF37" s="42">
        <f t="shared" si="51"/>
        <v>4.1819132253005748E-3</v>
      </c>
      <c r="AG37" s="42">
        <f t="shared" si="51"/>
        <v>3.9679727910437185E-3</v>
      </c>
      <c r="AH37" s="42">
        <f t="shared" si="51"/>
        <v>3.8682047385508048E-3</v>
      </c>
      <c r="AI37" s="42">
        <f t="shared" si="51"/>
        <v>3.4455177505691259E-3</v>
      </c>
      <c r="AJ37" s="42">
        <f t="shared" si="51"/>
        <v>3.1243026110243251E-3</v>
      </c>
      <c r="AK37" s="42">
        <f t="shared" si="51"/>
        <v>2.8440832910106655E-3</v>
      </c>
      <c r="AL37" s="42">
        <f t="shared" si="51"/>
        <v>2.5500910746812386E-3</v>
      </c>
      <c r="AM37" s="42" t="e">
        <f t="shared" si="52"/>
        <v>#DIV/0!</v>
      </c>
      <c r="AN37" s="42">
        <f t="shared" ref="AN37:AN41" si="53">SUM(N37:R37)/SUM(N$41:R$41)</f>
        <v>3.1006378454996458E-3</v>
      </c>
      <c r="AO37" s="2"/>
    </row>
    <row r="38" spans="1:41" ht="15" x14ac:dyDescent="0.2">
      <c r="A38" s="69" t="s">
        <v>96</v>
      </c>
      <c r="B38" s="69">
        <v>4625</v>
      </c>
      <c r="C38" s="91">
        <v>4775</v>
      </c>
      <c r="D38" s="91">
        <v>4854</v>
      </c>
      <c r="E38" s="91">
        <v>5062</v>
      </c>
      <c r="F38" s="91">
        <v>7276</v>
      </c>
      <c r="G38" s="91">
        <v>7957</v>
      </c>
      <c r="H38" s="91">
        <v>6438</v>
      </c>
      <c r="I38" s="91">
        <v>6300</v>
      </c>
      <c r="J38" s="91">
        <f>6900</f>
        <v>6900</v>
      </c>
      <c r="K38" s="91">
        <v>7800</v>
      </c>
      <c r="L38" s="91">
        <v>7000</v>
      </c>
      <c r="M38" s="91">
        <v>2600</v>
      </c>
      <c r="N38" s="91">
        <v>2300</v>
      </c>
      <c r="O38" s="91">
        <v>3100</v>
      </c>
      <c r="P38" s="91">
        <v>4000</v>
      </c>
      <c r="Q38" s="91">
        <v>3700</v>
      </c>
      <c r="R38" s="91">
        <v>3400</v>
      </c>
      <c r="S38" s="91"/>
      <c r="T38" s="50">
        <f t="shared" si="50"/>
        <v>5.5118198683209031E-2</v>
      </c>
      <c r="U38" s="69" t="str">
        <f>A38</f>
        <v>Other Non-Current Assets</v>
      </c>
      <c r="V38" s="42">
        <f t="shared" si="51"/>
        <v>6.3920768652425807E-3</v>
      </c>
      <c r="W38" s="42">
        <f t="shared" si="51"/>
        <v>5.7507533185760769E-3</v>
      </c>
      <c r="X38" s="42">
        <f t="shared" si="51"/>
        <v>5.8212327485716751E-3</v>
      </c>
      <c r="Y38" s="42">
        <f t="shared" si="51"/>
        <v>6.0856633457202587E-3</v>
      </c>
      <c r="Z38" s="42">
        <f t="shared" si="51"/>
        <v>7.9972565760838502E-3</v>
      </c>
      <c r="AA38" s="42">
        <f t="shared" si="51"/>
        <v>7.8655395066170569E-3</v>
      </c>
      <c r="AB38" s="42">
        <f t="shared" si="51"/>
        <v>5.8177204620560464E-3</v>
      </c>
      <c r="AC38" s="42">
        <f t="shared" si="51"/>
        <v>5.869747507686574E-3</v>
      </c>
      <c r="AD38" s="42">
        <f t="shared" si="51"/>
        <v>5.9090519825297592E-3</v>
      </c>
      <c r="AE38" s="42">
        <f t="shared" si="51"/>
        <v>5.9770114942528738E-3</v>
      </c>
      <c r="AF38" s="42">
        <f t="shared" si="51"/>
        <v>5.2273915316257188E-3</v>
      </c>
      <c r="AG38" s="42">
        <f t="shared" si="51"/>
        <v>1.8422730815560121E-3</v>
      </c>
      <c r="AH38" s="42">
        <f t="shared" si="51"/>
        <v>1.5887269461905091E-3</v>
      </c>
      <c r="AI38" s="42">
        <f t="shared" si="51"/>
        <v>1.907340183350766E-3</v>
      </c>
      <c r="AJ38" s="42">
        <f t="shared" si="51"/>
        <v>2.2316447221602323E-3</v>
      </c>
      <c r="AK38" s="42">
        <f t="shared" si="51"/>
        <v>1.8791264601320467E-3</v>
      </c>
      <c r="AL38" s="42">
        <f t="shared" si="51"/>
        <v>1.5482695810564663E-3</v>
      </c>
      <c r="AM38" s="42" t="e">
        <f t="shared" si="52"/>
        <v>#DIV/0!</v>
      </c>
      <c r="AN38" s="50">
        <f t="shared" si="53"/>
        <v>1.827161587526577E-3</v>
      </c>
      <c r="AO38" s="2"/>
    </row>
    <row r="39" spans="1:41" ht="15" x14ac:dyDescent="0.2">
      <c r="A39" s="69" t="s">
        <v>73</v>
      </c>
      <c r="B39" s="75">
        <f t="shared" ref="B39:K39" si="54">SUM(B36:B38)</f>
        <v>20978</v>
      </c>
      <c r="C39" s="92">
        <f t="shared" si="54"/>
        <v>27134</v>
      </c>
      <c r="D39" s="92">
        <f t="shared" si="54"/>
        <v>29941</v>
      </c>
      <c r="E39" s="92">
        <f t="shared" si="54"/>
        <v>24656</v>
      </c>
      <c r="F39" s="92">
        <f t="shared" si="54"/>
        <v>37563</v>
      </c>
      <c r="G39" s="92">
        <f t="shared" si="54"/>
        <v>35452</v>
      </c>
      <c r="H39" s="92">
        <f t="shared" si="54"/>
        <v>34142</v>
      </c>
      <c r="I39" s="92">
        <f t="shared" si="54"/>
        <v>34900</v>
      </c>
      <c r="J39" s="92">
        <f t="shared" si="54"/>
        <v>31600</v>
      </c>
      <c r="K39" s="92">
        <f t="shared" si="54"/>
        <v>31500</v>
      </c>
      <c r="L39" s="92">
        <f t="shared" ref="L39" si="55">SUM(L36:L38)</f>
        <v>28600</v>
      </c>
      <c r="M39" s="92">
        <f t="shared" ref="M39:O39" si="56">SUM(M36:M38)</f>
        <v>23200</v>
      </c>
      <c r="N39" s="92">
        <f t="shared" ref="N39" si="57">SUM(N36:N38)</f>
        <v>23000</v>
      </c>
      <c r="O39" s="92">
        <f t="shared" si="56"/>
        <v>25100</v>
      </c>
      <c r="P39" s="92">
        <f t="shared" ref="P39:Q39" si="58">SUM(P36:P38)</f>
        <v>25700</v>
      </c>
      <c r="Q39" s="92">
        <f t="shared" si="58"/>
        <v>30600</v>
      </c>
      <c r="R39" s="92">
        <f t="shared" ref="R39" si="59">SUM(R36:R38)</f>
        <v>20900</v>
      </c>
      <c r="S39" s="92">
        <f t="shared" ref="S39" si="60">SUM(S36:S38)</f>
        <v>0</v>
      </c>
      <c r="T39" s="168">
        <f t="shared" si="50"/>
        <v>-2.0664133151431875E-2</v>
      </c>
      <c r="U39" s="69" t="s">
        <v>73</v>
      </c>
      <c r="V39" s="77">
        <f t="shared" si="51"/>
        <v>2.8993078590066782E-2</v>
      </c>
      <c r="W39" s="77">
        <f t="shared" si="51"/>
        <v>3.2678731004448854E-2</v>
      </c>
      <c r="X39" s="77">
        <f t="shared" si="51"/>
        <v>3.590719607024815E-2</v>
      </c>
      <c r="Y39" s="77">
        <f t="shared" si="51"/>
        <v>2.9642061527475051E-2</v>
      </c>
      <c r="Z39" s="77">
        <f t="shared" si="51"/>
        <v>4.1286551507344373E-2</v>
      </c>
      <c r="AA39" s="77">
        <f t="shared" si="51"/>
        <v>3.5044502524643445E-2</v>
      </c>
      <c r="AB39" s="77">
        <f t="shared" si="51"/>
        <v>3.0852533708530215E-2</v>
      </c>
      <c r="AC39" s="77">
        <f t="shared" si="51"/>
        <v>3.2516537780676417E-2</v>
      </c>
      <c r="AD39" s="77">
        <f t="shared" si="51"/>
        <v>2.706174531129571E-2</v>
      </c>
      <c r="AE39" s="77">
        <f t="shared" si="51"/>
        <v>2.4137931034482758E-2</v>
      </c>
      <c r="AF39" s="77">
        <f t="shared" si="51"/>
        <v>2.1357628257785078E-2</v>
      </c>
      <c r="AG39" s="77">
        <f t="shared" si="51"/>
        <v>1.6438744420038263E-2</v>
      </c>
      <c r="AH39" s="77">
        <f t="shared" si="51"/>
        <v>1.588726946190509E-2</v>
      </c>
      <c r="AI39" s="77">
        <f t="shared" si="51"/>
        <v>1.5443302774872332E-2</v>
      </c>
      <c r="AJ39" s="77">
        <f t="shared" si="51"/>
        <v>1.4338317339879491E-2</v>
      </c>
      <c r="AK39" s="77">
        <f t="shared" si="51"/>
        <v>1.5540883697308279E-2</v>
      </c>
      <c r="AL39" s="77">
        <f t="shared" si="51"/>
        <v>9.5173041894353362E-3</v>
      </c>
      <c r="AM39" s="77" t="e">
        <f t="shared" si="52"/>
        <v>#DIV/0!</v>
      </c>
      <c r="AN39" s="168">
        <f t="shared" si="53"/>
        <v>1.3875354358610915E-2</v>
      </c>
      <c r="AO39" s="2"/>
    </row>
    <row r="40" spans="1:41" ht="15" x14ac:dyDescent="0.2">
      <c r="A40" s="69" t="s">
        <v>42</v>
      </c>
      <c r="B40" s="75">
        <f t="shared" ref="B40:K40" si="61">B33+B39</f>
        <v>613466</v>
      </c>
      <c r="C40" s="92">
        <f t="shared" si="61"/>
        <v>647000</v>
      </c>
      <c r="D40" s="92">
        <f t="shared" si="61"/>
        <v>684813</v>
      </c>
      <c r="E40" s="92">
        <f t="shared" si="61"/>
        <v>704724</v>
      </c>
      <c r="F40" s="92">
        <f t="shared" si="61"/>
        <v>745369</v>
      </c>
      <c r="G40" s="92">
        <f t="shared" si="61"/>
        <v>778699</v>
      </c>
      <c r="H40" s="92">
        <f t="shared" si="61"/>
        <v>801570</v>
      </c>
      <c r="I40" s="92">
        <f t="shared" si="61"/>
        <v>855000</v>
      </c>
      <c r="J40" s="92">
        <f t="shared" si="61"/>
        <v>940500</v>
      </c>
      <c r="K40" s="92">
        <f t="shared" si="61"/>
        <v>1021000</v>
      </c>
      <c r="L40" s="92">
        <f t="shared" ref="L40" si="62">L33+L39</f>
        <v>1060100</v>
      </c>
      <c r="M40" s="92">
        <f t="shared" ref="M40:O40" si="63">M33+M39</f>
        <v>1119500</v>
      </c>
      <c r="N40" s="92">
        <f t="shared" ref="N40" si="64">N33+N39</f>
        <v>1200400</v>
      </c>
      <c r="O40" s="92">
        <f t="shared" si="63"/>
        <v>1349400</v>
      </c>
      <c r="P40" s="92">
        <f t="shared" ref="P40:Q40" si="65">P33+P39</f>
        <v>1483500</v>
      </c>
      <c r="Q40" s="92">
        <f t="shared" si="65"/>
        <v>1602600</v>
      </c>
      <c r="R40" s="92">
        <f t="shared" ref="R40" si="66">R33+R39</f>
        <v>1779000</v>
      </c>
      <c r="S40" s="92">
        <f t="shared" ref="S40" si="67">S33+S39</f>
        <v>0</v>
      </c>
      <c r="T40" s="168">
        <f t="shared" si="50"/>
        <v>9.7059973567779567E-2</v>
      </c>
      <c r="U40" s="69" t="s">
        <v>42</v>
      </c>
      <c r="V40" s="77">
        <f t="shared" si="51"/>
        <v>0.84785336782981735</v>
      </c>
      <c r="W40" s="77">
        <f t="shared" si="51"/>
        <v>0.77921202033899939</v>
      </c>
      <c r="X40" s="77">
        <f t="shared" si="51"/>
        <v>0.82127232431965691</v>
      </c>
      <c r="Y40" s="77">
        <f t="shared" si="51"/>
        <v>0.84723686599157721</v>
      </c>
      <c r="Z40" s="77">
        <f t="shared" si="51"/>
        <v>0.81925606608837864</v>
      </c>
      <c r="AA40" s="77">
        <f t="shared" si="51"/>
        <v>0.76974836600015029</v>
      </c>
      <c r="AB40" s="77">
        <f t="shared" si="51"/>
        <v>0.72434144000780754</v>
      </c>
      <c r="AC40" s="77">
        <f t="shared" si="51"/>
        <v>0.7966085903288922</v>
      </c>
      <c r="AD40" s="77">
        <f t="shared" si="51"/>
        <v>0.80542947674916499</v>
      </c>
      <c r="AE40" s="77">
        <f t="shared" si="51"/>
        <v>0.78237547892720305</v>
      </c>
      <c r="AF40" s="77">
        <f t="shared" si="51"/>
        <v>0.79165110895377488</v>
      </c>
      <c r="AG40" s="77">
        <f t="shared" si="51"/>
        <v>0.79324027492382909</v>
      </c>
      <c r="AH40" s="77">
        <f t="shared" si="51"/>
        <v>0.82917731574221176</v>
      </c>
      <c r="AI40" s="77">
        <f t="shared" si="51"/>
        <v>0.83024672368178187</v>
      </c>
      <c r="AJ40" s="77">
        <f t="shared" si="51"/>
        <v>0.82766123633117605</v>
      </c>
      <c r="AK40" s="77">
        <f t="shared" si="51"/>
        <v>0.81391569324530222</v>
      </c>
      <c r="AL40" s="77">
        <f t="shared" si="51"/>
        <v>0.81010928961748629</v>
      </c>
      <c r="AM40" s="77" t="e">
        <f t="shared" si="52"/>
        <v>#DIV/0!</v>
      </c>
      <c r="AN40" s="168">
        <f t="shared" si="53"/>
        <v>0.82110427002126152</v>
      </c>
      <c r="AO40" s="2"/>
    </row>
    <row r="41" spans="1:41" ht="15.75" thickBot="1" x14ac:dyDescent="0.25">
      <c r="A41" s="69" t="s">
        <v>37</v>
      </c>
      <c r="B41" s="75">
        <f t="shared" ref="B41:G41" si="68">B23+B33+B39</f>
        <v>723552</v>
      </c>
      <c r="C41" s="92">
        <f t="shared" si="68"/>
        <v>830326</v>
      </c>
      <c r="D41" s="92">
        <f t="shared" si="68"/>
        <v>833844</v>
      </c>
      <c r="E41" s="92">
        <f t="shared" si="68"/>
        <v>831791</v>
      </c>
      <c r="F41" s="92">
        <f t="shared" si="68"/>
        <v>909812</v>
      </c>
      <c r="G41" s="92">
        <f t="shared" si="68"/>
        <v>1011628</v>
      </c>
      <c r="H41" s="92">
        <f t="shared" ref="H41:M41" si="69">H23+H33+H39</f>
        <v>1106619</v>
      </c>
      <c r="I41" s="92">
        <f t="shared" si="69"/>
        <v>1073300</v>
      </c>
      <c r="J41" s="92">
        <f t="shared" si="69"/>
        <v>1167700</v>
      </c>
      <c r="K41" s="92">
        <f t="shared" si="69"/>
        <v>1305000</v>
      </c>
      <c r="L41" s="92">
        <f t="shared" si="69"/>
        <v>1339100</v>
      </c>
      <c r="M41" s="92">
        <f t="shared" si="69"/>
        <v>1411300</v>
      </c>
      <c r="N41" s="92">
        <f t="shared" ref="N41" si="70">N23+N33+N39</f>
        <v>1447700</v>
      </c>
      <c r="O41" s="92">
        <f t="shared" ref="O41:P41" si="71">O23+O33+O39</f>
        <v>1625300</v>
      </c>
      <c r="P41" s="92">
        <f t="shared" si="71"/>
        <v>1792400</v>
      </c>
      <c r="Q41" s="92">
        <f t="shared" ref="Q41:S41" si="72">Q23+Q33+Q39</f>
        <v>1969000</v>
      </c>
      <c r="R41" s="92">
        <f t="shared" ref="R41" si="73">R23+R33+R39</f>
        <v>2196000</v>
      </c>
      <c r="S41" s="92">
        <f t="shared" si="72"/>
        <v>0</v>
      </c>
      <c r="T41" s="78">
        <f>RATE(5,,-M41,R41)</f>
        <v>9.245259052101279E-2</v>
      </c>
      <c r="U41" s="69" t="s">
        <v>37</v>
      </c>
      <c r="V41" s="78">
        <f t="shared" si="51"/>
        <v>1</v>
      </c>
      <c r="W41" s="78">
        <f t="shared" si="51"/>
        <v>1</v>
      </c>
      <c r="X41" s="78">
        <f t="shared" si="51"/>
        <v>1</v>
      </c>
      <c r="Y41" s="78">
        <f t="shared" si="51"/>
        <v>1</v>
      </c>
      <c r="Z41" s="78">
        <f t="shared" si="51"/>
        <v>1</v>
      </c>
      <c r="AA41" s="78">
        <f t="shared" si="51"/>
        <v>1</v>
      </c>
      <c r="AB41" s="78">
        <f t="shared" si="51"/>
        <v>1</v>
      </c>
      <c r="AC41" s="78">
        <f t="shared" si="51"/>
        <v>1</v>
      </c>
      <c r="AD41" s="78">
        <f t="shared" si="51"/>
        <v>1</v>
      </c>
      <c r="AE41" s="78">
        <f t="shared" si="51"/>
        <v>1</v>
      </c>
      <c r="AF41" s="78">
        <f t="shared" si="51"/>
        <v>1</v>
      </c>
      <c r="AG41" s="78">
        <f t="shared" si="51"/>
        <v>1</v>
      </c>
      <c r="AH41" s="78">
        <f t="shared" si="51"/>
        <v>1</v>
      </c>
      <c r="AI41" s="78">
        <f t="shared" si="51"/>
        <v>1</v>
      </c>
      <c r="AJ41" s="78">
        <f t="shared" si="51"/>
        <v>1</v>
      </c>
      <c r="AK41" s="78">
        <f t="shared" si="51"/>
        <v>1</v>
      </c>
      <c r="AL41" s="78">
        <f t="shared" si="51"/>
        <v>1</v>
      </c>
      <c r="AM41" s="78" t="e">
        <f t="shared" si="52"/>
        <v>#DIV/0!</v>
      </c>
      <c r="AN41" s="78">
        <f t="shared" si="53"/>
        <v>1</v>
      </c>
      <c r="AO41" s="2"/>
    </row>
    <row r="42" spans="1:41" ht="15.75" thickTop="1" x14ac:dyDescent="0.2">
      <c r="A42" s="69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85"/>
      <c r="T42" s="42"/>
      <c r="U42" s="69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42"/>
      <c r="AO42" s="2"/>
    </row>
    <row r="43" spans="1:41" ht="15.75" x14ac:dyDescent="0.25">
      <c r="A43" s="113" t="s">
        <v>8</v>
      </c>
      <c r="B43" s="69"/>
      <c r="C43" s="91"/>
      <c r="D43" s="91"/>
      <c r="E43" s="91"/>
      <c r="F43" s="91"/>
      <c r="G43" s="91"/>
      <c r="H43" s="91"/>
      <c r="I43" s="91"/>
      <c r="J43" s="91"/>
      <c r="K43" s="94"/>
      <c r="L43" s="94"/>
      <c r="M43" s="94"/>
      <c r="N43" s="94"/>
      <c r="O43" s="186"/>
      <c r="P43" s="186"/>
      <c r="Q43" s="186"/>
      <c r="R43" s="186"/>
      <c r="S43" s="186"/>
      <c r="T43" s="42"/>
      <c r="U43" s="113" t="s">
        <v>8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2"/>
    </row>
    <row r="44" spans="1:41" ht="15" x14ac:dyDescent="0.2">
      <c r="A44" s="73" t="s">
        <v>97</v>
      </c>
      <c r="B44" s="69">
        <v>79300</v>
      </c>
      <c r="C44" s="91">
        <v>105600</v>
      </c>
      <c r="D44" s="91">
        <v>66600</v>
      </c>
      <c r="E44" s="91">
        <v>36400</v>
      </c>
      <c r="F44" s="91">
        <v>51900</v>
      </c>
      <c r="G44" s="91">
        <v>95200</v>
      </c>
      <c r="H44" s="91">
        <v>77400</v>
      </c>
      <c r="I44" s="91">
        <v>13200</v>
      </c>
      <c r="J44" s="91">
        <f>72900</f>
        <v>72900</v>
      </c>
      <c r="K44" s="91">
        <v>88300</v>
      </c>
      <c r="L44" s="91">
        <v>87000</v>
      </c>
      <c r="M44" s="91">
        <v>153600</v>
      </c>
      <c r="N44" s="91">
        <v>142700</v>
      </c>
      <c r="O44" s="91">
        <v>166100</v>
      </c>
      <c r="P44" s="91">
        <v>17700</v>
      </c>
      <c r="Q44" s="91">
        <v>119300</v>
      </c>
      <c r="R44" s="91">
        <v>273300</v>
      </c>
      <c r="S44" s="91"/>
      <c r="T44" s="42">
        <f t="shared" ref="T44" si="74">RATE(5,,-M44,R44)</f>
        <v>0.12214682032481816</v>
      </c>
      <c r="U44" s="69" t="str">
        <f t="shared" ref="U44:U53" si="75">A44</f>
        <v>Notes Payable to Questar</v>
      </c>
      <c r="V44" s="42">
        <f t="shared" ref="V44:AL44" si="76">B44/B$41</f>
        <v>0.1095982044137809</v>
      </c>
      <c r="W44" s="42">
        <f t="shared" si="76"/>
        <v>0.12717896344327409</v>
      </c>
      <c r="X44" s="42">
        <f t="shared" si="76"/>
        <v>7.9871055017485287E-2</v>
      </c>
      <c r="Y44" s="42">
        <f t="shared" si="76"/>
        <v>4.3760992845558559E-2</v>
      </c>
      <c r="Z44" s="42">
        <f t="shared" si="76"/>
        <v>5.7044752102632192E-2</v>
      </c>
      <c r="AA44" s="42">
        <f t="shared" si="76"/>
        <v>9.410573847303555E-2</v>
      </c>
      <c r="AB44" s="42">
        <f t="shared" si="76"/>
        <v>6.9942771631428702E-2</v>
      </c>
      <c r="AC44" s="42">
        <f t="shared" si="76"/>
        <v>1.2298518587533775E-2</v>
      </c>
      <c r="AD44" s="42">
        <f t="shared" si="76"/>
        <v>6.243041877194485E-2</v>
      </c>
      <c r="AE44" s="42">
        <f t="shared" si="76"/>
        <v>6.7662835249042153E-2</v>
      </c>
      <c r="AF44" s="42">
        <f t="shared" si="76"/>
        <v>6.496900903591965E-2</v>
      </c>
      <c r="AG44" s="42">
        <f t="shared" si="76"/>
        <v>0.10883582512577057</v>
      </c>
      <c r="AH44" s="42">
        <f t="shared" si="76"/>
        <v>9.8570145748428539E-2</v>
      </c>
      <c r="AI44" s="42">
        <f t="shared" si="76"/>
        <v>0.10219651756598781</v>
      </c>
      <c r="AJ44" s="42">
        <f t="shared" si="76"/>
        <v>9.8750278955590277E-3</v>
      </c>
      <c r="AK44" s="42">
        <f t="shared" si="76"/>
        <v>6.058913153885221E-2</v>
      </c>
      <c r="AL44" s="42">
        <f t="shared" si="76"/>
        <v>0.12445355191256831</v>
      </c>
      <c r="AM44" s="42" t="e">
        <f t="shared" ref="AM44" si="77">S44/S$41</f>
        <v>#DIV/0!</v>
      </c>
      <c r="AN44" s="42">
        <f>SUM(N44:R44)/SUM(N$41:R$41)</f>
        <v>7.9631024096385547E-2</v>
      </c>
      <c r="AO44" s="2"/>
    </row>
    <row r="45" spans="1:41" ht="15" x14ac:dyDescent="0.2">
      <c r="A45" s="79" t="s">
        <v>213</v>
      </c>
      <c r="B45" s="69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42"/>
      <c r="U45" s="69" t="str">
        <f>+A45</f>
        <v>Short Term Debt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2"/>
    </row>
    <row r="46" spans="1:41" ht="15" x14ac:dyDescent="0.2">
      <c r="A46" s="79" t="s">
        <v>121</v>
      </c>
      <c r="B46" s="69"/>
      <c r="C46" s="91">
        <v>0</v>
      </c>
      <c r="D46" s="91">
        <v>0</v>
      </c>
      <c r="E46" s="91">
        <v>0</v>
      </c>
      <c r="F46" s="91"/>
      <c r="G46" s="91"/>
      <c r="H46" s="91"/>
      <c r="I46" s="91">
        <v>10000</v>
      </c>
      <c r="J46" s="91">
        <v>43000</v>
      </c>
      <c r="K46" s="91"/>
      <c r="L46" s="91"/>
      <c r="M46" s="91">
        <v>2000</v>
      </c>
      <c r="N46" s="91">
        <v>91500</v>
      </c>
      <c r="O46" s="91">
        <v>42000</v>
      </c>
      <c r="P46" s="91"/>
      <c r="Q46" s="91"/>
      <c r="R46" s="91"/>
      <c r="S46" s="91"/>
      <c r="T46" s="42"/>
      <c r="U46" s="69" t="str">
        <f t="shared" si="75"/>
        <v>Current Portion, LTD</v>
      </c>
      <c r="V46" s="42"/>
      <c r="W46" s="42">
        <f>C46/C$41</f>
        <v>0</v>
      </c>
      <c r="X46" s="42">
        <f>D46/D$41</f>
        <v>0</v>
      </c>
      <c r="Y46" s="42">
        <f>E46/E$41</f>
        <v>0</v>
      </c>
      <c r="Z46" s="42">
        <f>F46/F$41</f>
        <v>0</v>
      </c>
      <c r="AA46" s="42"/>
      <c r="AB46" s="42"/>
      <c r="AC46" s="42">
        <f>I46/I$41</f>
        <v>9.3170595360104348E-3</v>
      </c>
      <c r="AD46" s="42">
        <f>J46/J$41</f>
        <v>3.6824526847649225E-2</v>
      </c>
      <c r="AE46" s="152">
        <f>K46/K$41</f>
        <v>0</v>
      </c>
      <c r="AF46" s="152">
        <f t="shared" ref="AF46" si="78">L46/L$41</f>
        <v>0</v>
      </c>
      <c r="AG46" s="152">
        <f t="shared" ref="AG46" si="79">M46/M$41</f>
        <v>1.4171331396584709E-3</v>
      </c>
      <c r="AH46" s="152">
        <f t="shared" ref="AH46" si="80">N46/N$41</f>
        <v>6.3203702424535477E-2</v>
      </c>
      <c r="AI46" s="152">
        <f>O46/O$41</f>
        <v>2.5841383129268442E-2</v>
      </c>
      <c r="AJ46" s="152">
        <f>P46/P$41</f>
        <v>0</v>
      </c>
      <c r="AK46" s="152">
        <f>Q46/Q$41</f>
        <v>0</v>
      </c>
      <c r="AL46" s="152">
        <f>R46/R$41</f>
        <v>0</v>
      </c>
      <c r="AM46" s="152" t="e">
        <f t="shared" ref="AM46:AM54" si="81">S46/S$41</f>
        <v>#DIV/0!</v>
      </c>
      <c r="AN46" s="42">
        <f>SUM(N46:R46)/SUM(N$41:R$41)</f>
        <v>1.4783398299078668E-2</v>
      </c>
      <c r="AO46" s="2"/>
    </row>
    <row r="47" spans="1:41" ht="15" x14ac:dyDescent="0.2">
      <c r="A47" s="79" t="s">
        <v>217</v>
      </c>
      <c r="B47" s="69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>
        <v>23200</v>
      </c>
      <c r="Q47" s="91">
        <v>22700</v>
      </c>
      <c r="R47" s="91">
        <v>24400</v>
      </c>
      <c r="S47" s="91"/>
      <c r="T47" s="42"/>
      <c r="U47" s="69"/>
      <c r="V47" s="42"/>
      <c r="W47" s="42"/>
      <c r="X47" s="42"/>
      <c r="Y47" s="42"/>
      <c r="Z47" s="42"/>
      <c r="AA47" s="42"/>
      <c r="AB47" s="42"/>
      <c r="AC47" s="42"/>
      <c r="AD47" s="42"/>
      <c r="AE47" s="152"/>
      <c r="AF47" s="152"/>
      <c r="AG47" s="152"/>
      <c r="AH47" s="152"/>
      <c r="AI47" s="152"/>
      <c r="AJ47" s="152"/>
      <c r="AK47" s="152"/>
      <c r="AL47" s="152"/>
      <c r="AM47" s="152"/>
      <c r="AN47" s="42"/>
      <c r="AO47" s="2"/>
    </row>
    <row r="48" spans="1:41" ht="15" x14ac:dyDescent="0.2">
      <c r="A48" s="69" t="s">
        <v>181</v>
      </c>
      <c r="B48" s="69">
        <v>34369</v>
      </c>
      <c r="C48" s="91">
        <v>97397</v>
      </c>
      <c r="D48" s="91">
        <v>45488</v>
      </c>
      <c r="E48" s="91">
        <v>50634</v>
      </c>
      <c r="F48" s="91">
        <v>63897</v>
      </c>
      <c r="G48" s="91">
        <v>94610</v>
      </c>
      <c r="H48" s="91">
        <v>148596</v>
      </c>
      <c r="I48" s="91">
        <v>126800</v>
      </c>
      <c r="J48" s="91">
        <f>130400</f>
        <v>130400</v>
      </c>
      <c r="K48" s="91">
        <v>111700</v>
      </c>
      <c r="L48" s="91">
        <v>124100</v>
      </c>
      <c r="M48" s="91">
        <v>102500</v>
      </c>
      <c r="N48" s="91">
        <v>106500</v>
      </c>
      <c r="O48" s="91">
        <v>100500</v>
      </c>
      <c r="P48" s="91">
        <v>110800</v>
      </c>
      <c r="Q48" s="91">
        <v>76000</v>
      </c>
      <c r="R48" s="91">
        <v>91300</v>
      </c>
      <c r="S48" s="91"/>
      <c r="T48" s="42">
        <f t="shared" ref="T48:T50" si="82">RATE(5,,-M48,R48)</f>
        <v>-2.2876670641808029E-2</v>
      </c>
      <c r="U48" s="69" t="str">
        <f t="shared" si="75"/>
        <v>Accounts Payable</v>
      </c>
      <c r="V48" s="42">
        <f t="shared" ref="V48:AL50" si="83">B48/B$41</f>
        <v>4.7500386979788596E-2</v>
      </c>
      <c r="W48" s="42">
        <f t="shared" si="83"/>
        <v>0.11729971119777051</v>
      </c>
      <c r="X48" s="42">
        <f t="shared" si="83"/>
        <v>5.4552170429960523E-2</v>
      </c>
      <c r="Y48" s="42">
        <f t="shared" si="83"/>
        <v>6.0873464608297033E-2</v>
      </c>
      <c r="Z48" s="42">
        <f t="shared" si="83"/>
        <v>7.0230992776529652E-2</v>
      </c>
      <c r="AA48" s="42">
        <f t="shared" si="83"/>
        <v>9.3522520135860224E-2</v>
      </c>
      <c r="AB48" s="42">
        <f t="shared" si="83"/>
        <v>0.13427927769178011</v>
      </c>
      <c r="AC48" s="42">
        <f t="shared" si="83"/>
        <v>0.11814031491661232</v>
      </c>
      <c r="AD48" s="42">
        <f t="shared" si="83"/>
        <v>0.1116725186263595</v>
      </c>
      <c r="AE48" s="42">
        <f t="shared" si="83"/>
        <v>8.5593869731800762E-2</v>
      </c>
      <c r="AF48" s="42">
        <f t="shared" si="83"/>
        <v>9.2674184153535955E-2</v>
      </c>
      <c r="AG48" s="42">
        <f t="shared" si="83"/>
        <v>7.2628073407496635E-2</v>
      </c>
      <c r="AH48" s="42">
        <f t="shared" si="83"/>
        <v>7.356496511708227E-2</v>
      </c>
      <c r="AI48" s="42">
        <f t="shared" si="83"/>
        <v>6.1834738202178059E-2</v>
      </c>
      <c r="AJ48" s="42">
        <f t="shared" si="83"/>
        <v>6.1816558803838427E-2</v>
      </c>
      <c r="AK48" s="42">
        <f t="shared" si="83"/>
        <v>3.8598273235144746E-2</v>
      </c>
      <c r="AL48" s="42">
        <f t="shared" si="83"/>
        <v>4.1575591985428054E-2</v>
      </c>
      <c r="AM48" s="42" t="e">
        <f t="shared" si="81"/>
        <v>#DIV/0!</v>
      </c>
      <c r="AN48" s="42">
        <f t="shared" ref="AN48:AN50" si="84">SUM(N48:R48)/SUM(N$41:R$41)</f>
        <v>5.3718550673281358E-2</v>
      </c>
      <c r="AO48" s="2"/>
    </row>
    <row r="49" spans="1:41" ht="15" x14ac:dyDescent="0.2">
      <c r="A49" s="69" t="s">
        <v>182</v>
      </c>
      <c r="B49" s="69">
        <v>22396</v>
      </c>
      <c r="C49" s="91">
        <v>25701</v>
      </c>
      <c r="D49" s="91">
        <v>23364</v>
      </c>
      <c r="E49" s="91">
        <v>21114</v>
      </c>
      <c r="F49" s="91">
        <v>23903</v>
      </c>
      <c r="G49" s="91">
        <v>31981</v>
      </c>
      <c r="H49" s="91">
        <v>27409</v>
      </c>
      <c r="I49" s="91">
        <v>32600</v>
      </c>
      <c r="J49" s="91">
        <f>32600</f>
        <v>32600</v>
      </c>
      <c r="K49" s="91">
        <v>49500</v>
      </c>
      <c r="L49" s="91">
        <v>47200</v>
      </c>
      <c r="M49" s="91">
        <v>53600</v>
      </c>
      <c r="N49" s="91">
        <v>41900</v>
      </c>
      <c r="O49" s="91">
        <v>50900</v>
      </c>
      <c r="P49" s="91">
        <v>67800</v>
      </c>
      <c r="Q49" s="91">
        <v>78700</v>
      </c>
      <c r="R49" s="91">
        <v>74500</v>
      </c>
      <c r="S49" s="91"/>
      <c r="T49" s="42">
        <f t="shared" si="82"/>
        <v>6.8066507417281041E-2</v>
      </c>
      <c r="U49" s="69" t="str">
        <f t="shared" si="75"/>
        <v>Accounts Payable, Affiliates</v>
      </c>
      <c r="V49" s="42">
        <f t="shared" si="83"/>
        <v>3.0952854805183318E-2</v>
      </c>
      <c r="W49" s="42">
        <f t="shared" si="83"/>
        <v>3.0952902835753669E-2</v>
      </c>
      <c r="X49" s="42">
        <f t="shared" si="83"/>
        <v>2.8019629570998891E-2</v>
      </c>
      <c r="Y49" s="42">
        <f t="shared" si="83"/>
        <v>2.5383780300580316E-2</v>
      </c>
      <c r="Z49" s="42">
        <f t="shared" si="83"/>
        <v>2.6272460684185303E-2</v>
      </c>
      <c r="AA49" s="42">
        <f t="shared" si="83"/>
        <v>3.161339939187132E-2</v>
      </c>
      <c r="AB49" s="42">
        <f t="shared" si="83"/>
        <v>2.4768235499300122E-2</v>
      </c>
      <c r="AC49" s="42">
        <f t="shared" si="83"/>
        <v>3.0373614087394019E-2</v>
      </c>
      <c r="AD49" s="42">
        <f t="shared" si="83"/>
        <v>2.7918129656589876E-2</v>
      </c>
      <c r="AE49" s="42">
        <f t="shared" si="83"/>
        <v>3.793103448275862E-2</v>
      </c>
      <c r="AF49" s="42">
        <f t="shared" si="83"/>
        <v>3.5247554327533417E-2</v>
      </c>
      <c r="AG49" s="42">
        <f t="shared" si="83"/>
        <v>3.797916814284702E-2</v>
      </c>
      <c r="AH49" s="42">
        <f t="shared" si="83"/>
        <v>2.8942460454514058E-2</v>
      </c>
      <c r="AI49" s="42">
        <f t="shared" si="83"/>
        <v>3.1317295268565803E-2</v>
      </c>
      <c r="AJ49" s="42">
        <f t="shared" si="83"/>
        <v>3.7826378040615935E-2</v>
      </c>
      <c r="AK49" s="42">
        <f t="shared" si="83"/>
        <v>3.9969527679024883E-2</v>
      </c>
      <c r="AL49" s="42">
        <f t="shared" si="83"/>
        <v>3.3925318761384333E-2</v>
      </c>
      <c r="AM49" s="42" t="e">
        <f t="shared" si="81"/>
        <v>#DIV/0!</v>
      </c>
      <c r="AN49" s="42">
        <f t="shared" si="84"/>
        <v>3.4749291282778171E-2</v>
      </c>
      <c r="AO49" s="2"/>
    </row>
    <row r="50" spans="1:41" ht="15" x14ac:dyDescent="0.2">
      <c r="A50" s="73" t="s">
        <v>183</v>
      </c>
      <c r="B50" s="69">
        <v>0</v>
      </c>
      <c r="C50" s="91">
        <v>0</v>
      </c>
      <c r="D50" s="91">
        <v>0</v>
      </c>
      <c r="E50" s="91">
        <v>0</v>
      </c>
      <c r="F50" s="91">
        <v>22576</v>
      </c>
      <c r="G50" s="91">
        <v>24771</v>
      </c>
      <c r="H50" s="91">
        <v>30829</v>
      </c>
      <c r="I50" s="91">
        <v>31400</v>
      </c>
      <c r="J50" s="91">
        <f>34100</f>
        <v>34100</v>
      </c>
      <c r="K50" s="91">
        <v>34900</v>
      </c>
      <c r="L50" s="91">
        <v>30300</v>
      </c>
      <c r="M50" s="91">
        <v>26200</v>
      </c>
      <c r="N50" s="91">
        <v>25000</v>
      </c>
      <c r="O50" s="91">
        <v>30200</v>
      </c>
      <c r="P50" s="91">
        <v>19800</v>
      </c>
      <c r="Q50" s="91">
        <v>29400</v>
      </c>
      <c r="R50" s="91">
        <v>34300</v>
      </c>
      <c r="S50" s="91"/>
      <c r="T50" s="42">
        <f t="shared" si="82"/>
        <v>5.5354984658286879E-2</v>
      </c>
      <c r="U50" s="69" t="str">
        <f t="shared" si="75"/>
        <v>Customer-Credit Balances</v>
      </c>
      <c r="V50" s="42">
        <f t="shared" si="83"/>
        <v>0</v>
      </c>
      <c r="W50" s="42">
        <f t="shared" si="83"/>
        <v>0</v>
      </c>
      <c r="X50" s="42">
        <f t="shared" si="83"/>
        <v>0</v>
      </c>
      <c r="Y50" s="42">
        <f t="shared" si="83"/>
        <v>0</v>
      </c>
      <c r="Z50" s="42">
        <f t="shared" si="83"/>
        <v>2.4813917600559236E-2</v>
      </c>
      <c r="AA50" s="42">
        <f t="shared" si="83"/>
        <v>2.4486273610457601E-2</v>
      </c>
      <c r="AB50" s="42">
        <f t="shared" si="83"/>
        <v>2.7858730059758599E-2</v>
      </c>
      <c r="AC50" s="42">
        <f t="shared" si="83"/>
        <v>2.9255566943072766E-2</v>
      </c>
      <c r="AD50" s="42">
        <f t="shared" si="83"/>
        <v>2.9202706174531131E-2</v>
      </c>
      <c r="AE50" s="42">
        <f t="shared" si="83"/>
        <v>2.6743295019157089E-2</v>
      </c>
      <c r="AF50" s="42">
        <f t="shared" si="83"/>
        <v>2.2627137629751326E-2</v>
      </c>
      <c r="AG50" s="42">
        <f t="shared" si="83"/>
        <v>1.8564444129525969E-2</v>
      </c>
      <c r="AH50" s="42">
        <f t="shared" si="83"/>
        <v>1.7268771154244664E-2</v>
      </c>
      <c r="AI50" s="42">
        <f t="shared" si="83"/>
        <v>1.8581185011997785E-2</v>
      </c>
      <c r="AJ50" s="42">
        <f t="shared" si="83"/>
        <v>1.1046641374693149E-2</v>
      </c>
      <c r="AK50" s="42">
        <f t="shared" si="83"/>
        <v>1.4931437277805992E-2</v>
      </c>
      <c r="AL50" s="42">
        <f t="shared" si="83"/>
        <v>1.5619307832422586E-2</v>
      </c>
      <c r="AM50" s="42" t="e">
        <f t="shared" si="81"/>
        <v>#DIV/0!</v>
      </c>
      <c r="AN50" s="42">
        <f t="shared" si="84"/>
        <v>1.5359231041814317E-2</v>
      </c>
      <c r="AO50" s="2"/>
    </row>
    <row r="51" spans="1:41" ht="15" x14ac:dyDescent="0.2">
      <c r="A51" s="73" t="s">
        <v>215</v>
      </c>
      <c r="B51" s="69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>
        <v>9000</v>
      </c>
      <c r="R51" s="91"/>
      <c r="S51" s="91"/>
      <c r="T51" s="42"/>
      <c r="U51" s="69" t="str">
        <f>+A51</f>
        <v>Dividends Payable to Questar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>
        <f t="shared" ref="AK51:AL54" si="85">Q51/Q$41</f>
        <v>4.5708481462671405E-3</v>
      </c>
      <c r="AL51" s="42">
        <f t="shared" si="85"/>
        <v>0</v>
      </c>
      <c r="AM51" s="42" t="e">
        <f t="shared" si="81"/>
        <v>#DIV/0!</v>
      </c>
      <c r="AN51" s="42"/>
      <c r="AO51" s="2"/>
    </row>
    <row r="52" spans="1:41" ht="15" x14ac:dyDescent="0.2">
      <c r="A52" s="73" t="s">
        <v>216</v>
      </c>
      <c r="B52" s="69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>
        <v>12500</v>
      </c>
      <c r="R52" s="91">
        <v>4000</v>
      </c>
      <c r="S52" s="91"/>
      <c r="T52" s="42"/>
      <c r="U52" s="69" t="str">
        <f>+A52</f>
        <v>Current Regulatory Liabilities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>
        <f t="shared" si="85"/>
        <v>6.3484002031488065E-3</v>
      </c>
      <c r="AL52" s="42">
        <f t="shared" si="85"/>
        <v>1.8214936247723133E-3</v>
      </c>
      <c r="AM52" s="42" t="e">
        <f t="shared" si="81"/>
        <v>#DIV/0!</v>
      </c>
      <c r="AN52" s="42"/>
      <c r="AO52" s="2"/>
    </row>
    <row r="53" spans="1:41" ht="15" x14ac:dyDescent="0.2">
      <c r="A53" s="69" t="s">
        <v>66</v>
      </c>
      <c r="B53" s="69">
        <f>2966+164+4915+4476</f>
        <v>12521</v>
      </c>
      <c r="C53" s="91">
        <f>13515+8502+4583</f>
        <v>26600</v>
      </c>
      <c r="D53" s="91">
        <f>3153+8539+5570</f>
        <v>17262</v>
      </c>
      <c r="E53" s="91">
        <f>1254+6830+5556+13282</f>
        <v>26922</v>
      </c>
      <c r="F53" s="91">
        <f>2371+4863+210+24939</f>
        <v>32383</v>
      </c>
      <c r="G53" s="91">
        <f>4226+13018+20633</f>
        <v>37877</v>
      </c>
      <c r="H53" s="95">
        <f>4308+14124</f>
        <v>18432</v>
      </c>
      <c r="I53" s="95">
        <f>4300+7600+34300</f>
        <v>46200</v>
      </c>
      <c r="J53" s="95">
        <f>4200+58100</f>
        <v>62300</v>
      </c>
      <c r="K53" s="95">
        <f>5800+45800</f>
        <v>51600</v>
      </c>
      <c r="L53" s="95">
        <f>800+5800+27200</f>
        <v>33800</v>
      </c>
      <c r="M53" s="95">
        <f>5800+2800</f>
        <v>8600</v>
      </c>
      <c r="N53" s="95">
        <f>5800+14200</f>
        <v>20000</v>
      </c>
      <c r="O53" s="95">
        <f>4500+4300</f>
        <v>8800</v>
      </c>
      <c r="P53" s="95">
        <f>11100+5200</f>
        <v>16300</v>
      </c>
      <c r="Q53" s="95">
        <f>6400+6800+6300</f>
        <v>19500</v>
      </c>
      <c r="R53" s="95">
        <v>6800</v>
      </c>
      <c r="S53" s="95"/>
      <c r="T53" s="50">
        <f t="shared" ref="T53:T54" si="86">RATE(5,,-M53,R53)</f>
        <v>-4.5881993092017001E-2</v>
      </c>
      <c r="U53" s="69" t="str">
        <f t="shared" si="75"/>
        <v xml:space="preserve">Other </v>
      </c>
      <c r="V53" s="74">
        <f t="shared" ref="V53:AJ54" si="87">B53/B$41</f>
        <v>1.7304906903719428E-2</v>
      </c>
      <c r="W53" s="74">
        <f t="shared" si="87"/>
        <v>3.2035610109764114E-2</v>
      </c>
      <c r="X53" s="74">
        <f t="shared" si="87"/>
        <v>2.0701713989667133E-2</v>
      </c>
      <c r="Y53" s="74">
        <f t="shared" si="87"/>
        <v>3.2366303554618892E-2</v>
      </c>
      <c r="Z53" s="74">
        <f t="shared" si="87"/>
        <v>3.5593067578796496E-2</v>
      </c>
      <c r="AA53" s="74">
        <f t="shared" si="87"/>
        <v>3.7441628740999655E-2</v>
      </c>
      <c r="AB53" s="74">
        <f t="shared" si="87"/>
        <v>1.6656139104786742E-2</v>
      </c>
      <c r="AC53" s="74">
        <f t="shared" si="87"/>
        <v>4.3044815056368209E-2</v>
      </c>
      <c r="AD53" s="74">
        <f t="shared" si="87"/>
        <v>5.3352744711826668E-2</v>
      </c>
      <c r="AE53" s="74">
        <f t="shared" si="87"/>
        <v>3.9540229885057468E-2</v>
      </c>
      <c r="AF53" s="74">
        <f t="shared" si="87"/>
        <v>2.5240833395564186E-2</v>
      </c>
      <c r="AG53" s="74">
        <f t="shared" si="87"/>
        <v>6.093672500531425E-3</v>
      </c>
      <c r="AH53" s="74">
        <f t="shared" si="87"/>
        <v>1.3815016923395731E-2</v>
      </c>
      <c r="AI53" s="74">
        <f t="shared" si="87"/>
        <v>5.4143850366086257E-3</v>
      </c>
      <c r="AJ53" s="74">
        <f t="shared" si="87"/>
        <v>9.093952242802945E-3</v>
      </c>
      <c r="AK53" s="74">
        <f t="shared" si="85"/>
        <v>9.9035043169121376E-3</v>
      </c>
      <c r="AL53" s="74">
        <f t="shared" si="85"/>
        <v>3.0965391621129326E-3</v>
      </c>
      <c r="AM53" s="74" t="e">
        <f t="shared" si="81"/>
        <v>#DIV/0!</v>
      </c>
      <c r="AN53" s="50">
        <f>SUM(N53:R53)/SUM(N$41:R$41)</f>
        <v>7.9066265060240958E-3</v>
      </c>
      <c r="AO53" s="2"/>
    </row>
    <row r="54" spans="1:41" ht="15" x14ac:dyDescent="0.2">
      <c r="A54" s="69" t="s">
        <v>39</v>
      </c>
      <c r="B54" s="75">
        <f t="shared" ref="B54:M54" si="88">SUM(B43:B53)</f>
        <v>148586</v>
      </c>
      <c r="C54" s="92">
        <f t="shared" si="88"/>
        <v>255298</v>
      </c>
      <c r="D54" s="92">
        <f t="shared" si="88"/>
        <v>152714</v>
      </c>
      <c r="E54" s="92">
        <f t="shared" si="88"/>
        <v>135070</v>
      </c>
      <c r="F54" s="92">
        <f t="shared" si="88"/>
        <v>194659</v>
      </c>
      <c r="G54" s="92">
        <f t="shared" si="88"/>
        <v>284439</v>
      </c>
      <c r="H54" s="92">
        <f t="shared" si="88"/>
        <v>302666</v>
      </c>
      <c r="I54" s="92">
        <f t="shared" si="88"/>
        <v>260200</v>
      </c>
      <c r="J54" s="92">
        <f t="shared" si="88"/>
        <v>375300</v>
      </c>
      <c r="K54" s="92">
        <f t="shared" si="88"/>
        <v>336000</v>
      </c>
      <c r="L54" s="92">
        <f t="shared" si="88"/>
        <v>322400</v>
      </c>
      <c r="M54" s="92">
        <f t="shared" si="88"/>
        <v>346500</v>
      </c>
      <c r="N54" s="92">
        <f t="shared" ref="N54" si="89">SUM(N43:N53)</f>
        <v>427600</v>
      </c>
      <c r="O54" s="92">
        <f t="shared" ref="O54:P54" si="90">SUM(O43:O53)</f>
        <v>398500</v>
      </c>
      <c r="P54" s="92">
        <f t="shared" si="90"/>
        <v>255600</v>
      </c>
      <c r="Q54" s="92">
        <f t="shared" ref="Q54:S54" si="91">SUM(Q43:Q53)</f>
        <v>367100</v>
      </c>
      <c r="R54" s="92">
        <f t="shared" ref="R54" si="92">SUM(R43:R53)</f>
        <v>508600</v>
      </c>
      <c r="S54" s="92">
        <f t="shared" si="91"/>
        <v>0</v>
      </c>
      <c r="T54" s="42">
        <f t="shared" si="86"/>
        <v>7.9778369738162505E-2</v>
      </c>
      <c r="U54" s="69" t="s">
        <v>39</v>
      </c>
      <c r="V54" s="42">
        <f t="shared" si="87"/>
        <v>0.20535635310247224</v>
      </c>
      <c r="W54" s="42">
        <f t="shared" si="87"/>
        <v>0.30746718758656238</v>
      </c>
      <c r="X54" s="42">
        <f t="shared" si="87"/>
        <v>0.18314456900811182</v>
      </c>
      <c r="Y54" s="42">
        <f t="shared" si="87"/>
        <v>0.1623845413090548</v>
      </c>
      <c r="Z54" s="42">
        <f t="shared" si="87"/>
        <v>0.21395519074270289</v>
      </c>
      <c r="AA54" s="42">
        <f t="shared" si="87"/>
        <v>0.28116956035222435</v>
      </c>
      <c r="AB54" s="42">
        <f t="shared" si="87"/>
        <v>0.27350515398705427</v>
      </c>
      <c r="AC54" s="42">
        <f t="shared" si="87"/>
        <v>0.24242988912699151</v>
      </c>
      <c r="AD54" s="42">
        <f t="shared" si="87"/>
        <v>0.32140104478890125</v>
      </c>
      <c r="AE54" s="42">
        <f t="shared" si="87"/>
        <v>0.25747126436781609</v>
      </c>
      <c r="AF54" s="42">
        <f t="shared" si="87"/>
        <v>0.24075871854230455</v>
      </c>
      <c r="AG54" s="42">
        <f t="shared" si="87"/>
        <v>0.24551831644583008</v>
      </c>
      <c r="AH54" s="42">
        <f t="shared" si="87"/>
        <v>0.29536506182220074</v>
      </c>
      <c r="AI54" s="42">
        <f t="shared" si="87"/>
        <v>0.24518550421460653</v>
      </c>
      <c r="AJ54" s="42">
        <f t="shared" si="87"/>
        <v>0.14260209774603883</v>
      </c>
      <c r="AK54" s="42">
        <f t="shared" si="85"/>
        <v>0.18643981716607416</v>
      </c>
      <c r="AL54" s="42">
        <f t="shared" si="85"/>
        <v>0.23160291438979963</v>
      </c>
      <c r="AM54" s="42" t="e">
        <f t="shared" si="81"/>
        <v>#DIV/0!</v>
      </c>
      <c r="AN54" s="42">
        <f>SUM(N54:R54)/SUM(N$41:R$41)</f>
        <v>0.21675673281360738</v>
      </c>
      <c r="AO54" s="2"/>
    </row>
    <row r="55" spans="1:41" ht="15" x14ac:dyDescent="0.2">
      <c r="A55" s="69"/>
      <c r="B55" s="69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42"/>
      <c r="U55" s="69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2"/>
    </row>
    <row r="56" spans="1:41" ht="15" x14ac:dyDescent="0.2">
      <c r="A56" s="69" t="s">
        <v>61</v>
      </c>
      <c r="B56" s="69">
        <v>225000</v>
      </c>
      <c r="C56" s="91">
        <v>225000</v>
      </c>
      <c r="D56" s="91">
        <v>285000</v>
      </c>
      <c r="E56" s="91">
        <v>285000</v>
      </c>
      <c r="F56" s="91">
        <v>290000</v>
      </c>
      <c r="G56" s="91">
        <v>273000</v>
      </c>
      <c r="H56" s="91">
        <v>323000</v>
      </c>
      <c r="I56" s="91">
        <v>313000</v>
      </c>
      <c r="J56" s="91">
        <f>270000</f>
        <v>270000</v>
      </c>
      <c r="K56" s="91">
        <v>370000</v>
      </c>
      <c r="L56" s="91">
        <v>370000</v>
      </c>
      <c r="M56" s="91">
        <v>368000</v>
      </c>
      <c r="N56" s="91">
        <f>276500</f>
        <v>276500</v>
      </c>
      <c r="O56" s="91">
        <v>384500</v>
      </c>
      <c r="P56" s="91">
        <v>534500</v>
      </c>
      <c r="Q56" s="91">
        <v>534500</v>
      </c>
      <c r="R56" s="91">
        <v>534500</v>
      </c>
      <c r="S56" s="91"/>
      <c r="T56" s="42">
        <f t="shared" ref="T56:T57" si="93">RATE(5,,-M56,R56)</f>
        <v>7.750669718269973E-2</v>
      </c>
      <c r="U56" s="69" t="str">
        <f>A56</f>
        <v>Long-Term Debt</v>
      </c>
      <c r="V56" s="42">
        <f t="shared" ref="V56:AL57" si="94">B56/B$41</f>
        <v>0.31096590155234177</v>
      </c>
      <c r="W56" s="42">
        <f t="shared" si="94"/>
        <v>0.27097790506379421</v>
      </c>
      <c r="X56" s="42">
        <f t="shared" si="94"/>
        <v>0.34179055075050008</v>
      </c>
      <c r="Y56" s="42">
        <f t="shared" si="94"/>
        <v>0.34263414727978542</v>
      </c>
      <c r="Z56" s="42">
        <f t="shared" si="94"/>
        <v>0.31874716974495831</v>
      </c>
      <c r="AA56" s="42">
        <f t="shared" si="94"/>
        <v>0.26986204415061665</v>
      </c>
      <c r="AB56" s="42">
        <f t="shared" si="94"/>
        <v>0.29188004182107846</v>
      </c>
      <c r="AC56" s="42">
        <f t="shared" si="94"/>
        <v>0.2916239634771266</v>
      </c>
      <c r="AD56" s="42">
        <f t="shared" si="94"/>
        <v>0.23122377322942536</v>
      </c>
      <c r="AE56" s="42">
        <f t="shared" si="94"/>
        <v>0.28352490421455939</v>
      </c>
      <c r="AF56" s="42">
        <f t="shared" si="94"/>
        <v>0.27630498095735945</v>
      </c>
      <c r="AG56" s="42">
        <f t="shared" si="94"/>
        <v>0.26075249769715864</v>
      </c>
      <c r="AH56" s="42">
        <f t="shared" si="94"/>
        <v>0.19099260896594597</v>
      </c>
      <c r="AI56" s="42">
        <f t="shared" si="94"/>
        <v>0.23657170983818371</v>
      </c>
      <c r="AJ56" s="42">
        <f t="shared" si="94"/>
        <v>0.29820352599866101</v>
      </c>
      <c r="AK56" s="42">
        <f t="shared" si="94"/>
        <v>0.27145759268664299</v>
      </c>
      <c r="AL56" s="42">
        <f t="shared" si="94"/>
        <v>0.24339708561020038</v>
      </c>
      <c r="AM56" s="42" t="e">
        <f t="shared" ref="AM56:AM57" si="95">S56/S$41</f>
        <v>#DIV/0!</v>
      </c>
      <c r="AN56" s="42">
        <f t="shared" ref="AN56:AN57" si="96">SUM(N56:R56)/SUM(N$41:R$41)</f>
        <v>0.25076408575478382</v>
      </c>
      <c r="AO56" s="2"/>
    </row>
    <row r="57" spans="1:41" ht="15" x14ac:dyDescent="0.2">
      <c r="A57" s="69" t="s">
        <v>10</v>
      </c>
      <c r="B57" s="69">
        <v>79549</v>
      </c>
      <c r="C57" s="91">
        <v>80215</v>
      </c>
      <c r="D57" s="91">
        <v>79317</v>
      </c>
      <c r="E57" s="91">
        <v>90155</v>
      </c>
      <c r="F57" s="91">
        <v>98894</v>
      </c>
      <c r="G57" s="91">
        <v>118367</v>
      </c>
      <c r="H57" s="91">
        <v>118024</v>
      </c>
      <c r="I57" s="91">
        <v>118700</v>
      </c>
      <c r="J57" s="91">
        <f>123000</f>
        <v>123000</v>
      </c>
      <c r="K57" s="91">
        <v>154000</v>
      </c>
      <c r="L57" s="91">
        <v>189000</v>
      </c>
      <c r="M57" s="91">
        <v>230300</v>
      </c>
      <c r="N57" s="91">
        <v>259800</v>
      </c>
      <c r="O57" s="91">
        <v>301600</v>
      </c>
      <c r="P57" s="91">
        <v>340700</v>
      </c>
      <c r="Q57" s="91">
        <v>377500</v>
      </c>
      <c r="R57" s="91">
        <v>436700</v>
      </c>
      <c r="S57" s="91"/>
      <c r="T57" s="42">
        <f t="shared" si="93"/>
        <v>0.13652201015231535</v>
      </c>
      <c r="U57" s="69" t="str">
        <f>A57</f>
        <v>Deferred Income Taxes</v>
      </c>
      <c r="V57" s="42">
        <f t="shared" si="94"/>
        <v>0.10994234001149883</v>
      </c>
      <c r="W57" s="42">
        <f t="shared" si="94"/>
        <v>9.6606634020854454E-2</v>
      </c>
      <c r="X57" s="42">
        <f t="shared" si="94"/>
        <v>9.51221091714997E-2</v>
      </c>
      <c r="Y57" s="42">
        <f t="shared" si="94"/>
        <v>0.10838660192283879</v>
      </c>
      <c r="Z57" s="42">
        <f t="shared" si="94"/>
        <v>0.10869718139571692</v>
      </c>
      <c r="AA57" s="42">
        <f t="shared" si="94"/>
        <v>0.11700644901090124</v>
      </c>
      <c r="AB57" s="42">
        <f t="shared" si="94"/>
        <v>0.10665278655074602</v>
      </c>
      <c r="AC57" s="42">
        <f t="shared" si="94"/>
        <v>0.11059349669244387</v>
      </c>
      <c r="AD57" s="42">
        <f t="shared" si="94"/>
        <v>0.10533527447118267</v>
      </c>
      <c r="AE57" s="42">
        <f t="shared" si="94"/>
        <v>0.11800766283524904</v>
      </c>
      <c r="AF57" s="42">
        <f t="shared" si="94"/>
        <v>0.14113957135389441</v>
      </c>
      <c r="AG57" s="42">
        <f t="shared" si="94"/>
        <v>0.16318288103167292</v>
      </c>
      <c r="AH57" s="42">
        <f t="shared" si="94"/>
        <v>0.17945706983491055</v>
      </c>
      <c r="AI57" s="42">
        <f t="shared" si="94"/>
        <v>0.18556574170922291</v>
      </c>
      <c r="AJ57" s="42">
        <f t="shared" si="94"/>
        <v>0.19008033920999776</v>
      </c>
      <c r="AK57" s="42">
        <f t="shared" si="94"/>
        <v>0.19172168613509397</v>
      </c>
      <c r="AL57" s="42">
        <f t="shared" si="94"/>
        <v>0.1988615664845173</v>
      </c>
      <c r="AM57" s="42" t="e">
        <f t="shared" si="95"/>
        <v>#DIV/0!</v>
      </c>
      <c r="AN57" s="42">
        <f t="shared" si="96"/>
        <v>0.1900580262225372</v>
      </c>
      <c r="AO57" s="2"/>
    </row>
    <row r="58" spans="1:41" ht="15" x14ac:dyDescent="0.2">
      <c r="A58" s="69" t="s">
        <v>205</v>
      </c>
      <c r="B58" s="69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>
        <v>46700</v>
      </c>
      <c r="P58" s="91">
        <v>53000</v>
      </c>
      <c r="Q58" s="91">
        <v>60900</v>
      </c>
      <c r="R58" s="91">
        <v>65600</v>
      </c>
      <c r="S58" s="91"/>
      <c r="T58" s="42"/>
      <c r="U58" s="69" t="str">
        <f>+A58</f>
        <v>Noncurrent Regulatory Liabilities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>
        <f t="shared" ref="AK58:AL60" si="97">Q58/Q$41</f>
        <v>3.0929405789740985E-2</v>
      </c>
      <c r="AL58" s="42">
        <f t="shared" si="97"/>
        <v>2.987249544626594E-2</v>
      </c>
      <c r="AM58" s="42" t="e">
        <f t="shared" ref="AM58:AM60" si="98">S58/S$41</f>
        <v>#DIV/0!</v>
      </c>
      <c r="AN58" s="42"/>
      <c r="AO58" s="2"/>
    </row>
    <row r="59" spans="1:41" ht="15" x14ac:dyDescent="0.2">
      <c r="A59" s="69" t="s">
        <v>62</v>
      </c>
      <c r="B59" s="69">
        <f>5630+1394</f>
        <v>7024</v>
      </c>
      <c r="C59" s="91">
        <f>5250+507</f>
        <v>5757</v>
      </c>
      <c r="D59" s="91">
        <f>4960+5924</f>
        <v>10884</v>
      </c>
      <c r="E59" s="91">
        <f>4565+3173</f>
        <v>7738</v>
      </c>
      <c r="F59" s="91">
        <f>4652+8870+3727</f>
        <v>17249</v>
      </c>
      <c r="G59" s="91">
        <f>11634+5745+3472</f>
        <v>20851</v>
      </c>
      <c r="H59" s="95">
        <f>22249+5590+16764</f>
        <v>44603</v>
      </c>
      <c r="I59" s="95">
        <f>40000+5300+6500</f>
        <v>51800</v>
      </c>
      <c r="J59" s="95">
        <f>51200+7500</f>
        <v>58700</v>
      </c>
      <c r="K59" s="95">
        <f>53900+6500</f>
        <v>60400</v>
      </c>
      <c r="L59" s="95">
        <f>52200+6500</f>
        <v>58700</v>
      </c>
      <c r="M59" s="95">
        <f>45500+5500</f>
        <v>51000</v>
      </c>
      <c r="N59" s="95">
        <f>26600+4800</f>
        <v>31400</v>
      </c>
      <c r="O59" s="95">
        <f>22900+3500</f>
        <v>26400</v>
      </c>
      <c r="P59" s="95">
        <f>29100+3200</f>
        <v>32300</v>
      </c>
      <c r="Q59" s="95">
        <f>29200+2800</f>
        <v>32000</v>
      </c>
      <c r="R59" s="95">
        <f>23700+2200</f>
        <v>25900</v>
      </c>
      <c r="S59" s="95"/>
      <c r="T59" s="50">
        <f t="shared" ref="T59:T60" si="99">RATE(5,,-M59,R59)</f>
        <v>-0.12673527470519394</v>
      </c>
      <c r="U59" s="69" t="str">
        <f>A59</f>
        <v>Other Deferred Credits</v>
      </c>
      <c r="V59" s="74">
        <f t="shared" ref="V59:AJ60" si="100">B59/B$41</f>
        <v>9.7076644111273279E-3</v>
      </c>
      <c r="W59" s="74">
        <f t="shared" si="100"/>
        <v>6.9334213308989484E-3</v>
      </c>
      <c r="X59" s="74">
        <f t="shared" si="100"/>
        <v>1.3052801243398046E-2</v>
      </c>
      <c r="Y59" s="74">
        <f t="shared" si="100"/>
        <v>9.3028176549157186E-3</v>
      </c>
      <c r="Z59" s="74">
        <f t="shared" si="100"/>
        <v>1.8958861830795811E-2</v>
      </c>
      <c r="AA59" s="74">
        <f t="shared" si="100"/>
        <v>2.0611331438038488E-2</v>
      </c>
      <c r="AB59" s="74">
        <f t="shared" si="100"/>
        <v>4.0305651719336102E-2</v>
      </c>
      <c r="AC59" s="74">
        <f t="shared" si="100"/>
        <v>4.8262368396534056E-2</v>
      </c>
      <c r="AD59" s="74">
        <f t="shared" si="100"/>
        <v>5.0269761068767661E-2</v>
      </c>
      <c r="AE59" s="74">
        <f t="shared" si="100"/>
        <v>4.6283524904214557E-2</v>
      </c>
      <c r="AF59" s="74">
        <f t="shared" si="100"/>
        <v>4.3835411843775672E-2</v>
      </c>
      <c r="AG59" s="74">
        <f t="shared" si="100"/>
        <v>3.6136895061291009E-2</v>
      </c>
      <c r="AH59" s="74">
        <f t="shared" si="100"/>
        <v>2.1689576569731299E-2</v>
      </c>
      <c r="AI59" s="74">
        <f t="shared" si="100"/>
        <v>1.624315510982588E-2</v>
      </c>
      <c r="AJ59" s="74">
        <f t="shared" si="100"/>
        <v>1.8020531131443873E-2</v>
      </c>
      <c r="AK59" s="74">
        <f t="shared" si="97"/>
        <v>1.6251904520060943E-2</v>
      </c>
      <c r="AL59" s="74">
        <f t="shared" si="97"/>
        <v>1.1794171220400728E-2</v>
      </c>
      <c r="AM59" s="74" t="e">
        <f t="shared" si="98"/>
        <v>#DIV/0!</v>
      </c>
      <c r="AN59" s="50">
        <f t="shared" ref="AN59:AN60" si="101">SUM(N59:R59)/SUM(N$41:R$41)</f>
        <v>1.6389085754783841E-2</v>
      </c>
      <c r="AO59" s="2"/>
    </row>
    <row r="60" spans="1:41" ht="15" x14ac:dyDescent="0.2">
      <c r="A60" s="70" t="s">
        <v>63</v>
      </c>
      <c r="B60" s="75">
        <f t="shared" ref="B60:L60" si="102">SUM(B56:B59)</f>
        <v>311573</v>
      </c>
      <c r="C60" s="92">
        <f t="shared" si="102"/>
        <v>310972</v>
      </c>
      <c r="D60" s="92">
        <f t="shared" si="102"/>
        <v>375201</v>
      </c>
      <c r="E60" s="92">
        <f t="shared" si="102"/>
        <v>382893</v>
      </c>
      <c r="F60" s="92">
        <f t="shared" si="102"/>
        <v>406143</v>
      </c>
      <c r="G60" s="92">
        <f t="shared" si="102"/>
        <v>412218</v>
      </c>
      <c r="H60" s="92">
        <f t="shared" si="102"/>
        <v>485627</v>
      </c>
      <c r="I60" s="92">
        <f t="shared" si="102"/>
        <v>483500</v>
      </c>
      <c r="J60" s="92">
        <f t="shared" si="102"/>
        <v>451700</v>
      </c>
      <c r="K60" s="92">
        <f t="shared" si="102"/>
        <v>584400</v>
      </c>
      <c r="L60" s="92">
        <f t="shared" si="102"/>
        <v>617700</v>
      </c>
      <c r="M60" s="92">
        <f t="shared" ref="M60:O60" si="103">SUM(M56:M59)</f>
        <v>649300</v>
      </c>
      <c r="N60" s="92">
        <f t="shared" ref="N60" si="104">SUM(N56:N59)</f>
        <v>567700</v>
      </c>
      <c r="O60" s="92">
        <f t="shared" si="103"/>
        <v>759200</v>
      </c>
      <c r="P60" s="92">
        <f t="shared" ref="P60:Q60" si="105">SUM(P56:P59)</f>
        <v>960500</v>
      </c>
      <c r="Q60" s="92">
        <f t="shared" si="105"/>
        <v>1004900</v>
      </c>
      <c r="R60" s="92">
        <f t="shared" ref="R60" si="106">SUM(R56:R59)</f>
        <v>1062700</v>
      </c>
      <c r="S60" s="92">
        <f t="shared" ref="S60" si="107">SUM(S56:S59)</f>
        <v>0</v>
      </c>
      <c r="T60" s="42">
        <f t="shared" si="99"/>
        <v>0.10355264378738761</v>
      </c>
      <c r="U60" s="69" t="str">
        <f>A60</f>
        <v>Total LTD &amp; Deferrals</v>
      </c>
      <c r="V60" s="42">
        <f t="shared" si="100"/>
        <v>0.43061590597496796</v>
      </c>
      <c r="W60" s="42">
        <f t="shared" si="100"/>
        <v>0.37451796041554763</v>
      </c>
      <c r="X60" s="42">
        <f t="shared" si="100"/>
        <v>0.44996546116539782</v>
      </c>
      <c r="Y60" s="42">
        <f t="shared" si="100"/>
        <v>0.46032356685753995</v>
      </c>
      <c r="Z60" s="42">
        <f t="shared" si="100"/>
        <v>0.44640321297147101</v>
      </c>
      <c r="AA60" s="42">
        <f t="shared" si="100"/>
        <v>0.40747982459955634</v>
      </c>
      <c r="AB60" s="42">
        <f t="shared" si="100"/>
        <v>0.43883848009116055</v>
      </c>
      <c r="AC60" s="42">
        <f t="shared" si="100"/>
        <v>0.45047982856610452</v>
      </c>
      <c r="AD60" s="42">
        <f t="shared" si="100"/>
        <v>0.3868288087693757</v>
      </c>
      <c r="AE60" s="42">
        <f t="shared" si="100"/>
        <v>0.447816091954023</v>
      </c>
      <c r="AF60" s="42">
        <f t="shared" si="100"/>
        <v>0.46127996415502948</v>
      </c>
      <c r="AG60" s="42">
        <f t="shared" si="100"/>
        <v>0.46007227379012255</v>
      </c>
      <c r="AH60" s="42">
        <f t="shared" si="100"/>
        <v>0.3921392553705878</v>
      </c>
      <c r="AI60" s="42">
        <f t="shared" si="100"/>
        <v>0.46711376361287149</v>
      </c>
      <c r="AJ60" s="42">
        <f t="shared" si="100"/>
        <v>0.53587368890872578</v>
      </c>
      <c r="AK60" s="42">
        <f t="shared" si="97"/>
        <v>0.51036058913153881</v>
      </c>
      <c r="AL60" s="42">
        <f t="shared" si="97"/>
        <v>0.48392531876138434</v>
      </c>
      <c r="AM60" s="42" t="e">
        <f t="shared" si="98"/>
        <v>#DIV/0!</v>
      </c>
      <c r="AN60" s="42">
        <f t="shared" si="101"/>
        <v>0.48225992204110563</v>
      </c>
      <c r="AO60" s="2"/>
    </row>
    <row r="61" spans="1:41" ht="12" customHeight="1" x14ac:dyDescent="0.2">
      <c r="A61" s="70"/>
      <c r="B61" s="69"/>
      <c r="C61" s="91"/>
      <c r="D61" s="91"/>
      <c r="E61" s="91"/>
      <c r="F61" s="91"/>
      <c r="G61" s="91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42"/>
      <c r="U61" s="70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1" ht="15" x14ac:dyDescent="0.2">
      <c r="A62" s="69" t="s">
        <v>40</v>
      </c>
      <c r="B62" s="69">
        <f t="shared" ref="B62:H62" si="108">B60+B54</f>
        <v>460159</v>
      </c>
      <c r="C62" s="91">
        <f t="shared" si="108"/>
        <v>566270</v>
      </c>
      <c r="D62" s="91">
        <f t="shared" si="108"/>
        <v>527915</v>
      </c>
      <c r="E62" s="91">
        <f t="shared" si="108"/>
        <v>517963</v>
      </c>
      <c r="F62" s="91">
        <f t="shared" si="108"/>
        <v>600802</v>
      </c>
      <c r="G62" s="91">
        <f t="shared" si="108"/>
        <v>696657</v>
      </c>
      <c r="H62" s="91">
        <f t="shared" si="108"/>
        <v>788293</v>
      </c>
      <c r="I62" s="91">
        <f t="shared" ref="I62:O62" si="109">I60+I54</f>
        <v>743700</v>
      </c>
      <c r="J62" s="91">
        <f t="shared" si="109"/>
        <v>827000</v>
      </c>
      <c r="K62" s="91">
        <f t="shared" si="109"/>
        <v>920400</v>
      </c>
      <c r="L62" s="91">
        <f t="shared" si="109"/>
        <v>940100</v>
      </c>
      <c r="M62" s="91">
        <f t="shared" si="109"/>
        <v>995800</v>
      </c>
      <c r="N62" s="91">
        <f t="shared" ref="N62" si="110">N60+N54</f>
        <v>995300</v>
      </c>
      <c r="O62" s="91">
        <f t="shared" si="109"/>
        <v>1157700</v>
      </c>
      <c r="P62" s="91">
        <f t="shared" ref="P62:Q62" si="111">P60+P54</f>
        <v>1216100</v>
      </c>
      <c r="Q62" s="91">
        <f t="shared" si="111"/>
        <v>1372000</v>
      </c>
      <c r="R62" s="91">
        <f t="shared" ref="R62" si="112">R60+R54</f>
        <v>1571300</v>
      </c>
      <c r="S62" s="91">
        <f t="shared" ref="S62" si="113">S60+S54</f>
        <v>0</v>
      </c>
      <c r="T62" s="42">
        <f t="shared" ref="T62" si="114">RATE(5,,-M62,R62)</f>
        <v>9.5512652379652369E-2</v>
      </c>
      <c r="U62" s="69" t="str">
        <f>A62</f>
        <v>Total Liabilities</v>
      </c>
      <c r="V62" s="42">
        <f t="shared" ref="V62:AL62" si="115">B62/B$41</f>
        <v>0.63597225907744015</v>
      </c>
      <c r="W62" s="42">
        <f t="shared" si="115"/>
        <v>0.68198514800210996</v>
      </c>
      <c r="X62" s="42">
        <f t="shared" si="115"/>
        <v>0.63311003017350964</v>
      </c>
      <c r="Y62" s="42">
        <f t="shared" si="115"/>
        <v>0.62270810816659472</v>
      </c>
      <c r="Z62" s="42">
        <f t="shared" si="115"/>
        <v>0.66035840371417387</v>
      </c>
      <c r="AA62" s="42">
        <f t="shared" si="115"/>
        <v>0.68864938495178074</v>
      </c>
      <c r="AB62" s="42">
        <f t="shared" si="115"/>
        <v>0.71234363407821477</v>
      </c>
      <c r="AC62" s="42">
        <f t="shared" si="115"/>
        <v>0.69290971769309606</v>
      </c>
      <c r="AD62" s="42">
        <f t="shared" si="115"/>
        <v>0.70822985355827694</v>
      </c>
      <c r="AE62" s="42">
        <f t="shared" si="115"/>
        <v>0.70528735632183903</v>
      </c>
      <c r="AF62" s="42">
        <f t="shared" si="115"/>
        <v>0.70203868269733405</v>
      </c>
      <c r="AG62" s="42">
        <f t="shared" si="115"/>
        <v>0.70559059023595272</v>
      </c>
      <c r="AH62" s="42">
        <f t="shared" si="115"/>
        <v>0.68750431719278859</v>
      </c>
      <c r="AI62" s="42">
        <f t="shared" si="115"/>
        <v>0.71229926782747799</v>
      </c>
      <c r="AJ62" s="42">
        <f t="shared" si="115"/>
        <v>0.6784757866547646</v>
      </c>
      <c r="AK62" s="42">
        <f t="shared" si="115"/>
        <v>0.69680040629761297</v>
      </c>
      <c r="AL62" s="42">
        <f t="shared" si="115"/>
        <v>0.71552823315118397</v>
      </c>
      <c r="AM62" s="42" t="e">
        <f t="shared" ref="AM62" si="116">S62/S$41</f>
        <v>#DIV/0!</v>
      </c>
      <c r="AN62" s="42">
        <f>SUM(N62:R62)/SUM(N$41:R$41)</f>
        <v>0.69901665485471298</v>
      </c>
      <c r="AO62" s="2"/>
    </row>
    <row r="63" spans="1:41" ht="12" customHeight="1" x14ac:dyDescent="0.2">
      <c r="A63" s="69"/>
      <c r="B63" s="69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42"/>
      <c r="U63" s="69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2"/>
    </row>
    <row r="64" spans="1:41" ht="15" hidden="1" x14ac:dyDescent="0.2">
      <c r="A64" s="69" t="s">
        <v>64</v>
      </c>
      <c r="B64" s="69">
        <v>0</v>
      </c>
      <c r="C64" s="91">
        <v>0</v>
      </c>
      <c r="D64" s="91">
        <v>0</v>
      </c>
      <c r="E64" s="9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42"/>
      <c r="U64" s="69" t="str">
        <f>A64</f>
        <v>Preferred Stock</v>
      </c>
      <c r="V64" s="42">
        <f>B64/B$41</f>
        <v>0</v>
      </c>
      <c r="W64" s="42">
        <f>C64/C$41</f>
        <v>0</v>
      </c>
      <c r="X64" s="42">
        <f>D64/D$41</f>
        <v>0</v>
      </c>
      <c r="Y64" s="42">
        <f>E64/E$41</f>
        <v>0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2"/>
    </row>
    <row r="65" spans="1:41" ht="12" hidden="1" customHeight="1" x14ac:dyDescent="0.2">
      <c r="A65" s="69"/>
      <c r="B65" s="69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42"/>
      <c r="U65" s="69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2"/>
    </row>
    <row r="66" spans="1:41" ht="15.75" x14ac:dyDescent="0.25">
      <c r="A66" s="113" t="s">
        <v>67</v>
      </c>
      <c r="B66" s="69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42"/>
      <c r="U66" s="113" t="str">
        <f>A66</f>
        <v>Common Equity:</v>
      </c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42"/>
      <c r="AO66" s="2"/>
    </row>
    <row r="67" spans="1:41" ht="15" x14ac:dyDescent="0.2">
      <c r="A67" s="79" t="s">
        <v>5</v>
      </c>
      <c r="B67" s="69">
        <f>22974+81875</f>
        <v>104849</v>
      </c>
      <c r="C67" s="91">
        <f>22974+81875</f>
        <v>104849</v>
      </c>
      <c r="D67" s="91">
        <f>22974+121875</f>
        <v>144849</v>
      </c>
      <c r="E67" s="91">
        <f>22974+121875</f>
        <v>144849</v>
      </c>
      <c r="F67" s="91">
        <f>22974+121875</f>
        <v>144849</v>
      </c>
      <c r="G67" s="91">
        <f>22974+121875</f>
        <v>144849</v>
      </c>
      <c r="H67" s="91">
        <f>22974+115255</f>
        <v>138229</v>
      </c>
      <c r="I67" s="91">
        <f>23000+116000</f>
        <v>139000</v>
      </c>
      <c r="J67" s="91">
        <f>23000+116700</f>
        <v>139700</v>
      </c>
      <c r="K67" s="91">
        <f>23000+147900</f>
        <v>170900</v>
      </c>
      <c r="L67" s="91">
        <f>23000+148900</f>
        <v>171900</v>
      </c>
      <c r="M67" s="91">
        <f>23000+150300</f>
        <v>173300</v>
      </c>
      <c r="N67" s="91">
        <f>23000+171400</f>
        <v>194400</v>
      </c>
      <c r="O67" s="91">
        <f>23000+172500</f>
        <v>195500</v>
      </c>
      <c r="P67" s="91">
        <f>23000+263900</f>
        <v>286900</v>
      </c>
      <c r="Q67" s="91">
        <f>23000+265400</f>
        <v>288400</v>
      </c>
      <c r="R67" s="91">
        <f>23000+266800</f>
        <v>289800</v>
      </c>
      <c r="S67" s="91"/>
      <c r="T67" s="42">
        <f t="shared" ref="T67:T69" si="117">RATE(5,,-M67,R67)</f>
        <v>0.10830671280893764</v>
      </c>
      <c r="U67" s="69" t="str">
        <f>A67</f>
        <v>Common Stock</v>
      </c>
      <c r="V67" s="42">
        <f t="shared" ref="V67:AL70" si="118">B67/B$41</f>
        <v>0.14490872805271771</v>
      </c>
      <c r="W67" s="42">
        <f t="shared" si="118"/>
        <v>0.12627449941348337</v>
      </c>
      <c r="X67" s="42">
        <f t="shared" si="118"/>
        <v>0.17371234907248839</v>
      </c>
      <c r="Y67" s="42">
        <f t="shared" si="118"/>
        <v>0.17414110034852506</v>
      </c>
      <c r="Z67" s="42">
        <f t="shared" si="118"/>
        <v>0.15920761651857746</v>
      </c>
      <c r="AA67" s="42">
        <f t="shared" si="118"/>
        <v>0.14318405579916729</v>
      </c>
      <c r="AB67" s="42">
        <f t="shared" si="118"/>
        <v>0.12491110309871781</v>
      </c>
      <c r="AC67" s="42">
        <f t="shared" si="118"/>
        <v>0.12950712755054505</v>
      </c>
      <c r="AD67" s="42">
        <f t="shared" si="118"/>
        <v>0.11963689303759527</v>
      </c>
      <c r="AE67" s="42">
        <f t="shared" si="118"/>
        <v>0.13095785440613028</v>
      </c>
      <c r="AF67" s="42">
        <f t="shared" si="118"/>
        <v>0.12836980061235159</v>
      </c>
      <c r="AG67" s="42">
        <f t="shared" si="118"/>
        <v>0.1227945865514065</v>
      </c>
      <c r="AH67" s="42">
        <f t="shared" si="118"/>
        <v>0.1342819644954065</v>
      </c>
      <c r="AI67" s="42">
        <f t="shared" si="118"/>
        <v>0.12028548575647573</v>
      </c>
      <c r="AJ67" s="42">
        <f t="shared" si="118"/>
        <v>0.16006471769694264</v>
      </c>
      <c r="AK67" s="42">
        <f t="shared" si="118"/>
        <v>0.14647028948704927</v>
      </c>
      <c r="AL67" s="42">
        <f t="shared" si="118"/>
        <v>0.13196721311475409</v>
      </c>
      <c r="AM67" s="42" t="e">
        <f t="shared" ref="AM67:AM70" si="119">S67/S$41</f>
        <v>#DIV/0!</v>
      </c>
      <c r="AN67" s="42">
        <f t="shared" ref="AN67:AN70" si="120">SUM(N67:R67)/SUM(N$41:R$41)</f>
        <v>0.13897501771793055</v>
      </c>
      <c r="AO67" s="2"/>
    </row>
    <row r="68" spans="1:41" ht="15" x14ac:dyDescent="0.2">
      <c r="A68" s="79" t="s">
        <v>28</v>
      </c>
      <c r="B68" s="69">
        <v>158544</v>
      </c>
      <c r="C68" s="91">
        <v>159207</v>
      </c>
      <c r="D68" s="91">
        <v>161080</v>
      </c>
      <c r="E68" s="91">
        <v>168979</v>
      </c>
      <c r="F68" s="91">
        <v>164161</v>
      </c>
      <c r="G68" s="91">
        <v>170122</v>
      </c>
      <c r="H68" s="91">
        <v>180097</v>
      </c>
      <c r="I68" s="91">
        <v>190600</v>
      </c>
      <c r="J68" s="91">
        <f>201000</f>
        <v>201000</v>
      </c>
      <c r="K68" s="91">
        <v>213700</v>
      </c>
      <c r="L68" s="91">
        <v>227100</v>
      </c>
      <c r="M68" s="91">
        <v>242200</v>
      </c>
      <c r="N68" s="91">
        <v>258000</v>
      </c>
      <c r="O68" s="91">
        <v>272100</v>
      </c>
      <c r="P68" s="91">
        <v>289400</v>
      </c>
      <c r="Q68" s="91">
        <v>308600</v>
      </c>
      <c r="R68" s="91">
        <v>334900</v>
      </c>
      <c r="S68" s="91"/>
      <c r="T68" s="50">
        <f t="shared" si="117"/>
        <v>6.6960156207470103E-2</v>
      </c>
      <c r="U68" s="69" t="str">
        <f>A68</f>
        <v>Retained Earnings</v>
      </c>
      <c r="V68" s="74">
        <f t="shared" si="118"/>
        <v>0.21911901286984212</v>
      </c>
      <c r="W68" s="74">
        <f t="shared" si="118"/>
        <v>0.19174035258440661</v>
      </c>
      <c r="X68" s="74">
        <f t="shared" si="118"/>
        <v>0.19317762075400194</v>
      </c>
      <c r="Y68" s="74">
        <f t="shared" si="118"/>
        <v>0.20315079148488022</v>
      </c>
      <c r="Z68" s="74">
        <f t="shared" si="118"/>
        <v>0.18043397976724862</v>
      </c>
      <c r="AA68" s="74">
        <f t="shared" si="118"/>
        <v>0.16816655924905202</v>
      </c>
      <c r="AB68" s="74">
        <f t="shared" si="118"/>
        <v>0.16274526282306737</v>
      </c>
      <c r="AC68" s="74">
        <f t="shared" si="118"/>
        <v>0.17758315475635889</v>
      </c>
      <c r="AD68" s="74">
        <f t="shared" si="118"/>
        <v>0.17213325340412777</v>
      </c>
      <c r="AE68" s="74">
        <f t="shared" si="118"/>
        <v>0.16375478927203066</v>
      </c>
      <c r="AF68" s="74">
        <f t="shared" si="118"/>
        <v>0.16959151669031439</v>
      </c>
      <c r="AG68" s="74">
        <f t="shared" si="118"/>
        <v>0.17161482321264082</v>
      </c>
      <c r="AH68" s="74">
        <f t="shared" si="118"/>
        <v>0.17821371831180494</v>
      </c>
      <c r="AI68" s="74">
        <f t="shared" si="118"/>
        <v>0.16741524641604627</v>
      </c>
      <c r="AJ68" s="74">
        <f t="shared" si="118"/>
        <v>0.16145949564829279</v>
      </c>
      <c r="AK68" s="74">
        <f t="shared" si="118"/>
        <v>0.15672930421533773</v>
      </c>
      <c r="AL68" s="74">
        <f t="shared" si="118"/>
        <v>0.15250455373406194</v>
      </c>
      <c r="AM68" s="74" t="e">
        <f t="shared" si="119"/>
        <v>#DIV/0!</v>
      </c>
      <c r="AN68" s="50">
        <f t="shared" si="120"/>
        <v>0.16200832742735649</v>
      </c>
      <c r="AO68" s="2"/>
    </row>
    <row r="69" spans="1:41" ht="15" x14ac:dyDescent="0.2">
      <c r="A69" s="69" t="s">
        <v>68</v>
      </c>
      <c r="B69" s="75">
        <f t="shared" ref="B69:K69" si="121">SUM(B66:B68)</f>
        <v>263393</v>
      </c>
      <c r="C69" s="92">
        <f t="shared" si="121"/>
        <v>264056</v>
      </c>
      <c r="D69" s="92">
        <f t="shared" si="121"/>
        <v>305929</v>
      </c>
      <c r="E69" s="92">
        <f t="shared" si="121"/>
        <v>313828</v>
      </c>
      <c r="F69" s="92">
        <f t="shared" si="121"/>
        <v>309010</v>
      </c>
      <c r="G69" s="92">
        <f t="shared" si="121"/>
        <v>314971</v>
      </c>
      <c r="H69" s="92">
        <f t="shared" si="121"/>
        <v>318326</v>
      </c>
      <c r="I69" s="92">
        <f t="shared" si="121"/>
        <v>329600</v>
      </c>
      <c r="J69" s="92">
        <f t="shared" si="121"/>
        <v>340700</v>
      </c>
      <c r="K69" s="92">
        <f t="shared" si="121"/>
        <v>384600</v>
      </c>
      <c r="L69" s="92">
        <f t="shared" ref="L69" si="122">SUM(L66:L68)</f>
        <v>399000</v>
      </c>
      <c r="M69" s="92">
        <f t="shared" ref="M69:O69" si="123">SUM(M66:M68)</f>
        <v>415500</v>
      </c>
      <c r="N69" s="92">
        <f t="shared" ref="N69" si="124">SUM(N66:N68)</f>
        <v>452400</v>
      </c>
      <c r="O69" s="92">
        <f t="shared" si="123"/>
        <v>467600</v>
      </c>
      <c r="P69" s="92">
        <f t="shared" ref="P69:Q69" si="125">SUM(P66:P68)</f>
        <v>576300</v>
      </c>
      <c r="Q69" s="92">
        <f t="shared" si="125"/>
        <v>597000</v>
      </c>
      <c r="R69" s="92">
        <f t="shared" ref="R69" si="126">SUM(R66:R68)</f>
        <v>624700</v>
      </c>
      <c r="S69" s="92">
        <f t="shared" ref="S69" si="127">SUM(S66:S68)</f>
        <v>0</v>
      </c>
      <c r="T69" s="168">
        <f t="shared" si="117"/>
        <v>8.4975910064928648E-2</v>
      </c>
      <c r="U69" s="69" t="str">
        <f>A69</f>
        <v>Total Common Equity</v>
      </c>
      <c r="V69" s="74">
        <f t="shared" si="118"/>
        <v>0.36402774092255979</v>
      </c>
      <c r="W69" s="74">
        <f t="shared" si="118"/>
        <v>0.31801485199788998</v>
      </c>
      <c r="X69" s="74">
        <f t="shared" si="118"/>
        <v>0.3668899698264903</v>
      </c>
      <c r="Y69" s="74">
        <f t="shared" si="118"/>
        <v>0.37729189183340528</v>
      </c>
      <c r="Z69" s="74">
        <f t="shared" si="118"/>
        <v>0.33964159628582608</v>
      </c>
      <c r="AA69" s="74">
        <f t="shared" si="118"/>
        <v>0.31135061504821931</v>
      </c>
      <c r="AB69" s="74">
        <f t="shared" si="118"/>
        <v>0.28765636592178517</v>
      </c>
      <c r="AC69" s="74">
        <f t="shared" si="118"/>
        <v>0.30709028230690394</v>
      </c>
      <c r="AD69" s="74">
        <f t="shared" si="118"/>
        <v>0.29177014644172306</v>
      </c>
      <c r="AE69" s="74">
        <f t="shared" si="118"/>
        <v>0.29471264367816091</v>
      </c>
      <c r="AF69" s="74">
        <f t="shared" si="118"/>
        <v>0.29796131730266595</v>
      </c>
      <c r="AG69" s="74">
        <f t="shared" si="118"/>
        <v>0.29440940976404734</v>
      </c>
      <c r="AH69" s="74">
        <f t="shared" si="118"/>
        <v>0.31249568280721146</v>
      </c>
      <c r="AI69" s="74">
        <f t="shared" si="118"/>
        <v>0.28770073217252201</v>
      </c>
      <c r="AJ69" s="74">
        <f t="shared" si="118"/>
        <v>0.32152421334523545</v>
      </c>
      <c r="AK69" s="74">
        <f t="shared" si="118"/>
        <v>0.30319959370238697</v>
      </c>
      <c r="AL69" s="74">
        <f t="shared" si="118"/>
        <v>0.28447176684881603</v>
      </c>
      <c r="AM69" s="74" t="e">
        <f t="shared" si="119"/>
        <v>#DIV/0!</v>
      </c>
      <c r="AN69" s="168">
        <f t="shared" si="120"/>
        <v>0.30098334514528702</v>
      </c>
      <c r="AO69" s="2"/>
    </row>
    <row r="70" spans="1:41" ht="15.75" thickBot="1" x14ac:dyDescent="0.25">
      <c r="A70" s="69" t="s">
        <v>41</v>
      </c>
      <c r="B70" s="80">
        <f t="shared" ref="B70:K70" si="128">B69+B62+B64</f>
        <v>723552</v>
      </c>
      <c r="C70" s="96">
        <f t="shared" si="128"/>
        <v>830326</v>
      </c>
      <c r="D70" s="96">
        <f t="shared" si="128"/>
        <v>833844</v>
      </c>
      <c r="E70" s="96">
        <f t="shared" si="128"/>
        <v>831791</v>
      </c>
      <c r="F70" s="96">
        <f t="shared" si="128"/>
        <v>909812</v>
      </c>
      <c r="G70" s="96">
        <f t="shared" si="128"/>
        <v>1011628</v>
      </c>
      <c r="H70" s="96">
        <f t="shared" si="128"/>
        <v>1106619</v>
      </c>
      <c r="I70" s="96">
        <f t="shared" si="128"/>
        <v>1073300</v>
      </c>
      <c r="J70" s="96">
        <f t="shared" si="128"/>
        <v>1167700</v>
      </c>
      <c r="K70" s="96">
        <f t="shared" si="128"/>
        <v>1305000</v>
      </c>
      <c r="L70" s="96">
        <f t="shared" ref="L70" si="129">L69+L62+L64</f>
        <v>1339100</v>
      </c>
      <c r="M70" s="96">
        <f t="shared" ref="M70:O70" si="130">M69+M62+M64</f>
        <v>1411300</v>
      </c>
      <c r="N70" s="96">
        <f t="shared" ref="N70" si="131">N69+N62+N64</f>
        <v>1447700</v>
      </c>
      <c r="O70" s="96">
        <f t="shared" si="130"/>
        <v>1625300</v>
      </c>
      <c r="P70" s="96">
        <f t="shared" ref="P70:Q70" si="132">P69+P62+P64</f>
        <v>1792400</v>
      </c>
      <c r="Q70" s="96">
        <f t="shared" si="132"/>
        <v>1969000</v>
      </c>
      <c r="R70" s="96">
        <f t="shared" ref="R70" si="133">R69+R62+R64</f>
        <v>2196000</v>
      </c>
      <c r="S70" s="96">
        <f t="shared" ref="S70" si="134">S69+S62+S64</f>
        <v>0</v>
      </c>
      <c r="T70" s="248">
        <f>RATE(5,,-M70,R70)</f>
        <v>9.245259052101279E-2</v>
      </c>
      <c r="U70" s="69" t="str">
        <f>A70</f>
        <v>Total Liabilities &amp; Equity</v>
      </c>
      <c r="V70" s="81">
        <f t="shared" si="118"/>
        <v>1</v>
      </c>
      <c r="W70" s="81">
        <f t="shared" si="118"/>
        <v>1</v>
      </c>
      <c r="X70" s="81">
        <f t="shared" si="118"/>
        <v>1</v>
      </c>
      <c r="Y70" s="81">
        <f t="shared" si="118"/>
        <v>1</v>
      </c>
      <c r="Z70" s="81">
        <f t="shared" si="118"/>
        <v>1</v>
      </c>
      <c r="AA70" s="81">
        <f t="shared" si="118"/>
        <v>1</v>
      </c>
      <c r="AB70" s="81">
        <f t="shared" si="118"/>
        <v>1</v>
      </c>
      <c r="AC70" s="81">
        <f t="shared" si="118"/>
        <v>1</v>
      </c>
      <c r="AD70" s="81">
        <f t="shared" si="118"/>
        <v>1</v>
      </c>
      <c r="AE70" s="81">
        <f t="shared" si="118"/>
        <v>1</v>
      </c>
      <c r="AF70" s="81">
        <f t="shared" si="118"/>
        <v>1</v>
      </c>
      <c r="AG70" s="81">
        <f t="shared" si="118"/>
        <v>1</v>
      </c>
      <c r="AH70" s="81">
        <f t="shared" si="118"/>
        <v>1</v>
      </c>
      <c r="AI70" s="81">
        <f t="shared" si="118"/>
        <v>1</v>
      </c>
      <c r="AJ70" s="81">
        <f t="shared" si="118"/>
        <v>1</v>
      </c>
      <c r="AK70" s="81">
        <f t="shared" si="118"/>
        <v>1</v>
      </c>
      <c r="AL70" s="81">
        <f t="shared" si="118"/>
        <v>1</v>
      </c>
      <c r="AM70" s="81" t="e">
        <f t="shared" si="119"/>
        <v>#DIV/0!</v>
      </c>
      <c r="AN70" s="78">
        <f t="shared" si="120"/>
        <v>1</v>
      </c>
      <c r="AO70" s="2"/>
    </row>
    <row r="71" spans="1:41" ht="15.75" thickTop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132">
        <f>+O70-O41</f>
        <v>0</v>
      </c>
      <c r="P71" s="132">
        <f>+P70-P41</f>
        <v>0</v>
      </c>
      <c r="Q71" s="132">
        <f>+Q70-Q41</f>
        <v>0</v>
      </c>
      <c r="R71" s="132">
        <f>+R70-R41</f>
        <v>0</v>
      </c>
      <c r="S71" s="132">
        <f>+S70-S41</f>
        <v>0</v>
      </c>
      <c r="T71" s="42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42"/>
      <c r="AO71" s="2"/>
    </row>
    <row r="72" spans="1:4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AO72" s="2"/>
    </row>
    <row r="73" spans="1:4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87" t="s">
        <v>114</v>
      </c>
      <c r="U73" s="2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87" t="s">
        <v>114</v>
      </c>
      <c r="AO73" s="2"/>
    </row>
    <row r="74" spans="1:4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84"/>
      <c r="P74" s="184"/>
      <c r="Q74" s="184"/>
      <c r="R74" s="184"/>
      <c r="S74" s="184"/>
      <c r="T74" s="145" t="s">
        <v>251</v>
      </c>
      <c r="U74" s="2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145" t="s">
        <v>248</v>
      </c>
      <c r="AO74" s="2"/>
    </row>
    <row r="75" spans="1:41" ht="20.25" x14ac:dyDescent="0.3">
      <c r="A75" s="266" t="str">
        <f>A3</f>
        <v>Questar Gas Company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5"/>
      <c r="U75" s="63" t="str">
        <f>A3</f>
        <v>Questar Gas Company</v>
      </c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6"/>
      <c r="AO75" s="2"/>
    </row>
    <row r="76" spans="1:41" ht="15.75" x14ac:dyDescent="0.25">
      <c r="A76" s="267" t="s">
        <v>13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82"/>
      <c r="U76" s="64" t="s">
        <v>45</v>
      </c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6"/>
      <c r="AO76" s="2"/>
    </row>
    <row r="77" spans="1:41" ht="15.75" x14ac:dyDescent="0.25">
      <c r="A77" s="265" t="str">
        <f>A5</f>
        <v>Years Ended December 31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82"/>
      <c r="U77" s="64" t="s">
        <v>13</v>
      </c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6"/>
      <c r="AO77" s="2"/>
    </row>
    <row r="78" spans="1:41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82"/>
      <c r="U78" s="64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6"/>
      <c r="AO78" s="2"/>
    </row>
    <row r="79" spans="1:41" ht="15.75" x14ac:dyDescent="0.25">
      <c r="A79" s="123" t="s">
        <v>130</v>
      </c>
      <c r="B79" s="83"/>
      <c r="C79" s="83"/>
      <c r="D79" s="83"/>
      <c r="E79" s="83"/>
      <c r="F79" s="83"/>
      <c r="G79" s="83"/>
      <c r="H79" s="83"/>
      <c r="I79" s="85"/>
      <c r="J79" s="102"/>
      <c r="K79" s="117"/>
      <c r="L79" s="117"/>
      <c r="M79" s="117"/>
      <c r="N79" s="117"/>
      <c r="O79" s="178"/>
      <c r="P79" s="178"/>
      <c r="Q79" s="240"/>
      <c r="R79" s="240"/>
      <c r="S79" s="178"/>
      <c r="T79" s="115" t="str">
        <f>T6</f>
        <v xml:space="preserve">5 Year Avg </v>
      </c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4"/>
      <c r="AO79" s="2"/>
    </row>
    <row r="80" spans="1:41" ht="15" customHeight="1" x14ac:dyDescent="0.25">
      <c r="A80" s="83"/>
      <c r="B80" s="83"/>
      <c r="C80" s="83"/>
      <c r="D80" s="83"/>
      <c r="E80" s="83"/>
      <c r="F80" s="83"/>
      <c r="G80" s="83"/>
      <c r="H80" s="85"/>
      <c r="I80" s="85"/>
      <c r="J80" s="85"/>
      <c r="K80" s="86"/>
      <c r="L80" s="86"/>
      <c r="M80" s="86"/>
      <c r="N80" s="86"/>
      <c r="O80" s="176"/>
      <c r="P80" s="198"/>
      <c r="Q80" s="198"/>
      <c r="R80" s="198"/>
      <c r="S80" s="198" t="str">
        <f>+S7</f>
        <v>1st Qrtr</v>
      </c>
      <c r="T80" s="230" t="str">
        <f>+T7</f>
        <v>Annual</v>
      </c>
      <c r="U80" s="83"/>
      <c r="V80" s="83"/>
      <c r="W80" s="83"/>
      <c r="X80" s="83"/>
      <c r="Y80" s="83"/>
      <c r="Z80" s="83"/>
      <c r="AA80" s="83"/>
      <c r="AB80" s="85"/>
      <c r="AC80" s="85"/>
      <c r="AD80" s="85"/>
      <c r="AE80" s="86"/>
      <c r="AF80" s="86"/>
      <c r="AG80" s="86"/>
      <c r="AH80" s="86"/>
      <c r="AI80" s="86"/>
      <c r="AJ80" s="86"/>
      <c r="AK80" s="86"/>
      <c r="AL80" s="86"/>
      <c r="AM80" s="86" t="str">
        <f>+S80</f>
        <v>1st Qrtr</v>
      </c>
      <c r="AN80" s="115" t="str">
        <f>+AN7</f>
        <v>2011 to 2015</v>
      </c>
      <c r="AO80" s="2"/>
    </row>
    <row r="81" spans="1:48" ht="15.75" x14ac:dyDescent="0.25">
      <c r="A81" s="90" t="s">
        <v>0</v>
      </c>
      <c r="B81" s="89">
        <f>B8</f>
        <v>1999</v>
      </c>
      <c r="C81" s="89">
        <f t="shared" ref="C81:J81" si="135">B81+1</f>
        <v>2000</v>
      </c>
      <c r="D81" s="89">
        <f t="shared" si="135"/>
        <v>2001</v>
      </c>
      <c r="E81" s="89">
        <f t="shared" si="135"/>
        <v>2002</v>
      </c>
      <c r="F81" s="89">
        <f t="shared" si="135"/>
        <v>2003</v>
      </c>
      <c r="G81" s="89">
        <f t="shared" si="135"/>
        <v>2004</v>
      </c>
      <c r="H81" s="89">
        <f t="shared" si="135"/>
        <v>2005</v>
      </c>
      <c r="I81" s="89">
        <f t="shared" si="135"/>
        <v>2006</v>
      </c>
      <c r="J81" s="89">
        <f t="shared" si="135"/>
        <v>2007</v>
      </c>
      <c r="K81" s="89">
        <f>J81+1</f>
        <v>2008</v>
      </c>
      <c r="L81" s="89">
        <f t="shared" ref="L81:S81" si="136">+L8</f>
        <v>2009</v>
      </c>
      <c r="M81" s="89">
        <f t="shared" si="136"/>
        <v>2010</v>
      </c>
      <c r="N81" s="89">
        <f t="shared" si="136"/>
        <v>2011</v>
      </c>
      <c r="O81" s="177">
        <f t="shared" si="136"/>
        <v>2012</v>
      </c>
      <c r="P81" s="177">
        <f t="shared" si="136"/>
        <v>2013</v>
      </c>
      <c r="Q81" s="177">
        <f t="shared" si="136"/>
        <v>2014</v>
      </c>
      <c r="R81" s="177">
        <f t="shared" si="136"/>
        <v>2015</v>
      </c>
      <c r="S81" s="177">
        <f t="shared" si="136"/>
        <v>2016</v>
      </c>
      <c r="T81" s="116" t="s">
        <v>24</v>
      </c>
      <c r="U81" s="90" t="s">
        <v>0</v>
      </c>
      <c r="V81" s="89">
        <f t="shared" ref="V81:AE81" si="137">B81</f>
        <v>1999</v>
      </c>
      <c r="W81" s="89">
        <f t="shared" si="137"/>
        <v>2000</v>
      </c>
      <c r="X81" s="89">
        <f t="shared" si="137"/>
        <v>2001</v>
      </c>
      <c r="Y81" s="89">
        <f t="shared" si="137"/>
        <v>2002</v>
      </c>
      <c r="Z81" s="89">
        <f t="shared" si="137"/>
        <v>2003</v>
      </c>
      <c r="AA81" s="89">
        <f t="shared" si="137"/>
        <v>2004</v>
      </c>
      <c r="AB81" s="89">
        <f t="shared" si="137"/>
        <v>2005</v>
      </c>
      <c r="AC81" s="89">
        <f t="shared" si="137"/>
        <v>2006</v>
      </c>
      <c r="AD81" s="89">
        <f t="shared" si="137"/>
        <v>2007</v>
      </c>
      <c r="AE81" s="89">
        <f t="shared" si="137"/>
        <v>2008</v>
      </c>
      <c r="AF81" s="89">
        <f>+L81</f>
        <v>2009</v>
      </c>
      <c r="AG81" s="89">
        <f t="shared" ref="AG81:AM81" si="138">+AG8</f>
        <v>2010</v>
      </c>
      <c r="AH81" s="89">
        <f t="shared" si="138"/>
        <v>2011</v>
      </c>
      <c r="AI81" s="89">
        <f t="shared" si="138"/>
        <v>2012</v>
      </c>
      <c r="AJ81" s="89">
        <f t="shared" si="138"/>
        <v>2013</v>
      </c>
      <c r="AK81" s="89">
        <f t="shared" si="138"/>
        <v>2014</v>
      </c>
      <c r="AL81" s="89">
        <f t="shared" si="138"/>
        <v>2015</v>
      </c>
      <c r="AM81" s="89">
        <f t="shared" si="138"/>
        <v>2016</v>
      </c>
      <c r="AN81" s="116" t="s">
        <v>2</v>
      </c>
      <c r="AO81" s="2"/>
    </row>
    <row r="82" spans="1:48" ht="15" customHeight="1" x14ac:dyDescent="0.2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2"/>
      <c r="U82" s="70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2"/>
      <c r="AO82" s="2"/>
    </row>
    <row r="83" spans="1:48" ht="15.75" x14ac:dyDescent="0.25">
      <c r="A83" s="113" t="s">
        <v>22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42"/>
      <c r="U83" s="113" t="s">
        <v>21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6"/>
    </row>
    <row r="84" spans="1:48" ht="15" x14ac:dyDescent="0.2">
      <c r="A84" s="69" t="s">
        <v>125</v>
      </c>
      <c r="B84" s="97">
        <f>449937-B85</f>
        <v>192672</v>
      </c>
      <c r="C84" s="103">
        <f>536762-C85</f>
        <v>202569</v>
      </c>
      <c r="D84" s="103">
        <f>704113-D85</f>
        <v>205568</v>
      </c>
      <c r="E84" s="103">
        <f>595511-E85</f>
        <v>225217</v>
      </c>
      <c r="F84" s="91">
        <v>226472</v>
      </c>
      <c r="G84" s="91">
        <v>228065</v>
      </c>
      <c r="H84" s="91">
        <v>242374</v>
      </c>
      <c r="I84" s="104">
        <v>242800</v>
      </c>
      <c r="J84" s="105">
        <v>245300</v>
      </c>
      <c r="K84" s="105">
        <v>263400</v>
      </c>
      <c r="L84" s="105">
        <f>919900-626600</f>
        <v>293300</v>
      </c>
      <c r="M84" s="105">
        <v>310700</v>
      </c>
      <c r="N84" s="105">
        <f>968800-645700</f>
        <v>323100</v>
      </c>
      <c r="O84" s="105">
        <f>862200-533300</f>
        <v>328900</v>
      </c>
      <c r="P84" s="105">
        <f>985800-650600</f>
        <v>335200</v>
      </c>
      <c r="Q84" s="105">
        <f>960900-604800</f>
        <v>356100</v>
      </c>
      <c r="R84" s="105">
        <v>359500</v>
      </c>
      <c r="S84" s="105"/>
      <c r="T84" s="42">
        <f>RATE(5,,-M84,R84)</f>
        <v>2.9607098964751239E-2</v>
      </c>
      <c r="U84" s="69" t="str">
        <f>A84</f>
        <v>Revenues</v>
      </c>
      <c r="V84" s="42">
        <f t="shared" ref="V84:AL86" si="139">B84/B$86</f>
        <v>0.42821995079311104</v>
      </c>
      <c r="W84" s="42">
        <f t="shared" si="139"/>
        <v>0.37739072438063798</v>
      </c>
      <c r="X84" s="42">
        <f t="shared" si="139"/>
        <v>0.29195313820366903</v>
      </c>
      <c r="Y84" s="42">
        <f t="shared" si="139"/>
        <v>0.37819116691379334</v>
      </c>
      <c r="Z84" s="42">
        <f t="shared" si="139"/>
        <v>0.36469214727976879</v>
      </c>
      <c r="AA84" s="42">
        <f t="shared" si="139"/>
        <v>0.2984390069000894</v>
      </c>
      <c r="AB84" s="42">
        <f t="shared" si="139"/>
        <v>0.25180484693214983</v>
      </c>
      <c r="AC84" s="42">
        <f t="shared" si="139"/>
        <v>0.22806687957918467</v>
      </c>
      <c r="AD84" s="42">
        <f t="shared" si="139"/>
        <v>0.26305630026809651</v>
      </c>
      <c r="AE84" s="42">
        <f t="shared" si="139"/>
        <v>0.26332100369889033</v>
      </c>
      <c r="AF84" s="42">
        <f t="shared" si="139"/>
        <v>0.31883900423959127</v>
      </c>
      <c r="AG84" s="42">
        <f t="shared" si="139"/>
        <v>0.34411341233802195</v>
      </c>
      <c r="AH84" s="42">
        <f t="shared" si="139"/>
        <v>0.33350536746490506</v>
      </c>
      <c r="AI84" s="42">
        <f t="shared" si="139"/>
        <v>0.38146601716539086</v>
      </c>
      <c r="AJ84" s="42">
        <f t="shared" si="139"/>
        <v>0.34002840332724693</v>
      </c>
      <c r="AK84" s="42">
        <f t="shared" si="139"/>
        <v>0.37059007180768028</v>
      </c>
      <c r="AL84" s="42">
        <f t="shared" si="139"/>
        <v>0.39178291194420228</v>
      </c>
      <c r="AM84" s="42" t="e">
        <f t="shared" ref="AM84:AM86" si="140">S84/S$86</f>
        <v>#DIV/0!</v>
      </c>
      <c r="AN84" s="42">
        <f>SUM(N84:R84)/SUM(N$86:R$86)</f>
        <v>0.36266053287329886</v>
      </c>
      <c r="AO84" s="2"/>
    </row>
    <row r="85" spans="1:48" ht="15" x14ac:dyDescent="0.2">
      <c r="A85" s="69" t="s">
        <v>126</v>
      </c>
      <c r="B85" s="97">
        <f>B89+B90</f>
        <v>257265</v>
      </c>
      <c r="C85" s="103">
        <f>C89+C90</f>
        <v>334193</v>
      </c>
      <c r="D85" s="103">
        <f>D89+D90</f>
        <v>498545</v>
      </c>
      <c r="E85" s="103">
        <f>E89+E90</f>
        <v>370294</v>
      </c>
      <c r="F85" s="103">
        <v>394523</v>
      </c>
      <c r="G85" s="103">
        <v>536128</v>
      </c>
      <c r="H85" s="103">
        <v>720173</v>
      </c>
      <c r="I85" s="104">
        <v>821800</v>
      </c>
      <c r="J85" s="105">
        <v>687200</v>
      </c>
      <c r="K85" s="105">
        <v>736900</v>
      </c>
      <c r="L85" s="105">
        <f>305600+321000</f>
        <v>626600</v>
      </c>
      <c r="M85" s="105">
        <v>592200</v>
      </c>
      <c r="N85" s="105">
        <f>318400+327300</f>
        <v>645700</v>
      </c>
      <c r="O85" s="105">
        <v>533300</v>
      </c>
      <c r="P85" s="105">
        <v>650600</v>
      </c>
      <c r="Q85" s="105">
        <v>604800</v>
      </c>
      <c r="R85" s="105">
        <v>558100</v>
      </c>
      <c r="S85" s="105"/>
      <c r="T85" s="50">
        <f t="shared" ref="T85:T86" si="141">RATE(5,,-M85,R85)</f>
        <v>-1.1791184232560469E-2</v>
      </c>
      <c r="U85" s="69" t="str">
        <f>A85</f>
        <v>Commodity Pass Through</v>
      </c>
      <c r="V85" s="74">
        <f t="shared" si="139"/>
        <v>0.57178004920688896</v>
      </c>
      <c r="W85" s="74">
        <f t="shared" si="139"/>
        <v>0.62260927561936208</v>
      </c>
      <c r="X85" s="74">
        <f t="shared" si="139"/>
        <v>0.70804686179633103</v>
      </c>
      <c r="Y85" s="74">
        <f t="shared" si="139"/>
        <v>0.6218088330862066</v>
      </c>
      <c r="Z85" s="74">
        <f t="shared" si="139"/>
        <v>0.63530785272023127</v>
      </c>
      <c r="AA85" s="74">
        <f t="shared" si="139"/>
        <v>0.7015609930999106</v>
      </c>
      <c r="AB85" s="74">
        <f t="shared" si="139"/>
        <v>0.74819515306785023</v>
      </c>
      <c r="AC85" s="74">
        <f t="shared" si="139"/>
        <v>0.7719331204208153</v>
      </c>
      <c r="AD85" s="74">
        <f t="shared" si="139"/>
        <v>0.73694369973190343</v>
      </c>
      <c r="AE85" s="74">
        <f t="shared" si="139"/>
        <v>0.73667899630110967</v>
      </c>
      <c r="AF85" s="74">
        <f t="shared" si="139"/>
        <v>0.68116099576040878</v>
      </c>
      <c r="AG85" s="74">
        <f t="shared" si="139"/>
        <v>0.65588658766197805</v>
      </c>
      <c r="AH85" s="74">
        <f t="shared" si="139"/>
        <v>0.666494632535095</v>
      </c>
      <c r="AI85" s="74">
        <f t="shared" si="139"/>
        <v>0.61853398283460914</v>
      </c>
      <c r="AJ85" s="74">
        <f t="shared" si="139"/>
        <v>0.65997159667275307</v>
      </c>
      <c r="AK85" s="74">
        <f t="shared" si="139"/>
        <v>0.62940992819231967</v>
      </c>
      <c r="AL85" s="74">
        <f t="shared" si="139"/>
        <v>0.60821708805579777</v>
      </c>
      <c r="AM85" s="74" t="e">
        <f t="shared" si="140"/>
        <v>#DIV/0!</v>
      </c>
      <c r="AN85" s="50">
        <f t="shared" ref="AN85:AN86" si="142">SUM(N85:R85)/SUM(N$86:R$86)</f>
        <v>0.6373394671267012</v>
      </c>
      <c r="AO85" s="2"/>
    </row>
    <row r="86" spans="1:48" ht="15" x14ac:dyDescent="0.2">
      <c r="A86" s="69" t="s">
        <v>54</v>
      </c>
      <c r="B86" s="99">
        <f t="shared" ref="B86:J86" si="143">SUM(B83:B85)</f>
        <v>449937</v>
      </c>
      <c r="C86" s="106">
        <f t="shared" si="143"/>
        <v>536762</v>
      </c>
      <c r="D86" s="106">
        <f t="shared" si="143"/>
        <v>704113</v>
      </c>
      <c r="E86" s="106">
        <f t="shared" si="143"/>
        <v>595511</v>
      </c>
      <c r="F86" s="106">
        <f t="shared" si="143"/>
        <v>620995</v>
      </c>
      <c r="G86" s="106">
        <f t="shared" si="143"/>
        <v>764193</v>
      </c>
      <c r="H86" s="106">
        <f t="shared" si="143"/>
        <v>962547</v>
      </c>
      <c r="I86" s="107">
        <f t="shared" si="143"/>
        <v>1064600</v>
      </c>
      <c r="J86" s="107">
        <f t="shared" si="143"/>
        <v>932500</v>
      </c>
      <c r="K86" s="107">
        <f t="shared" ref="K86:Q86" si="144">SUM(K83:K85)</f>
        <v>1000300</v>
      </c>
      <c r="L86" s="107">
        <f t="shared" si="144"/>
        <v>919900</v>
      </c>
      <c r="M86" s="107">
        <f t="shared" si="144"/>
        <v>902900</v>
      </c>
      <c r="N86" s="107">
        <f t="shared" si="144"/>
        <v>968800</v>
      </c>
      <c r="O86" s="107">
        <f t="shared" si="144"/>
        <v>862200</v>
      </c>
      <c r="P86" s="107">
        <f t="shared" si="144"/>
        <v>985800</v>
      </c>
      <c r="Q86" s="107">
        <f t="shared" si="144"/>
        <v>960900</v>
      </c>
      <c r="R86" s="107">
        <f t="shared" ref="R86" si="145">SUM(R83:R85)</f>
        <v>917600</v>
      </c>
      <c r="S86" s="107">
        <f t="shared" ref="S86" si="146">SUM(S83:S85)</f>
        <v>0</v>
      </c>
      <c r="T86" s="42">
        <f t="shared" si="141"/>
        <v>3.2351740162966602E-3</v>
      </c>
      <c r="U86" s="69" t="str">
        <f>A86</f>
        <v>Total Revenues</v>
      </c>
      <c r="V86" s="42">
        <f t="shared" si="139"/>
        <v>1</v>
      </c>
      <c r="W86" s="42">
        <f t="shared" si="139"/>
        <v>1</v>
      </c>
      <c r="X86" s="42">
        <f t="shared" si="139"/>
        <v>1</v>
      </c>
      <c r="Y86" s="42">
        <f t="shared" si="139"/>
        <v>1</v>
      </c>
      <c r="Z86" s="42">
        <f t="shared" si="139"/>
        <v>1</v>
      </c>
      <c r="AA86" s="42">
        <f t="shared" si="139"/>
        <v>1</v>
      </c>
      <c r="AB86" s="42">
        <f t="shared" si="139"/>
        <v>1</v>
      </c>
      <c r="AC86" s="42">
        <f t="shared" si="139"/>
        <v>1</v>
      </c>
      <c r="AD86" s="42">
        <f t="shared" si="139"/>
        <v>1</v>
      </c>
      <c r="AE86" s="42">
        <f t="shared" si="139"/>
        <v>1</v>
      </c>
      <c r="AF86" s="42">
        <f t="shared" si="139"/>
        <v>1</v>
      </c>
      <c r="AG86" s="42">
        <f t="shared" si="139"/>
        <v>1</v>
      </c>
      <c r="AH86" s="42">
        <f t="shared" si="139"/>
        <v>1</v>
      </c>
      <c r="AI86" s="42">
        <f t="shared" si="139"/>
        <v>1</v>
      </c>
      <c r="AJ86" s="42">
        <f t="shared" si="139"/>
        <v>1</v>
      </c>
      <c r="AK86" s="42">
        <f t="shared" si="139"/>
        <v>1</v>
      </c>
      <c r="AL86" s="42">
        <f t="shared" si="139"/>
        <v>1</v>
      </c>
      <c r="AM86" s="42" t="e">
        <f t="shared" si="140"/>
        <v>#DIV/0!</v>
      </c>
      <c r="AN86" s="42">
        <f t="shared" si="142"/>
        <v>1</v>
      </c>
      <c r="AO86" s="190">
        <f>(+O86-N86)/N86</f>
        <v>-0.11003303055326177</v>
      </c>
    </row>
    <row r="87" spans="1:48" ht="15" x14ac:dyDescent="0.2">
      <c r="A87" s="69"/>
      <c r="B87" s="97"/>
      <c r="C87" s="103"/>
      <c r="D87" s="103"/>
      <c r="E87" s="103"/>
      <c r="F87" s="103"/>
      <c r="G87" s="103"/>
      <c r="H87" s="103"/>
      <c r="I87" s="104"/>
      <c r="J87" s="105"/>
      <c r="K87" s="105"/>
      <c r="L87" s="105"/>
      <c r="M87" s="105"/>
      <c r="N87" s="105"/>
      <c r="O87" s="105"/>
      <c r="P87" s="224"/>
      <c r="Q87" s="105"/>
      <c r="R87" s="105"/>
      <c r="S87" s="105"/>
      <c r="T87" s="42"/>
      <c r="U87" s="69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>
        <f>+N89+N90</f>
        <v>645700</v>
      </c>
    </row>
    <row r="88" spans="1:48" ht="15.75" x14ac:dyDescent="0.25">
      <c r="A88" s="113" t="s">
        <v>20</v>
      </c>
      <c r="B88" s="97"/>
      <c r="C88" s="103"/>
      <c r="D88" s="103"/>
      <c r="E88" s="103"/>
      <c r="F88" s="103"/>
      <c r="G88" s="103"/>
      <c r="H88" s="103"/>
      <c r="I88" s="104"/>
      <c r="J88" s="105"/>
      <c r="K88" s="105"/>
      <c r="L88" s="136"/>
      <c r="M88" s="105"/>
      <c r="N88" s="105"/>
      <c r="O88" s="105"/>
      <c r="P88" s="136"/>
      <c r="Q88" s="105"/>
      <c r="R88" s="105"/>
      <c r="S88" s="105"/>
      <c r="T88" s="42"/>
      <c r="U88" s="113" t="s">
        <v>20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>
        <f>+O89+O90</f>
        <v>533300</v>
      </c>
      <c r="AP88">
        <f>+AO88-AO87</f>
        <v>-112400</v>
      </c>
    </row>
    <row r="89" spans="1:48" ht="15" x14ac:dyDescent="0.2">
      <c r="A89" s="100" t="s">
        <v>98</v>
      </c>
      <c r="B89" s="97">
        <v>106305</v>
      </c>
      <c r="C89" s="103">
        <v>167995</v>
      </c>
      <c r="D89" s="103">
        <v>325150</v>
      </c>
      <c r="E89" s="103">
        <v>190515</v>
      </c>
      <c r="F89" s="103">
        <v>201371</v>
      </c>
      <c r="G89" s="103">
        <v>324393</v>
      </c>
      <c r="H89" s="103">
        <v>484182</v>
      </c>
      <c r="I89" s="104">
        <v>569800</v>
      </c>
      <c r="J89" s="105">
        <v>441200</v>
      </c>
      <c r="K89" s="105">
        <v>304200</v>
      </c>
      <c r="L89" s="105">
        <v>305600</v>
      </c>
      <c r="M89" s="105">
        <v>278500</v>
      </c>
      <c r="N89" s="105">
        <v>318400</v>
      </c>
      <c r="O89" s="105">
        <v>185600</v>
      </c>
      <c r="P89" s="105">
        <f>650600-370900</f>
        <v>279700</v>
      </c>
      <c r="Q89" s="105">
        <v>181400</v>
      </c>
      <c r="R89" s="105">
        <v>164600</v>
      </c>
      <c r="S89" s="105"/>
      <c r="T89" s="42">
        <f t="shared" ref="T89:T93" si="147">RATE(5,,-M89,R89)</f>
        <v>-9.9837480038365525E-2</v>
      </c>
      <c r="U89" s="114" t="str">
        <f t="shared" ref="U89:U95" si="148">A89</f>
        <v xml:space="preserve">   Cost of Natural Gas Sold</v>
      </c>
      <c r="V89" s="42">
        <f t="shared" ref="V89:AL91" si="149">B89/B$86</f>
        <v>0.23626641063082165</v>
      </c>
      <c r="W89" s="42">
        <f t="shared" si="149"/>
        <v>0.31297856405632291</v>
      </c>
      <c r="X89" s="42">
        <f t="shared" si="149"/>
        <v>0.46178667344588153</v>
      </c>
      <c r="Y89" s="42">
        <f t="shared" si="149"/>
        <v>0.31991852375522872</v>
      </c>
      <c r="Z89" s="42">
        <f t="shared" si="149"/>
        <v>0.324271531976908</v>
      </c>
      <c r="AA89" s="42">
        <f t="shared" si="149"/>
        <v>0.42449093357306333</v>
      </c>
      <c r="AB89" s="42">
        <f t="shared" si="149"/>
        <v>0.5030216706301095</v>
      </c>
      <c r="AC89" s="42">
        <f t="shared" si="149"/>
        <v>0.53522449746383616</v>
      </c>
      <c r="AD89" s="42">
        <f t="shared" si="149"/>
        <v>0.47313672922252009</v>
      </c>
      <c r="AE89" s="42">
        <f t="shared" si="149"/>
        <v>0.30410876736978909</v>
      </c>
      <c r="AF89" s="42">
        <f t="shared" si="149"/>
        <v>0.33221002282856832</v>
      </c>
      <c r="AG89" s="42">
        <f t="shared" si="149"/>
        <v>0.30845054823346996</v>
      </c>
      <c r="AH89" s="42">
        <f t="shared" si="149"/>
        <v>0.32865400495458297</v>
      </c>
      <c r="AI89" s="42">
        <f t="shared" si="149"/>
        <v>0.21526327998144282</v>
      </c>
      <c r="AJ89" s="42">
        <f t="shared" si="149"/>
        <v>0.28372895110570096</v>
      </c>
      <c r="AK89" s="42">
        <f t="shared" si="149"/>
        <v>0.18878135081694244</v>
      </c>
      <c r="AL89" s="42">
        <f t="shared" si="149"/>
        <v>0.17938099389712292</v>
      </c>
      <c r="AM89" s="42" t="e">
        <f t="shared" ref="AM89:AM91" si="150">S89/S$86</f>
        <v>#DIV/0!</v>
      </c>
      <c r="AN89" s="42">
        <f>SUM(N89:R89)/SUM(N$86:R$86)</f>
        <v>0.24060230443209166</v>
      </c>
      <c r="AO89" s="190">
        <f t="shared" ref="AO89:AO90" si="151">(+O89-N89)/N89</f>
        <v>-0.41708542713567837</v>
      </c>
      <c r="AP89" s="3"/>
      <c r="AQ89" s="3"/>
      <c r="AR89" s="3"/>
      <c r="AS89" s="3"/>
      <c r="AT89" s="3"/>
      <c r="AU89" s="3"/>
      <c r="AV89" s="3"/>
    </row>
    <row r="90" spans="1:48" ht="15" x14ac:dyDescent="0.2">
      <c r="A90" s="100" t="s">
        <v>129</v>
      </c>
      <c r="B90" s="97">
        <v>150960</v>
      </c>
      <c r="C90" s="103">
        <v>166198</v>
      </c>
      <c r="D90" s="103">
        <v>173395</v>
      </c>
      <c r="E90" s="103">
        <v>179779</v>
      </c>
      <c r="F90" s="103">
        <v>193152</v>
      </c>
      <c r="G90" s="103">
        <v>211735</v>
      </c>
      <c r="H90" s="108">
        <v>235991</v>
      </c>
      <c r="I90" s="109">
        <v>252000</v>
      </c>
      <c r="J90" s="103">
        <v>246000</v>
      </c>
      <c r="K90" s="103">
        <v>432700</v>
      </c>
      <c r="L90" s="103">
        <v>321000</v>
      </c>
      <c r="M90" s="103">
        <v>313700</v>
      </c>
      <c r="N90" s="103">
        <v>327300</v>
      </c>
      <c r="O90" s="103">
        <v>347700</v>
      </c>
      <c r="P90" s="103">
        <v>370900</v>
      </c>
      <c r="Q90" s="103">
        <v>423400</v>
      </c>
      <c r="R90" s="103">
        <v>393500</v>
      </c>
      <c r="S90" s="103"/>
      <c r="T90" s="42">
        <f t="shared" si="147"/>
        <v>4.6371840511162117E-2</v>
      </c>
      <c r="U90" s="114" t="str">
        <f t="shared" si="148"/>
        <v xml:space="preserve">   Cost of Natural Gas Sold - Affiliates</v>
      </c>
      <c r="V90" s="42">
        <f t="shared" si="149"/>
        <v>0.33551363857606731</v>
      </c>
      <c r="W90" s="42">
        <f t="shared" si="149"/>
        <v>0.30963071156303912</v>
      </c>
      <c r="X90" s="42">
        <f t="shared" si="149"/>
        <v>0.24626018835044944</v>
      </c>
      <c r="Y90" s="42">
        <f t="shared" si="149"/>
        <v>0.30189030933097794</v>
      </c>
      <c r="Z90" s="42">
        <f t="shared" si="149"/>
        <v>0.31103632074332321</v>
      </c>
      <c r="AA90" s="42">
        <f t="shared" si="149"/>
        <v>0.27707005952684727</v>
      </c>
      <c r="AB90" s="42">
        <f t="shared" si="149"/>
        <v>0.2451734824377407</v>
      </c>
      <c r="AC90" s="42">
        <f t="shared" si="149"/>
        <v>0.23670862295697914</v>
      </c>
      <c r="AD90" s="42">
        <f t="shared" si="149"/>
        <v>0.2638069705093834</v>
      </c>
      <c r="AE90" s="42">
        <f t="shared" si="149"/>
        <v>0.43257022893132058</v>
      </c>
      <c r="AF90" s="42">
        <f t="shared" si="149"/>
        <v>0.34895097293184041</v>
      </c>
      <c r="AG90" s="42">
        <f t="shared" si="149"/>
        <v>0.34743603942850815</v>
      </c>
      <c r="AH90" s="42">
        <f t="shared" si="149"/>
        <v>0.33784062758051198</v>
      </c>
      <c r="AI90" s="42">
        <f t="shared" si="149"/>
        <v>0.4032707028531663</v>
      </c>
      <c r="AJ90" s="42">
        <f t="shared" si="149"/>
        <v>0.37624264556705211</v>
      </c>
      <c r="AK90" s="42">
        <f t="shared" si="149"/>
        <v>0.44062857737537725</v>
      </c>
      <c r="AL90" s="42">
        <f t="shared" si="149"/>
        <v>0.4288360941586748</v>
      </c>
      <c r="AM90" s="42" t="e">
        <f t="shared" si="150"/>
        <v>#DIV/0!</v>
      </c>
      <c r="AN90" s="42">
        <f>SUM(N90:R90)/SUM(N$86:R$86)</f>
        <v>0.39673716269460951</v>
      </c>
      <c r="AO90" s="190">
        <f t="shared" si="151"/>
        <v>6.2328139321723187E-2</v>
      </c>
      <c r="AP90" s="191">
        <f>+AP88/AO87</f>
        <v>-0.17407464766919623</v>
      </c>
    </row>
    <row r="91" spans="1:48" ht="15" x14ac:dyDescent="0.2">
      <c r="A91" s="100" t="s">
        <v>99</v>
      </c>
      <c r="B91" s="97">
        <v>103308</v>
      </c>
      <c r="C91" s="103">
        <v>101486</v>
      </c>
      <c r="D91" s="103">
        <v>103427</v>
      </c>
      <c r="E91" s="103">
        <v>105544</v>
      </c>
      <c r="F91" s="103">
        <v>100279</v>
      </c>
      <c r="G91" s="103">
        <f>104786-200</f>
        <v>104586</v>
      </c>
      <c r="H91" s="103">
        <f>73834</f>
        <v>73834</v>
      </c>
      <c r="I91" s="104">
        <f>73200</f>
        <v>73200</v>
      </c>
      <c r="J91" s="105">
        <v>73400</v>
      </c>
      <c r="K91" s="105">
        <f>87100</f>
        <v>87100</v>
      </c>
      <c r="L91" s="105">
        <f>106400</f>
        <v>106400</v>
      </c>
      <c r="M91" s="105">
        <v>114400</v>
      </c>
      <c r="N91" s="105">
        <v>118500</v>
      </c>
      <c r="O91" s="105">
        <v>119000</v>
      </c>
      <c r="P91" s="105">
        <v>113100</v>
      </c>
      <c r="Q91" s="105">
        <v>122500</v>
      </c>
      <c r="R91" s="105">
        <v>111900</v>
      </c>
      <c r="S91" s="105"/>
      <c r="T91" s="42">
        <f t="shared" si="147"/>
        <v>-4.4093429023828795E-3</v>
      </c>
      <c r="U91" s="114" t="str">
        <f t="shared" si="148"/>
        <v xml:space="preserve">   Operating and Maintenance</v>
      </c>
      <c r="V91" s="42">
        <f t="shared" si="149"/>
        <v>0.22960547810026738</v>
      </c>
      <c r="W91" s="42">
        <f t="shared" si="149"/>
        <v>0.18907076134301609</v>
      </c>
      <c r="X91" s="42">
        <f t="shared" si="149"/>
        <v>0.14688977479467075</v>
      </c>
      <c r="Y91" s="42">
        <f t="shared" si="149"/>
        <v>0.17723266236895707</v>
      </c>
      <c r="Z91" s="42">
        <f t="shared" si="149"/>
        <v>0.16148117134598508</v>
      </c>
      <c r="AA91" s="42">
        <f t="shared" si="149"/>
        <v>0.13685809736545612</v>
      </c>
      <c r="AB91" s="42">
        <f t="shared" si="149"/>
        <v>7.6706903662886072E-2</v>
      </c>
      <c r="AC91" s="42">
        <f t="shared" si="149"/>
        <v>6.8758219049408223E-2</v>
      </c>
      <c r="AD91" s="42">
        <f t="shared" si="149"/>
        <v>7.8713136729222519E-2</v>
      </c>
      <c r="AE91" s="42">
        <f t="shared" si="149"/>
        <v>8.7073877836649008E-2</v>
      </c>
      <c r="AF91" s="42">
        <f t="shared" si="149"/>
        <v>0.11566474616806174</v>
      </c>
      <c r="AG91" s="152">
        <f t="shared" si="149"/>
        <v>0.12670284638387419</v>
      </c>
      <c r="AH91" s="152">
        <f t="shared" si="149"/>
        <v>0.12231626754748141</v>
      </c>
      <c r="AI91" s="152">
        <f t="shared" si="149"/>
        <v>0.13801902110879147</v>
      </c>
      <c r="AJ91" s="152">
        <f t="shared" si="149"/>
        <v>0.11472915398660986</v>
      </c>
      <c r="AK91" s="152">
        <f t="shared" si="149"/>
        <v>0.12748464980747215</v>
      </c>
      <c r="AL91" s="152">
        <f t="shared" si="149"/>
        <v>0.12194856146469049</v>
      </c>
      <c r="AM91" s="152" t="e">
        <f t="shared" si="150"/>
        <v>#DIV/0!</v>
      </c>
      <c r="AN91" s="42">
        <f>SUM(N91:R91)/SUM(N$86:R$86)</f>
        <v>0.12459267778416715</v>
      </c>
      <c r="AO91" s="2"/>
    </row>
    <row r="92" spans="1:48" ht="15" x14ac:dyDescent="0.2">
      <c r="A92" s="148" t="s">
        <v>162</v>
      </c>
      <c r="B92" s="97"/>
      <c r="C92" s="103"/>
      <c r="D92" s="103"/>
      <c r="E92" s="103"/>
      <c r="F92" s="103"/>
      <c r="G92" s="103"/>
      <c r="H92" s="103">
        <v>39252</v>
      </c>
      <c r="I92" s="104">
        <v>41900</v>
      </c>
      <c r="J92" s="105">
        <v>45500</v>
      </c>
      <c r="K92" s="105">
        <v>38700</v>
      </c>
      <c r="L92" s="105">
        <v>42900</v>
      </c>
      <c r="M92" s="105">
        <v>49900</v>
      </c>
      <c r="N92" s="105">
        <v>51000</v>
      </c>
      <c r="O92" s="105">
        <v>51200</v>
      </c>
      <c r="P92" s="105">
        <v>52500</v>
      </c>
      <c r="Q92" s="105">
        <v>52800</v>
      </c>
      <c r="R92" s="105">
        <v>50600</v>
      </c>
      <c r="S92" s="105"/>
      <c r="T92" s="42">
        <f t="shared" si="147"/>
        <v>2.7899995317881092E-3</v>
      </c>
      <c r="U92" s="114" t="str">
        <f>+A92</f>
        <v xml:space="preserve">   General and Administrative</v>
      </c>
      <c r="V92" s="42"/>
      <c r="W92" s="42"/>
      <c r="X92" s="42"/>
      <c r="Y92" s="42"/>
      <c r="Z92" s="42"/>
      <c r="AA92" s="42"/>
      <c r="AB92" s="42">
        <f t="shared" ref="AB92" si="152">H92/H$86</f>
        <v>4.0779307400054234E-2</v>
      </c>
      <c r="AC92" s="42">
        <f t="shared" ref="AC92" si="153">I92/I$86</f>
        <v>3.9357505166259625E-2</v>
      </c>
      <c r="AD92" s="42">
        <f t="shared" ref="AD92" si="154">J92/J$86</f>
        <v>4.8793565683646116E-2</v>
      </c>
      <c r="AE92" s="42">
        <f t="shared" ref="AE92" si="155">K92/K$86</f>
        <v>3.8688393481955415E-2</v>
      </c>
      <c r="AF92" s="42">
        <f t="shared" ref="AF92" si="156">L92/L$86</f>
        <v>4.6635503859115121E-2</v>
      </c>
      <c r="AG92" s="42">
        <f t="shared" ref="AG92:AL93" si="157">M92/M$86</f>
        <v>5.5266363938420646E-2</v>
      </c>
      <c r="AH92" s="42">
        <f t="shared" si="157"/>
        <v>5.2642444260941369E-2</v>
      </c>
      <c r="AI92" s="42">
        <f t="shared" si="157"/>
        <v>5.9382973787984225E-2</v>
      </c>
      <c r="AJ92" s="42">
        <f t="shared" si="157"/>
        <v>5.3256238587948874E-2</v>
      </c>
      <c r="AK92" s="42">
        <f t="shared" si="157"/>
        <v>5.4948485794567591E-2</v>
      </c>
      <c r="AL92" s="42">
        <f t="shared" si="157"/>
        <v>5.5143853530950304E-2</v>
      </c>
      <c r="AM92" s="42" t="e">
        <f t="shared" ref="AM92:AM93" si="158">S92/S$86</f>
        <v>#DIV/0!</v>
      </c>
      <c r="AN92" s="42">
        <f>SUM(N92:R92)/SUM(N$86:R$86)</f>
        <v>5.4969863480501778E-2</v>
      </c>
      <c r="AO92" s="2"/>
    </row>
    <row r="93" spans="1:48" ht="15" x14ac:dyDescent="0.2">
      <c r="A93" s="101" t="s">
        <v>48</v>
      </c>
      <c r="B93" s="97">
        <v>36426</v>
      </c>
      <c r="C93" s="103">
        <v>34450</v>
      </c>
      <c r="D93" s="103">
        <v>35030</v>
      </c>
      <c r="E93" s="103">
        <v>39771</v>
      </c>
      <c r="F93" s="103">
        <v>40126</v>
      </c>
      <c r="G93" s="103">
        <v>41956</v>
      </c>
      <c r="H93" s="103">
        <v>45828</v>
      </c>
      <c r="I93" s="104">
        <v>40900</v>
      </c>
      <c r="J93" s="105">
        <v>38800</v>
      </c>
      <c r="K93" s="105">
        <v>41500</v>
      </c>
      <c r="L93" s="105">
        <v>43800</v>
      </c>
      <c r="M93" s="105">
        <v>43700</v>
      </c>
      <c r="N93" s="105">
        <v>44500</v>
      </c>
      <c r="O93" s="105">
        <v>47200</v>
      </c>
      <c r="P93" s="105">
        <v>49700</v>
      </c>
      <c r="Q93" s="105">
        <v>53600</v>
      </c>
      <c r="R93" s="105">
        <v>55100</v>
      </c>
      <c r="S93" s="105"/>
      <c r="T93" s="42">
        <f t="shared" si="147"/>
        <v>4.7451763732862723E-2</v>
      </c>
      <c r="U93" s="114" t="str">
        <f t="shared" si="148"/>
        <v xml:space="preserve">   Depreciation and amortization</v>
      </c>
      <c r="V93" s="42">
        <f t="shared" ref="V93:AF93" si="159">B93/B$86</f>
        <v>8.0958000786776813E-2</v>
      </c>
      <c r="W93" s="42">
        <f t="shared" si="159"/>
        <v>6.4181145461116848E-2</v>
      </c>
      <c r="X93" s="42">
        <f t="shared" si="159"/>
        <v>4.9750537200704999E-2</v>
      </c>
      <c r="Y93" s="42">
        <f t="shared" si="159"/>
        <v>6.6784660568822402E-2</v>
      </c>
      <c r="Z93" s="42">
        <f t="shared" si="159"/>
        <v>6.4615657130894774E-2</v>
      </c>
      <c r="AA93" s="42">
        <f t="shared" si="159"/>
        <v>5.4902361052770701E-2</v>
      </c>
      <c r="AB93" s="42">
        <f t="shared" si="159"/>
        <v>4.7611181583860324E-2</v>
      </c>
      <c r="AC93" s="42">
        <f t="shared" si="159"/>
        <v>3.8418185233890664E-2</v>
      </c>
      <c r="AD93" s="42">
        <f t="shared" si="159"/>
        <v>4.1608579088471848E-2</v>
      </c>
      <c r="AE93" s="42">
        <f t="shared" si="159"/>
        <v>4.1487553733879835E-2</v>
      </c>
      <c r="AF93" s="42">
        <f t="shared" si="159"/>
        <v>4.7613871072942709E-2</v>
      </c>
      <c r="AG93" s="42">
        <f t="shared" si="157"/>
        <v>4.8399601284749141E-2</v>
      </c>
      <c r="AH93" s="42">
        <f t="shared" si="157"/>
        <v>4.5933113129644924E-2</v>
      </c>
      <c r="AI93" s="42">
        <f t="shared" si="157"/>
        <v>5.4743678960797959E-2</v>
      </c>
      <c r="AJ93" s="42">
        <f t="shared" si="157"/>
        <v>5.0415905863258267E-2</v>
      </c>
      <c r="AK93" s="42">
        <f t="shared" si="157"/>
        <v>5.5781038609636797E-2</v>
      </c>
      <c r="AL93" s="42">
        <f t="shared" si="157"/>
        <v>6.0047951176983437E-2</v>
      </c>
      <c r="AM93" s="42" t="e">
        <f t="shared" si="158"/>
        <v>#DIV/0!</v>
      </c>
      <c r="AN93" s="42">
        <f>SUM(N93:R93)/SUM(N$86:R$86)</f>
        <v>5.3266031989436247E-2</v>
      </c>
      <c r="AO93" s="2"/>
    </row>
    <row r="94" spans="1:48" s="7" customFormat="1" ht="15" x14ac:dyDescent="0.2">
      <c r="A94" s="100" t="s">
        <v>123</v>
      </c>
      <c r="B94" s="97">
        <v>0</v>
      </c>
      <c r="C94" s="103">
        <v>0</v>
      </c>
      <c r="D94" s="103">
        <v>0</v>
      </c>
      <c r="E94" s="103">
        <v>0</v>
      </c>
      <c r="F94" s="103">
        <v>24939</v>
      </c>
      <c r="G94" s="103">
        <v>4090</v>
      </c>
      <c r="H94" s="103"/>
      <c r="I94" s="104"/>
      <c r="J94" s="105"/>
      <c r="K94" s="105"/>
      <c r="L94" s="105"/>
      <c r="M94" s="105"/>
      <c r="N94" s="105"/>
      <c r="O94" s="105">
        <v>2400</v>
      </c>
      <c r="P94" s="105"/>
      <c r="Q94" s="105"/>
      <c r="R94" s="105"/>
      <c r="S94" s="105"/>
      <c r="T94" s="42"/>
      <c r="U94" s="114" t="str">
        <f t="shared" si="148"/>
        <v xml:space="preserve">   Miscellaneous</v>
      </c>
      <c r="V94" s="42">
        <f t="shared" ref="V94:AA97" si="160">B94/B$86</f>
        <v>0</v>
      </c>
      <c r="W94" s="42">
        <f t="shared" si="160"/>
        <v>0</v>
      </c>
      <c r="X94" s="42">
        <f t="shared" si="160"/>
        <v>0</v>
      </c>
      <c r="Y94" s="42">
        <f t="shared" si="160"/>
        <v>0</v>
      </c>
      <c r="Z94" s="42">
        <f t="shared" si="160"/>
        <v>4.0159743637227352E-2</v>
      </c>
      <c r="AA94" s="42">
        <f t="shared" si="160"/>
        <v>5.3520511179767413E-3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2"/>
    </row>
    <row r="95" spans="1:48" s="7" customFormat="1" ht="15" x14ac:dyDescent="0.2">
      <c r="A95" s="101" t="s">
        <v>49</v>
      </c>
      <c r="B95" s="97">
        <v>7625</v>
      </c>
      <c r="C95" s="103">
        <v>10213</v>
      </c>
      <c r="D95" s="103">
        <v>8729</v>
      </c>
      <c r="E95" s="103">
        <v>9548</v>
      </c>
      <c r="F95" s="103">
        <v>9743</v>
      </c>
      <c r="G95" s="103">
        <v>9767</v>
      </c>
      <c r="H95" s="103">
        <v>11013</v>
      </c>
      <c r="I95" s="104">
        <v>11600</v>
      </c>
      <c r="J95" s="105">
        <v>11500</v>
      </c>
      <c r="K95" s="105">
        <v>11900</v>
      </c>
      <c r="L95" s="105">
        <v>13300</v>
      </c>
      <c r="M95" s="105">
        <v>14100</v>
      </c>
      <c r="N95" s="105">
        <v>15000</v>
      </c>
      <c r="O95" s="105">
        <v>16200</v>
      </c>
      <c r="P95" s="105">
        <v>18000</v>
      </c>
      <c r="Q95" s="105">
        <v>17800</v>
      </c>
      <c r="R95" s="105">
        <v>19300</v>
      </c>
      <c r="S95" s="105"/>
      <c r="T95" s="50">
        <f t="shared" ref="T95:T97" si="161">RATE(5,,-M95,R95)</f>
        <v>6.4799011447144061E-2</v>
      </c>
      <c r="U95" s="114" t="str">
        <f t="shared" si="148"/>
        <v xml:space="preserve">   Taxes, other than income taxes</v>
      </c>
      <c r="V95" s="74">
        <f t="shared" si="160"/>
        <v>1.694681699882428E-2</v>
      </c>
      <c r="W95" s="74">
        <f t="shared" si="160"/>
        <v>1.9027054821317457E-2</v>
      </c>
      <c r="X95" s="74">
        <f t="shared" si="160"/>
        <v>1.2397157842562203E-2</v>
      </c>
      <c r="Y95" s="74">
        <f t="shared" si="160"/>
        <v>1.6033289057632856E-2</v>
      </c>
      <c r="Z95" s="74">
        <f t="shared" si="160"/>
        <v>1.5689337273246968E-2</v>
      </c>
      <c r="AA95" s="74">
        <f t="shared" si="160"/>
        <v>1.2780802755324899E-2</v>
      </c>
      <c r="AB95" s="74">
        <f t="shared" ref="AB95:AL97" si="162">H95/H$86</f>
        <v>1.1441519219321239E-2</v>
      </c>
      <c r="AC95" s="74">
        <f t="shared" si="162"/>
        <v>1.0896111215479993E-2</v>
      </c>
      <c r="AD95" s="42">
        <f t="shared" si="162"/>
        <v>1.2332439678284183E-2</v>
      </c>
      <c r="AE95" s="42">
        <f t="shared" si="162"/>
        <v>1.1896431070678797E-2</v>
      </c>
      <c r="AF95" s="42">
        <f t="shared" si="162"/>
        <v>1.4458093271007718E-2</v>
      </c>
      <c r="AG95" s="42">
        <f t="shared" si="162"/>
        <v>1.5616347325285192E-2</v>
      </c>
      <c r="AH95" s="42">
        <f t="shared" si="162"/>
        <v>1.5483071841453344E-2</v>
      </c>
      <c r="AI95" s="42">
        <f t="shared" si="162"/>
        <v>1.8789144050104383E-2</v>
      </c>
      <c r="AJ95" s="42">
        <f t="shared" si="162"/>
        <v>1.8259281801582473E-2</v>
      </c>
      <c r="AK95" s="42">
        <f t="shared" si="162"/>
        <v>1.8524300135289832E-2</v>
      </c>
      <c r="AL95" s="42">
        <f t="shared" si="162"/>
        <v>2.1033129904097645E-2</v>
      </c>
      <c r="AM95" s="42" t="e">
        <f t="shared" ref="AM95:AM97" si="163">S95/S$86</f>
        <v>#DIV/0!</v>
      </c>
      <c r="AN95" s="50">
        <f>SUM(N95:R95)/SUM(N$86:R$86)</f>
        <v>1.8380082209869444E-2</v>
      </c>
      <c r="AO95" s="2"/>
    </row>
    <row r="96" spans="1:48" s="7" customFormat="1" ht="15" x14ac:dyDescent="0.2">
      <c r="A96" s="69" t="s">
        <v>43</v>
      </c>
      <c r="B96" s="99">
        <f t="shared" ref="B96:J96" si="164">SUM(B88:B95)</f>
        <v>404624</v>
      </c>
      <c r="C96" s="106">
        <f t="shared" si="164"/>
        <v>480342</v>
      </c>
      <c r="D96" s="106">
        <f t="shared" si="164"/>
        <v>645731</v>
      </c>
      <c r="E96" s="106">
        <f t="shared" si="164"/>
        <v>525157</v>
      </c>
      <c r="F96" s="106">
        <f t="shared" si="164"/>
        <v>569610</v>
      </c>
      <c r="G96" s="106">
        <f t="shared" si="164"/>
        <v>696527</v>
      </c>
      <c r="H96" s="106">
        <f t="shared" si="164"/>
        <v>890100</v>
      </c>
      <c r="I96" s="107">
        <f t="shared" si="164"/>
        <v>989400</v>
      </c>
      <c r="J96" s="107">
        <f t="shared" si="164"/>
        <v>856400</v>
      </c>
      <c r="K96" s="107">
        <f t="shared" ref="K96:O96" si="165">SUM(K88:K95)</f>
        <v>916100</v>
      </c>
      <c r="L96" s="107">
        <f t="shared" si="165"/>
        <v>833000</v>
      </c>
      <c r="M96" s="107">
        <f t="shared" si="165"/>
        <v>814300</v>
      </c>
      <c r="N96" s="107">
        <f t="shared" si="165"/>
        <v>874700</v>
      </c>
      <c r="O96" s="107">
        <f t="shared" si="165"/>
        <v>769300</v>
      </c>
      <c r="P96" s="107">
        <f>SUM(P89:P95)</f>
        <v>883900</v>
      </c>
      <c r="Q96" s="107">
        <f t="shared" ref="Q96:S96" si="166">SUM(Q88:Q95)</f>
        <v>851500</v>
      </c>
      <c r="R96" s="107">
        <f t="shared" ref="R96" si="167">SUM(R88:R95)</f>
        <v>795000</v>
      </c>
      <c r="S96" s="107">
        <f t="shared" si="166"/>
        <v>0</v>
      </c>
      <c r="T96" s="168">
        <f t="shared" si="161"/>
        <v>-4.7858578751678012E-3</v>
      </c>
      <c r="U96" s="69" t="s">
        <v>43</v>
      </c>
      <c r="V96" s="74">
        <f t="shared" si="160"/>
        <v>0.8992903450927574</v>
      </c>
      <c r="W96" s="74">
        <f t="shared" si="160"/>
        <v>0.89488823724481237</v>
      </c>
      <c r="X96" s="74">
        <f t="shared" si="160"/>
        <v>0.91708433163426895</v>
      </c>
      <c r="Y96" s="74">
        <f t="shared" si="160"/>
        <v>0.88185944508161895</v>
      </c>
      <c r="Z96" s="74">
        <f t="shared" si="160"/>
        <v>0.91725376210758536</v>
      </c>
      <c r="AA96" s="74">
        <f t="shared" si="160"/>
        <v>0.91145430539143912</v>
      </c>
      <c r="AB96" s="74">
        <f t="shared" si="162"/>
        <v>0.92473406493397203</v>
      </c>
      <c r="AC96" s="74">
        <f t="shared" si="162"/>
        <v>0.92936314108585383</v>
      </c>
      <c r="AD96" s="77">
        <f t="shared" si="162"/>
        <v>0.91839142091152814</v>
      </c>
      <c r="AE96" s="77">
        <f t="shared" si="162"/>
        <v>0.91582525242427271</v>
      </c>
      <c r="AF96" s="77">
        <f t="shared" si="162"/>
        <v>0.90553321013153598</v>
      </c>
      <c r="AG96" s="77">
        <f t="shared" si="162"/>
        <v>0.90187174659430724</v>
      </c>
      <c r="AH96" s="77">
        <f t="shared" si="162"/>
        <v>0.90286952931461606</v>
      </c>
      <c r="AI96" s="77">
        <f t="shared" si="162"/>
        <v>0.89225237763859888</v>
      </c>
      <c r="AJ96" s="77">
        <f t="shared" si="162"/>
        <v>0.89663217691215258</v>
      </c>
      <c r="AK96" s="77">
        <f t="shared" si="162"/>
        <v>0.88614840253928606</v>
      </c>
      <c r="AL96" s="77">
        <f t="shared" si="162"/>
        <v>0.86639058413251957</v>
      </c>
      <c r="AM96" s="77" t="e">
        <f t="shared" si="163"/>
        <v>#DIV/0!</v>
      </c>
      <c r="AN96" s="168">
        <f>SUM(N96:R96)/SUM(N$86:R$86)</f>
        <v>0.8890592720379954</v>
      </c>
      <c r="AO96" s="2"/>
    </row>
    <row r="97" spans="1:42" s="7" customFormat="1" ht="15" x14ac:dyDescent="0.2">
      <c r="A97" s="69" t="s">
        <v>12</v>
      </c>
      <c r="B97" s="99">
        <f t="shared" ref="B97:K97" si="168">B86-B96</f>
        <v>45313</v>
      </c>
      <c r="C97" s="106">
        <f t="shared" si="168"/>
        <v>56420</v>
      </c>
      <c r="D97" s="106">
        <f t="shared" si="168"/>
        <v>58382</v>
      </c>
      <c r="E97" s="106">
        <f t="shared" si="168"/>
        <v>70354</v>
      </c>
      <c r="F97" s="106">
        <f t="shared" si="168"/>
        <v>51385</v>
      </c>
      <c r="G97" s="106">
        <f t="shared" si="168"/>
        <v>67666</v>
      </c>
      <c r="H97" s="106">
        <f t="shared" si="168"/>
        <v>72447</v>
      </c>
      <c r="I97" s="107">
        <f t="shared" si="168"/>
        <v>75200</v>
      </c>
      <c r="J97" s="107">
        <f t="shared" si="168"/>
        <v>76100</v>
      </c>
      <c r="K97" s="107">
        <f t="shared" si="168"/>
        <v>84200</v>
      </c>
      <c r="L97" s="107">
        <f t="shared" ref="L97" si="169">L86-L96</f>
        <v>86900</v>
      </c>
      <c r="M97" s="107">
        <f t="shared" ref="M97:O97" si="170">M86-M96</f>
        <v>88600</v>
      </c>
      <c r="N97" s="107">
        <f t="shared" ref="N97" si="171">N86-N96</f>
        <v>94100</v>
      </c>
      <c r="O97" s="107">
        <f t="shared" si="170"/>
        <v>92900</v>
      </c>
      <c r="P97" s="107">
        <f t="shared" ref="P97:Q97" si="172">P86-P96</f>
        <v>101900</v>
      </c>
      <c r="Q97" s="107">
        <f t="shared" si="172"/>
        <v>109400</v>
      </c>
      <c r="R97" s="107">
        <f t="shared" ref="R97" si="173">R86-R96</f>
        <v>122600</v>
      </c>
      <c r="S97" s="107">
        <f t="shared" ref="S97" si="174">S86-S96</f>
        <v>0</v>
      </c>
      <c r="T97" s="42">
        <f t="shared" si="161"/>
        <v>6.7115307166108445E-2</v>
      </c>
      <c r="U97" s="69" t="s">
        <v>12</v>
      </c>
      <c r="V97" s="42">
        <f t="shared" si="160"/>
        <v>0.10070965490724257</v>
      </c>
      <c r="W97" s="42">
        <f t="shared" si="160"/>
        <v>0.10511176275518759</v>
      </c>
      <c r="X97" s="42">
        <f t="shared" si="160"/>
        <v>8.2915668365731068E-2</v>
      </c>
      <c r="Y97" s="42">
        <f t="shared" si="160"/>
        <v>0.11814055491838102</v>
      </c>
      <c r="Z97" s="42">
        <f t="shared" si="160"/>
        <v>8.2746237892414587E-2</v>
      </c>
      <c r="AA97" s="42">
        <f t="shared" si="160"/>
        <v>8.8545694608560932E-2</v>
      </c>
      <c r="AB97" s="42">
        <f t="shared" si="162"/>
        <v>7.5265935066027939E-2</v>
      </c>
      <c r="AC97" s="42">
        <f t="shared" si="162"/>
        <v>7.0636858914146158E-2</v>
      </c>
      <c r="AD97" s="77">
        <f t="shared" si="162"/>
        <v>8.1608579088471855E-2</v>
      </c>
      <c r="AE97" s="77">
        <f t="shared" si="162"/>
        <v>8.417474757572728E-2</v>
      </c>
      <c r="AF97" s="77">
        <f t="shared" si="162"/>
        <v>9.4466789868463963E-2</v>
      </c>
      <c r="AG97" s="77">
        <f t="shared" si="162"/>
        <v>9.812825340569277E-2</v>
      </c>
      <c r="AH97" s="77">
        <f t="shared" si="162"/>
        <v>9.7130470685383982E-2</v>
      </c>
      <c r="AI97" s="77">
        <f t="shared" si="162"/>
        <v>0.10774762236140106</v>
      </c>
      <c r="AJ97" s="77">
        <f t="shared" si="162"/>
        <v>0.10336782308784744</v>
      </c>
      <c r="AK97" s="77">
        <f t="shared" si="162"/>
        <v>0.11385159746071391</v>
      </c>
      <c r="AL97" s="77">
        <f t="shared" si="162"/>
        <v>0.13360941586748037</v>
      </c>
      <c r="AM97" s="77" t="e">
        <f t="shared" si="163"/>
        <v>#DIV/0!</v>
      </c>
      <c r="AN97" s="42">
        <f>SUM(N97:R97)/SUM(N$86:R$86)</f>
        <v>0.11094072796200456</v>
      </c>
      <c r="AO97" s="6">
        <f>+O97-N97</f>
        <v>-1200</v>
      </c>
      <c r="AP97" s="191">
        <f>+AO97/N97</f>
        <v>-1.2752391073326248E-2</v>
      </c>
    </row>
    <row r="98" spans="1:42" ht="15" customHeight="1" x14ac:dyDescent="0.2">
      <c r="A98" s="69"/>
      <c r="B98" s="97"/>
      <c r="C98" s="103"/>
      <c r="D98" s="103"/>
      <c r="E98" s="103"/>
      <c r="F98" s="103"/>
      <c r="G98" s="103"/>
      <c r="H98" s="103"/>
      <c r="I98" s="104"/>
      <c r="J98" s="105"/>
      <c r="K98" s="105"/>
      <c r="L98" s="105"/>
      <c r="M98" s="105"/>
      <c r="N98" s="105"/>
      <c r="O98" s="105"/>
      <c r="P98" s="105"/>
      <c r="Q98" s="240"/>
      <c r="R98" s="240"/>
      <c r="S98" s="105"/>
      <c r="T98" s="42"/>
      <c r="U98" s="69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6"/>
    </row>
    <row r="99" spans="1:42" ht="15" x14ac:dyDescent="0.2">
      <c r="A99" s="101" t="s">
        <v>50</v>
      </c>
      <c r="B99" s="97">
        <v>20062</v>
      </c>
      <c r="C99" s="103">
        <v>21041</v>
      </c>
      <c r="D99" s="103">
        <v>23777</v>
      </c>
      <c r="E99" s="103">
        <v>22495</v>
      </c>
      <c r="F99" s="103">
        <v>20984</v>
      </c>
      <c r="G99" s="103">
        <v>19733</v>
      </c>
      <c r="H99" s="103">
        <v>20158</v>
      </c>
      <c r="I99" s="104">
        <v>22600</v>
      </c>
      <c r="J99" s="105">
        <v>23800</v>
      </c>
      <c r="K99" s="105">
        <v>25200</v>
      </c>
      <c r="L99" s="105">
        <v>28500</v>
      </c>
      <c r="M99" s="105">
        <v>26200</v>
      </c>
      <c r="N99" s="105">
        <v>25900</v>
      </c>
      <c r="O99" s="105">
        <v>24100</v>
      </c>
      <c r="P99" s="105">
        <v>22300</v>
      </c>
      <c r="Q99" s="105">
        <v>28200</v>
      </c>
      <c r="R99" s="105">
        <v>28300</v>
      </c>
      <c r="S99" s="105"/>
      <c r="T99" s="42">
        <f t="shared" ref="T99:T100" si="175">RATE(5,,-M99,R99)</f>
        <v>1.5539987864857465E-2</v>
      </c>
      <c r="U99" s="114" t="str">
        <f>A99</f>
        <v xml:space="preserve">   Interest expense (net)</v>
      </c>
      <c r="V99" s="76">
        <f t="shared" ref="V99:AL100" si="176">B99/B$86</f>
        <v>4.4588464607267238E-2</v>
      </c>
      <c r="W99" s="76">
        <f t="shared" si="176"/>
        <v>3.9199868843174446E-2</v>
      </c>
      <c r="X99" s="76">
        <f t="shared" si="176"/>
        <v>3.376872746277941E-2</v>
      </c>
      <c r="Y99" s="76">
        <f t="shared" si="176"/>
        <v>3.7774281247533632E-2</v>
      </c>
      <c r="Z99" s="76">
        <f t="shared" si="176"/>
        <v>3.3790932294140853E-2</v>
      </c>
      <c r="AA99" s="76">
        <f t="shared" si="176"/>
        <v>2.5822010931793409E-2</v>
      </c>
      <c r="AB99" s="76">
        <f t="shared" si="176"/>
        <v>2.094235398375352E-2</v>
      </c>
      <c r="AC99" s="76">
        <f t="shared" si="176"/>
        <v>2.1228630471538605E-2</v>
      </c>
      <c r="AD99" s="76">
        <f t="shared" si="176"/>
        <v>2.5522788203753352E-2</v>
      </c>
      <c r="AE99" s="76">
        <f t="shared" si="176"/>
        <v>2.5192442267319804E-2</v>
      </c>
      <c r="AF99" s="76">
        <f t="shared" si="176"/>
        <v>3.0981628437873682E-2</v>
      </c>
      <c r="AG99" s="76">
        <f t="shared" si="176"/>
        <v>2.9017609923579577E-2</v>
      </c>
      <c r="AH99" s="76">
        <f t="shared" si="176"/>
        <v>2.6734104046242775E-2</v>
      </c>
      <c r="AI99" s="76">
        <f t="shared" si="176"/>
        <v>2.7951751333797265E-2</v>
      </c>
      <c r="AJ99" s="76">
        <f t="shared" si="176"/>
        <v>2.2621221343071617E-2</v>
      </c>
      <c r="AK99" s="76">
        <f t="shared" si="176"/>
        <v>2.9347486731189511E-2</v>
      </c>
      <c r="AL99" s="76">
        <f t="shared" si="176"/>
        <v>3.0841325196163907E-2</v>
      </c>
      <c r="AM99" s="76" t="e">
        <f t="shared" ref="AM99:AM100" si="177">S99/S$86</f>
        <v>#DIV/0!</v>
      </c>
      <c r="AN99" s="42">
        <f>SUM(N99:R99)/SUM(N$86:R$86)</f>
        <v>2.743168700615509E-2</v>
      </c>
      <c r="AO99" s="2"/>
    </row>
    <row r="100" spans="1:42" ht="15" x14ac:dyDescent="0.2">
      <c r="A100" s="100" t="s">
        <v>115</v>
      </c>
      <c r="B100" s="97">
        <v>-2980</v>
      </c>
      <c r="C100" s="103">
        <v>-1673</v>
      </c>
      <c r="D100" s="103">
        <v>-5158</v>
      </c>
      <c r="E100" s="103">
        <v>-2329</v>
      </c>
      <c r="F100" s="103">
        <v>-3228</v>
      </c>
      <c r="G100" s="103">
        <v>-3508</v>
      </c>
      <c r="H100" s="103">
        <v>-4962</v>
      </c>
      <c r="I100" s="104">
        <v>-6600</v>
      </c>
      <c r="J100" s="105">
        <v>-7400</v>
      </c>
      <c r="K100" s="105">
        <v>-5200</v>
      </c>
      <c r="L100" s="105">
        <v>-7600</v>
      </c>
      <c r="M100" s="105">
        <v>-6700</v>
      </c>
      <c r="N100" s="105">
        <v>-5400</v>
      </c>
      <c r="O100" s="105">
        <v>-5500</v>
      </c>
      <c r="P100" s="105">
        <v>-5100</v>
      </c>
      <c r="Q100" s="105">
        <v>-5900</v>
      </c>
      <c r="R100" s="105">
        <v>-4800</v>
      </c>
      <c r="S100" s="105"/>
      <c r="T100" s="42">
        <f t="shared" si="175"/>
        <v>-6.452262799822793E-2</v>
      </c>
      <c r="U100" s="114" t="str">
        <f>A100</f>
        <v xml:space="preserve">   Interest and Other Income</v>
      </c>
      <c r="V100" s="76">
        <f t="shared" si="176"/>
        <v>-6.6231494631470624E-3</v>
      </c>
      <c r="W100" s="76">
        <f t="shared" si="176"/>
        <v>-3.1168376300855873E-3</v>
      </c>
      <c r="X100" s="76">
        <f t="shared" si="176"/>
        <v>-7.3255287148511674E-3</v>
      </c>
      <c r="Y100" s="76">
        <f t="shared" si="176"/>
        <v>-3.9109269182265316E-3</v>
      </c>
      <c r="Z100" s="76">
        <f t="shared" si="176"/>
        <v>-5.1981094855836196E-3</v>
      </c>
      <c r="AA100" s="76">
        <f t="shared" si="176"/>
        <v>-4.59046340387834E-3</v>
      </c>
      <c r="AB100" s="76">
        <f t="shared" si="176"/>
        <v>-5.1550729470872594E-3</v>
      </c>
      <c r="AC100" s="76">
        <f t="shared" si="176"/>
        <v>-6.1995115536351685E-3</v>
      </c>
      <c r="AD100" s="76">
        <f t="shared" si="176"/>
        <v>-7.9356568364611253E-3</v>
      </c>
      <c r="AE100" s="76">
        <f t="shared" si="176"/>
        <v>-5.198440467859642E-3</v>
      </c>
      <c r="AF100" s="76">
        <f t="shared" si="176"/>
        <v>-8.2617675834329822E-3</v>
      </c>
      <c r="AG100" s="76">
        <f t="shared" si="176"/>
        <v>-7.4205338354192052E-3</v>
      </c>
      <c r="AH100" s="76">
        <f t="shared" si="176"/>
        <v>-5.5739058629232039E-3</v>
      </c>
      <c r="AI100" s="76">
        <f t="shared" si="176"/>
        <v>-6.3790303873811184E-3</v>
      </c>
      <c r="AJ100" s="76">
        <f t="shared" si="176"/>
        <v>-5.1734631771150332E-3</v>
      </c>
      <c r="AK100" s="76">
        <f t="shared" si="176"/>
        <v>-6.1400770111353937E-3</v>
      </c>
      <c r="AL100" s="76">
        <f t="shared" si="176"/>
        <v>-5.2310374891020054E-3</v>
      </c>
      <c r="AM100" s="76" t="e">
        <f t="shared" si="177"/>
        <v>#DIV/0!</v>
      </c>
      <c r="AN100" s="42">
        <f>SUM(N100:R100)/SUM(N$86:R$86)</f>
        <v>-5.6865376014312184E-3</v>
      </c>
      <c r="AO100" s="2"/>
    </row>
    <row r="101" spans="1:42" ht="15" x14ac:dyDescent="0.2">
      <c r="A101" s="101" t="s">
        <v>55</v>
      </c>
      <c r="B101" s="97">
        <v>0</v>
      </c>
      <c r="C101" s="103">
        <v>0</v>
      </c>
      <c r="D101" s="103">
        <v>0</v>
      </c>
      <c r="E101" s="103">
        <v>0</v>
      </c>
      <c r="F101" s="103">
        <v>0</v>
      </c>
      <c r="G101" s="103">
        <v>200</v>
      </c>
      <c r="H101" s="103"/>
      <c r="I101" s="104">
        <v>300</v>
      </c>
      <c r="J101" s="105"/>
      <c r="K101" s="105"/>
      <c r="L101" s="105"/>
      <c r="M101" s="105"/>
      <c r="N101" s="105"/>
      <c r="O101" s="105"/>
      <c r="P101" s="105"/>
      <c r="Q101" s="105">
        <v>-100</v>
      </c>
      <c r="R101" s="105"/>
      <c r="S101" s="105"/>
      <c r="T101" s="42"/>
      <c r="U101" s="114" t="str">
        <f>A101</f>
        <v xml:space="preserve">   Loss (Gain) on Sale of Assets</v>
      </c>
      <c r="V101" s="76">
        <f t="shared" ref="V101:AA101" si="178">B101/B$86</f>
        <v>0</v>
      </c>
      <c r="W101" s="76">
        <f t="shared" si="178"/>
        <v>0</v>
      </c>
      <c r="X101" s="76">
        <f t="shared" si="178"/>
        <v>0</v>
      </c>
      <c r="Y101" s="76">
        <f t="shared" si="178"/>
        <v>0</v>
      </c>
      <c r="Z101" s="76">
        <f t="shared" si="178"/>
        <v>0</v>
      </c>
      <c r="AA101" s="76">
        <f t="shared" si="178"/>
        <v>2.6171399109910714E-4</v>
      </c>
      <c r="AB101" s="76"/>
      <c r="AC101" s="76">
        <f>I101/I$86</f>
        <v>2.8179597971068947E-4</v>
      </c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2"/>
      <c r="AO101" s="2"/>
    </row>
    <row r="102" spans="1:42" ht="15" x14ac:dyDescent="0.2">
      <c r="A102" s="69" t="s">
        <v>51</v>
      </c>
      <c r="B102" s="97">
        <v>0</v>
      </c>
      <c r="C102" s="103">
        <v>0</v>
      </c>
      <c r="D102" s="103">
        <v>0</v>
      </c>
      <c r="E102" s="103">
        <v>0</v>
      </c>
      <c r="F102" s="103">
        <v>0</v>
      </c>
      <c r="G102" s="103"/>
      <c r="H102" s="103"/>
      <c r="I102" s="104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50"/>
      <c r="U102" s="114" t="str">
        <f>A102</f>
        <v xml:space="preserve">   Other Income (Expense)</v>
      </c>
      <c r="V102" s="74">
        <f t="shared" ref="V102:Z103" si="179">B102/B$86</f>
        <v>0</v>
      </c>
      <c r="W102" s="74">
        <f t="shared" si="179"/>
        <v>0</v>
      </c>
      <c r="X102" s="74">
        <f t="shared" si="179"/>
        <v>0</v>
      </c>
      <c r="Y102" s="74">
        <f t="shared" si="179"/>
        <v>0</v>
      </c>
      <c r="Z102" s="74">
        <f t="shared" si="179"/>
        <v>0</v>
      </c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50"/>
      <c r="AO102" s="2"/>
    </row>
    <row r="103" spans="1:42" ht="15" x14ac:dyDescent="0.2">
      <c r="A103" s="69" t="s">
        <v>52</v>
      </c>
      <c r="B103" s="99">
        <f t="shared" ref="B103:M103" si="180">SUM(B99:B102)</f>
        <v>17082</v>
      </c>
      <c r="C103" s="106">
        <f t="shared" si="180"/>
        <v>19368</v>
      </c>
      <c r="D103" s="106">
        <f t="shared" si="180"/>
        <v>18619</v>
      </c>
      <c r="E103" s="106">
        <f t="shared" si="180"/>
        <v>20166</v>
      </c>
      <c r="F103" s="106">
        <f t="shared" si="180"/>
        <v>17756</v>
      </c>
      <c r="G103" s="106">
        <f t="shared" si="180"/>
        <v>16425</v>
      </c>
      <c r="H103" s="106">
        <f t="shared" si="180"/>
        <v>15196</v>
      </c>
      <c r="I103" s="107">
        <f t="shared" si="180"/>
        <v>16300</v>
      </c>
      <c r="J103" s="107">
        <f t="shared" si="180"/>
        <v>16400</v>
      </c>
      <c r="K103" s="107">
        <f t="shared" si="180"/>
        <v>20000</v>
      </c>
      <c r="L103" s="107">
        <f t="shared" si="180"/>
        <v>20900</v>
      </c>
      <c r="M103" s="107">
        <f t="shared" si="180"/>
        <v>19500</v>
      </c>
      <c r="N103" s="107">
        <f t="shared" ref="N103" si="181">SUM(N99:N102)</f>
        <v>20500</v>
      </c>
      <c r="O103" s="107">
        <f t="shared" ref="O103:P103" si="182">SUM(O99:O102)</f>
        <v>18600</v>
      </c>
      <c r="P103" s="107">
        <f t="shared" si="182"/>
        <v>17200</v>
      </c>
      <c r="Q103" s="107">
        <f t="shared" ref="Q103:S103" si="183">SUM(Q99:Q102)</f>
        <v>22200</v>
      </c>
      <c r="R103" s="107">
        <f t="shared" ref="R103" si="184">SUM(R99:R102)</f>
        <v>23500</v>
      </c>
      <c r="S103" s="107">
        <f t="shared" si="183"/>
        <v>0</v>
      </c>
      <c r="T103" s="42">
        <f t="shared" ref="T103" si="185">RATE(5,,-M103,R103)</f>
        <v>3.8022220052629424E-2</v>
      </c>
      <c r="U103" s="114" t="str">
        <f>A103</f>
        <v>Total Other Income/Expense</v>
      </c>
      <c r="V103" s="76">
        <f t="shared" si="179"/>
        <v>3.7965315144120174E-2</v>
      </c>
      <c r="W103" s="76">
        <f t="shared" si="179"/>
        <v>3.6083031213088854E-2</v>
      </c>
      <c r="X103" s="76">
        <f t="shared" si="179"/>
        <v>2.6443198747928245E-2</v>
      </c>
      <c r="Y103" s="76">
        <f t="shared" si="179"/>
        <v>3.3863354329307101E-2</v>
      </c>
      <c r="Z103" s="76">
        <f t="shared" si="179"/>
        <v>2.8592822808557235E-2</v>
      </c>
      <c r="AA103" s="76">
        <f t="shared" ref="AA103:AL103" si="186">G103/G$86</f>
        <v>2.1493261519014175E-2</v>
      </c>
      <c r="AB103" s="76">
        <f t="shared" si="186"/>
        <v>1.5787281036666261E-2</v>
      </c>
      <c r="AC103" s="76">
        <f t="shared" si="186"/>
        <v>1.5310914897614127E-2</v>
      </c>
      <c r="AD103" s="76">
        <f t="shared" si="186"/>
        <v>1.7587131367292227E-2</v>
      </c>
      <c r="AE103" s="76">
        <f t="shared" si="186"/>
        <v>1.9994001799460162E-2</v>
      </c>
      <c r="AF103" s="76">
        <f t="shared" si="186"/>
        <v>2.27198608544407E-2</v>
      </c>
      <c r="AG103" s="76">
        <f t="shared" si="186"/>
        <v>2.1597076088160371E-2</v>
      </c>
      <c r="AH103" s="76">
        <f t="shared" si="186"/>
        <v>2.1160198183319569E-2</v>
      </c>
      <c r="AI103" s="76">
        <f t="shared" si="186"/>
        <v>2.1572720946416143E-2</v>
      </c>
      <c r="AJ103" s="76">
        <f t="shared" si="186"/>
        <v>1.7447758165956583E-2</v>
      </c>
      <c r="AK103" s="76">
        <f t="shared" si="186"/>
        <v>2.3103340618170466E-2</v>
      </c>
      <c r="AL103" s="76">
        <f t="shared" si="186"/>
        <v>2.5610287707061901E-2</v>
      </c>
      <c r="AM103" s="76" t="e">
        <f t="shared" ref="AM103" si="187">S103/S$86</f>
        <v>#DIV/0!</v>
      </c>
      <c r="AN103" s="42">
        <f>SUM(N103:R103)/SUM(N$86:R$86)</f>
        <v>2.1723851511085555E-2</v>
      </c>
      <c r="AO103" s="2"/>
    </row>
    <row r="104" spans="1:42" ht="12" customHeight="1" x14ac:dyDescent="0.2">
      <c r="A104" s="69"/>
      <c r="B104" s="97"/>
      <c r="C104" s="103"/>
      <c r="D104" s="103"/>
      <c r="E104" s="103"/>
      <c r="F104" s="103"/>
      <c r="G104" s="103"/>
      <c r="H104" s="103"/>
      <c r="I104" s="104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42"/>
      <c r="U104" s="114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42"/>
      <c r="AO104" s="2"/>
    </row>
    <row r="105" spans="1:42" ht="15" x14ac:dyDescent="0.2">
      <c r="A105" s="69" t="s">
        <v>11</v>
      </c>
      <c r="B105" s="97">
        <f t="shared" ref="B105:G105" si="188">B97-B103</f>
        <v>28231</v>
      </c>
      <c r="C105" s="103">
        <f t="shared" si="188"/>
        <v>37052</v>
      </c>
      <c r="D105" s="103">
        <f t="shared" si="188"/>
        <v>39763</v>
      </c>
      <c r="E105" s="103">
        <f t="shared" si="188"/>
        <v>50188</v>
      </c>
      <c r="F105" s="103">
        <f t="shared" si="188"/>
        <v>33629</v>
      </c>
      <c r="G105" s="103">
        <f t="shared" si="188"/>
        <v>51241</v>
      </c>
      <c r="H105" s="103">
        <f t="shared" ref="H105:M105" si="189">H97-H103</f>
        <v>57251</v>
      </c>
      <c r="I105" s="104">
        <f t="shared" si="189"/>
        <v>58900</v>
      </c>
      <c r="J105" s="104">
        <f t="shared" si="189"/>
        <v>59700</v>
      </c>
      <c r="K105" s="104">
        <f t="shared" si="189"/>
        <v>64200</v>
      </c>
      <c r="L105" s="104">
        <f t="shared" si="189"/>
        <v>66000</v>
      </c>
      <c r="M105" s="104">
        <f t="shared" si="189"/>
        <v>69100</v>
      </c>
      <c r="N105" s="104">
        <f t="shared" ref="N105" si="190">N97-N103</f>
        <v>73600</v>
      </c>
      <c r="O105" s="104">
        <f t="shared" ref="O105:P105" si="191">O97-O103</f>
        <v>74300</v>
      </c>
      <c r="P105" s="104">
        <f t="shared" si="191"/>
        <v>84700</v>
      </c>
      <c r="Q105" s="104">
        <f t="shared" ref="Q105:S105" si="192">Q97-Q103</f>
        <v>87200</v>
      </c>
      <c r="R105" s="104">
        <f t="shared" ref="R105" si="193">R97-R103</f>
        <v>99100</v>
      </c>
      <c r="S105" s="104">
        <f t="shared" si="192"/>
        <v>0</v>
      </c>
      <c r="T105" s="50">
        <f t="shared" ref="T105" si="194">RATE(5,,-M105,R105)</f>
        <v>7.4778874318508798E-2</v>
      </c>
      <c r="U105" s="114" t="str">
        <f>A105</f>
        <v>Earnings Before Taxes</v>
      </c>
      <c r="V105" s="42">
        <f t="shared" ref="V105:AL105" si="195">B105/B$86</f>
        <v>6.2744339763122395E-2</v>
      </c>
      <c r="W105" s="42">
        <f t="shared" si="195"/>
        <v>6.9028731542098737E-2</v>
      </c>
      <c r="X105" s="42">
        <f t="shared" si="195"/>
        <v>5.6472469617802827E-2</v>
      </c>
      <c r="Y105" s="42">
        <f t="shared" si="195"/>
        <v>8.4277200589073925E-2</v>
      </c>
      <c r="Z105" s="42">
        <f t="shared" si="195"/>
        <v>5.4153415083857355E-2</v>
      </c>
      <c r="AA105" s="42">
        <f t="shared" si="195"/>
        <v>6.7052433089546754E-2</v>
      </c>
      <c r="AB105" s="42">
        <f t="shared" si="195"/>
        <v>5.9478654029361686E-2</v>
      </c>
      <c r="AC105" s="42">
        <f t="shared" si="195"/>
        <v>5.5325944016532028E-2</v>
      </c>
      <c r="AD105" s="42">
        <f t="shared" si="195"/>
        <v>6.4021447721179625E-2</v>
      </c>
      <c r="AE105" s="42">
        <f t="shared" si="195"/>
        <v>6.4180745776267117E-2</v>
      </c>
      <c r="AF105" s="42">
        <f t="shared" si="195"/>
        <v>7.174692901402327E-2</v>
      </c>
      <c r="AG105" s="42">
        <f t="shared" si="195"/>
        <v>7.6531177317532395E-2</v>
      </c>
      <c r="AH105" s="42">
        <f t="shared" si="195"/>
        <v>7.5970272502064409E-2</v>
      </c>
      <c r="AI105" s="42">
        <f t="shared" si="195"/>
        <v>8.617490141498492E-2</v>
      </c>
      <c r="AJ105" s="42">
        <f t="shared" si="195"/>
        <v>8.5920064921890846E-2</v>
      </c>
      <c r="AK105" s="42">
        <f t="shared" si="195"/>
        <v>9.0748256842543451E-2</v>
      </c>
      <c r="AL105" s="42">
        <f t="shared" si="195"/>
        <v>0.10799912816041848</v>
      </c>
      <c r="AM105" s="42" t="e">
        <f t="shared" ref="AM105" si="196">S105/S$86</f>
        <v>#DIV/0!</v>
      </c>
      <c r="AN105" s="42">
        <f>SUM(N105:R105)/SUM(N$86:R$86)</f>
        <v>8.9216876450919011E-2</v>
      </c>
      <c r="AO105" s="2"/>
    </row>
    <row r="106" spans="1:42" ht="15" x14ac:dyDescent="0.2">
      <c r="A106" s="69" t="s">
        <v>53</v>
      </c>
      <c r="B106" s="99">
        <v>0</v>
      </c>
      <c r="C106" s="106">
        <v>0</v>
      </c>
      <c r="D106" s="106">
        <v>0</v>
      </c>
      <c r="E106" s="106">
        <v>0</v>
      </c>
      <c r="F106" s="106">
        <v>334</v>
      </c>
      <c r="G106" s="106"/>
      <c r="H106" s="106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42"/>
      <c r="U106" s="114" t="str">
        <f>A106</f>
        <v>Extraordinary Items</v>
      </c>
      <c r="V106" s="42">
        <f t="shared" ref="V106:Z108" si="197">B106/B$86</f>
        <v>0</v>
      </c>
      <c r="W106" s="42">
        <f t="shared" si="197"/>
        <v>0</v>
      </c>
      <c r="X106" s="42">
        <f t="shared" si="197"/>
        <v>0</v>
      </c>
      <c r="Y106" s="42">
        <f t="shared" si="197"/>
        <v>0</v>
      </c>
      <c r="Z106" s="42">
        <f t="shared" si="197"/>
        <v>5.3784652050338565E-4</v>
      </c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2"/>
    </row>
    <row r="107" spans="1:42" ht="15" x14ac:dyDescent="0.2">
      <c r="A107" s="69" t="s">
        <v>14</v>
      </c>
      <c r="B107" s="97">
        <v>9012</v>
      </c>
      <c r="C107" s="103">
        <v>12889</v>
      </c>
      <c r="D107" s="103">
        <v>13890</v>
      </c>
      <c r="E107" s="103">
        <v>17789</v>
      </c>
      <c r="F107" s="103">
        <v>13113</v>
      </c>
      <c r="G107" s="103">
        <v>19780</v>
      </c>
      <c r="H107" s="103">
        <v>21276</v>
      </c>
      <c r="I107" s="104">
        <v>21900</v>
      </c>
      <c r="J107" s="104">
        <v>22300</v>
      </c>
      <c r="K107" s="104">
        <v>24000</v>
      </c>
      <c r="L107" s="104">
        <v>24400</v>
      </c>
      <c r="M107" s="104">
        <v>25200</v>
      </c>
      <c r="N107" s="104">
        <v>27500</v>
      </c>
      <c r="O107" s="104">
        <v>27200</v>
      </c>
      <c r="P107" s="104">
        <v>31900</v>
      </c>
      <c r="Q107" s="104">
        <v>32000</v>
      </c>
      <c r="R107" s="104">
        <v>34800</v>
      </c>
      <c r="S107" s="104"/>
      <c r="T107" s="50">
        <f t="shared" ref="T107" si="198">RATE(5,,-M107,R107)</f>
        <v>6.6683901275273794E-2</v>
      </c>
      <c r="U107" s="114" t="str">
        <f>A107</f>
        <v>Income Taxes</v>
      </c>
      <c r="V107" s="74">
        <f t="shared" si="197"/>
        <v>2.0029470792577629E-2</v>
      </c>
      <c r="W107" s="74">
        <f t="shared" si="197"/>
        <v>2.4012504610982147E-2</v>
      </c>
      <c r="X107" s="74">
        <f t="shared" si="197"/>
        <v>1.9726947237162219E-2</v>
      </c>
      <c r="Y107" s="74">
        <f t="shared" si="197"/>
        <v>2.9871824365964691E-2</v>
      </c>
      <c r="Z107" s="74">
        <f t="shared" si="197"/>
        <v>2.1116112045990707E-2</v>
      </c>
      <c r="AA107" s="74">
        <f t="shared" ref="AA107:AL108" si="199">G107/G$86</f>
        <v>2.5883513719701698E-2</v>
      </c>
      <c r="AB107" s="74">
        <f t="shared" si="199"/>
        <v>2.2103855707825176E-2</v>
      </c>
      <c r="AC107" s="74">
        <f t="shared" si="199"/>
        <v>2.057110651888033E-2</v>
      </c>
      <c r="AD107" s="74">
        <f t="shared" si="199"/>
        <v>2.3914209115281502E-2</v>
      </c>
      <c r="AE107" s="74">
        <f t="shared" si="199"/>
        <v>2.3992802159352195E-2</v>
      </c>
      <c r="AF107" s="74">
        <f t="shared" si="199"/>
        <v>2.6524622241547995E-2</v>
      </c>
      <c r="AG107" s="74">
        <f t="shared" si="199"/>
        <v>2.7910067560084174E-2</v>
      </c>
      <c r="AH107" s="74">
        <f t="shared" si="199"/>
        <v>2.838563170933113E-2</v>
      </c>
      <c r="AI107" s="74">
        <f t="shared" si="199"/>
        <v>3.1547204824866622E-2</v>
      </c>
      <c r="AJ107" s="74">
        <f t="shared" si="199"/>
        <v>3.2359504970582272E-2</v>
      </c>
      <c r="AK107" s="74">
        <f t="shared" si="199"/>
        <v>3.330211260276824E-2</v>
      </c>
      <c r="AL107" s="74">
        <f t="shared" si="199"/>
        <v>3.7925021795989541E-2</v>
      </c>
      <c r="AM107" s="74" t="e">
        <f t="shared" ref="AM107:AM108" si="200">S107/S$86</f>
        <v>#DIV/0!</v>
      </c>
      <c r="AN107" s="50">
        <f t="shared" ref="AN107:AN108" si="201">SUM(N107:R107)/SUM(N$86:R$86)</f>
        <v>3.2670968841181605E-2</v>
      </c>
      <c r="AO107" s="2"/>
    </row>
    <row r="108" spans="1:42" ht="16.5" thickBot="1" x14ac:dyDescent="0.3">
      <c r="A108" s="113" t="s">
        <v>16</v>
      </c>
      <c r="B108" s="99">
        <f t="shared" ref="B108:K108" si="202">B105-B106-B107</f>
        <v>19219</v>
      </c>
      <c r="C108" s="106">
        <f t="shared" si="202"/>
        <v>24163</v>
      </c>
      <c r="D108" s="106">
        <f t="shared" si="202"/>
        <v>25873</v>
      </c>
      <c r="E108" s="106">
        <f t="shared" si="202"/>
        <v>32399</v>
      </c>
      <c r="F108" s="106">
        <f t="shared" si="202"/>
        <v>20182</v>
      </c>
      <c r="G108" s="106">
        <f t="shared" si="202"/>
        <v>31461</v>
      </c>
      <c r="H108" s="106">
        <f t="shared" si="202"/>
        <v>35975</v>
      </c>
      <c r="I108" s="107">
        <f t="shared" si="202"/>
        <v>37000</v>
      </c>
      <c r="J108" s="107">
        <f t="shared" si="202"/>
        <v>37400</v>
      </c>
      <c r="K108" s="107">
        <f t="shared" si="202"/>
        <v>40200</v>
      </c>
      <c r="L108" s="107">
        <f t="shared" ref="L108" si="203">L105-L106-L107</f>
        <v>41600</v>
      </c>
      <c r="M108" s="107">
        <f t="shared" ref="M108:O108" si="204">M105-M106-M107</f>
        <v>43900</v>
      </c>
      <c r="N108" s="107">
        <f t="shared" ref="N108" si="205">N105-N106-N107</f>
        <v>46100</v>
      </c>
      <c r="O108" s="107">
        <f t="shared" si="204"/>
        <v>47100</v>
      </c>
      <c r="P108" s="107">
        <f t="shared" ref="P108:S108" si="206">P105-P106-P107</f>
        <v>52800</v>
      </c>
      <c r="Q108" s="107">
        <f t="shared" si="206"/>
        <v>55200</v>
      </c>
      <c r="R108" s="107">
        <f t="shared" ref="R108" si="207">R105-R106-R107</f>
        <v>64300</v>
      </c>
      <c r="S108" s="107">
        <f t="shared" si="206"/>
        <v>0</v>
      </c>
      <c r="T108" s="78">
        <f>RATE(5,,-M108,R108)</f>
        <v>7.9317678413204015E-2</v>
      </c>
      <c r="U108" s="147" t="str">
        <f>A108</f>
        <v>Net Income</v>
      </c>
      <c r="V108" s="81">
        <f t="shared" si="197"/>
        <v>4.2714868970544766E-2</v>
      </c>
      <c r="W108" s="81">
        <f t="shared" si="197"/>
        <v>4.5016226931116586E-2</v>
      </c>
      <c r="X108" s="81">
        <f t="shared" si="197"/>
        <v>3.6745522380640605E-2</v>
      </c>
      <c r="Y108" s="81">
        <f t="shared" si="197"/>
        <v>5.4405376223109231E-2</v>
      </c>
      <c r="Z108" s="81">
        <f t="shared" si="197"/>
        <v>3.2499456517363266E-2</v>
      </c>
      <c r="AA108" s="81">
        <f t="shared" si="199"/>
        <v>4.1168919369845056E-2</v>
      </c>
      <c r="AB108" s="81">
        <f t="shared" si="199"/>
        <v>3.7374798321536506E-2</v>
      </c>
      <c r="AC108" s="81">
        <f t="shared" si="199"/>
        <v>3.4754837497651701E-2</v>
      </c>
      <c r="AD108" s="81">
        <f t="shared" si="199"/>
        <v>4.0107238605898127E-2</v>
      </c>
      <c r="AE108" s="81">
        <f t="shared" si="199"/>
        <v>4.0187943616914926E-2</v>
      </c>
      <c r="AF108" s="81">
        <f t="shared" si="199"/>
        <v>4.5222306772475268E-2</v>
      </c>
      <c r="AG108" s="81">
        <f t="shared" si="199"/>
        <v>4.8621109757448225E-2</v>
      </c>
      <c r="AH108" s="81">
        <f t="shared" si="199"/>
        <v>4.7584640792733279E-2</v>
      </c>
      <c r="AI108" s="81">
        <f t="shared" si="199"/>
        <v>5.4627696590118305E-2</v>
      </c>
      <c r="AJ108" s="81">
        <f t="shared" si="199"/>
        <v>5.3560559951308581E-2</v>
      </c>
      <c r="AK108" s="81">
        <f t="shared" si="199"/>
        <v>5.7446144239775211E-2</v>
      </c>
      <c r="AL108" s="81">
        <f t="shared" si="199"/>
        <v>7.0074106364428942E-2</v>
      </c>
      <c r="AM108" s="81" t="e">
        <f t="shared" si="200"/>
        <v>#DIV/0!</v>
      </c>
      <c r="AN108" s="78">
        <f t="shared" si="201"/>
        <v>5.6545907609737399E-2</v>
      </c>
      <c r="AO108" s="6">
        <f>+O108-N108</f>
        <v>1000</v>
      </c>
      <c r="AP108" s="191">
        <f>+AO108/N108</f>
        <v>2.1691973969631236E-2</v>
      </c>
    </row>
    <row r="109" spans="1:42" ht="15.75" thickTop="1" x14ac:dyDescent="0.2">
      <c r="A109" s="69"/>
      <c r="B109" s="99"/>
      <c r="C109" s="110"/>
      <c r="D109" s="110"/>
      <c r="E109" s="110"/>
      <c r="F109" s="110"/>
      <c r="G109" s="110"/>
      <c r="H109" s="110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42"/>
      <c r="U109" s="114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42"/>
      <c r="AO109" s="2"/>
    </row>
    <row r="110" spans="1:42" ht="15" x14ac:dyDescent="0.2">
      <c r="A110" s="69" t="s">
        <v>56</v>
      </c>
      <c r="B110" s="97">
        <v>0</v>
      </c>
      <c r="C110" s="103">
        <v>0</v>
      </c>
      <c r="D110" s="103">
        <v>0</v>
      </c>
      <c r="E110" s="103">
        <v>0</v>
      </c>
      <c r="F110" s="103">
        <v>0</v>
      </c>
      <c r="G110" s="103"/>
      <c r="H110" s="103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42"/>
      <c r="U110" s="114" t="str">
        <f>A110</f>
        <v>Preferred Stock Dividends</v>
      </c>
      <c r="V110" s="42">
        <f t="shared" ref="V110:Z111" si="208">B110/B$108</f>
        <v>0</v>
      </c>
      <c r="W110" s="42">
        <f t="shared" si="208"/>
        <v>0</v>
      </c>
      <c r="X110" s="42">
        <f t="shared" si="208"/>
        <v>0</v>
      </c>
      <c r="Y110" s="42">
        <f t="shared" si="208"/>
        <v>0</v>
      </c>
      <c r="Z110" s="42">
        <f t="shared" si="208"/>
        <v>0</v>
      </c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2"/>
    </row>
    <row r="111" spans="1:42" ht="15" x14ac:dyDescent="0.2">
      <c r="A111" s="69" t="s">
        <v>57</v>
      </c>
      <c r="B111" s="97">
        <f>'Historical CF - Exhibit 1B'!B44*-1</f>
        <v>23000</v>
      </c>
      <c r="C111" s="103">
        <f>'Historical CF - Exhibit 1B'!C44*-1</f>
        <v>23500</v>
      </c>
      <c r="D111" s="103">
        <f>'Historical CF - Exhibit 1B'!D44*-1</f>
        <v>24000</v>
      </c>
      <c r="E111" s="103">
        <f>'Historical CF - Exhibit 1B'!E44*-1</f>
        <v>24500</v>
      </c>
      <c r="F111" s="103">
        <f>'Historical CF - Exhibit 1B'!F44*-1</f>
        <v>25000</v>
      </c>
      <c r="G111" s="103">
        <f>'Historical CF - Exhibit 1B'!G44*-1</f>
        <v>25500</v>
      </c>
      <c r="H111" s="103">
        <f>'Historical CF - Exhibit 1B'!H44*-1</f>
        <v>26000</v>
      </c>
      <c r="I111" s="104">
        <v>26500</v>
      </c>
      <c r="J111" s="104">
        <v>27000</v>
      </c>
      <c r="K111" s="104">
        <v>27500</v>
      </c>
      <c r="L111" s="104">
        <v>28200</v>
      </c>
      <c r="M111" s="104">
        <v>28800</v>
      </c>
      <c r="N111" s="104">
        <v>30300</v>
      </c>
      <c r="O111" s="104">
        <v>33000</v>
      </c>
      <c r="P111" s="104">
        <v>35500</v>
      </c>
      <c r="Q111" s="104">
        <f>9000*4</f>
        <v>36000</v>
      </c>
      <c r="R111" s="104">
        <f>47000-9000</f>
        <v>38000</v>
      </c>
      <c r="S111" s="104"/>
      <c r="T111" s="42">
        <f t="shared" ref="T111" si="209">RATE(5,,-M111,R111)</f>
        <v>5.7007872172954929E-2</v>
      </c>
      <c r="U111" s="114" t="str">
        <f>A111</f>
        <v>Common Stock Dividends</v>
      </c>
      <c r="V111" s="42">
        <f t="shared" si="208"/>
        <v>1.1967324002289401</v>
      </c>
      <c r="W111" s="42">
        <f t="shared" si="208"/>
        <v>0.9725613541364897</v>
      </c>
      <c r="X111" s="42">
        <f t="shared" si="208"/>
        <v>0.92760793104781047</v>
      </c>
      <c r="Y111" s="42">
        <f t="shared" si="208"/>
        <v>0.75619617889441038</v>
      </c>
      <c r="Z111" s="42">
        <f t="shared" si="208"/>
        <v>1.2387275790308196</v>
      </c>
      <c r="AA111" s="42">
        <f t="shared" ref="AA111:AL111" si="210">G111/G$108</f>
        <v>0.81052731953847623</v>
      </c>
      <c r="AB111" s="42">
        <f t="shared" si="210"/>
        <v>0.72272411396803338</v>
      </c>
      <c r="AC111" s="42">
        <f t="shared" si="210"/>
        <v>0.71621621621621623</v>
      </c>
      <c r="AD111" s="42">
        <f t="shared" si="210"/>
        <v>0.72192513368983957</v>
      </c>
      <c r="AE111" s="42">
        <f t="shared" si="210"/>
        <v>0.6840796019900498</v>
      </c>
      <c r="AF111" s="42">
        <f t="shared" si="210"/>
        <v>0.67788461538461542</v>
      </c>
      <c r="AG111" s="42">
        <f t="shared" si="210"/>
        <v>0.6560364464692483</v>
      </c>
      <c r="AH111" s="42">
        <f t="shared" si="210"/>
        <v>0.65726681127982645</v>
      </c>
      <c r="AI111" s="152">
        <f t="shared" si="210"/>
        <v>0.70063694267515919</v>
      </c>
      <c r="AJ111" s="152">
        <f t="shared" si="210"/>
        <v>0.67234848484848486</v>
      </c>
      <c r="AK111" s="152">
        <f t="shared" si="210"/>
        <v>0.65217391304347827</v>
      </c>
      <c r="AL111" s="152">
        <f t="shared" si="210"/>
        <v>0.59097978227060655</v>
      </c>
      <c r="AM111" s="152" t="e">
        <f t="shared" ref="AM111" si="211">S111/S$108</f>
        <v>#DIV/0!</v>
      </c>
      <c r="AN111" s="42">
        <f>SUM(N111:R111)/SUM(N$108:R$108)</f>
        <v>0.6508474576271186</v>
      </c>
      <c r="AO111" s="2"/>
    </row>
    <row r="112" spans="1:42" ht="15" x14ac:dyDescent="0.2">
      <c r="A112" s="69"/>
      <c r="B112" s="97"/>
      <c r="C112" s="97"/>
      <c r="D112" s="97"/>
      <c r="E112" s="97"/>
      <c r="F112" s="97"/>
      <c r="G112" s="97"/>
      <c r="H112" s="97"/>
      <c r="I112" s="97"/>
      <c r="O112" s="204"/>
      <c r="P112" s="136"/>
      <c r="Q112" s="136"/>
      <c r="R112" s="136"/>
      <c r="S112" s="136"/>
      <c r="T112" s="42"/>
      <c r="AO112" s="2"/>
    </row>
    <row r="113" spans="1:40" ht="15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T113" s="42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</row>
    <row r="114" spans="1:4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7" t="s">
        <v>114</v>
      </c>
      <c r="AN114" s="22" t="str">
        <f>+T114</f>
        <v>Exhibit 1</v>
      </c>
    </row>
    <row r="115" spans="1:40" ht="15.75" x14ac:dyDescent="0.25">
      <c r="A115" s="3"/>
      <c r="B115" s="2"/>
      <c r="C115" s="2"/>
      <c r="D115" s="2"/>
      <c r="E115" s="2"/>
      <c r="G115" s="136"/>
      <c r="H115" s="136"/>
      <c r="I115" s="136"/>
      <c r="J115" s="136"/>
      <c r="K115" s="136"/>
      <c r="L115" s="136"/>
      <c r="T115" s="145" t="s">
        <v>252</v>
      </c>
      <c r="AN115" s="145" t="s">
        <v>249</v>
      </c>
    </row>
    <row r="116" spans="1:40" ht="20.25" x14ac:dyDescent="0.3">
      <c r="A116" s="266" t="str">
        <f>A3</f>
        <v>Questar Gas Company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4"/>
      <c r="U116" s="266" t="str">
        <f>+A116</f>
        <v>Questar Gas Company</v>
      </c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</row>
    <row r="117" spans="1:40" ht="15.75" x14ac:dyDescent="0.25">
      <c r="A117" s="267" t="s">
        <v>47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82"/>
      <c r="U117" s="268" t="s">
        <v>146</v>
      </c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</row>
    <row r="118" spans="1:40" ht="15.75" x14ac:dyDescent="0.25">
      <c r="A118" s="265" t="str">
        <f>A5</f>
        <v>Years Ended December 31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82"/>
      <c r="U118" s="269" t="str">
        <f>+A118</f>
        <v>Years Ended December 31</v>
      </c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</row>
    <row r="119" spans="1:40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82"/>
    </row>
    <row r="120" spans="1:40" ht="15.75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175"/>
      <c r="P120" s="175"/>
      <c r="Q120" s="175"/>
      <c r="R120" s="175"/>
      <c r="S120" s="175"/>
      <c r="T120" s="84"/>
      <c r="AE120" s="192"/>
      <c r="AF120" s="192"/>
      <c r="AG120" s="192"/>
      <c r="AH120" s="192"/>
      <c r="AI120" s="192"/>
      <c r="AJ120" s="192"/>
    </row>
    <row r="121" spans="1:40" ht="15.75" x14ac:dyDescent="0.25">
      <c r="A121" s="83"/>
      <c r="B121" s="83"/>
      <c r="C121" s="83"/>
      <c r="D121" s="83"/>
      <c r="E121" s="83"/>
      <c r="F121" s="83"/>
      <c r="G121" s="83"/>
      <c r="H121" s="85"/>
      <c r="I121" s="85"/>
      <c r="J121" s="85"/>
      <c r="K121" s="86"/>
      <c r="L121" s="86"/>
      <c r="M121" s="86"/>
      <c r="N121" s="86"/>
      <c r="O121" s="176"/>
      <c r="P121" s="198"/>
      <c r="Q121" s="198"/>
      <c r="R121" s="198"/>
      <c r="S121" s="198" t="str">
        <f>+S80</f>
        <v>1st Qrtr</v>
      </c>
      <c r="T121" s="118" t="s">
        <v>222</v>
      </c>
      <c r="AG121" s="140"/>
      <c r="AH121" s="140"/>
      <c r="AI121" s="140"/>
      <c r="AJ121" s="199"/>
      <c r="AK121" s="199"/>
      <c r="AL121" s="199"/>
      <c r="AM121" s="199" t="str">
        <f>+S121</f>
        <v>1st Qrtr</v>
      </c>
      <c r="AN121" s="254" t="str">
        <f>+AN80</f>
        <v>2011 to 2015</v>
      </c>
    </row>
    <row r="122" spans="1:40" ht="15.75" x14ac:dyDescent="0.25">
      <c r="A122" s="90" t="s">
        <v>27</v>
      </c>
      <c r="B122" s="89">
        <f t="shared" ref="B122:K122" si="212">V8</f>
        <v>1999</v>
      </c>
      <c r="C122" s="89">
        <f t="shared" si="212"/>
        <v>2000</v>
      </c>
      <c r="D122" s="89">
        <f t="shared" si="212"/>
        <v>2001</v>
      </c>
      <c r="E122" s="89">
        <f t="shared" si="212"/>
        <v>2002</v>
      </c>
      <c r="F122" s="89">
        <f t="shared" si="212"/>
        <v>2003</v>
      </c>
      <c r="G122" s="89">
        <f t="shared" si="212"/>
        <v>2004</v>
      </c>
      <c r="H122" s="89">
        <f t="shared" si="212"/>
        <v>2005</v>
      </c>
      <c r="I122" s="89">
        <f t="shared" si="212"/>
        <v>2006</v>
      </c>
      <c r="J122" s="89">
        <f t="shared" si="212"/>
        <v>2007</v>
      </c>
      <c r="K122" s="89">
        <f t="shared" si="212"/>
        <v>2008</v>
      </c>
      <c r="L122" s="89">
        <f>+L81</f>
        <v>2009</v>
      </c>
      <c r="M122" s="89">
        <f>+M8</f>
        <v>2010</v>
      </c>
      <c r="N122" s="89">
        <f>+N8</f>
        <v>2011</v>
      </c>
      <c r="O122" s="177">
        <f>+O8</f>
        <v>2012</v>
      </c>
      <c r="P122" s="177">
        <f>+P8</f>
        <v>2013</v>
      </c>
      <c r="Q122" s="177">
        <f>+Q81</f>
        <v>2014</v>
      </c>
      <c r="R122" s="177">
        <f>+R81</f>
        <v>2015</v>
      </c>
      <c r="S122" s="177">
        <f>+S81</f>
        <v>2016</v>
      </c>
      <c r="T122" s="116" t="s">
        <v>2</v>
      </c>
      <c r="U122" s="7"/>
      <c r="AA122" s="140">
        <f t="shared" ref="AA122:AL122" si="213">+G122</f>
        <v>2004</v>
      </c>
      <c r="AB122" s="140">
        <f t="shared" si="213"/>
        <v>2005</v>
      </c>
      <c r="AC122" s="140">
        <f t="shared" si="213"/>
        <v>2006</v>
      </c>
      <c r="AD122" s="140">
        <f t="shared" si="213"/>
        <v>2007</v>
      </c>
      <c r="AE122" s="140">
        <f t="shared" si="213"/>
        <v>2008</v>
      </c>
      <c r="AF122" s="140">
        <f t="shared" si="213"/>
        <v>2009</v>
      </c>
      <c r="AG122" s="140">
        <f t="shared" si="213"/>
        <v>2010</v>
      </c>
      <c r="AH122" s="140">
        <f t="shared" si="213"/>
        <v>2011</v>
      </c>
      <c r="AI122" s="140">
        <f t="shared" si="213"/>
        <v>2012</v>
      </c>
      <c r="AJ122" s="140">
        <f t="shared" si="213"/>
        <v>2013</v>
      </c>
      <c r="AK122" s="140">
        <f t="shared" si="213"/>
        <v>2014</v>
      </c>
      <c r="AL122" s="140">
        <f t="shared" si="213"/>
        <v>2015</v>
      </c>
      <c r="AM122" s="140">
        <f>+S122</f>
        <v>2016</v>
      </c>
      <c r="AN122" s="255" t="str">
        <f>+T122</f>
        <v>Average</v>
      </c>
    </row>
    <row r="123" spans="1:40" ht="15.75" customHeight="1" x14ac:dyDescent="0.2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2"/>
      <c r="U123" s="153" t="s">
        <v>152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5"/>
    </row>
    <row r="124" spans="1:40" ht="15.75" x14ac:dyDescent="0.25">
      <c r="A124" s="113" t="s">
        <v>35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42"/>
      <c r="U124" s="156" t="s">
        <v>147</v>
      </c>
      <c r="V124" s="7"/>
      <c r="W124" s="7"/>
      <c r="X124" s="7"/>
      <c r="Y124" s="7"/>
      <c r="Z124" s="7"/>
      <c r="AA124" s="157">
        <v>680.7</v>
      </c>
      <c r="AB124" s="157">
        <v>867.8</v>
      </c>
      <c r="AC124" s="157">
        <v>988.4</v>
      </c>
      <c r="AD124" s="157">
        <v>876.6</v>
      </c>
      <c r="AE124" s="157">
        <v>926.7</v>
      </c>
      <c r="AF124" s="157">
        <v>874</v>
      </c>
      <c r="AG124" s="157">
        <v>833</v>
      </c>
      <c r="AH124" s="157">
        <v>893</v>
      </c>
      <c r="AI124" s="157">
        <v>788.4</v>
      </c>
      <c r="AJ124" s="157">
        <v>910.3</v>
      </c>
      <c r="AK124" s="228">
        <v>875.7</v>
      </c>
      <c r="AL124" s="228">
        <v>847.3</v>
      </c>
      <c r="AM124" s="157">
        <v>554.9</v>
      </c>
      <c r="AN124" s="158">
        <f>AVERAGE(AH124:AL124)</f>
        <v>862.93999999999994</v>
      </c>
    </row>
    <row r="125" spans="1:40" ht="15" x14ac:dyDescent="0.2">
      <c r="A125" s="69" t="s">
        <v>6</v>
      </c>
      <c r="B125" s="112">
        <f t="shared" ref="B125:S125" si="214">B23/B54</f>
        <v>0.74089079724873141</v>
      </c>
      <c r="C125" s="112">
        <f t="shared" si="214"/>
        <v>0.71808631481641061</v>
      </c>
      <c r="D125" s="112">
        <f t="shared" si="214"/>
        <v>0.97588302316748954</v>
      </c>
      <c r="E125" s="112">
        <f t="shared" si="214"/>
        <v>0.94074924113422664</v>
      </c>
      <c r="F125" s="112">
        <f t="shared" si="214"/>
        <v>0.84477470859297543</v>
      </c>
      <c r="G125" s="112">
        <f t="shared" si="214"/>
        <v>0.81890669001086347</v>
      </c>
      <c r="H125" s="112">
        <f t="shared" si="214"/>
        <v>1.0078733653598355</v>
      </c>
      <c r="I125" s="112">
        <f t="shared" si="214"/>
        <v>0.83897002305918522</v>
      </c>
      <c r="J125" s="112">
        <f t="shared" si="214"/>
        <v>0.60538236077804419</v>
      </c>
      <c r="K125" s="112">
        <f t="shared" si="214"/>
        <v>0.84523809523809523</v>
      </c>
      <c r="L125" s="112">
        <f t="shared" si="214"/>
        <v>0.86538461538461542</v>
      </c>
      <c r="M125" s="112">
        <f t="shared" si="214"/>
        <v>0.84213564213564218</v>
      </c>
      <c r="N125" s="112">
        <f t="shared" si="214"/>
        <v>0.57834424695977549</v>
      </c>
      <c r="O125" s="112">
        <f t="shared" si="214"/>
        <v>0.69234629861982433</v>
      </c>
      <c r="P125" s="112">
        <f t="shared" si="214"/>
        <v>1.2085289514866979</v>
      </c>
      <c r="Q125" s="112">
        <f t="shared" si="214"/>
        <v>0.99809316262598746</v>
      </c>
      <c r="R125" s="112">
        <f t="shared" ref="R125" si="215">R23/R54</f>
        <v>0.81989775855289027</v>
      </c>
      <c r="S125" s="112" t="e">
        <f t="shared" si="214"/>
        <v>#DIV/0!</v>
      </c>
      <c r="T125" s="112">
        <f>AVERAGE(N125:R125)</f>
        <v>0.85944208364903507</v>
      </c>
      <c r="U125" s="156" t="s">
        <v>148</v>
      </c>
      <c r="V125" s="7"/>
      <c r="W125" s="7"/>
      <c r="X125" s="7"/>
      <c r="Y125" s="7"/>
      <c r="Z125" s="7"/>
      <c r="AA125" s="157">
        <v>49.1</v>
      </c>
      <c r="AB125" s="157">
        <v>40.1</v>
      </c>
      <c r="AC125" s="157">
        <v>23.5</v>
      </c>
      <c r="AD125" s="157">
        <v>9.9</v>
      </c>
      <c r="AE125" s="157">
        <v>12</v>
      </c>
      <c r="AF125" s="157">
        <v>8.3000000000000007</v>
      </c>
      <c r="AG125" s="157">
        <v>26.7</v>
      </c>
      <c r="AH125" s="157">
        <v>29.7</v>
      </c>
      <c r="AI125" s="157">
        <v>27.4</v>
      </c>
      <c r="AJ125" s="157">
        <v>28.1</v>
      </c>
      <c r="AK125" s="228">
        <v>29.9</v>
      </c>
      <c r="AL125" s="228">
        <v>23.6</v>
      </c>
      <c r="AM125" s="157">
        <v>16.899999999999999</v>
      </c>
      <c r="AN125" s="158">
        <f t="shared" ref="AN125:AN129" si="216">AVERAGE(AH125:AL125)</f>
        <v>27.74</v>
      </c>
    </row>
    <row r="126" spans="1:40" ht="15" x14ac:dyDescent="0.2">
      <c r="A126" s="69" t="s">
        <v>26</v>
      </c>
      <c r="B126" s="112">
        <f t="shared" ref="B126:S126" si="217">(B11+B13)/B54</f>
        <v>0.31131465952377746</v>
      </c>
      <c r="C126" s="112">
        <f t="shared" si="217"/>
        <v>0.27689210256249558</v>
      </c>
      <c r="D126" s="112">
        <f t="shared" si="217"/>
        <v>0.38020744659952593</v>
      </c>
      <c r="E126" s="112">
        <f t="shared" si="217"/>
        <v>0.39655734063818759</v>
      </c>
      <c r="F126" s="112">
        <f t="shared" si="217"/>
        <v>0.43214544408427047</v>
      </c>
      <c r="G126" s="112">
        <f t="shared" si="217"/>
        <v>0.27592207819602799</v>
      </c>
      <c r="H126" s="112">
        <f t="shared" si="217"/>
        <v>0.34491485664065341</v>
      </c>
      <c r="I126" s="112">
        <f t="shared" si="217"/>
        <v>0.33397386625672559</v>
      </c>
      <c r="J126" s="112">
        <f t="shared" si="217"/>
        <v>0.20303756994404476</v>
      </c>
      <c r="K126" s="112">
        <f t="shared" si="217"/>
        <v>0.23154761904761906</v>
      </c>
      <c r="L126" s="112">
        <f t="shared" si="217"/>
        <v>0.26116625310173697</v>
      </c>
      <c r="M126" s="112">
        <f t="shared" ref="M126:Q126" si="218">(M11+M13+M14+M15)/M54</f>
        <v>0.50793650793650791</v>
      </c>
      <c r="N126" s="112">
        <f t="shared" si="218"/>
        <v>0.36973807296538819</v>
      </c>
      <c r="O126" s="112">
        <f t="shared" si="218"/>
        <v>0.4476787954830615</v>
      </c>
      <c r="P126" s="112">
        <f t="shared" si="218"/>
        <v>0.85563380281690138</v>
      </c>
      <c r="Q126" s="112">
        <f t="shared" si="218"/>
        <v>0.61318441841460092</v>
      </c>
      <c r="R126" s="112">
        <f>(R11+R13+R14+R15)/R54</f>
        <v>0.48859614628391662</v>
      </c>
      <c r="S126" s="112" t="e">
        <f t="shared" si="217"/>
        <v>#DIV/0!</v>
      </c>
      <c r="T126" s="112">
        <f t="shared" ref="T126:T127" si="219">AVERAGE(N126:R126)</f>
        <v>0.55496624719277377</v>
      </c>
      <c r="U126" s="156" t="s">
        <v>155</v>
      </c>
      <c r="V126" s="7"/>
      <c r="W126" s="7"/>
      <c r="X126" s="7"/>
      <c r="Y126" s="7"/>
      <c r="Z126" s="7"/>
      <c r="AA126" s="157">
        <v>6.4</v>
      </c>
      <c r="AB126" s="157">
        <v>5.9</v>
      </c>
      <c r="AC126" s="157">
        <v>6.7</v>
      </c>
      <c r="AD126" s="157">
        <v>9.9</v>
      </c>
      <c r="AE126" s="157">
        <v>9.9</v>
      </c>
      <c r="AF126" s="157">
        <v>11.2</v>
      </c>
      <c r="AG126" s="157">
        <v>9.6999999999999993</v>
      </c>
      <c r="AH126" s="157">
        <v>11.3</v>
      </c>
      <c r="AI126" s="157">
        <v>11.9</v>
      </c>
      <c r="AJ126" s="157">
        <v>14.4</v>
      </c>
      <c r="AK126" s="228">
        <v>17.899999999999999</v>
      </c>
      <c r="AL126" s="228">
        <v>21.2</v>
      </c>
      <c r="AM126" s="157">
        <v>15.5</v>
      </c>
      <c r="AN126" s="158">
        <f t="shared" si="216"/>
        <v>15.34</v>
      </c>
    </row>
    <row r="127" spans="1:40" ht="15" x14ac:dyDescent="0.2">
      <c r="A127" s="69" t="s">
        <v>9</v>
      </c>
      <c r="B127" s="112">
        <f>365*(B13/B86)</f>
        <v>36.139248383662597</v>
      </c>
      <c r="C127" s="112">
        <f t="shared" ref="C127:L127" si="220">365*(((B13+C13)/2)/((B86+C86)/2))</f>
        <v>42.302976895689568</v>
      </c>
      <c r="D127" s="112">
        <f t="shared" si="220"/>
        <v>36.32865921224942</v>
      </c>
      <c r="E127" s="112">
        <f t="shared" si="220"/>
        <v>29.283435055062078</v>
      </c>
      <c r="F127" s="112">
        <f t="shared" si="220"/>
        <v>39.244282395647865</v>
      </c>
      <c r="G127" s="112">
        <f t="shared" si="220"/>
        <v>41.258901318810153</v>
      </c>
      <c r="H127" s="112">
        <f t="shared" si="220"/>
        <v>37.528579867264327</v>
      </c>
      <c r="I127" s="112">
        <f t="shared" si="220"/>
        <v>33.218173127059856</v>
      </c>
      <c r="J127" s="112">
        <f t="shared" si="220"/>
        <v>28.401682439537328</v>
      </c>
      <c r="K127" s="112">
        <f t="shared" si="220"/>
        <v>28.08128104304636</v>
      </c>
      <c r="L127" s="112">
        <f t="shared" si="220"/>
        <v>29.196958650140612</v>
      </c>
      <c r="M127" s="112">
        <f t="shared" ref="M127:Q127" si="221">365*(((L13+L14+L15+M13+M14+M15)/2)/((L86+M86)/2))</f>
        <v>67.721637041913539</v>
      </c>
      <c r="N127" s="112">
        <f t="shared" si="221"/>
        <v>63.261206389912914</v>
      </c>
      <c r="O127" s="112">
        <f t="shared" si="221"/>
        <v>65.803659202621517</v>
      </c>
      <c r="P127" s="112">
        <f t="shared" si="221"/>
        <v>76.416937229437224</v>
      </c>
      <c r="Q127" s="112">
        <f t="shared" si="221"/>
        <v>77.848666974880572</v>
      </c>
      <c r="R127" s="112">
        <f>365*(((Q13+Q14+Q15+R13+R14+R15)/2)/((Q86+R86)/2))</f>
        <v>86.134948096885822</v>
      </c>
      <c r="S127" s="112">
        <f>365*(((Q13+S13)/2)/((Q86+S86)/2))</f>
        <v>25.222187532521598</v>
      </c>
      <c r="T127" s="112">
        <f t="shared" si="219"/>
        <v>73.893083578747607</v>
      </c>
      <c r="U127" s="156" t="s">
        <v>149</v>
      </c>
      <c r="V127" s="7"/>
      <c r="W127" s="7"/>
      <c r="X127" s="7"/>
      <c r="Y127" s="7"/>
      <c r="Z127" s="7"/>
      <c r="AA127" s="157">
        <v>5.3</v>
      </c>
      <c r="AB127" s="157">
        <v>6.6</v>
      </c>
      <c r="AC127" s="157">
        <v>7.1</v>
      </c>
      <c r="AD127" s="157">
        <v>5.9</v>
      </c>
      <c r="AE127" s="157">
        <v>5.6</v>
      </c>
      <c r="AF127" s="157">
        <v>5.4</v>
      </c>
      <c r="AG127" s="157">
        <v>4.8</v>
      </c>
      <c r="AH127" s="157">
        <v>5.0999999999999996</v>
      </c>
      <c r="AI127" s="157">
        <v>4.5</v>
      </c>
      <c r="AJ127" s="157">
        <v>4.8</v>
      </c>
      <c r="AK127" s="228">
        <v>4.8</v>
      </c>
      <c r="AL127" s="228">
        <v>4.7</v>
      </c>
      <c r="AM127" s="157">
        <v>3.7</v>
      </c>
      <c r="AN127" s="158">
        <f t="shared" si="216"/>
        <v>4.7799999999999994</v>
      </c>
    </row>
    <row r="128" spans="1:40" ht="15" x14ac:dyDescent="0.2">
      <c r="A128" s="69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56" t="s">
        <v>150</v>
      </c>
      <c r="V128" s="7"/>
      <c r="W128" s="7"/>
      <c r="X128" s="7"/>
      <c r="Y128" s="7"/>
      <c r="Z128" s="7"/>
      <c r="AA128" s="142">
        <v>22.7</v>
      </c>
      <c r="AB128" s="142">
        <v>42.1</v>
      </c>
      <c r="AC128" s="142">
        <v>38.9</v>
      </c>
      <c r="AD128" s="142">
        <v>30.2</v>
      </c>
      <c r="AE128" s="142">
        <v>46.1</v>
      </c>
      <c r="AF128" s="142">
        <v>21</v>
      </c>
      <c r="AG128" s="142">
        <v>28.7</v>
      </c>
      <c r="AH128" s="142">
        <v>29.7</v>
      </c>
      <c r="AI128" s="142">
        <v>30</v>
      </c>
      <c r="AJ128" s="142">
        <v>28.2</v>
      </c>
      <c r="AK128" s="229">
        <v>32.6</v>
      </c>
      <c r="AL128" s="229">
        <v>20.8</v>
      </c>
      <c r="AM128" s="142">
        <v>14.8</v>
      </c>
      <c r="AN128" s="169">
        <f t="shared" si="216"/>
        <v>28.26</v>
      </c>
    </row>
    <row r="129" spans="1:40" ht="15.75" x14ac:dyDescent="0.25">
      <c r="A129" s="113" t="s">
        <v>15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56" t="s">
        <v>151</v>
      </c>
      <c r="V129" s="7"/>
      <c r="W129" s="7"/>
      <c r="X129" s="7"/>
      <c r="Y129" s="7"/>
      <c r="Z129" s="7"/>
      <c r="AA129" s="157">
        <f t="shared" ref="AA129:AF129" si="222">+AA128+AA127+AA126+AA125+AA124</f>
        <v>764.2</v>
      </c>
      <c r="AB129" s="157">
        <f t="shared" si="222"/>
        <v>962.5</v>
      </c>
      <c r="AC129" s="157">
        <f t="shared" si="222"/>
        <v>1064.5999999999999</v>
      </c>
      <c r="AD129" s="157">
        <f t="shared" si="222"/>
        <v>932.5</v>
      </c>
      <c r="AE129" s="157">
        <f t="shared" si="222"/>
        <v>1000.3000000000001</v>
      </c>
      <c r="AF129" s="157">
        <f t="shared" si="222"/>
        <v>919.9</v>
      </c>
      <c r="AG129" s="157">
        <f t="shared" ref="AG129:AM129" si="223">+AG128+AG127+AG126+AG125+AG124</f>
        <v>902.9</v>
      </c>
      <c r="AH129" s="157">
        <f t="shared" si="223"/>
        <v>968.8</v>
      </c>
      <c r="AI129" s="157">
        <f t="shared" si="223"/>
        <v>862.19999999999993</v>
      </c>
      <c r="AJ129" s="157">
        <f t="shared" si="223"/>
        <v>985.8</v>
      </c>
      <c r="AK129" s="157">
        <f t="shared" si="223"/>
        <v>960.90000000000009</v>
      </c>
      <c r="AL129" s="157">
        <f t="shared" ref="AL129" si="224">+AL128+AL127+AL126+AL125+AL124</f>
        <v>917.59999999999991</v>
      </c>
      <c r="AM129" s="157">
        <f t="shared" si="223"/>
        <v>605.79999999999995</v>
      </c>
      <c r="AN129" s="158">
        <f t="shared" si="216"/>
        <v>939.06000000000006</v>
      </c>
    </row>
    <row r="130" spans="1:40" ht="15.75" x14ac:dyDescent="0.25">
      <c r="A130" s="69" t="s">
        <v>19</v>
      </c>
      <c r="B130" s="112">
        <f t="shared" ref="B130:S130" si="225">B69/B62</f>
        <v>0.57239562846755143</v>
      </c>
      <c r="C130" s="112">
        <f t="shared" si="225"/>
        <v>0.46630759178483761</v>
      </c>
      <c r="D130" s="112">
        <f t="shared" si="225"/>
        <v>0.57950427625659429</v>
      </c>
      <c r="E130" s="112">
        <f t="shared" si="225"/>
        <v>0.60588883761967549</v>
      </c>
      <c r="F130" s="112">
        <f t="shared" si="225"/>
        <v>0.51432917999607197</v>
      </c>
      <c r="G130" s="112">
        <f t="shared" si="225"/>
        <v>0.45211775665786752</v>
      </c>
      <c r="H130" s="112">
        <f t="shared" si="225"/>
        <v>0.4038168549003987</v>
      </c>
      <c r="I130" s="112">
        <f t="shared" si="225"/>
        <v>0.44318945811483124</v>
      </c>
      <c r="J130" s="112">
        <f t="shared" si="225"/>
        <v>0.41197097944377264</v>
      </c>
      <c r="K130" s="112">
        <f t="shared" si="225"/>
        <v>0.41786179921773142</v>
      </c>
      <c r="L130" s="112">
        <f t="shared" si="225"/>
        <v>0.4244229337304542</v>
      </c>
      <c r="M130" s="112">
        <f t="shared" si="225"/>
        <v>0.4172524603334003</v>
      </c>
      <c r="N130" s="112">
        <f t="shared" si="225"/>
        <v>0.45453632070732441</v>
      </c>
      <c r="O130" s="112">
        <f t="shared" si="225"/>
        <v>0.40390429299473091</v>
      </c>
      <c r="P130" s="112">
        <f t="shared" si="225"/>
        <v>0.47389194967519116</v>
      </c>
      <c r="Q130" s="112">
        <f t="shared" si="225"/>
        <v>0.43513119533527694</v>
      </c>
      <c r="R130" s="112">
        <f t="shared" ref="R130" si="226">R69/R62</f>
        <v>0.39756889200025458</v>
      </c>
      <c r="S130" s="112" t="e">
        <f t="shared" si="225"/>
        <v>#DIV/0!</v>
      </c>
      <c r="T130" s="112">
        <f t="shared" ref="T130:T133" si="227">AVERAGE(N130:R130)</f>
        <v>0.43300653014255558</v>
      </c>
      <c r="U130" s="161" t="s">
        <v>167</v>
      </c>
      <c r="V130" s="7"/>
      <c r="W130" s="7"/>
      <c r="X130" s="7"/>
      <c r="Y130" s="7"/>
      <c r="Z130" s="7"/>
      <c r="AA130" s="162"/>
      <c r="AB130" s="173">
        <f t="shared" ref="AB130:AI130" si="228">+(AB129-AA129)/AA129</f>
        <v>0.25948704527610567</v>
      </c>
      <c r="AC130" s="173">
        <f t="shared" si="228"/>
        <v>0.10607792207792198</v>
      </c>
      <c r="AD130" s="173">
        <f t="shared" si="228"/>
        <v>-0.12408416306594018</v>
      </c>
      <c r="AE130" s="173">
        <f t="shared" si="228"/>
        <v>7.2707774798927691E-2</v>
      </c>
      <c r="AF130" s="173">
        <f t="shared" si="228"/>
        <v>-8.0375887233829935E-2</v>
      </c>
      <c r="AG130" s="173">
        <f t="shared" si="228"/>
        <v>-1.8480269594521145E-2</v>
      </c>
      <c r="AH130" s="173">
        <f t="shared" si="228"/>
        <v>7.2987041754347087E-2</v>
      </c>
      <c r="AI130" s="173">
        <f t="shared" si="228"/>
        <v>-0.1100330305532618</v>
      </c>
      <c r="AJ130" s="173">
        <f>+(AJ129-AI129)/AI129</f>
        <v>0.1433542101600557</v>
      </c>
      <c r="AK130" s="173">
        <f>+(AK129-AJ129)/AJ129</f>
        <v>-2.5258673158855615E-2</v>
      </c>
      <c r="AL130" s="173">
        <f>+(AL129-AK129)/AK129</f>
        <v>-4.5061921115620955E-2</v>
      </c>
      <c r="AM130" s="173"/>
      <c r="AN130" s="181">
        <f>AVERAGE(AH130:AL130)</f>
        <v>7.1975254173328824E-3</v>
      </c>
    </row>
    <row r="131" spans="1:40" ht="15" x14ac:dyDescent="0.2">
      <c r="A131" s="69" t="s">
        <v>18</v>
      </c>
      <c r="B131" s="112">
        <f t="shared" ref="B131:S131" si="229">B69/B60</f>
        <v>0.84536529160100526</v>
      </c>
      <c r="C131" s="112">
        <f t="shared" si="229"/>
        <v>0.84913111148270581</v>
      </c>
      <c r="D131" s="112">
        <f t="shared" si="229"/>
        <v>0.81537362640291466</v>
      </c>
      <c r="E131" s="112">
        <f t="shared" si="229"/>
        <v>0.81962323677894344</v>
      </c>
      <c r="F131" s="112">
        <f t="shared" si="229"/>
        <v>0.76084039365445177</v>
      </c>
      <c r="G131" s="112">
        <f t="shared" si="229"/>
        <v>0.76408841923448267</v>
      </c>
      <c r="H131" s="112">
        <f t="shared" si="229"/>
        <v>0.65549485510484384</v>
      </c>
      <c r="I131" s="112">
        <f t="shared" si="229"/>
        <v>0.68169596690796275</v>
      </c>
      <c r="J131" s="112">
        <f t="shared" si="229"/>
        <v>0.75426167810493694</v>
      </c>
      <c r="K131" s="112">
        <f t="shared" si="229"/>
        <v>0.65811088295687881</v>
      </c>
      <c r="L131" s="112">
        <f t="shared" si="229"/>
        <v>0.64594463331714425</v>
      </c>
      <c r="M131" s="112">
        <f t="shared" si="229"/>
        <v>0.63991991375327273</v>
      </c>
      <c r="N131" s="112">
        <f t="shared" si="229"/>
        <v>0.79689977100581288</v>
      </c>
      <c r="O131" s="112">
        <f t="shared" si="229"/>
        <v>0.6159114857744995</v>
      </c>
      <c r="P131" s="112">
        <f t="shared" si="229"/>
        <v>0.6</v>
      </c>
      <c r="Q131" s="112">
        <f t="shared" si="229"/>
        <v>0.59408896407602751</v>
      </c>
      <c r="R131" s="112">
        <f t="shared" ref="R131" si="230">R69/R60</f>
        <v>0.58784228851039799</v>
      </c>
      <c r="S131" s="112" t="e">
        <f t="shared" si="229"/>
        <v>#DIV/0!</v>
      </c>
      <c r="T131" s="112">
        <f t="shared" si="227"/>
        <v>0.63894850187334762</v>
      </c>
      <c r="U131" s="159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60"/>
    </row>
    <row r="132" spans="1:40" ht="15.75" x14ac:dyDescent="0.25">
      <c r="A132" s="69" t="s">
        <v>17</v>
      </c>
      <c r="B132" s="112">
        <f t="shared" ref="B132:S132" si="231">B69/B33</f>
        <v>0.44455415130770581</v>
      </c>
      <c r="C132" s="112">
        <f t="shared" si="231"/>
        <v>0.42598884274988463</v>
      </c>
      <c r="D132" s="112">
        <f t="shared" si="231"/>
        <v>0.46715846760893731</v>
      </c>
      <c r="E132" s="112">
        <f t="shared" si="231"/>
        <v>0.46146561814406795</v>
      </c>
      <c r="F132" s="112">
        <f t="shared" si="231"/>
        <v>0.43657442858636408</v>
      </c>
      <c r="G132" s="112">
        <f t="shared" si="231"/>
        <v>0.42377702163614517</v>
      </c>
      <c r="H132" s="112">
        <f t="shared" si="231"/>
        <v>0.41479591570805341</v>
      </c>
      <c r="I132" s="112">
        <f t="shared" si="231"/>
        <v>0.40190220704792101</v>
      </c>
      <c r="J132" s="112">
        <f t="shared" si="231"/>
        <v>0.37484871823082849</v>
      </c>
      <c r="K132" s="112">
        <f t="shared" si="231"/>
        <v>0.3886811520970187</v>
      </c>
      <c r="L132" s="112">
        <f t="shared" si="231"/>
        <v>0.38681531749878817</v>
      </c>
      <c r="M132" s="112">
        <f t="shared" si="231"/>
        <v>0.37900209796588524</v>
      </c>
      <c r="N132" s="112">
        <f t="shared" si="231"/>
        <v>0.38423645320197042</v>
      </c>
      <c r="O132" s="112">
        <f t="shared" si="231"/>
        <v>0.35309219965264665</v>
      </c>
      <c r="P132" s="112">
        <f t="shared" si="231"/>
        <v>0.39532171765674301</v>
      </c>
      <c r="Q132" s="112">
        <f t="shared" si="231"/>
        <v>0.37977099236641221</v>
      </c>
      <c r="R132" s="112">
        <f t="shared" ref="R132" si="232">R69/R33</f>
        <v>0.35532677322109096</v>
      </c>
      <c r="S132" s="112" t="e">
        <f t="shared" si="231"/>
        <v>#DIV/0!</v>
      </c>
      <c r="T132" s="112">
        <f t="shared" si="227"/>
        <v>0.37354962721977258</v>
      </c>
      <c r="U132" s="163" t="s">
        <v>153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60"/>
    </row>
    <row r="133" spans="1:40" ht="15" x14ac:dyDescent="0.2">
      <c r="A133" s="69" t="s">
        <v>36</v>
      </c>
      <c r="B133" s="112">
        <f t="shared" ref="B133:J133" si="233">(B105+B99)/B99</f>
        <v>2.4071877180739705</v>
      </c>
      <c r="C133" s="112">
        <f t="shared" si="233"/>
        <v>2.7609429209638323</v>
      </c>
      <c r="D133" s="112">
        <f t="shared" si="233"/>
        <v>2.6723304033309501</v>
      </c>
      <c r="E133" s="112">
        <f t="shared" si="233"/>
        <v>3.2310735719048678</v>
      </c>
      <c r="F133" s="112">
        <f t="shared" si="233"/>
        <v>2.6026019824628288</v>
      </c>
      <c r="G133" s="112">
        <f t="shared" si="233"/>
        <v>3.5967161607459586</v>
      </c>
      <c r="H133" s="112">
        <f t="shared" si="233"/>
        <v>3.8401131064589742</v>
      </c>
      <c r="I133" s="112">
        <f t="shared" si="233"/>
        <v>3.6061946902654869</v>
      </c>
      <c r="J133" s="112">
        <f t="shared" si="233"/>
        <v>3.5084033613445378</v>
      </c>
      <c r="K133" s="112">
        <f>(K105+K99)/K99</f>
        <v>3.5476190476190474</v>
      </c>
      <c r="L133" s="112">
        <f t="shared" ref="L133:O133" si="234">(L105+L99)/L99</f>
        <v>3.3157894736842106</v>
      </c>
      <c r="M133" s="112">
        <f t="shared" si="234"/>
        <v>3.6374045801526718</v>
      </c>
      <c r="N133" s="112">
        <f t="shared" si="234"/>
        <v>3.8416988416988418</v>
      </c>
      <c r="O133" s="112">
        <f t="shared" si="234"/>
        <v>4.0829875518672196</v>
      </c>
      <c r="P133" s="112">
        <f>(P105+P99)/P99</f>
        <v>4.7982062780269059</v>
      </c>
      <c r="Q133" s="112">
        <f>(Q105+Q99)/Q99</f>
        <v>4.0921985815602833</v>
      </c>
      <c r="R133" s="112">
        <f>(R105+R99)/R99</f>
        <v>4.5017667844522968</v>
      </c>
      <c r="S133" s="112" t="e">
        <f>(S105+S99)/S99</f>
        <v>#DIV/0!</v>
      </c>
      <c r="T133" s="112">
        <f t="shared" si="227"/>
        <v>4.2633716075211092</v>
      </c>
      <c r="U133" s="156" t="str">
        <f t="shared" ref="U133:U138" si="235">+U124</f>
        <v xml:space="preserve">   Residential &amp; Commercial Sales</v>
      </c>
      <c r="V133" s="7"/>
      <c r="W133" s="7"/>
      <c r="X133" s="7"/>
      <c r="Y133" s="7"/>
      <c r="Z133" s="7"/>
      <c r="AA133" s="162">
        <f t="shared" ref="AA133:AK133" si="236">+AA124/AA$129</f>
        <v>0.89073540957864439</v>
      </c>
      <c r="AB133" s="173">
        <f t="shared" si="236"/>
        <v>0.90161038961038953</v>
      </c>
      <c r="AC133" s="173">
        <f t="shared" si="236"/>
        <v>0.92842382115348498</v>
      </c>
      <c r="AD133" s="162">
        <f t="shared" si="236"/>
        <v>0.94005361930294906</v>
      </c>
      <c r="AE133" s="162">
        <f t="shared" si="236"/>
        <v>0.92642207337798654</v>
      </c>
      <c r="AF133" s="162">
        <f t="shared" si="236"/>
        <v>0.95010327209479295</v>
      </c>
      <c r="AG133" s="162">
        <f t="shared" si="236"/>
        <v>0.92258278879167133</v>
      </c>
      <c r="AH133" s="162">
        <f t="shared" si="236"/>
        <v>0.92175887696118919</v>
      </c>
      <c r="AI133" s="162">
        <f t="shared" si="236"/>
        <v>0.91440501043841338</v>
      </c>
      <c r="AJ133" s="162">
        <f t="shared" si="236"/>
        <v>0.92341245688780682</v>
      </c>
      <c r="AK133" s="162">
        <f t="shared" si="236"/>
        <v>0.91133312519512955</v>
      </c>
      <c r="AL133" s="162">
        <f t="shared" ref="AL133" si="237">+AL124/AL$129</f>
        <v>0.92338709677419362</v>
      </c>
      <c r="AM133" s="162">
        <f t="shared" ref="AM133" si="238">+AM124/AM$129</f>
        <v>0.91597887091449326</v>
      </c>
      <c r="AN133" s="256">
        <f t="shared" ref="AN133:AN138" si="239">AVERAGE(AH133:AL133)</f>
        <v>0.91885931325134662</v>
      </c>
    </row>
    <row r="134" spans="1:40" ht="15" x14ac:dyDescent="0.2">
      <c r="A134" s="69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56" t="str">
        <f t="shared" si="235"/>
        <v xml:space="preserve">   Industrial Sales</v>
      </c>
      <c r="V134" s="7"/>
      <c r="W134" s="7"/>
      <c r="X134" s="7"/>
      <c r="Y134" s="7"/>
      <c r="Z134" s="7"/>
      <c r="AA134" s="162">
        <f t="shared" ref="AA134:AK134" si="240">+AA125/AA$129</f>
        <v>6.4250196283695368E-2</v>
      </c>
      <c r="AB134" s="173">
        <f t="shared" si="240"/>
        <v>4.1662337662337665E-2</v>
      </c>
      <c r="AC134" s="173">
        <f t="shared" si="240"/>
        <v>2.2074018410670675E-2</v>
      </c>
      <c r="AD134" s="162">
        <f t="shared" si="240"/>
        <v>1.061662198391421E-2</v>
      </c>
      <c r="AE134" s="162">
        <f t="shared" si="240"/>
        <v>1.1996401079676096E-2</v>
      </c>
      <c r="AF134" s="162">
        <f t="shared" si="240"/>
        <v>9.0227198608544418E-3</v>
      </c>
      <c r="AG134" s="162">
        <f t="shared" si="240"/>
        <v>2.9571381105327279E-2</v>
      </c>
      <c r="AH134" s="162">
        <f t="shared" si="240"/>
        <v>3.0656482246077622E-2</v>
      </c>
      <c r="AI134" s="162">
        <f t="shared" si="240"/>
        <v>3.1779169566225937E-2</v>
      </c>
      <c r="AJ134" s="162">
        <f t="shared" si="240"/>
        <v>2.8504767701359304E-2</v>
      </c>
      <c r="AK134" s="162">
        <f t="shared" si="240"/>
        <v>3.1116661463211567E-2</v>
      </c>
      <c r="AL134" s="162">
        <f t="shared" ref="AL134" si="241">+AL125/AL$129</f>
        <v>2.5719267654751531E-2</v>
      </c>
      <c r="AM134" s="162">
        <f t="shared" ref="AM134" si="242">+AM125/AM$129</f>
        <v>2.7896995708154505E-2</v>
      </c>
      <c r="AN134" s="256">
        <f t="shared" si="239"/>
        <v>2.955526972632519E-2</v>
      </c>
    </row>
    <row r="135" spans="1:40" ht="15.75" x14ac:dyDescent="0.25">
      <c r="A135" s="113" t="s">
        <v>70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56" t="str">
        <f t="shared" si="235"/>
        <v xml:space="preserve">   Transportation for Industrial </v>
      </c>
      <c r="V135" s="7"/>
      <c r="W135" s="7"/>
      <c r="X135" s="7"/>
      <c r="Y135" s="7"/>
      <c r="Z135" s="7"/>
      <c r="AA135" s="162">
        <f t="shared" ref="AA135:AK135" si="243">+AA126/AA$129</f>
        <v>8.3747710023554037E-3</v>
      </c>
      <c r="AB135" s="173">
        <f t="shared" si="243"/>
        <v>6.1298701298701302E-3</v>
      </c>
      <c r="AC135" s="173">
        <f t="shared" si="243"/>
        <v>6.2934435468720651E-3</v>
      </c>
      <c r="AD135" s="162">
        <f t="shared" si="243"/>
        <v>1.061662198391421E-2</v>
      </c>
      <c r="AE135" s="162">
        <f t="shared" si="243"/>
        <v>9.8970308907327803E-3</v>
      </c>
      <c r="AF135" s="162">
        <f t="shared" si="243"/>
        <v>1.2175236438743341E-2</v>
      </c>
      <c r="AG135" s="162">
        <f t="shared" si="243"/>
        <v>1.0743160925905415E-2</v>
      </c>
      <c r="AH135" s="162">
        <f t="shared" si="243"/>
        <v>1.166391412056152E-2</v>
      </c>
      <c r="AI135" s="162">
        <f t="shared" si="243"/>
        <v>1.3801902110879147E-2</v>
      </c>
      <c r="AJ135" s="162">
        <f t="shared" si="243"/>
        <v>1.4607425441265977E-2</v>
      </c>
      <c r="AK135" s="162">
        <f t="shared" si="243"/>
        <v>1.8628369237173481E-2</v>
      </c>
      <c r="AL135" s="162">
        <f t="shared" ref="AL135" si="244">+AL126/AL$129</f>
        <v>2.3103748910200523E-2</v>
      </c>
      <c r="AM135" s="162">
        <f t="shared" ref="AM135" si="245">+AM126/AM$129</f>
        <v>2.5586001980851768E-2</v>
      </c>
      <c r="AN135" s="256">
        <f t="shared" si="239"/>
        <v>1.6361071964016129E-2</v>
      </c>
    </row>
    <row r="136" spans="1:40" ht="15" x14ac:dyDescent="0.2">
      <c r="A136" s="69" t="s">
        <v>143</v>
      </c>
      <c r="B136" s="42">
        <f t="shared" ref="B136:J136" si="246">(+B86-B89-B90)/B86</f>
        <v>0.42821995079311104</v>
      </c>
      <c r="C136" s="42">
        <f t="shared" si="246"/>
        <v>0.37739072438063798</v>
      </c>
      <c r="D136" s="42">
        <f t="shared" si="246"/>
        <v>0.29195313820366903</v>
      </c>
      <c r="E136" s="42">
        <f t="shared" si="246"/>
        <v>0.37819116691379334</v>
      </c>
      <c r="F136" s="42">
        <f t="shared" si="246"/>
        <v>0.36469214727976879</v>
      </c>
      <c r="G136" s="42">
        <f t="shared" si="246"/>
        <v>0.2984390069000894</v>
      </c>
      <c r="H136" s="42">
        <f t="shared" si="246"/>
        <v>0.25180484693214983</v>
      </c>
      <c r="I136" s="42">
        <f t="shared" si="246"/>
        <v>0.22806687957918467</v>
      </c>
      <c r="J136" s="42">
        <f t="shared" si="246"/>
        <v>0.26305630026809651</v>
      </c>
      <c r="K136" s="42">
        <f>(+K86-K89-K90)/K86</f>
        <v>0.26332100369889033</v>
      </c>
      <c r="L136" s="42">
        <f t="shared" ref="L136:N136" si="247">(+L86-L89-L90)/L86</f>
        <v>0.31883900423959127</v>
      </c>
      <c r="M136" s="151">
        <f t="shared" si="247"/>
        <v>0.34411341233802195</v>
      </c>
      <c r="N136" s="151">
        <f t="shared" si="247"/>
        <v>0.33350536746490506</v>
      </c>
      <c r="O136" s="151">
        <f t="shared" ref="O136:P136" si="248">(+O86-O89-O90)/O86</f>
        <v>0.38146601716539086</v>
      </c>
      <c r="P136" s="151">
        <f t="shared" si="248"/>
        <v>0.34002840332724693</v>
      </c>
      <c r="Q136" s="151">
        <f t="shared" ref="Q136:S136" si="249">(+Q86-Q89-Q90)/Q86</f>
        <v>0.37059007180768028</v>
      </c>
      <c r="R136" s="151">
        <f t="shared" ref="R136" si="250">(+R86-R89-R90)/R86</f>
        <v>0.39178291194420228</v>
      </c>
      <c r="S136" s="151" t="e">
        <f t="shared" si="249"/>
        <v>#DIV/0!</v>
      </c>
      <c r="T136" s="151">
        <f>AVERAGE(N136:R136)</f>
        <v>0.36347455434188503</v>
      </c>
      <c r="U136" s="156" t="str">
        <f t="shared" si="235"/>
        <v xml:space="preserve">   Service</v>
      </c>
      <c r="V136" s="7"/>
      <c r="W136" s="7"/>
      <c r="X136" s="7"/>
      <c r="Y136" s="7"/>
      <c r="Z136" s="7"/>
      <c r="AA136" s="162">
        <f t="shared" ref="AA136:AK136" si="251">+AA127/AA$129</f>
        <v>6.935357236325569E-3</v>
      </c>
      <c r="AB136" s="173">
        <f t="shared" si="251"/>
        <v>6.8571428571428568E-3</v>
      </c>
      <c r="AC136" s="173">
        <f t="shared" si="251"/>
        <v>6.6691715198196506E-3</v>
      </c>
      <c r="AD136" s="162">
        <f t="shared" si="251"/>
        <v>6.3270777479892768E-3</v>
      </c>
      <c r="AE136" s="162">
        <f t="shared" si="251"/>
        <v>5.598320503848845E-3</v>
      </c>
      <c r="AF136" s="162">
        <f t="shared" si="251"/>
        <v>5.8702032829655399E-3</v>
      </c>
      <c r="AG136" s="162">
        <f t="shared" si="251"/>
        <v>5.3162033447779374E-3</v>
      </c>
      <c r="AH136" s="162">
        <f t="shared" si="251"/>
        <v>5.2642444260941369E-3</v>
      </c>
      <c r="AI136" s="162">
        <f t="shared" si="251"/>
        <v>5.2192066805845519E-3</v>
      </c>
      <c r="AJ136" s="162">
        <f t="shared" si="251"/>
        <v>4.8691418137553257E-3</v>
      </c>
      <c r="AK136" s="162">
        <f t="shared" si="251"/>
        <v>4.9953168904152351E-3</v>
      </c>
      <c r="AL136" s="162">
        <f t="shared" ref="AL136" si="252">+AL127/AL$129</f>
        <v>5.1220575414123812E-3</v>
      </c>
      <c r="AM136" s="162">
        <f t="shared" ref="AM136" si="253">+AM127/AM$129</f>
        <v>6.1076262793001001E-3</v>
      </c>
      <c r="AN136" s="256">
        <f t="shared" si="239"/>
        <v>5.0939934704523262E-3</v>
      </c>
    </row>
    <row r="137" spans="1:40" ht="15" x14ac:dyDescent="0.2">
      <c r="A137" s="69" t="s">
        <v>144</v>
      </c>
      <c r="B137" s="42">
        <f t="shared" ref="B137:K137" si="254">+B108/B86</f>
        <v>4.2714868970544766E-2</v>
      </c>
      <c r="C137" s="42">
        <f t="shared" si="254"/>
        <v>4.5016226931116586E-2</v>
      </c>
      <c r="D137" s="42">
        <f t="shared" si="254"/>
        <v>3.6745522380640605E-2</v>
      </c>
      <c r="E137" s="42">
        <f t="shared" si="254"/>
        <v>5.4405376223109231E-2</v>
      </c>
      <c r="F137" s="42">
        <f t="shared" si="254"/>
        <v>3.2499456517363266E-2</v>
      </c>
      <c r="G137" s="42">
        <f t="shared" si="254"/>
        <v>4.1168919369845056E-2</v>
      </c>
      <c r="H137" s="42">
        <f t="shared" si="254"/>
        <v>3.7374798321536506E-2</v>
      </c>
      <c r="I137" s="42">
        <f t="shared" si="254"/>
        <v>3.4754837497651701E-2</v>
      </c>
      <c r="J137" s="42">
        <f t="shared" si="254"/>
        <v>4.0107238605898127E-2</v>
      </c>
      <c r="K137" s="42">
        <f t="shared" si="254"/>
        <v>4.0187943616914926E-2</v>
      </c>
      <c r="L137" s="42">
        <f t="shared" ref="L137:N137" si="255">+L108/L86</f>
        <v>4.5222306772475268E-2</v>
      </c>
      <c r="M137" s="151">
        <f t="shared" si="255"/>
        <v>4.8621109757448225E-2</v>
      </c>
      <c r="N137" s="151">
        <f t="shared" si="255"/>
        <v>4.7584640792733279E-2</v>
      </c>
      <c r="O137" s="151">
        <f t="shared" ref="O137:P137" si="256">+O108/O86</f>
        <v>5.4627696590118305E-2</v>
      </c>
      <c r="P137" s="151">
        <f t="shared" si="256"/>
        <v>5.3560559951308581E-2</v>
      </c>
      <c r="Q137" s="261">
        <f t="shared" ref="Q137:S137" si="257">+Q108/Q86</f>
        <v>5.7446144239775211E-2</v>
      </c>
      <c r="R137" s="261">
        <f t="shared" ref="R137" si="258">+R108/R86</f>
        <v>7.0074106364428942E-2</v>
      </c>
      <c r="S137" s="261" t="e">
        <f t="shared" si="257"/>
        <v>#DIV/0!</v>
      </c>
      <c r="T137" s="151">
        <f t="shared" ref="T137:T141" si="259">AVERAGE(N137:R137)</f>
        <v>5.6658629587672857E-2</v>
      </c>
      <c r="U137" s="164" t="str">
        <f t="shared" si="235"/>
        <v xml:space="preserve">   Other</v>
      </c>
      <c r="V137" s="141"/>
      <c r="W137" s="141"/>
      <c r="X137" s="141"/>
      <c r="Y137" s="141"/>
      <c r="Z137" s="141"/>
      <c r="AA137" s="144">
        <f t="shared" ref="AA137:AK137" si="260">+AA128/AA$129</f>
        <v>2.9704265898979322E-2</v>
      </c>
      <c r="AB137" s="172">
        <f t="shared" si="260"/>
        <v>4.3740259740259739E-2</v>
      </c>
      <c r="AC137" s="172">
        <f t="shared" si="260"/>
        <v>3.6539545369152736E-2</v>
      </c>
      <c r="AD137" s="144">
        <f t="shared" si="260"/>
        <v>3.2386058981233243E-2</v>
      </c>
      <c r="AE137" s="144">
        <f t="shared" si="260"/>
        <v>4.6086174147755669E-2</v>
      </c>
      <c r="AF137" s="144">
        <f t="shared" si="260"/>
        <v>2.2828568322643766E-2</v>
      </c>
      <c r="AG137" s="144">
        <f t="shared" si="260"/>
        <v>3.1786465832318089E-2</v>
      </c>
      <c r="AH137" s="144">
        <f t="shared" si="260"/>
        <v>3.0656482246077622E-2</v>
      </c>
      <c r="AI137" s="144">
        <f t="shared" si="260"/>
        <v>3.4794711203897009E-2</v>
      </c>
      <c r="AJ137" s="144">
        <f t="shared" si="260"/>
        <v>2.8606208155812538E-2</v>
      </c>
      <c r="AK137" s="144">
        <f t="shared" si="260"/>
        <v>3.3926527214070142E-2</v>
      </c>
      <c r="AL137" s="144">
        <f t="shared" ref="AL137" si="261">+AL128/AL$129</f>
        <v>2.2667829119442026E-2</v>
      </c>
      <c r="AM137" s="144">
        <f t="shared" ref="AM137" si="262">+AM128/AM$129</f>
        <v>2.44305051172004E-2</v>
      </c>
      <c r="AN137" s="257">
        <f t="shared" si="239"/>
        <v>3.0130351587859872E-2</v>
      </c>
    </row>
    <row r="138" spans="1:40" ht="15" x14ac:dyDescent="0.2">
      <c r="A138" s="69" t="s">
        <v>29</v>
      </c>
      <c r="B138" s="42">
        <f>(B108+(B99*(1-(B107/B105))))/((B41)/1)</f>
        <v>4.5437974282927861E-2</v>
      </c>
      <c r="C138" s="42">
        <f t="shared" ref="C138:R138" si="263">(C108+(C99*(1-(C107/C105))))/((B41+C41)/2)</f>
        <v>4.8761390410488763E-2</v>
      </c>
      <c r="D138" s="42">
        <f t="shared" si="263"/>
        <v>4.968750191785988E-2</v>
      </c>
      <c r="E138" s="42">
        <f t="shared" si="263"/>
        <v>5.6339724460796936E-2</v>
      </c>
      <c r="F138" s="42">
        <f t="shared" si="263"/>
        <v>3.7877382395332809E-2</v>
      </c>
      <c r="G138" s="42">
        <f t="shared" si="263"/>
        <v>4.5358363426255467E-2</v>
      </c>
      <c r="H138" s="42">
        <f t="shared" si="263"/>
        <v>4.5926418451123302E-2</v>
      </c>
      <c r="I138" s="42">
        <f t="shared" si="263"/>
        <v>4.6971418637880867E-2</v>
      </c>
      <c r="J138" s="42">
        <f t="shared" si="263"/>
        <v>4.6684411197740902E-2</v>
      </c>
      <c r="K138" s="42">
        <f t="shared" si="263"/>
        <v>4.5277987020128967E-2</v>
      </c>
      <c r="L138" s="42">
        <f t="shared" si="263"/>
        <v>4.505399671997002E-2</v>
      </c>
      <c r="M138" s="151">
        <f t="shared" si="263"/>
        <v>4.4026433939565381E-2</v>
      </c>
      <c r="N138" s="151">
        <f t="shared" si="263"/>
        <v>4.3597544748087656E-2</v>
      </c>
      <c r="O138" s="151">
        <f t="shared" si="263"/>
        <v>4.0597064083085478E-2</v>
      </c>
      <c r="P138" s="151">
        <f t="shared" si="263"/>
        <v>3.9032857595048542E-2</v>
      </c>
      <c r="Q138" s="151">
        <f t="shared" si="263"/>
        <v>3.8842652282016797E-2</v>
      </c>
      <c r="R138" s="151">
        <f t="shared" si="263"/>
        <v>3.9693714014364577E-2</v>
      </c>
      <c r="S138" s="261" t="e">
        <f>(S108+(S99*(1-(S107/S105))))/((Q41+S41)/2)*4/3</f>
        <v>#DIV/0!</v>
      </c>
      <c r="T138" s="151">
        <f t="shared" si="259"/>
        <v>4.0352766544520614E-2</v>
      </c>
      <c r="U138" s="164" t="str">
        <f t="shared" si="235"/>
        <v xml:space="preserve">      Total Revenue</v>
      </c>
      <c r="V138" s="141"/>
      <c r="W138" s="141"/>
      <c r="X138" s="141"/>
      <c r="Y138" s="141"/>
      <c r="Z138" s="141"/>
      <c r="AA138" s="144">
        <f t="shared" ref="AA138:AK138" si="264">+AA129/AA$129</f>
        <v>1</v>
      </c>
      <c r="AB138" s="172">
        <f t="shared" si="264"/>
        <v>1</v>
      </c>
      <c r="AC138" s="172">
        <f t="shared" si="264"/>
        <v>1</v>
      </c>
      <c r="AD138" s="144">
        <f t="shared" si="264"/>
        <v>1</v>
      </c>
      <c r="AE138" s="144">
        <f t="shared" si="264"/>
        <v>1</v>
      </c>
      <c r="AF138" s="144">
        <f t="shared" si="264"/>
        <v>1</v>
      </c>
      <c r="AG138" s="144">
        <f t="shared" si="264"/>
        <v>1</v>
      </c>
      <c r="AH138" s="144">
        <f t="shared" si="264"/>
        <v>1</v>
      </c>
      <c r="AI138" s="144">
        <f t="shared" si="264"/>
        <v>1</v>
      </c>
      <c r="AJ138" s="144">
        <f t="shared" si="264"/>
        <v>1</v>
      </c>
      <c r="AK138" s="144">
        <f t="shared" si="264"/>
        <v>1</v>
      </c>
      <c r="AL138" s="144">
        <f t="shared" ref="AL138" si="265">+AL129/AL$129</f>
        <v>1</v>
      </c>
      <c r="AM138" s="144">
        <f t="shared" ref="AM138" si="266">+AM129/AM$129</f>
        <v>1</v>
      </c>
      <c r="AN138" s="256">
        <f t="shared" si="239"/>
        <v>1</v>
      </c>
    </row>
    <row r="139" spans="1:40" ht="15" x14ac:dyDescent="0.2">
      <c r="A139" s="69" t="s">
        <v>69</v>
      </c>
      <c r="B139" s="42">
        <f>(B108+(B99*(1-(B107/B105))))/((B56+B64+B69)/1)</f>
        <v>6.7316151477111702E-2</v>
      </c>
      <c r="C139" s="42">
        <f t="shared" ref="C139:R139" si="267">(C108+(C99*(1-(C107/C105))))/((B56+C56+B64+C64+B69+C69)/2)</f>
        <v>7.7517345465870302E-2</v>
      </c>
      <c r="D139" s="42">
        <f t="shared" si="267"/>
        <v>7.6564443086380718E-2</v>
      </c>
      <c r="E139" s="42">
        <f t="shared" si="267"/>
        <v>7.8874439866510146E-2</v>
      </c>
      <c r="F139" s="42">
        <f t="shared" si="267"/>
        <v>5.5072023772712843E-2</v>
      </c>
      <c r="G139" s="42">
        <f t="shared" si="267"/>
        <v>7.3424405126741116E-2</v>
      </c>
      <c r="H139" s="42">
        <f t="shared" si="267"/>
        <v>7.9137505505046044E-2</v>
      </c>
      <c r="I139" s="42">
        <f t="shared" si="267"/>
        <v>7.9750614868513148E-2</v>
      </c>
      <c r="J139" s="42">
        <f t="shared" si="267"/>
        <v>8.3475437240993669E-2</v>
      </c>
      <c r="K139" s="42">
        <f t="shared" si="267"/>
        <v>8.200313374692221E-2</v>
      </c>
      <c r="L139" s="42">
        <f t="shared" si="267"/>
        <v>7.8188023580515048E-2</v>
      </c>
      <c r="M139" s="151">
        <f t="shared" si="267"/>
        <v>7.7996975141630023E-2</v>
      </c>
      <c r="N139" s="151">
        <f t="shared" si="267"/>
        <v>8.2415617848970252E-2</v>
      </c>
      <c r="O139" s="151">
        <f t="shared" si="267"/>
        <v>7.8908777942644948E-2</v>
      </c>
      <c r="P139" s="151">
        <f t="shared" si="267"/>
        <v>6.7961993684139493E-2</v>
      </c>
      <c r="Q139" s="151">
        <f t="shared" si="267"/>
        <v>6.5157540156793453E-2</v>
      </c>
      <c r="R139" s="151">
        <f t="shared" si="267"/>
        <v>7.2171964408184588E-2</v>
      </c>
      <c r="S139" s="261" t="e">
        <f>(S108+(S99*(1-(S107/S105))))/((Q56+S56+Q64+S64+Q69+S69)/2)*4/3</f>
        <v>#DIV/0!</v>
      </c>
      <c r="T139" s="151">
        <f t="shared" si="259"/>
        <v>7.3323178808146552E-2</v>
      </c>
      <c r="U139" s="220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5"/>
    </row>
    <row r="140" spans="1:40" ht="15.75" x14ac:dyDescent="0.25">
      <c r="A140" s="69" t="s">
        <v>207</v>
      </c>
      <c r="B140" s="42">
        <f>(B108-B110)/((B69)/1)</f>
        <v>7.2967011272129484E-2</v>
      </c>
      <c r="C140" s="42">
        <f t="shared" ref="C140:R140" si="268">(C108-C110)/((C69+B69)/2)</f>
        <v>9.1622128395351971E-2</v>
      </c>
      <c r="D140" s="42">
        <f t="shared" si="268"/>
        <v>9.0784845215224966E-2</v>
      </c>
      <c r="E140" s="42">
        <f t="shared" si="268"/>
        <v>0.10455388160198271</v>
      </c>
      <c r="F140" s="42">
        <f t="shared" si="268"/>
        <v>6.4806578917792429E-2</v>
      </c>
      <c r="G140" s="42">
        <f t="shared" si="268"/>
        <v>0.10083960889834787</v>
      </c>
      <c r="H140" s="42">
        <f t="shared" si="268"/>
        <v>0.11361178088637716</v>
      </c>
      <c r="I140" s="42">
        <f t="shared" si="268"/>
        <v>0.11421057342968179</v>
      </c>
      <c r="J140" s="42">
        <f t="shared" si="268"/>
        <v>0.11159182455616888</v>
      </c>
      <c r="K140" s="42">
        <f t="shared" si="268"/>
        <v>0.11085068247621674</v>
      </c>
      <c r="L140" s="42">
        <f t="shared" si="268"/>
        <v>0.10617662072485962</v>
      </c>
      <c r="M140" s="151">
        <f t="shared" si="268"/>
        <v>0.10779619398403929</v>
      </c>
      <c r="N140" s="151">
        <f t="shared" si="268"/>
        <v>0.10623343703191612</v>
      </c>
      <c r="O140" s="151">
        <f t="shared" si="268"/>
        <v>0.10239130434782609</v>
      </c>
      <c r="P140" s="151">
        <f t="shared" si="268"/>
        <v>0.10115911485774499</v>
      </c>
      <c r="Q140" s="151">
        <f t="shared" si="268"/>
        <v>9.4093582204039891E-2</v>
      </c>
      <c r="R140" s="151">
        <f t="shared" si="268"/>
        <v>0.10526315789473684</v>
      </c>
      <c r="S140" s="261">
        <f>(S108-S110)/((S69+Q69)/2)*4/3</f>
        <v>0</v>
      </c>
      <c r="T140" s="151">
        <f t="shared" si="259"/>
        <v>0.1018281192672528</v>
      </c>
      <c r="U140" s="270" t="s">
        <v>154</v>
      </c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2"/>
    </row>
    <row r="141" spans="1:40" ht="15.75" x14ac:dyDescent="0.25">
      <c r="A141" s="69" t="s">
        <v>206</v>
      </c>
      <c r="B141" s="44">
        <v>7.5700000000000003E-2</v>
      </c>
      <c r="C141" s="44">
        <v>0.1047</v>
      </c>
      <c r="D141" s="44">
        <v>0.1046</v>
      </c>
      <c r="E141" s="44">
        <v>9.06E-2</v>
      </c>
      <c r="F141" s="44">
        <v>0.1109</v>
      </c>
      <c r="G141" s="44">
        <v>0.10050000000000001</v>
      </c>
      <c r="H141" s="44">
        <v>0.10680000000000001</v>
      </c>
      <c r="I141" s="44">
        <v>0.1086</v>
      </c>
      <c r="J141" s="44">
        <v>0.1028</v>
      </c>
      <c r="K141" s="44">
        <v>0.1</v>
      </c>
      <c r="L141" s="44">
        <v>9.7299999999999998E-2</v>
      </c>
      <c r="M141" s="143">
        <v>9.2700000000000005E-2</v>
      </c>
      <c r="N141" s="143">
        <v>9.8400000000000001E-2</v>
      </c>
      <c r="O141" s="143">
        <v>8.6199999999999999E-2</v>
      </c>
      <c r="P141" s="262">
        <v>8.4400000000000003E-2</v>
      </c>
      <c r="Q141" s="262">
        <v>9.5299999999999996E-2</v>
      </c>
      <c r="R141" s="262"/>
      <c r="S141" s="262"/>
      <c r="T141" s="151">
        <f t="shared" si="259"/>
        <v>9.1075000000000003E-2</v>
      </c>
      <c r="U141" s="153" t="s">
        <v>179</v>
      </c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5"/>
    </row>
    <row r="142" spans="1:40" ht="15" x14ac:dyDescent="0.2">
      <c r="A142" s="207"/>
      <c r="B142" s="208"/>
      <c r="C142" s="208"/>
      <c r="D142" s="208"/>
      <c r="E142" s="208"/>
      <c r="F142" s="208"/>
      <c r="G142" s="208"/>
      <c r="H142" s="208"/>
      <c r="I142" s="208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152"/>
      <c r="U142" s="156" t="str">
        <f>+U133</f>
        <v xml:space="preserve">   Residential &amp; Commercial Sales</v>
      </c>
      <c r="V142" s="7"/>
      <c r="W142" s="7"/>
      <c r="X142" s="7"/>
      <c r="Y142" s="7"/>
      <c r="Z142" s="7"/>
      <c r="AA142" s="157">
        <v>93</v>
      </c>
      <c r="AB142" s="157">
        <v>96.3</v>
      </c>
      <c r="AC142" s="157">
        <v>102.2</v>
      </c>
      <c r="AD142" s="157">
        <v>106.1</v>
      </c>
      <c r="AE142" s="157">
        <v>112.3</v>
      </c>
      <c r="AF142" s="157">
        <v>109.4</v>
      </c>
      <c r="AG142" s="157">
        <v>105.8</v>
      </c>
      <c r="AH142" s="157">
        <v>113.3</v>
      </c>
      <c r="AI142" s="157">
        <v>96.2</v>
      </c>
      <c r="AJ142" s="157">
        <v>114.9</v>
      </c>
      <c r="AK142" s="157">
        <v>98</v>
      </c>
      <c r="AL142" s="157">
        <v>94</v>
      </c>
      <c r="AM142" s="157">
        <v>58.4</v>
      </c>
      <c r="AN142" s="158">
        <f>AVERAGE(AH142:AL142)</f>
        <v>103.28</v>
      </c>
    </row>
    <row r="143" spans="1:40" ht="15.75" x14ac:dyDescent="0.25">
      <c r="A143" s="113" t="s">
        <v>1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32"/>
      <c r="N143" s="112"/>
      <c r="O143" s="112"/>
      <c r="P143" s="112"/>
      <c r="Q143" s="112"/>
      <c r="R143" s="112"/>
      <c r="S143" s="112"/>
      <c r="T143" s="112"/>
      <c r="U143" s="156" t="str">
        <f>+U134</f>
        <v xml:space="preserve">   Industrial Sales</v>
      </c>
      <c r="V143" s="7"/>
      <c r="W143" s="7"/>
      <c r="X143" s="7"/>
      <c r="Y143" s="7"/>
      <c r="Z143" s="7"/>
      <c r="AA143" s="157">
        <v>8.8000000000000007</v>
      </c>
      <c r="AB143" s="157">
        <v>5.7</v>
      </c>
      <c r="AC143" s="157">
        <v>3.1</v>
      </c>
      <c r="AD143" s="157">
        <v>1.6</v>
      </c>
      <c r="AE143" s="157">
        <v>1.7</v>
      </c>
      <c r="AF143" s="157">
        <v>1.3</v>
      </c>
      <c r="AG143" s="157">
        <v>4.5</v>
      </c>
      <c r="AH143" s="157">
        <v>5</v>
      </c>
      <c r="AI143" s="157">
        <v>4.7</v>
      </c>
      <c r="AJ143" s="157">
        <v>4.4000000000000004</v>
      </c>
      <c r="AK143" s="157">
        <v>4.3</v>
      </c>
      <c r="AL143" s="157">
        <v>3.3</v>
      </c>
      <c r="AM143" s="157">
        <v>2.6</v>
      </c>
      <c r="AN143" s="169">
        <f t="shared" ref="AN143:AN145" si="269">AVERAGE(AH143:AL143)</f>
        <v>4.34</v>
      </c>
    </row>
    <row r="144" spans="1:40" ht="15.75" x14ac:dyDescent="0.25">
      <c r="A144" s="69" t="s">
        <v>31</v>
      </c>
      <c r="B144" s="112">
        <f>B86/B11</f>
        <v>263.42915690866511</v>
      </c>
      <c r="C144" s="112">
        <f>C86/((B11+C11)/2)</f>
        <v>414.48803088803089</v>
      </c>
      <c r="D144" s="112">
        <f>D86/((C11+D11)/2)</f>
        <v>268.33574695121951</v>
      </c>
      <c r="E144" s="112">
        <f>E86/((D11+E11)/2)</f>
        <v>161.8456311998913</v>
      </c>
      <c r="F144" s="112">
        <f>F86/((D11+F11)/2)</f>
        <v>150.36198547215497</v>
      </c>
      <c r="G144" s="112">
        <f t="shared" ref="G144:O144" si="270">G86/((F11+G11)/2)</f>
        <v>253.67402489626556</v>
      </c>
      <c r="H144" s="112">
        <f t="shared" si="270"/>
        <v>360.70713884204611</v>
      </c>
      <c r="I144" s="112">
        <f t="shared" si="270"/>
        <v>312.8416103438143</v>
      </c>
      <c r="J144" s="112">
        <f t="shared" si="270"/>
        <v>242.20779220779221</v>
      </c>
      <c r="K144" s="112">
        <f t="shared" si="270"/>
        <v>377.47169811320754</v>
      </c>
      <c r="L144" s="112">
        <f t="shared" si="270"/>
        <v>219.02380952380952</v>
      </c>
      <c r="M144" s="112">
        <f t="shared" si="270"/>
        <v>151.74789915966386</v>
      </c>
      <c r="N144" s="112">
        <f t="shared" si="270"/>
        <v>199.75257731958763</v>
      </c>
      <c r="O144" s="112">
        <f t="shared" si="270"/>
        <v>269.4375</v>
      </c>
      <c r="P144" s="112">
        <f>P86/((O11+P11)/2)</f>
        <v>193.29411764705881</v>
      </c>
      <c r="Q144" s="237">
        <f>Q86/((P11+Q11)/2)</f>
        <v>67.1958041958042</v>
      </c>
      <c r="R144" s="237">
        <f>R86/((Q11+R11)/2)</f>
        <v>60.567656765676567</v>
      </c>
      <c r="S144" s="237"/>
      <c r="T144" s="112">
        <f>AVERAGE(N144:R144)</f>
        <v>158.04953118562543</v>
      </c>
      <c r="U144" s="221" t="s">
        <v>236</v>
      </c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242">
        <f>+AF143+AF142</f>
        <v>110.7</v>
      </c>
      <c r="AG144" s="242">
        <f t="shared" ref="AG144:AM144" si="271">+AG143+AG142</f>
        <v>110.3</v>
      </c>
      <c r="AH144" s="242">
        <f t="shared" si="271"/>
        <v>118.3</v>
      </c>
      <c r="AI144" s="242">
        <f t="shared" si="271"/>
        <v>100.9</v>
      </c>
      <c r="AJ144" s="242">
        <f t="shared" si="271"/>
        <v>119.30000000000001</v>
      </c>
      <c r="AK144" s="242">
        <f t="shared" si="271"/>
        <v>102.3</v>
      </c>
      <c r="AL144" s="242">
        <f t="shared" si="271"/>
        <v>97.3</v>
      </c>
      <c r="AM144" s="242">
        <f t="shared" si="271"/>
        <v>61</v>
      </c>
      <c r="AN144" s="158">
        <f t="shared" si="269"/>
        <v>107.62</v>
      </c>
    </row>
    <row r="145" spans="1:45" ht="15" x14ac:dyDescent="0.2">
      <c r="A145" s="69" t="s">
        <v>30</v>
      </c>
      <c r="B145" s="112">
        <f>B86/B13</f>
        <v>10.09982266717547</v>
      </c>
      <c r="C145" s="112">
        <f>C86/((B13+C13)/2)</f>
        <v>9.3874795596246834</v>
      </c>
      <c r="D145" s="112">
        <f>D86/((C13+D13)/2)</f>
        <v>11.402178049471681</v>
      </c>
      <c r="E145" s="112">
        <f>E86/((D13+E13)/2)</f>
        <v>11.422808750611411</v>
      </c>
      <c r="F145" s="112">
        <f>F86/((D13+F13)/2)</f>
        <v>9.2738418804695204</v>
      </c>
      <c r="G145" s="112">
        <f t="shared" ref="G145:L145" si="272">G86/((F13+G13)/2)</f>
        <v>9.7611173912210454</v>
      </c>
      <c r="H145" s="112">
        <f t="shared" si="272"/>
        <v>10.843156471781008</v>
      </c>
      <c r="I145" s="112">
        <f t="shared" si="272"/>
        <v>11.541130046398681</v>
      </c>
      <c r="J145" s="112">
        <f t="shared" si="272"/>
        <v>12.001287001287002</v>
      </c>
      <c r="K145" s="112">
        <f t="shared" si="272"/>
        <v>13.453934095494283</v>
      </c>
      <c r="L145" s="112">
        <f t="shared" si="272"/>
        <v>11.977864583333334</v>
      </c>
      <c r="M145" s="237">
        <f t="shared" ref="M145:Q145" si="273">M86/((L13+L14+L15+M13+M14+M15)/2)</f>
        <v>5.3394441159077468</v>
      </c>
      <c r="N145" s="237">
        <f t="shared" si="273"/>
        <v>5.9728729963008629</v>
      </c>
      <c r="O145" s="237">
        <f t="shared" si="273"/>
        <v>5.2238715540745231</v>
      </c>
      <c r="P145" s="237">
        <f t="shared" si="273"/>
        <v>5.095890410958904</v>
      </c>
      <c r="Q145" s="237">
        <f t="shared" si="273"/>
        <v>4.6286127167630058</v>
      </c>
      <c r="R145" s="237">
        <f>R86/((Q13+Q14+Q15+R13+R14+R15)/2)</f>
        <v>4.13986013986014</v>
      </c>
      <c r="S145" s="237"/>
      <c r="T145" s="112">
        <f t="shared" ref="T145:T148" si="274">AVERAGE(N145:R145)</f>
        <v>5.0122215635914866</v>
      </c>
      <c r="U145" s="156" t="str">
        <f>+U135</f>
        <v xml:space="preserve">   Transportation for Industrial </v>
      </c>
      <c r="V145" s="7"/>
      <c r="W145" s="7"/>
      <c r="X145" s="7"/>
      <c r="Y145" s="7"/>
      <c r="Z145" s="7"/>
      <c r="AA145" s="157">
        <v>34.299999999999997</v>
      </c>
      <c r="AB145" s="157">
        <v>31.2</v>
      </c>
      <c r="AC145" s="157">
        <v>35.5</v>
      </c>
      <c r="AD145" s="157">
        <v>53.8</v>
      </c>
      <c r="AE145" s="157">
        <v>62.2</v>
      </c>
      <c r="AF145" s="157">
        <v>58</v>
      </c>
      <c r="AG145" s="157">
        <v>59.3</v>
      </c>
      <c r="AH145" s="157">
        <v>52.5</v>
      </c>
      <c r="AI145" s="157">
        <v>62</v>
      </c>
      <c r="AJ145" s="157">
        <v>64.5</v>
      </c>
      <c r="AK145" s="157">
        <v>81.3</v>
      </c>
      <c r="AL145" s="157">
        <v>77.2</v>
      </c>
      <c r="AM145" s="157">
        <v>56.8</v>
      </c>
      <c r="AN145" s="158">
        <f t="shared" si="269"/>
        <v>67.5</v>
      </c>
      <c r="AO145" s="136">
        <f>(AJ146-AI146)/AI146</f>
        <v>0.1282995702885206</v>
      </c>
    </row>
    <row r="146" spans="1:45" ht="15.75" x14ac:dyDescent="0.25">
      <c r="A146" s="69" t="s">
        <v>34</v>
      </c>
      <c r="B146" s="112">
        <f>B86/(B23-B54)</f>
        <v>-11.686675324675324</v>
      </c>
      <c r="C146" s="112">
        <f t="shared" ref="C146:P146" si="275">C86/((B23+C23-B54-C54)/2)</f>
        <v>-9.7176117025128548</v>
      </c>
      <c r="D146" s="112">
        <f t="shared" si="275"/>
        <v>-18.613786266604983</v>
      </c>
      <c r="E146" s="112">
        <f t="shared" si="275"/>
        <v>-101.91870614410405</v>
      </c>
      <c r="F146" s="112">
        <f t="shared" si="275"/>
        <v>-32.496663962950365</v>
      </c>
      <c r="G146" s="112">
        <f t="shared" si="275"/>
        <v>-18.701343513692095</v>
      </c>
      <c r="H146" s="112">
        <f t="shared" si="275"/>
        <v>-39.186068760559365</v>
      </c>
      <c r="I146" s="112">
        <f t="shared" si="275"/>
        <v>-53.880608345775237</v>
      </c>
      <c r="J146" s="112">
        <f t="shared" si="275"/>
        <v>-9.8157894736842106</v>
      </c>
      <c r="K146" s="112">
        <f t="shared" si="275"/>
        <v>-9.998000999500249</v>
      </c>
      <c r="L146" s="112">
        <f t="shared" si="275"/>
        <v>-19.285115303983229</v>
      </c>
      <c r="M146" s="112">
        <f>M86/((L23+M23-L54-M54)/2)</f>
        <v>-18.407747196738022</v>
      </c>
      <c r="N146" s="112">
        <f t="shared" si="275"/>
        <v>-8.2451063829787241</v>
      </c>
      <c r="O146" s="112">
        <f t="shared" si="275"/>
        <v>-5.6929679762297791</v>
      </c>
      <c r="P146" s="112">
        <f t="shared" si="275"/>
        <v>-28.450216450216452</v>
      </c>
      <c r="Q146" s="237">
        <f>Q86/((P23+Q23-P54-Q54)/2)</f>
        <v>36.536121673003805</v>
      </c>
      <c r="R146" s="237">
        <f>R86/((Q23+R23-Q54-R54)/2)</f>
        <v>-19.882990249187433</v>
      </c>
      <c r="S146" s="237"/>
      <c r="T146" s="112">
        <f t="shared" si="274"/>
        <v>-5.1470318771217176</v>
      </c>
      <c r="U146" s="161" t="s">
        <v>156</v>
      </c>
      <c r="V146" s="7"/>
      <c r="W146" s="7"/>
      <c r="X146" s="7"/>
      <c r="Y146" s="7"/>
      <c r="Z146" s="7"/>
      <c r="AA146" s="157">
        <f t="shared" ref="AA146:AM146" si="276">+AA145+AA143+AA142</f>
        <v>136.1</v>
      </c>
      <c r="AB146" s="157">
        <f t="shared" si="276"/>
        <v>133.19999999999999</v>
      </c>
      <c r="AC146" s="157">
        <f t="shared" si="276"/>
        <v>140.80000000000001</v>
      </c>
      <c r="AD146" s="157">
        <f t="shared" si="276"/>
        <v>161.5</v>
      </c>
      <c r="AE146" s="157">
        <f t="shared" si="276"/>
        <v>176.2</v>
      </c>
      <c r="AF146" s="157">
        <f t="shared" si="276"/>
        <v>168.7</v>
      </c>
      <c r="AG146" s="157">
        <f t="shared" si="276"/>
        <v>169.6</v>
      </c>
      <c r="AH146" s="157">
        <f t="shared" si="276"/>
        <v>170.8</v>
      </c>
      <c r="AI146" s="157">
        <f t="shared" si="276"/>
        <v>162.9</v>
      </c>
      <c r="AJ146" s="157">
        <f t="shared" si="276"/>
        <v>183.8</v>
      </c>
      <c r="AK146" s="157">
        <f t="shared" si="276"/>
        <v>183.6</v>
      </c>
      <c r="AL146" s="157">
        <f t="shared" si="276"/>
        <v>174.5</v>
      </c>
      <c r="AM146" s="157">
        <f t="shared" si="276"/>
        <v>117.8</v>
      </c>
      <c r="AN146" s="158">
        <f>AVERAGE(AH146:AL146)</f>
        <v>175.12</v>
      </c>
      <c r="AO146" s="192">
        <f>+AF145-AE145</f>
        <v>-4.2000000000000028</v>
      </c>
      <c r="AP146" s="192">
        <f>+AG145-AF145</f>
        <v>1.2999999999999972</v>
      </c>
      <c r="AQ146" s="192">
        <f>+AH145-AG145</f>
        <v>-6.7999999999999972</v>
      </c>
      <c r="AR146" s="192">
        <f>+AI145-AH145</f>
        <v>9.5</v>
      </c>
      <c r="AS146" s="192"/>
    </row>
    <row r="147" spans="1:45" ht="15.75" x14ac:dyDescent="0.25">
      <c r="A147" s="69" t="s">
        <v>32</v>
      </c>
      <c r="B147" s="112">
        <f>B86/(B33)</f>
        <v>0.75940272208044723</v>
      </c>
      <c r="C147" s="112">
        <f>C86/((B33+C33)/2)</f>
        <v>0.8854872421751403</v>
      </c>
      <c r="D147" s="112">
        <f>D86/((C33+D33)/2)</f>
        <v>1.1047179891083501</v>
      </c>
      <c r="E147" s="112">
        <f>E86/((D33+E33)/2)</f>
        <v>0.89219140935173114</v>
      </c>
      <c r="F147" s="112">
        <f>F86/((D33+F33)/2)</f>
        <v>0.91143322193504261</v>
      </c>
      <c r="G147" s="112">
        <f t="shared" ref="G147:R147" si="277">G86/((F33+G33)/2)</f>
        <v>1.0532944006869494</v>
      </c>
      <c r="H147" s="112">
        <f t="shared" si="277"/>
        <v>1.2743270392374271</v>
      </c>
      <c r="I147" s="112">
        <f t="shared" si="277"/>
        <v>1.341204690562938</v>
      </c>
      <c r="J147" s="112">
        <f t="shared" si="277"/>
        <v>1.0786581839213418</v>
      </c>
      <c r="K147" s="112">
        <f t="shared" si="277"/>
        <v>1.053834808259587</v>
      </c>
      <c r="L147" s="112">
        <f t="shared" si="277"/>
        <v>0.91034141514101929</v>
      </c>
      <c r="M147" s="112">
        <f t="shared" si="277"/>
        <v>0.84866998778080649</v>
      </c>
      <c r="N147" s="112">
        <f t="shared" si="277"/>
        <v>0.85217926727360693</v>
      </c>
      <c r="O147" s="112">
        <f t="shared" si="277"/>
        <v>0.68929128192828881</v>
      </c>
      <c r="P147" s="112">
        <f t="shared" si="277"/>
        <v>0.70867330433844933</v>
      </c>
      <c r="Q147" s="237">
        <f t="shared" si="277"/>
        <v>0.63429929368275129</v>
      </c>
      <c r="R147" s="237">
        <f t="shared" si="277"/>
        <v>0.55109456172487314</v>
      </c>
      <c r="S147" s="237"/>
      <c r="T147" s="112">
        <f t="shared" si="274"/>
        <v>0.68710754178959399</v>
      </c>
      <c r="U147" s="161" t="s">
        <v>202</v>
      </c>
      <c r="V147" s="7"/>
      <c r="W147" s="7"/>
      <c r="X147" s="7"/>
      <c r="Y147" s="7"/>
      <c r="Z147" s="7"/>
      <c r="AA147" s="7"/>
      <c r="AB147" s="7"/>
      <c r="AC147" s="7"/>
      <c r="AD147" s="7"/>
      <c r="AE147" s="173">
        <f t="shared" ref="AE147:AL147" si="278">+(AE146-AD146)/AD146</f>
        <v>9.1021671826625322E-2</v>
      </c>
      <c r="AF147" s="173">
        <f t="shared" si="278"/>
        <v>-4.2565266742338258E-2</v>
      </c>
      <c r="AG147" s="173">
        <f t="shared" si="278"/>
        <v>5.3349140486070286E-3</v>
      </c>
      <c r="AH147" s="173">
        <f t="shared" si="278"/>
        <v>7.0754716981133083E-3</v>
      </c>
      <c r="AI147" s="173">
        <f t="shared" si="278"/>
        <v>-4.6252927400468415E-2</v>
      </c>
      <c r="AJ147" s="173">
        <f t="shared" si="278"/>
        <v>0.1282995702885206</v>
      </c>
      <c r="AK147" s="173">
        <f t="shared" si="278"/>
        <v>-1.0881392818281666E-3</v>
      </c>
      <c r="AL147" s="173">
        <f t="shared" si="278"/>
        <v>-4.9564270152505419E-2</v>
      </c>
      <c r="AM147" s="7"/>
      <c r="AN147" s="181">
        <f>AVERAGE(AH147:AL147)</f>
        <v>7.6939410303663832E-3</v>
      </c>
      <c r="AO147" s="136">
        <f>+AO146/AE145</f>
        <v>-6.7524115755627057E-2</v>
      </c>
      <c r="AP147" s="136">
        <f>+AP146/AF145</f>
        <v>2.2413793103448227E-2</v>
      </c>
      <c r="AQ147" s="136">
        <f>+AQ146/AG145</f>
        <v>-0.11467116357504212</v>
      </c>
      <c r="AR147" s="136">
        <f>+AR146/AH145</f>
        <v>0.18095238095238095</v>
      </c>
      <c r="AS147" s="136"/>
    </row>
    <row r="148" spans="1:45" ht="15" x14ac:dyDescent="0.2">
      <c r="A148" s="69" t="s">
        <v>33</v>
      </c>
      <c r="B148" s="112">
        <f>B86/B41</f>
        <v>0.62184473265224893</v>
      </c>
      <c r="C148" s="112">
        <f>C86/((B41+C41)/2)</f>
        <v>0.69086762281208691</v>
      </c>
      <c r="D148" s="112">
        <f>D86/((C41+D41)/2)</f>
        <v>0.84620321241219343</v>
      </c>
      <c r="E148" s="112">
        <f>E86/((D41+E41)/2)</f>
        <v>0.71505581955230291</v>
      </c>
      <c r="F148" s="112">
        <f>F86/((D41+F41)/2)</f>
        <v>0.71229072707001839</v>
      </c>
      <c r="G148" s="112">
        <f t="shared" ref="G148:R148" si="279">G86/((F41+G41)/2)</f>
        <v>0.79543779665251058</v>
      </c>
      <c r="H148" s="112">
        <f t="shared" si="279"/>
        <v>0.90881469441476848</v>
      </c>
      <c r="I148" s="112">
        <f t="shared" si="279"/>
        <v>0.97673353918196038</v>
      </c>
      <c r="J148" s="112">
        <f t="shared" si="279"/>
        <v>0.83221775992860325</v>
      </c>
      <c r="K148" s="112">
        <f t="shared" si="279"/>
        <v>0.80907510009301575</v>
      </c>
      <c r="L148" s="112">
        <f t="shared" si="279"/>
        <v>0.69581332022238196</v>
      </c>
      <c r="M148" s="112">
        <f t="shared" si="279"/>
        <v>0.65655904595695169</v>
      </c>
      <c r="N148" s="112">
        <f t="shared" si="279"/>
        <v>0.67771948233648127</v>
      </c>
      <c r="O148" s="112">
        <f t="shared" si="279"/>
        <v>0.56114546046208913</v>
      </c>
      <c r="P148" s="112">
        <f t="shared" si="279"/>
        <v>0.57687918775784885</v>
      </c>
      <c r="Q148" s="237">
        <f t="shared" si="279"/>
        <v>0.51092678258095392</v>
      </c>
      <c r="R148" s="237">
        <f t="shared" si="279"/>
        <v>0.44062424969987996</v>
      </c>
      <c r="S148" s="237"/>
      <c r="T148" s="112">
        <f t="shared" si="274"/>
        <v>0.55345903256745055</v>
      </c>
      <c r="U148" s="159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60"/>
    </row>
    <row r="149" spans="1:45" ht="15.75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112"/>
      <c r="U149" s="163" t="s">
        <v>157</v>
      </c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60"/>
    </row>
    <row r="150" spans="1:45" ht="15.75" x14ac:dyDescent="0.25">
      <c r="A150" s="113" t="s">
        <v>71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112"/>
      <c r="U150" s="156" t="str">
        <f>+U142</f>
        <v xml:space="preserve">   Residential &amp; Commercial Sales</v>
      </c>
      <c r="V150" s="7"/>
      <c r="W150" s="7"/>
      <c r="X150" s="7"/>
      <c r="Y150" s="7"/>
      <c r="Z150" s="7"/>
      <c r="AA150" s="162">
        <f t="shared" ref="AA150:AM150" si="280">+AA142/AA$146</f>
        <v>0.68332108743570907</v>
      </c>
      <c r="AB150" s="173">
        <f t="shared" si="280"/>
        <v>0.72297297297297303</v>
      </c>
      <c r="AC150" s="173">
        <f t="shared" si="280"/>
        <v>0.72585227272727271</v>
      </c>
      <c r="AD150" s="162">
        <f t="shared" si="280"/>
        <v>0.65696594427244581</v>
      </c>
      <c r="AE150" s="162">
        <f t="shared" si="280"/>
        <v>0.63734392735527812</v>
      </c>
      <c r="AF150" s="162">
        <f t="shared" si="280"/>
        <v>0.64848844101956138</v>
      </c>
      <c r="AG150" s="162">
        <f t="shared" si="280"/>
        <v>0.62382075471698117</v>
      </c>
      <c r="AH150" s="162">
        <f t="shared" si="280"/>
        <v>0.66334894613583129</v>
      </c>
      <c r="AI150" s="162">
        <f t="shared" si="280"/>
        <v>0.59054634745242485</v>
      </c>
      <c r="AJ150" s="162">
        <f t="shared" si="280"/>
        <v>0.62513601741022851</v>
      </c>
      <c r="AK150" s="162">
        <f t="shared" si="280"/>
        <v>0.53376906318082795</v>
      </c>
      <c r="AL150" s="162">
        <f t="shared" ref="AL150" si="281">+AL142/AL$146</f>
        <v>0.5386819484240688</v>
      </c>
      <c r="AM150" s="162">
        <f t="shared" si="280"/>
        <v>0.49575551782682514</v>
      </c>
      <c r="AN150" s="256">
        <f t="shared" ref="AN150:AN153" si="282">AVERAGE(AH150:AL150)</f>
        <v>0.5902964645206763</v>
      </c>
    </row>
    <row r="151" spans="1:45" ht="15" x14ac:dyDescent="0.2">
      <c r="A151" s="69" t="s">
        <v>136</v>
      </c>
      <c r="B151" s="69"/>
      <c r="C151" s="69"/>
      <c r="D151" s="69"/>
      <c r="E151" s="69"/>
      <c r="F151" s="69"/>
      <c r="G151" s="69"/>
      <c r="H151" s="27" t="s">
        <v>111</v>
      </c>
      <c r="I151" s="27" t="s">
        <v>111</v>
      </c>
      <c r="J151" s="27" t="s">
        <v>111</v>
      </c>
      <c r="K151" s="27" t="s">
        <v>111</v>
      </c>
      <c r="L151" s="27" t="s">
        <v>137</v>
      </c>
      <c r="M151" s="27" t="s">
        <v>164</v>
      </c>
      <c r="N151" s="27" t="s">
        <v>164</v>
      </c>
      <c r="O151" s="27" t="s">
        <v>164</v>
      </c>
      <c r="P151" s="27" t="s">
        <v>164</v>
      </c>
      <c r="Q151" s="27" t="s">
        <v>164</v>
      </c>
      <c r="R151" s="27" t="s">
        <v>164</v>
      </c>
      <c r="S151" s="27" t="s">
        <v>164</v>
      </c>
      <c r="T151" s="112"/>
      <c r="U151" s="156" t="str">
        <f>+U143</f>
        <v xml:space="preserve">   Industrial Sales</v>
      </c>
      <c r="V151" s="7"/>
      <c r="W151" s="7"/>
      <c r="X151" s="7"/>
      <c r="Y151" s="7"/>
      <c r="Z151" s="7"/>
      <c r="AA151" s="162">
        <f t="shared" ref="AA151:AM151" si="283">+AA143/AA$146</f>
        <v>6.465833945628216E-2</v>
      </c>
      <c r="AB151" s="173">
        <f t="shared" si="283"/>
        <v>4.27927927927928E-2</v>
      </c>
      <c r="AC151" s="173">
        <f t="shared" si="283"/>
        <v>2.2017045454545452E-2</v>
      </c>
      <c r="AD151" s="162">
        <f t="shared" si="283"/>
        <v>9.9071207430340563E-3</v>
      </c>
      <c r="AE151" s="162">
        <f t="shared" si="283"/>
        <v>9.6481271282633368E-3</v>
      </c>
      <c r="AF151" s="162">
        <f t="shared" si="283"/>
        <v>7.7059869590989927E-3</v>
      </c>
      <c r="AG151" s="162">
        <f t="shared" si="283"/>
        <v>2.6533018867924529E-2</v>
      </c>
      <c r="AH151" s="162">
        <f t="shared" si="283"/>
        <v>2.9274004683840747E-2</v>
      </c>
      <c r="AI151" s="162">
        <f t="shared" si="283"/>
        <v>2.8852056476365868E-2</v>
      </c>
      <c r="AJ151" s="162">
        <f t="shared" si="283"/>
        <v>2.3939064200217627E-2</v>
      </c>
      <c r="AK151" s="162">
        <f t="shared" si="283"/>
        <v>2.3420479302832243E-2</v>
      </c>
      <c r="AL151" s="162">
        <f t="shared" ref="AL151" si="284">+AL143/AL$146</f>
        <v>1.8911174785100286E-2</v>
      </c>
      <c r="AM151" s="162">
        <f t="shared" si="283"/>
        <v>2.2071307300509338E-2</v>
      </c>
      <c r="AN151" s="256">
        <f t="shared" si="282"/>
        <v>2.4879355889671356E-2</v>
      </c>
    </row>
    <row r="152" spans="1:45" ht="15" x14ac:dyDescent="0.2">
      <c r="A152" s="69" t="s">
        <v>135</v>
      </c>
      <c r="B152" s="69"/>
      <c r="C152" s="69"/>
      <c r="D152" s="69"/>
      <c r="E152" s="69"/>
      <c r="F152" s="69"/>
      <c r="G152" s="69"/>
      <c r="H152" s="27"/>
      <c r="I152" s="27"/>
      <c r="J152" s="27" t="s">
        <v>133</v>
      </c>
      <c r="K152" s="27" t="s">
        <v>134</v>
      </c>
      <c r="L152" s="27" t="s">
        <v>134</v>
      </c>
      <c r="M152" s="27" t="s">
        <v>134</v>
      </c>
      <c r="N152" s="27" t="s">
        <v>134</v>
      </c>
      <c r="O152" s="27" t="s">
        <v>134</v>
      </c>
      <c r="P152" s="27" t="s">
        <v>134</v>
      </c>
      <c r="Q152" s="27" t="s">
        <v>133</v>
      </c>
      <c r="R152" s="27" t="s">
        <v>133</v>
      </c>
      <c r="S152" s="27" t="s">
        <v>133</v>
      </c>
      <c r="T152" s="112"/>
      <c r="U152" s="156" t="str">
        <f>+U145</f>
        <v xml:space="preserve">   Transportation for Industrial </v>
      </c>
      <c r="V152" s="7"/>
      <c r="W152" s="7"/>
      <c r="X152" s="7"/>
      <c r="Y152" s="7"/>
      <c r="Z152" s="7"/>
      <c r="AA152" s="162">
        <f t="shared" ref="AA152:AM152" si="285">+AA145/AA$146</f>
        <v>0.25202057310800879</v>
      </c>
      <c r="AB152" s="173">
        <f t="shared" si="285"/>
        <v>0.23423423423423426</v>
      </c>
      <c r="AC152" s="173">
        <f t="shared" si="285"/>
        <v>0.25213068181818182</v>
      </c>
      <c r="AD152" s="162">
        <f t="shared" si="285"/>
        <v>0.33312693498452012</v>
      </c>
      <c r="AE152" s="162">
        <f t="shared" si="285"/>
        <v>0.35300794551645859</v>
      </c>
      <c r="AF152" s="162">
        <f t="shared" si="285"/>
        <v>0.34380557202133966</v>
      </c>
      <c r="AG152" s="162">
        <f t="shared" si="285"/>
        <v>0.34964622641509435</v>
      </c>
      <c r="AH152" s="162">
        <f t="shared" si="285"/>
        <v>0.30737704918032782</v>
      </c>
      <c r="AI152" s="162">
        <f t="shared" si="285"/>
        <v>0.3806015960712093</v>
      </c>
      <c r="AJ152" s="162">
        <f t="shared" si="285"/>
        <v>0.35092491838955386</v>
      </c>
      <c r="AK152" s="162">
        <f t="shared" si="285"/>
        <v>0.44281045751633985</v>
      </c>
      <c r="AL152" s="162">
        <f t="shared" ref="AL152" si="286">+AL145/AL$146</f>
        <v>0.44240687679083096</v>
      </c>
      <c r="AM152" s="162">
        <f t="shared" si="285"/>
        <v>0.48217317487266553</v>
      </c>
      <c r="AN152" s="256">
        <f t="shared" si="282"/>
        <v>0.38482417958965237</v>
      </c>
    </row>
    <row r="153" spans="1:45" ht="15" x14ac:dyDescent="0.2">
      <c r="A153" s="69" t="s">
        <v>131</v>
      </c>
      <c r="B153" s="69"/>
      <c r="C153" s="69"/>
      <c r="D153" s="69"/>
      <c r="E153" s="69"/>
      <c r="F153" s="69"/>
      <c r="G153" s="69"/>
      <c r="H153" s="27"/>
      <c r="I153" s="27"/>
      <c r="J153" s="27"/>
      <c r="K153" s="27" t="s">
        <v>132</v>
      </c>
      <c r="L153" s="27" t="s">
        <v>132</v>
      </c>
      <c r="M153" s="27" t="s">
        <v>132</v>
      </c>
      <c r="N153" s="27" t="s">
        <v>132</v>
      </c>
      <c r="O153" s="27" t="s">
        <v>132</v>
      </c>
      <c r="P153" s="27" t="s">
        <v>132</v>
      </c>
      <c r="Q153" s="27" t="s">
        <v>132</v>
      </c>
      <c r="R153" s="27" t="s">
        <v>132</v>
      </c>
      <c r="S153" s="241" t="s">
        <v>132</v>
      </c>
      <c r="T153" s="112"/>
      <c r="U153" s="156" t="str">
        <f>+U146</f>
        <v xml:space="preserve">      Total Deliveries</v>
      </c>
      <c r="V153" s="7"/>
      <c r="W153" s="7"/>
      <c r="X153" s="7"/>
      <c r="Y153" s="7"/>
      <c r="Z153" s="7"/>
      <c r="AA153" s="162">
        <f t="shared" ref="AA153:AM153" si="287">+AA146/AA$146</f>
        <v>1</v>
      </c>
      <c r="AB153" s="173">
        <f t="shared" si="287"/>
        <v>1</v>
      </c>
      <c r="AC153" s="173">
        <f t="shared" si="287"/>
        <v>1</v>
      </c>
      <c r="AD153" s="162">
        <f t="shared" si="287"/>
        <v>1</v>
      </c>
      <c r="AE153" s="162">
        <f t="shared" si="287"/>
        <v>1</v>
      </c>
      <c r="AF153" s="162">
        <f t="shared" si="287"/>
        <v>1</v>
      </c>
      <c r="AG153" s="162">
        <f t="shared" si="287"/>
        <v>1</v>
      </c>
      <c r="AH153" s="162">
        <f t="shared" si="287"/>
        <v>1</v>
      </c>
      <c r="AI153" s="162">
        <f t="shared" si="287"/>
        <v>1</v>
      </c>
      <c r="AJ153" s="162">
        <f t="shared" si="287"/>
        <v>1</v>
      </c>
      <c r="AK153" s="162">
        <f t="shared" si="287"/>
        <v>1</v>
      </c>
      <c r="AL153" s="162">
        <f t="shared" ref="AL153" si="288">+AL146/AL$146</f>
        <v>1</v>
      </c>
      <c r="AM153" s="162">
        <f t="shared" si="287"/>
        <v>1</v>
      </c>
      <c r="AN153" s="256">
        <f t="shared" si="282"/>
        <v>1</v>
      </c>
    </row>
    <row r="154" spans="1:45" ht="15" x14ac:dyDescent="0.2">
      <c r="A154" s="69" t="s">
        <v>141</v>
      </c>
      <c r="B154" s="112">
        <f t="shared" ref="B154:O154" si="289">(+B105+B99)/B99</f>
        <v>2.4071877180739705</v>
      </c>
      <c r="C154" s="112">
        <f t="shared" si="289"/>
        <v>2.7609429209638323</v>
      </c>
      <c r="D154" s="112">
        <f t="shared" si="289"/>
        <v>2.6723304033309501</v>
      </c>
      <c r="E154" s="112">
        <f t="shared" si="289"/>
        <v>3.2310735719048678</v>
      </c>
      <c r="F154" s="112">
        <f t="shared" si="289"/>
        <v>2.6026019824628288</v>
      </c>
      <c r="G154" s="112">
        <f t="shared" si="289"/>
        <v>3.5967161607459586</v>
      </c>
      <c r="H154" s="112">
        <f t="shared" si="289"/>
        <v>3.8401131064589742</v>
      </c>
      <c r="I154" s="112">
        <f t="shared" si="289"/>
        <v>3.6061946902654869</v>
      </c>
      <c r="J154" s="112">
        <f t="shared" si="289"/>
        <v>3.5084033613445378</v>
      </c>
      <c r="K154" s="112">
        <f t="shared" si="289"/>
        <v>3.5476190476190474</v>
      </c>
      <c r="L154" s="112">
        <f t="shared" si="289"/>
        <v>3.3157894736842106</v>
      </c>
      <c r="M154" s="112">
        <f t="shared" si="289"/>
        <v>3.6374045801526718</v>
      </c>
      <c r="N154" s="112">
        <f t="shared" si="289"/>
        <v>3.8416988416988418</v>
      </c>
      <c r="O154" s="112">
        <f t="shared" si="289"/>
        <v>4.0829875518672196</v>
      </c>
      <c r="P154" s="112">
        <f>(+P105+P99)/P99</f>
        <v>4.7982062780269059</v>
      </c>
      <c r="Q154" s="112">
        <f>(+Q105+Q99)/Q99</f>
        <v>4.0921985815602833</v>
      </c>
      <c r="R154" s="112">
        <f>(+R105+R99)/R99</f>
        <v>4.5017667844522968</v>
      </c>
      <c r="S154" s="112" t="e">
        <f>(+S105+S99)/S99</f>
        <v>#DIV/0!</v>
      </c>
      <c r="T154" s="112">
        <f>AVERAGE(N154:R154)</f>
        <v>4.2633716075211092</v>
      </c>
      <c r="U154" s="159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60"/>
    </row>
    <row r="155" spans="1:45" ht="15.75" x14ac:dyDescent="0.25">
      <c r="A155" s="69" t="s">
        <v>140</v>
      </c>
      <c r="B155" s="44">
        <f t="shared" ref="B155:S155" si="290">(B44+B56)/(B69+B56+B44)</f>
        <v>0.53602915660400952</v>
      </c>
      <c r="C155" s="44">
        <f t="shared" si="290"/>
        <v>0.55595167626325137</v>
      </c>
      <c r="D155" s="44">
        <f t="shared" si="290"/>
        <v>0.5347292666939405</v>
      </c>
      <c r="E155" s="44">
        <f t="shared" si="290"/>
        <v>0.50596006473266297</v>
      </c>
      <c r="F155" s="44">
        <f t="shared" si="290"/>
        <v>0.52526462951867381</v>
      </c>
      <c r="G155" s="44">
        <f t="shared" si="290"/>
        <v>0.53895730351551807</v>
      </c>
      <c r="H155" s="44">
        <f t="shared" si="290"/>
        <v>0.5570968630604709</v>
      </c>
      <c r="I155" s="44">
        <f t="shared" si="290"/>
        <v>0.49740774626410489</v>
      </c>
      <c r="J155" s="44">
        <f t="shared" si="290"/>
        <v>0.50160912814511405</v>
      </c>
      <c r="K155" s="44">
        <f t="shared" si="290"/>
        <v>0.54371811602799858</v>
      </c>
      <c r="L155" s="44">
        <f t="shared" si="290"/>
        <v>0.53387850467289721</v>
      </c>
      <c r="M155" s="143">
        <f t="shared" si="290"/>
        <v>0.55661082061679645</v>
      </c>
      <c r="N155" s="143">
        <f t="shared" si="290"/>
        <v>0.48095456631482331</v>
      </c>
      <c r="O155" s="143">
        <f t="shared" si="290"/>
        <v>0.54075820074641523</v>
      </c>
      <c r="P155" s="143">
        <f t="shared" si="290"/>
        <v>0.48932210899424017</v>
      </c>
      <c r="Q155" s="143">
        <f t="shared" si="290"/>
        <v>0.52270546850015986</v>
      </c>
      <c r="R155" s="143">
        <f t="shared" ref="R155" si="291">(R44+R56)/(R69+R56+R44)</f>
        <v>0.56390924956369981</v>
      </c>
      <c r="S155" s="262" t="e">
        <f t="shared" si="290"/>
        <v>#DIV/0!</v>
      </c>
      <c r="T155" s="151">
        <f t="shared" ref="T155:T158" si="292">AVERAGE(N155:R155)</f>
        <v>0.51952991882386768</v>
      </c>
      <c r="U155" s="163" t="s">
        <v>180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160"/>
    </row>
    <row r="156" spans="1:45" ht="15" x14ac:dyDescent="0.2">
      <c r="A156" s="69" t="s">
        <v>139</v>
      </c>
      <c r="B156" s="44">
        <f>+('Historical CF - Exhibit 1B'!B28+'Historical CF - Exhibit 1B'!B44)/(B44+B56)</f>
        <v>0.13213604995070655</v>
      </c>
      <c r="C156" s="44">
        <f>+('Historical CF - Exhibit 1B'!C28+'Historical CF - Exhibit 1B'!C44)/(C44+C56)</f>
        <v>0.1153750756200847</v>
      </c>
      <c r="D156" s="44">
        <f>+('Historical CF - Exhibit 1B'!D28+'Historical CF - Exhibit 1B'!D44)/(D44+D56)</f>
        <v>5.1936860068259386E-2</v>
      </c>
      <c r="E156" s="44">
        <f>+('Historical CF - Exhibit 1B'!E28+'Historical CF - Exhibit 1B'!E44)/(E44+E56)</f>
        <v>0.31064405724953331</v>
      </c>
      <c r="F156" s="44">
        <f>+('Historical CF - Exhibit 1B'!F28+'Historical CF - Exhibit 1B'!F44)/(F44+F56)</f>
        <v>0.14961099736765135</v>
      </c>
      <c r="G156" s="44">
        <f>+('Historical CF - Exhibit 1B'!G28+'Historical CF - Exhibit 1B'!G44)/(G44+G56)</f>
        <v>0.14139326453014667</v>
      </c>
      <c r="H156" s="44">
        <f>+('Historical CF - Exhibit 1B'!H28+'Historical CF - Exhibit 1B'!H44)/(H44+H56)</f>
        <v>9.0347152847152848E-2</v>
      </c>
      <c r="I156" s="44">
        <f>+('Historical CF - Exhibit 1B'!I28+'Historical CF - Exhibit 1B'!I44)/(I44+I56)</f>
        <v>0.4619865113427345</v>
      </c>
      <c r="J156" s="44">
        <f>+('Historical CF - Exhibit 1B'!J28+'Historical CF - Exhibit 1B'!J44)/(J44+J56)</f>
        <v>0.25517643627879849</v>
      </c>
      <c r="K156" s="44">
        <f>+('Historical CF - Exhibit 1B'!K28+'Historical CF - Exhibit 1B'!K44)/(K44+K56)</f>
        <v>5.4985817150338206E-2</v>
      </c>
      <c r="L156" s="44">
        <f>+('Historical CF - Exhibit 1B'!L28+'Historical CF - Exhibit 1B'!L44)/(L44+L56)</f>
        <v>0.19934354485776806</v>
      </c>
      <c r="M156" s="143">
        <f>+('Historical CF - Exhibit 1B'!M28+'Historical CF - Exhibit 1B'!M44)/(M44+M56)</f>
        <v>7.7645705521472388E-2</v>
      </c>
      <c r="N156" s="143">
        <f>+('Historical CF - Exhibit 1B'!N28+'Historical CF - Exhibit 1B'!N44)/(N44+N56)</f>
        <v>0.27814885496183206</v>
      </c>
      <c r="O156" s="143">
        <f>+('Historical CF - Exhibit 1B'!O28+'Historical CF - Exhibit 1B'!O44)/(O44+O56)</f>
        <v>0.14475118053033054</v>
      </c>
      <c r="P156" s="143">
        <f>+('Historical CF - Exhibit 1B'!P28+'Historical CF - Exhibit 1B'!P44)/(P44+P56)</f>
        <v>0.21332850416515756</v>
      </c>
      <c r="Q156" s="143">
        <f>+('Historical CF - Exhibit 1B'!Q28+'Historical CF - Exhibit 1B'!Q44-9000)/(Q44+Q56)</f>
        <v>0.11884368308351177</v>
      </c>
      <c r="R156" s="143">
        <f>+('Historical CF - Exhibit 1B'!R28+'Historical CF - Exhibit 1B'!R44+9000)/(R44+R56)</f>
        <v>9.668234711562268E-2</v>
      </c>
      <c r="S156" s="143" t="e">
        <f>+('Historical CF - Exhibit 1B'!S28+'Historical CF - Exhibit 1B'!S44)/(S44+S56)</f>
        <v>#DIV/0!</v>
      </c>
      <c r="T156" s="151">
        <f t="shared" si="292"/>
        <v>0.17035091397129093</v>
      </c>
      <c r="U156" s="156" t="str">
        <f>+U150</f>
        <v xml:space="preserve">   Residential &amp; Commercial Sales</v>
      </c>
      <c r="V156" s="70"/>
      <c r="W156" s="70"/>
      <c r="X156" s="70"/>
      <c r="Y156" s="70"/>
      <c r="Z156" s="70"/>
      <c r="AA156" s="165">
        <v>7.32</v>
      </c>
      <c r="AB156" s="170">
        <v>9.01</v>
      </c>
      <c r="AC156" s="170">
        <v>9.67</v>
      </c>
      <c r="AD156" s="194">
        <v>8.26</v>
      </c>
      <c r="AE156" s="194">
        <v>8.25</v>
      </c>
      <c r="AF156" s="194">
        <v>7.99</v>
      </c>
      <c r="AG156" s="194">
        <v>7.88</v>
      </c>
      <c r="AH156" s="194">
        <v>7.88</v>
      </c>
      <c r="AI156" s="194">
        <v>8.19</v>
      </c>
      <c r="AJ156" s="194">
        <v>7.92</v>
      </c>
      <c r="AK156" s="194">
        <v>8.93</v>
      </c>
      <c r="AL156" s="194">
        <v>9.01</v>
      </c>
      <c r="AM156" s="194">
        <v>9.49</v>
      </c>
      <c r="AN156" s="195">
        <f>AVERAGE(AH156:AL156)</f>
        <v>8.3859999999999992</v>
      </c>
    </row>
    <row r="157" spans="1:45" ht="15" x14ac:dyDescent="0.2">
      <c r="A157" s="69" t="s">
        <v>142</v>
      </c>
      <c r="B157" s="42">
        <f t="shared" ref="B157:Q157" si="293">+B108/B69</f>
        <v>7.2967011272129484E-2</v>
      </c>
      <c r="C157" s="42">
        <f t="shared" si="293"/>
        <v>9.1507104553579549E-2</v>
      </c>
      <c r="D157" s="42">
        <f t="shared" si="293"/>
        <v>8.4571910475960105E-2</v>
      </c>
      <c r="E157" s="42">
        <f t="shared" si="293"/>
        <v>0.10323807945753725</v>
      </c>
      <c r="F157" s="42">
        <f t="shared" si="293"/>
        <v>6.5311802207048311E-2</v>
      </c>
      <c r="G157" s="42">
        <f t="shared" si="293"/>
        <v>9.9885386273656937E-2</v>
      </c>
      <c r="H157" s="42">
        <f t="shared" si="293"/>
        <v>0.11301307464674579</v>
      </c>
      <c r="I157" s="42">
        <f t="shared" si="293"/>
        <v>0.11225728155339806</v>
      </c>
      <c r="J157" s="42">
        <f t="shared" si="293"/>
        <v>0.10977399471675961</v>
      </c>
      <c r="K157" s="42">
        <f t="shared" si="293"/>
        <v>0.10452418096723869</v>
      </c>
      <c r="L157" s="42">
        <f t="shared" si="293"/>
        <v>0.10426065162907268</v>
      </c>
      <c r="M157" s="151">
        <f t="shared" si="293"/>
        <v>0.10565583634175692</v>
      </c>
      <c r="N157" s="151">
        <f t="shared" si="293"/>
        <v>0.10190097259062776</v>
      </c>
      <c r="O157" s="151">
        <f t="shared" si="293"/>
        <v>0.10072711719418306</v>
      </c>
      <c r="P157" s="151">
        <f t="shared" si="293"/>
        <v>9.1618948464341488E-2</v>
      </c>
      <c r="Q157" s="151">
        <f t="shared" si="293"/>
        <v>9.2462311557788945E-2</v>
      </c>
      <c r="R157" s="151">
        <f t="shared" ref="R157" si="294">+R108/R69</f>
        <v>0.10292940611493517</v>
      </c>
      <c r="S157" s="261" t="e">
        <f>+S108*(4/3)/S69</f>
        <v>#DIV/0!</v>
      </c>
      <c r="T157" s="151">
        <f t="shared" si="292"/>
        <v>9.7927751184375286E-2</v>
      </c>
      <c r="U157" s="156" t="str">
        <f>+U151</f>
        <v xml:space="preserve">   Industrial Sales</v>
      </c>
      <c r="V157" s="70"/>
      <c r="W157" s="70"/>
      <c r="X157" s="70"/>
      <c r="Y157" s="70"/>
      <c r="Z157" s="70"/>
      <c r="AA157" s="165">
        <v>5.56</v>
      </c>
      <c r="AB157" s="170">
        <v>7.06</v>
      </c>
      <c r="AC157" s="170">
        <v>7.64</v>
      </c>
      <c r="AD157" s="196">
        <v>6.18</v>
      </c>
      <c r="AE157" s="196">
        <v>6.99</v>
      </c>
      <c r="AF157" s="196">
        <v>6.5</v>
      </c>
      <c r="AG157" s="196">
        <v>5.89</v>
      </c>
      <c r="AH157" s="196">
        <v>6.03</v>
      </c>
      <c r="AI157" s="196">
        <v>5.79</v>
      </c>
      <c r="AJ157" s="196">
        <v>6.47</v>
      </c>
      <c r="AK157" s="196">
        <v>7.14</v>
      </c>
      <c r="AL157" s="196">
        <v>7.22</v>
      </c>
      <c r="AM157" s="196">
        <v>6.66</v>
      </c>
      <c r="AN157" s="216">
        <f>AVERAGE(AH157:AL157)</f>
        <v>6.5299999999999994</v>
      </c>
    </row>
    <row r="158" spans="1:45" ht="15" x14ac:dyDescent="0.2">
      <c r="A158" s="69" t="s">
        <v>138</v>
      </c>
      <c r="B158" s="69"/>
      <c r="C158" s="44">
        <f t="shared" ref="C158:R158" si="295">+C99/((C44+B44+C56+B56)*0.5)</f>
        <v>6.6281304142384631E-2</v>
      </c>
      <c r="D158" s="44">
        <f t="shared" si="295"/>
        <v>6.9706830841395478E-2</v>
      </c>
      <c r="E158" s="44">
        <f t="shared" si="295"/>
        <v>6.6849925705794955E-2</v>
      </c>
      <c r="F158" s="44">
        <f t="shared" si="295"/>
        <v>6.3271521181968937E-2</v>
      </c>
      <c r="G158" s="44">
        <f t="shared" si="295"/>
        <v>5.5578087593296716E-2</v>
      </c>
      <c r="H158" s="44">
        <f t="shared" si="295"/>
        <v>5.2453812125943272E-2</v>
      </c>
      <c r="I158" s="44">
        <f t="shared" si="295"/>
        <v>6.2207541976328107E-2</v>
      </c>
      <c r="J158" s="44">
        <f t="shared" si="295"/>
        <v>7.1140337767149897E-2</v>
      </c>
      <c r="K158" s="44">
        <f t="shared" si="295"/>
        <v>6.2905641537693457E-2</v>
      </c>
      <c r="L158" s="44">
        <f t="shared" si="295"/>
        <v>6.2274664044575552E-2</v>
      </c>
      <c r="M158" s="143">
        <f t="shared" si="295"/>
        <v>5.3545881872062127E-2</v>
      </c>
      <c r="N158" s="143">
        <f t="shared" si="295"/>
        <v>5.5059523809523808E-2</v>
      </c>
      <c r="O158" s="143">
        <f t="shared" si="295"/>
        <v>4.9700969272014846E-2</v>
      </c>
      <c r="P158" s="143">
        <f t="shared" si="295"/>
        <v>4.0442509974610082E-2</v>
      </c>
      <c r="Q158" s="143">
        <f t="shared" si="295"/>
        <v>4.6766169154228855E-2</v>
      </c>
      <c r="R158" s="143">
        <f t="shared" si="295"/>
        <v>3.8724685276409411E-2</v>
      </c>
      <c r="S158" s="143">
        <f>+S99/((S44+Q44+S56+Q56)*0.5)*2</f>
        <v>0</v>
      </c>
      <c r="T158" s="151">
        <f t="shared" si="292"/>
        <v>4.6138771497357393E-2</v>
      </c>
      <c r="U158" s="156" t="str">
        <f>+U152</f>
        <v xml:space="preserve">   Transportation for Industrial </v>
      </c>
      <c r="V158" s="70"/>
      <c r="W158" s="70"/>
      <c r="X158" s="70"/>
      <c r="Y158" s="70"/>
      <c r="Z158" s="70"/>
      <c r="AA158" s="165">
        <v>0.19</v>
      </c>
      <c r="AB158" s="170">
        <v>0.19</v>
      </c>
      <c r="AC158" s="170">
        <v>0.19</v>
      </c>
      <c r="AD158" s="196">
        <v>0.18</v>
      </c>
      <c r="AE158" s="196">
        <v>0.16</v>
      </c>
      <c r="AF158" s="196">
        <v>0.19</v>
      </c>
      <c r="AG158" s="196">
        <v>0.16</v>
      </c>
      <c r="AH158" s="196">
        <v>0.21</v>
      </c>
      <c r="AI158" s="196">
        <v>0.19</v>
      </c>
      <c r="AJ158" s="196">
        <v>0.22</v>
      </c>
      <c r="AK158" s="196">
        <v>0.22</v>
      </c>
      <c r="AL158" s="196">
        <v>0.27</v>
      </c>
      <c r="AM158" s="196">
        <v>0.27</v>
      </c>
      <c r="AN158" s="216">
        <f>AVERAGE(AH158:AL158)</f>
        <v>0.22199999999999998</v>
      </c>
    </row>
    <row r="159" spans="1:45" ht="15" x14ac:dyDescent="0.2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136"/>
      <c r="L159" s="136"/>
      <c r="M159" s="136"/>
      <c r="N159" s="136"/>
      <c r="O159" s="136"/>
      <c r="P159" s="136"/>
      <c r="Q159" s="136"/>
      <c r="R159" s="136"/>
      <c r="S159" s="136"/>
      <c r="T159" s="112"/>
      <c r="U159" s="156"/>
      <c r="V159" s="70"/>
      <c r="W159" s="70"/>
      <c r="X159" s="70"/>
      <c r="Y159" s="70"/>
      <c r="Z159" s="70"/>
      <c r="AA159" s="70"/>
      <c r="AB159" s="170"/>
      <c r="AC159" s="170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5"/>
      <c r="AO159" s="192">
        <f>+Q90/18500</f>
        <v>22.886486486486486</v>
      </c>
      <c r="AP159" t="s">
        <v>211</v>
      </c>
    </row>
    <row r="160" spans="1:45" ht="15.75" x14ac:dyDescent="0.25">
      <c r="A160" s="113" t="s">
        <v>117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112"/>
      <c r="U160" s="156" t="s">
        <v>178</v>
      </c>
      <c r="V160" s="70"/>
      <c r="W160" s="70"/>
      <c r="X160" s="70"/>
      <c r="Y160" s="70"/>
      <c r="Z160" s="70"/>
      <c r="AA160" s="165">
        <v>5.2</v>
      </c>
      <c r="AB160" s="170">
        <v>6.46</v>
      </c>
      <c r="AC160" s="183">
        <v>6.54</v>
      </c>
      <c r="AD160" s="193">
        <v>5.93</v>
      </c>
      <c r="AE160" s="193">
        <v>6.14</v>
      </c>
      <c r="AF160" s="193">
        <v>5.01</v>
      </c>
      <c r="AG160" s="193">
        <v>5.34</v>
      </c>
      <c r="AH160" s="193">
        <v>5.05</v>
      </c>
      <c r="AI160" s="193">
        <v>4.7699999999999996</v>
      </c>
      <c r="AJ160" s="193">
        <v>5</v>
      </c>
      <c r="AK160" s="193">
        <v>5.98</v>
      </c>
      <c r="AL160" s="193">
        <v>5.05</v>
      </c>
      <c r="AM160" s="193"/>
      <c r="AN160" s="195">
        <f>AVERAGE(AH160:AL160)</f>
        <v>5.17</v>
      </c>
    </row>
    <row r="161" spans="1:43" ht="15" x14ac:dyDescent="0.2">
      <c r="A161" s="69" t="s">
        <v>61</v>
      </c>
      <c r="B161" s="42">
        <f t="shared" ref="B161:S161" si="296">(B46+B56)/(B$46+B$56+B$69)</f>
        <v>0.46069456359939637</v>
      </c>
      <c r="C161" s="42">
        <f t="shared" si="296"/>
        <v>0.46007001243211409</v>
      </c>
      <c r="D161" s="42">
        <f t="shared" si="296"/>
        <v>0.48229144279600428</v>
      </c>
      <c r="E161" s="42">
        <f t="shared" si="296"/>
        <v>0.47592964924819814</v>
      </c>
      <c r="F161" s="42">
        <f t="shared" si="296"/>
        <v>0.48413215138311549</v>
      </c>
      <c r="G161" s="42">
        <f t="shared" si="296"/>
        <v>0.46430861386020739</v>
      </c>
      <c r="H161" s="42">
        <f t="shared" si="296"/>
        <v>0.50364401256147417</v>
      </c>
      <c r="I161" s="42">
        <f t="shared" si="296"/>
        <v>0.49494330370824396</v>
      </c>
      <c r="J161" s="42">
        <f t="shared" si="296"/>
        <v>0.47881291112130947</v>
      </c>
      <c r="K161" s="42">
        <f t="shared" si="296"/>
        <v>0.49032600053008218</v>
      </c>
      <c r="L161" s="42">
        <f t="shared" si="296"/>
        <v>0.48114434330299088</v>
      </c>
      <c r="M161" s="151">
        <f>(M46+M56)/(M$46+M$56+M$69)</f>
        <v>0.47103755569700828</v>
      </c>
      <c r="N161" s="151">
        <f t="shared" si="296"/>
        <v>0.44856167723061918</v>
      </c>
      <c r="O161" s="151">
        <f t="shared" si="296"/>
        <v>0.47701599373671849</v>
      </c>
      <c r="P161" s="151">
        <f t="shared" si="296"/>
        <v>0.48118473172488296</v>
      </c>
      <c r="Q161" s="151">
        <f t="shared" si="296"/>
        <v>0.47238179407865666</v>
      </c>
      <c r="R161" s="151">
        <f t="shared" ref="R161" si="297">(R46+R56)/(R$46+R$56+R$69)</f>
        <v>0.46109385783298829</v>
      </c>
      <c r="S161" s="151" t="e">
        <f t="shared" si="296"/>
        <v>#DIV/0!</v>
      </c>
      <c r="T161" s="151">
        <f t="shared" ref="T161:T162" si="298">AVERAGE(N161:R161)</f>
        <v>0.46804761092077307</v>
      </c>
      <c r="U161" s="159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179"/>
      <c r="AH161" s="179"/>
      <c r="AI161" s="7"/>
      <c r="AJ161" s="7"/>
      <c r="AK161" s="7"/>
      <c r="AL161" s="7"/>
      <c r="AM161" s="7"/>
      <c r="AN161" s="158"/>
      <c r="AO161" s="192">
        <f>+AJ160-AI160</f>
        <v>0.23000000000000043</v>
      </c>
    </row>
    <row r="162" spans="1:43" ht="15" x14ac:dyDescent="0.2">
      <c r="A162" s="69" t="s">
        <v>118</v>
      </c>
      <c r="B162" s="50">
        <f t="shared" ref="B162:S162" si="299">B69/(B$46+B$56+B$69)</f>
        <v>0.53930543640060358</v>
      </c>
      <c r="C162" s="50">
        <f t="shared" si="299"/>
        <v>0.53992998756788591</v>
      </c>
      <c r="D162" s="50">
        <f t="shared" si="299"/>
        <v>0.51770855720399578</v>
      </c>
      <c r="E162" s="50">
        <f t="shared" si="299"/>
        <v>0.52407035075180186</v>
      </c>
      <c r="F162" s="50">
        <f t="shared" si="299"/>
        <v>0.51586784861688451</v>
      </c>
      <c r="G162" s="50">
        <f t="shared" si="299"/>
        <v>0.53569138613979261</v>
      </c>
      <c r="H162" s="50">
        <f t="shared" si="299"/>
        <v>0.49635598743852583</v>
      </c>
      <c r="I162" s="50">
        <f t="shared" si="299"/>
        <v>0.50505669629175609</v>
      </c>
      <c r="J162" s="50">
        <f t="shared" si="299"/>
        <v>0.52118708887869059</v>
      </c>
      <c r="K162" s="50">
        <f t="shared" si="299"/>
        <v>0.50967399946991787</v>
      </c>
      <c r="L162" s="50">
        <f t="shared" si="299"/>
        <v>0.51885565669700906</v>
      </c>
      <c r="M162" s="263">
        <f t="shared" si="299"/>
        <v>0.52896244430299177</v>
      </c>
      <c r="N162" s="263">
        <f t="shared" si="299"/>
        <v>0.55143832276938076</v>
      </c>
      <c r="O162" s="263">
        <f t="shared" si="299"/>
        <v>0.52298400626328156</v>
      </c>
      <c r="P162" s="263">
        <f t="shared" si="299"/>
        <v>0.51881526827511704</v>
      </c>
      <c r="Q162" s="263">
        <f t="shared" si="299"/>
        <v>0.52761820592134334</v>
      </c>
      <c r="R162" s="263">
        <f>R69/(R$46+R$56+R$69)</f>
        <v>0.53890614216701171</v>
      </c>
      <c r="S162" s="263" t="e">
        <f t="shared" si="299"/>
        <v>#DIV/0!</v>
      </c>
      <c r="T162" s="263">
        <f t="shared" si="298"/>
        <v>0.53195238907922682</v>
      </c>
      <c r="U162" s="70" t="s">
        <v>159</v>
      </c>
      <c r="V162" s="70"/>
      <c r="W162" s="70"/>
      <c r="X162" s="70"/>
      <c r="Y162" s="70"/>
      <c r="Z162" s="70"/>
      <c r="AA162" s="166">
        <v>0.03</v>
      </c>
      <c r="AB162" s="174">
        <v>-0.03</v>
      </c>
      <c r="AC162" s="174">
        <v>-0.02</v>
      </c>
      <c r="AD162" s="166">
        <v>0.02</v>
      </c>
      <c r="AE162" s="166">
        <v>0.08</v>
      </c>
      <c r="AF162" s="166">
        <v>0.05</v>
      </c>
      <c r="AG162" s="166">
        <v>0.01</v>
      </c>
      <c r="AH162" s="166">
        <v>7.0000000000000007E-2</v>
      </c>
      <c r="AI162" s="166">
        <v>-0.16</v>
      </c>
      <c r="AJ162" s="166">
        <v>0.08</v>
      </c>
      <c r="AK162" s="166">
        <v>-0.17</v>
      </c>
      <c r="AL162" s="166">
        <v>-0.19</v>
      </c>
      <c r="AM162" s="166">
        <v>-0.23</v>
      </c>
      <c r="AN162" s="258">
        <f>AVERAGE(AH162:AL162)</f>
        <v>-7.3999999999999996E-2</v>
      </c>
      <c r="AO162" s="136">
        <f>+AO161/AI160</f>
        <v>4.8218029350104913E-2</v>
      </c>
      <c r="AP162" s="201">
        <v>107.24</v>
      </c>
      <c r="AQ162" s="201">
        <v>106.02</v>
      </c>
    </row>
    <row r="163" spans="1:43" ht="15" x14ac:dyDescent="0.2">
      <c r="A163" s="69"/>
      <c r="B163" s="42">
        <f>SUM(B161:B162)</f>
        <v>1</v>
      </c>
      <c r="C163" s="42">
        <f>SUM(C161:C162)</f>
        <v>1</v>
      </c>
      <c r="D163" s="42">
        <f t="shared" ref="D163:K163" si="300">SUM(D161:D162)</f>
        <v>1</v>
      </c>
      <c r="E163" s="42">
        <f t="shared" si="300"/>
        <v>1</v>
      </c>
      <c r="F163" s="42">
        <f t="shared" si="300"/>
        <v>1</v>
      </c>
      <c r="G163" s="42">
        <f t="shared" si="300"/>
        <v>1</v>
      </c>
      <c r="H163" s="42">
        <f t="shared" si="300"/>
        <v>1</v>
      </c>
      <c r="I163" s="42">
        <f t="shared" si="300"/>
        <v>1</v>
      </c>
      <c r="J163" s="42">
        <f t="shared" si="300"/>
        <v>1</v>
      </c>
      <c r="K163" s="42">
        <f t="shared" si="300"/>
        <v>1</v>
      </c>
      <c r="L163" s="42">
        <f t="shared" ref="L163" si="301">SUM(L161:L162)</f>
        <v>1</v>
      </c>
      <c r="M163" s="151"/>
      <c r="N163" s="151"/>
      <c r="O163" s="151"/>
      <c r="P163" s="151"/>
      <c r="Q163" s="151"/>
      <c r="R163" s="151"/>
      <c r="S163" s="151"/>
      <c r="T163" s="151"/>
      <c r="U163" s="156" t="s">
        <v>177</v>
      </c>
      <c r="V163" s="70"/>
      <c r="W163" s="70"/>
      <c r="X163" s="70"/>
      <c r="Y163" s="70"/>
      <c r="Z163" s="70"/>
      <c r="AA163" s="157">
        <v>114.9</v>
      </c>
      <c r="AB163" s="157">
        <v>113.3</v>
      </c>
      <c r="AC163" s="157">
        <v>113.6</v>
      </c>
      <c r="AD163" s="157">
        <v>110.8</v>
      </c>
      <c r="AE163" s="157">
        <v>109.9</v>
      </c>
      <c r="AF163" s="157">
        <v>109</v>
      </c>
      <c r="AG163" s="157">
        <v>106.9</v>
      </c>
      <c r="AH163" s="157">
        <v>111.1</v>
      </c>
      <c r="AI163" s="157">
        <v>108.4</v>
      </c>
      <c r="AJ163" s="157">
        <v>108</v>
      </c>
      <c r="AK163" s="157">
        <v>108.9</v>
      </c>
      <c r="AL163" s="157">
        <v>103.3</v>
      </c>
      <c r="AM163" s="157">
        <v>67.2</v>
      </c>
      <c r="AN163" s="158">
        <f>AVERAGE(AH163:AL163)</f>
        <v>107.93999999999998</v>
      </c>
    </row>
    <row r="164" spans="1:43" ht="15.75" x14ac:dyDescent="0.25">
      <c r="A164" s="113" t="s">
        <v>119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151"/>
      <c r="N164" s="151"/>
      <c r="O164" s="151"/>
      <c r="P164" s="151"/>
      <c r="Q164" s="151"/>
      <c r="R164" s="151"/>
      <c r="S164" s="151"/>
      <c r="T164" s="162"/>
      <c r="U164" s="156"/>
      <c r="V164" s="70"/>
      <c r="W164" s="70"/>
      <c r="X164" s="70"/>
      <c r="Y164" s="70"/>
      <c r="Z164" s="70"/>
      <c r="AA164" s="70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60"/>
    </row>
    <row r="165" spans="1:43" ht="15" x14ac:dyDescent="0.2">
      <c r="A165" s="69" t="s">
        <v>120</v>
      </c>
      <c r="B165" s="42">
        <f>(B$44)/(B$44+B$46+B$64+B$69+B$56)</f>
        <v>0.13968817653203405</v>
      </c>
      <c r="C165" s="42">
        <f>(C$44)/(C$44+C$46+C$64+C$69+C$56)</f>
        <v>0.17758166065759026</v>
      </c>
      <c r="D165" s="42">
        <f t="shared" ref="D165:S165" si="302">(D$44)/(D$44+D$46+D$64+D$69+D$56)</f>
        <v>0.10128830819629249</v>
      </c>
      <c r="E165" s="42">
        <f t="shared" si="302"/>
        <v>5.7302259975945645E-2</v>
      </c>
      <c r="F165" s="42">
        <f t="shared" si="302"/>
        <v>7.9734525510439233E-2</v>
      </c>
      <c r="G165" s="42">
        <f t="shared" si="302"/>
        <v>0.13935017733481075</v>
      </c>
      <c r="H165" s="42">
        <f t="shared" si="302"/>
        <v>0.10769055244975137</v>
      </c>
      <c r="I165" s="42">
        <f t="shared" si="302"/>
        <v>1.9825773505557226E-2</v>
      </c>
      <c r="J165" s="42">
        <f t="shared" si="302"/>
        <v>0.10033030553261767</v>
      </c>
      <c r="K165" s="42">
        <f t="shared" si="302"/>
        <v>0.1047573852177008</v>
      </c>
      <c r="L165" s="42">
        <f t="shared" si="302"/>
        <v>0.10163551401869159</v>
      </c>
      <c r="M165" s="151">
        <f t="shared" si="302"/>
        <v>0.16356085613885635</v>
      </c>
      <c r="N165" s="151">
        <f t="shared" si="302"/>
        <v>0.14816737618108192</v>
      </c>
      <c r="O165" s="151">
        <f t="shared" si="302"/>
        <v>0.15666855310318809</v>
      </c>
      <c r="P165" s="151">
        <f t="shared" si="302"/>
        <v>1.5684536996012407E-2</v>
      </c>
      <c r="Q165" s="151">
        <f t="shared" si="302"/>
        <v>9.5378957467220984E-2</v>
      </c>
      <c r="R165" s="151">
        <f t="shared" si="302"/>
        <v>0.19078534031413613</v>
      </c>
      <c r="S165" s="151" t="e">
        <f t="shared" si="302"/>
        <v>#DIV/0!</v>
      </c>
      <c r="T165" s="151">
        <f>AVERAGE(N165:R165)</f>
        <v>0.1213369528123279</v>
      </c>
      <c r="U165" s="156" t="s">
        <v>158</v>
      </c>
      <c r="V165" s="70"/>
      <c r="W165" s="70"/>
      <c r="X165" s="70"/>
      <c r="Y165" s="70"/>
      <c r="Z165" s="70"/>
      <c r="AA165" s="157">
        <v>794.1</v>
      </c>
      <c r="AB165" s="157">
        <v>824.4</v>
      </c>
      <c r="AC165" s="157">
        <v>850.5</v>
      </c>
      <c r="AD165" s="157">
        <v>873.6</v>
      </c>
      <c r="AE165" s="157">
        <v>888.6</v>
      </c>
      <c r="AF165" s="157">
        <v>898.6</v>
      </c>
      <c r="AG165" s="157">
        <v>909.6</v>
      </c>
      <c r="AH165" s="157">
        <v>919</v>
      </c>
      <c r="AI165" s="157">
        <v>931</v>
      </c>
      <c r="AJ165" s="157">
        <v>945.971</v>
      </c>
      <c r="AK165" s="157">
        <v>962</v>
      </c>
      <c r="AL165" s="157">
        <v>990</v>
      </c>
      <c r="AM165" s="157">
        <v>981.3</v>
      </c>
      <c r="AN165" s="42"/>
    </row>
    <row r="166" spans="1:43" ht="15" x14ac:dyDescent="0.2">
      <c r="A166" s="69" t="s">
        <v>61</v>
      </c>
      <c r="B166" s="42">
        <f t="shared" ref="B166:S166" si="303">(B$56+B46)/(B$44+B$46+B$64+B$69+B$56)</f>
        <v>0.39634098007197555</v>
      </c>
      <c r="C166" s="42">
        <f t="shared" si="303"/>
        <v>0.37837001560566108</v>
      </c>
      <c r="D166" s="42">
        <f t="shared" si="303"/>
        <v>0.43344095849764802</v>
      </c>
      <c r="E166" s="42">
        <f t="shared" si="303"/>
        <v>0.44865780475671729</v>
      </c>
      <c r="F166" s="42">
        <f t="shared" si="303"/>
        <v>0.44553010400823462</v>
      </c>
      <c r="G166" s="42">
        <f t="shared" si="303"/>
        <v>0.39960712618070732</v>
      </c>
      <c r="H166" s="42">
        <f t="shared" si="303"/>
        <v>0.44940631061071951</v>
      </c>
      <c r="I166" s="42">
        <f t="shared" si="303"/>
        <v>0.48513066987083209</v>
      </c>
      <c r="J166" s="42">
        <f t="shared" si="303"/>
        <v>0.4307734654555464</v>
      </c>
      <c r="K166" s="42">
        <f t="shared" si="303"/>
        <v>0.43896073081029779</v>
      </c>
      <c r="L166" s="42">
        <f t="shared" si="303"/>
        <v>0.43224299065420563</v>
      </c>
      <c r="M166" s="151">
        <f t="shared" si="303"/>
        <v>0.39399424981365139</v>
      </c>
      <c r="N166" s="151">
        <f t="shared" si="303"/>
        <v>0.382099470459973</v>
      </c>
      <c r="O166" s="151">
        <f t="shared" si="303"/>
        <v>0.4022825881909074</v>
      </c>
      <c r="P166" s="151">
        <f t="shared" si="303"/>
        <v>0.47363757199822776</v>
      </c>
      <c r="Q166" s="151">
        <f t="shared" si="303"/>
        <v>0.42732651103293889</v>
      </c>
      <c r="R166" s="151">
        <f t="shared" si="303"/>
        <v>0.37312390924956368</v>
      </c>
      <c r="S166" s="151" t="e">
        <f t="shared" si="303"/>
        <v>#DIV/0!</v>
      </c>
      <c r="T166" s="151">
        <f>AVERAGE(N166:R166)</f>
        <v>0.41169401018632212</v>
      </c>
      <c r="U166" s="164" t="s">
        <v>160</v>
      </c>
      <c r="V166" s="141"/>
      <c r="W166" s="141"/>
      <c r="X166" s="141"/>
      <c r="Y166" s="141"/>
      <c r="Z166" s="141"/>
      <c r="AA166" s="144">
        <v>3.8193364450000003E-2</v>
      </c>
      <c r="AB166" s="172">
        <f t="shared" ref="AB166:AL166" si="304">(+AB165-AA165)/AA165</f>
        <v>3.8156403475632733E-2</v>
      </c>
      <c r="AC166" s="172">
        <f t="shared" si="304"/>
        <v>3.1659388646288235E-2</v>
      </c>
      <c r="AD166" s="172">
        <f t="shared" si="304"/>
        <v>2.7160493827160521E-2</v>
      </c>
      <c r="AE166" s="172">
        <f t="shared" si="304"/>
        <v>1.7170329670329668E-2</v>
      </c>
      <c r="AF166" s="172">
        <f t="shared" si="304"/>
        <v>1.1253657438667566E-2</v>
      </c>
      <c r="AG166" s="172">
        <f t="shared" si="304"/>
        <v>1.2241264188738037E-2</v>
      </c>
      <c r="AH166" s="172">
        <f t="shared" si="304"/>
        <v>1.0334212840809121E-2</v>
      </c>
      <c r="AI166" s="172">
        <f t="shared" si="304"/>
        <v>1.3057671381936888E-2</v>
      </c>
      <c r="AJ166" s="172">
        <f t="shared" si="304"/>
        <v>1.6080558539205158E-2</v>
      </c>
      <c r="AK166" s="172">
        <f t="shared" si="304"/>
        <v>1.6944494070114197E-2</v>
      </c>
      <c r="AL166" s="172">
        <f t="shared" si="304"/>
        <v>2.9106029106029108E-2</v>
      </c>
      <c r="AM166" s="172">
        <f>(+AM165-AK165)/AK165</f>
        <v>2.0062370062370015E-2</v>
      </c>
      <c r="AN166" s="182">
        <f>AVERAGE(AH166:AL166)</f>
        <v>1.7104593187618894E-2</v>
      </c>
    </row>
    <row r="167" spans="1:43" ht="15.75" x14ac:dyDescent="0.25">
      <c r="A167" s="69" t="s">
        <v>118</v>
      </c>
      <c r="B167" s="42">
        <f>B$69/(B$44+B$46+B$64+B$69+B$56)</f>
        <v>0.46397084339599043</v>
      </c>
      <c r="C167" s="42">
        <f>C$69/(C$44+C$46+C$64+C$69+C$56)</f>
        <v>0.44404832373674863</v>
      </c>
      <c r="D167" s="42">
        <f t="shared" ref="D167:S167" si="305">D$69/(D$44+D$46+D$64+D$69+D$56)</f>
        <v>0.4652707333060595</v>
      </c>
      <c r="E167" s="42">
        <f t="shared" si="305"/>
        <v>0.49403993526733708</v>
      </c>
      <c r="F167" s="42">
        <f t="shared" si="305"/>
        <v>0.47473537048132614</v>
      </c>
      <c r="G167" s="42">
        <f t="shared" si="305"/>
        <v>0.46104269648448193</v>
      </c>
      <c r="H167" s="42">
        <f t="shared" si="305"/>
        <v>0.4429031369395291</v>
      </c>
      <c r="I167" s="42">
        <f t="shared" si="305"/>
        <v>0.49504355662361071</v>
      </c>
      <c r="J167" s="42">
        <f t="shared" si="305"/>
        <v>0.46889622901183597</v>
      </c>
      <c r="K167" s="42">
        <f t="shared" si="305"/>
        <v>0.45628188397200142</v>
      </c>
      <c r="L167" s="42">
        <f t="shared" si="305"/>
        <v>0.46612149532710279</v>
      </c>
      <c r="M167" s="263">
        <f t="shared" si="305"/>
        <v>0.44244489404749227</v>
      </c>
      <c r="N167" s="263">
        <f t="shared" si="305"/>
        <v>0.46973315335894505</v>
      </c>
      <c r="O167" s="263">
        <f t="shared" si="305"/>
        <v>0.44104885870590455</v>
      </c>
      <c r="P167" s="263">
        <f t="shared" si="305"/>
        <v>0.51067789100575989</v>
      </c>
      <c r="Q167" s="263">
        <f t="shared" si="305"/>
        <v>0.47729453149984008</v>
      </c>
      <c r="R167" s="263">
        <f>R$69/(R$44+R$46+R$64+R$69+R$56)</f>
        <v>0.43609075043630019</v>
      </c>
      <c r="S167" s="263" t="e">
        <f t="shared" si="305"/>
        <v>#DIV/0!</v>
      </c>
      <c r="T167" s="263">
        <f>AVERAGE(N167:R167)</f>
        <v>0.4669690370013499</v>
      </c>
      <c r="U167" s="270" t="s">
        <v>185</v>
      </c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2"/>
    </row>
    <row r="168" spans="1:43" ht="15.75" x14ac:dyDescent="0.25">
      <c r="U168" s="264" t="s">
        <v>184</v>
      </c>
      <c r="V168" s="154"/>
      <c r="W168" s="154"/>
      <c r="X168" s="154"/>
      <c r="Y168" s="154"/>
      <c r="Z168" s="154"/>
      <c r="AA168" s="154"/>
      <c r="AB168" s="154"/>
      <c r="AC168" s="154"/>
      <c r="AD168" s="222">
        <v>0.34</v>
      </c>
      <c r="AE168" s="231">
        <v>0.49</v>
      </c>
      <c r="AF168" s="231">
        <v>0.51</v>
      </c>
      <c r="AG168" s="231">
        <v>0.51</v>
      </c>
      <c r="AH168" s="231">
        <v>0.52</v>
      </c>
      <c r="AI168" s="231">
        <v>0.68</v>
      </c>
      <c r="AJ168" s="231">
        <v>0.59</v>
      </c>
      <c r="AK168" s="231">
        <f>Q197/(AK142+AK143)</f>
        <v>0.62072336265884653</v>
      </c>
      <c r="AL168" s="231">
        <f>R197/(AL142+AL143)</f>
        <v>0.59301130524152112</v>
      </c>
      <c r="AM168" s="231">
        <f>S197/(AM142+AM143)</f>
        <v>0.71967213114754092</v>
      </c>
      <c r="AN168" s="232">
        <f>AVERAGE(AH168:AL168)</f>
        <v>0.60074693358007347</v>
      </c>
      <c r="AO168" s="225"/>
    </row>
    <row r="169" spans="1:43" ht="15.75" x14ac:dyDescent="0.25">
      <c r="A169" s="69"/>
      <c r="B169" s="77">
        <f t="shared" ref="B169:L169" si="306">SUM(B165:B167)</f>
        <v>1</v>
      </c>
      <c r="C169" s="77">
        <f t="shared" si="306"/>
        <v>1</v>
      </c>
      <c r="D169" s="77">
        <f t="shared" si="306"/>
        <v>1</v>
      </c>
      <c r="E169" s="77">
        <f t="shared" si="306"/>
        <v>1</v>
      </c>
      <c r="F169" s="77">
        <f t="shared" si="306"/>
        <v>1</v>
      </c>
      <c r="G169" s="77">
        <f t="shared" si="306"/>
        <v>1</v>
      </c>
      <c r="H169" s="77">
        <f t="shared" si="306"/>
        <v>1</v>
      </c>
      <c r="I169" s="77">
        <f t="shared" si="306"/>
        <v>1</v>
      </c>
      <c r="J169" s="77">
        <f t="shared" si="306"/>
        <v>1</v>
      </c>
      <c r="K169" s="77">
        <f t="shared" si="306"/>
        <v>1</v>
      </c>
      <c r="L169" s="77">
        <f t="shared" si="306"/>
        <v>1</v>
      </c>
      <c r="M169" s="263"/>
      <c r="N169" s="263"/>
      <c r="O169" s="263"/>
      <c r="P169" s="263"/>
      <c r="Q169" s="263"/>
      <c r="R169" s="263"/>
      <c r="S169" s="263"/>
      <c r="T169" s="151"/>
      <c r="U169" s="210" t="s">
        <v>169</v>
      </c>
      <c r="V169" s="141"/>
      <c r="W169" s="141"/>
      <c r="X169" s="141"/>
      <c r="Y169" s="141"/>
      <c r="Z169" s="141"/>
      <c r="AA169" s="141"/>
      <c r="AB169" s="141"/>
      <c r="AC169" s="141"/>
      <c r="AD169" s="144">
        <f t="shared" ref="AD169:AH169" si="307">1-AD168</f>
        <v>0.65999999999999992</v>
      </c>
      <c r="AE169" s="144">
        <f t="shared" si="307"/>
        <v>0.51</v>
      </c>
      <c r="AF169" s="144">
        <f t="shared" si="307"/>
        <v>0.49</v>
      </c>
      <c r="AG169" s="144">
        <f t="shared" si="307"/>
        <v>0.49</v>
      </c>
      <c r="AH169" s="144">
        <f t="shared" si="307"/>
        <v>0.48</v>
      </c>
      <c r="AI169" s="144">
        <f>1-AI168</f>
        <v>0.31999999999999995</v>
      </c>
      <c r="AJ169" s="144">
        <f>1-AJ168</f>
        <v>0.41000000000000003</v>
      </c>
      <c r="AK169" s="144">
        <f>1-AK168</f>
        <v>0.37927663734115347</v>
      </c>
      <c r="AL169" s="144">
        <f>1-AL168</f>
        <v>0.40698869475847888</v>
      </c>
      <c r="AM169" s="144">
        <f>1-AM168</f>
        <v>0.28032786885245908</v>
      </c>
      <c r="AN169" s="182">
        <f>AVERAGE(AH169:AL169)</f>
        <v>0.39925306641992647</v>
      </c>
      <c r="AO169" s="225"/>
    </row>
    <row r="170" spans="1:43" ht="15.75" x14ac:dyDescent="0.25">
      <c r="T170" s="87" t="s">
        <v>114</v>
      </c>
      <c r="AO170" s="225"/>
    </row>
    <row r="171" spans="1:43" ht="15.75" x14ac:dyDescent="0.25">
      <c r="T171" s="145" t="s">
        <v>253</v>
      </c>
      <c r="AO171" s="225"/>
    </row>
    <row r="172" spans="1:43" ht="20.25" x14ac:dyDescent="0.3">
      <c r="A172" s="266" t="str">
        <f>+A116</f>
        <v>Questar Gas Company</v>
      </c>
      <c r="B172" s="266"/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AO172" s="225"/>
    </row>
    <row r="173" spans="1:43" s="188" customFormat="1" ht="15.75" x14ac:dyDescent="0.25">
      <c r="A173" s="268" t="s">
        <v>226</v>
      </c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AO173" s="213"/>
    </row>
    <row r="174" spans="1:43" s="188" customFormat="1" ht="15.75" x14ac:dyDescent="0.25">
      <c r="A174" s="268" t="str">
        <f>+A118</f>
        <v>Years Ended December 31</v>
      </c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AK174" s="249"/>
      <c r="AO174" s="213"/>
    </row>
    <row r="175" spans="1:43" ht="15.75" x14ac:dyDescent="0.25">
      <c r="T175" s="115" t="s">
        <v>223</v>
      </c>
      <c r="AK175" s="250"/>
    </row>
    <row r="176" spans="1:43" ht="15.75" x14ac:dyDescent="0.25">
      <c r="L176" s="192"/>
      <c r="M176" s="192"/>
      <c r="P176" s="214"/>
      <c r="Q176" s="214"/>
      <c r="R176" s="214"/>
      <c r="S176" s="214" t="str">
        <f>+AM121</f>
        <v>1st Qrtr</v>
      </c>
      <c r="T176" s="230" t="s">
        <v>224</v>
      </c>
      <c r="U176" s="117"/>
      <c r="V176" s="117" t="s">
        <v>218</v>
      </c>
      <c r="AK176" s="162"/>
    </row>
    <row r="177" spans="1:43" ht="15.75" x14ac:dyDescent="0.25">
      <c r="A177" s="113" t="s">
        <v>203</v>
      </c>
      <c r="K177" s="212">
        <f t="shared" ref="K177:R177" si="308">+AE122</f>
        <v>2008</v>
      </c>
      <c r="L177" s="212">
        <f t="shared" si="308"/>
        <v>2009</v>
      </c>
      <c r="M177" s="212">
        <f t="shared" si="308"/>
        <v>2010</v>
      </c>
      <c r="N177" s="212">
        <f t="shared" si="308"/>
        <v>2011</v>
      </c>
      <c r="O177" s="212">
        <f t="shared" si="308"/>
        <v>2012</v>
      </c>
      <c r="P177" s="212">
        <f t="shared" si="308"/>
        <v>2013</v>
      </c>
      <c r="Q177" s="212">
        <f t="shared" si="308"/>
        <v>2014</v>
      </c>
      <c r="R177" s="212">
        <f t="shared" si="308"/>
        <v>2015</v>
      </c>
      <c r="S177" s="212">
        <f>+AM122</f>
        <v>2016</v>
      </c>
      <c r="T177" s="116" t="s">
        <v>24</v>
      </c>
      <c r="U177" s="178"/>
      <c r="V177" s="227" t="s">
        <v>219</v>
      </c>
      <c r="AK177" s="7"/>
    </row>
    <row r="178" spans="1:43" ht="15" x14ac:dyDescent="0.2">
      <c r="A178" s="69" t="s">
        <v>191</v>
      </c>
      <c r="K178" s="211"/>
      <c r="L178" s="211"/>
      <c r="M178" s="211">
        <v>245.4</v>
      </c>
      <c r="N178" s="211">
        <v>221.2</v>
      </c>
      <c r="O178" s="211">
        <v>104.2</v>
      </c>
      <c r="P178" s="211">
        <v>186.6</v>
      </c>
      <c r="Q178" s="211">
        <v>136.5</v>
      </c>
      <c r="R178" s="211">
        <v>82.5</v>
      </c>
      <c r="S178" s="211">
        <v>43.5</v>
      </c>
      <c r="T178" s="42">
        <f>RATE(5,,-M178,R178)</f>
        <v>-0.19588923170953151</v>
      </c>
      <c r="U178" s="157"/>
      <c r="V178" s="151">
        <f t="shared" ref="V178:V186" si="309">RATE(4,,-M178,Q178)</f>
        <v>-0.1363962425299424</v>
      </c>
      <c r="AP178" s="203"/>
      <c r="AQ178" s="203"/>
    </row>
    <row r="179" spans="1:43" ht="15.75" x14ac:dyDescent="0.25">
      <c r="A179" s="188" t="s">
        <v>192</v>
      </c>
      <c r="B179" s="236"/>
      <c r="C179" s="236"/>
      <c r="D179" s="236"/>
      <c r="E179" s="236"/>
      <c r="F179" s="236"/>
      <c r="G179" s="236"/>
      <c r="H179" s="236"/>
      <c r="I179" s="236"/>
      <c r="J179" s="236"/>
      <c r="K179" s="213">
        <v>210.1</v>
      </c>
      <c r="L179" s="213">
        <v>224.9</v>
      </c>
      <c r="M179" s="213">
        <v>240</v>
      </c>
      <c r="N179" s="213">
        <v>253.4</v>
      </c>
      <c r="O179" s="213">
        <v>274</v>
      </c>
      <c r="P179" s="213">
        <v>294.60000000000002</v>
      </c>
      <c r="Q179" s="213">
        <v>349.7</v>
      </c>
      <c r="R179" s="213">
        <v>319</v>
      </c>
      <c r="S179" s="213">
        <v>241</v>
      </c>
      <c r="T179" s="42">
        <f t="shared" ref="T179:T186" si="310">RATE(5,,-M179,R179)</f>
        <v>5.8560997074532876E-2</v>
      </c>
      <c r="U179" s="157"/>
      <c r="V179" s="151">
        <f t="shared" si="309"/>
        <v>9.8679693417890221E-2</v>
      </c>
      <c r="AO179" s="202"/>
      <c r="AP179" s="202"/>
      <c r="AQ179" s="202"/>
    </row>
    <row r="180" spans="1:43" ht="15" x14ac:dyDescent="0.2">
      <c r="A180" s="69" t="s">
        <v>193</v>
      </c>
      <c r="K180" s="211"/>
      <c r="L180" s="211"/>
      <c r="M180" s="211">
        <v>78.099999999999994</v>
      </c>
      <c r="N180" s="211">
        <v>78.400000000000006</v>
      </c>
      <c r="O180" s="211">
        <v>79.599999999999994</v>
      </c>
      <c r="P180" s="211">
        <v>80.099999999999994</v>
      </c>
      <c r="Q180" s="211">
        <v>79.599999999999994</v>
      </c>
      <c r="R180" s="211">
        <v>79.2</v>
      </c>
      <c r="S180" s="211">
        <v>58.4</v>
      </c>
      <c r="T180" s="42">
        <f t="shared" si="310"/>
        <v>2.801164344682955E-3</v>
      </c>
      <c r="U180" s="157"/>
      <c r="V180" s="151">
        <f t="shared" si="309"/>
        <v>4.7673367656874835E-3</v>
      </c>
    </row>
    <row r="181" spans="1:43" ht="15" x14ac:dyDescent="0.2">
      <c r="A181" s="69" t="s">
        <v>194</v>
      </c>
      <c r="K181" s="211"/>
      <c r="L181" s="211"/>
      <c r="M181" s="211">
        <v>23.6</v>
      </c>
      <c r="N181" s="211">
        <v>25</v>
      </c>
      <c r="O181" s="211">
        <v>20.5</v>
      </c>
      <c r="P181" s="211">
        <v>18.8</v>
      </c>
      <c r="Q181" s="211">
        <v>21</v>
      </c>
      <c r="R181" s="211">
        <v>22.1</v>
      </c>
      <c r="S181" s="211">
        <v>16.7</v>
      </c>
      <c r="T181" s="42">
        <f t="shared" si="310"/>
        <v>-1.3047948433221868E-2</v>
      </c>
      <c r="U181" s="157"/>
      <c r="V181" s="151">
        <f t="shared" si="309"/>
        <v>-2.8759412606938494E-2</v>
      </c>
    </row>
    <row r="182" spans="1:43" ht="15.75" x14ac:dyDescent="0.25">
      <c r="A182" s="69" t="s">
        <v>195</v>
      </c>
      <c r="K182" s="211"/>
      <c r="L182" s="211"/>
      <c r="M182" s="211">
        <v>37.200000000000003</v>
      </c>
      <c r="N182" s="211">
        <v>38.9</v>
      </c>
      <c r="O182" s="211">
        <v>32</v>
      </c>
      <c r="P182" s="211">
        <v>44.3</v>
      </c>
      <c r="Q182" s="211">
        <v>60.1</v>
      </c>
      <c r="R182" s="211">
        <v>33.299999999999997</v>
      </c>
      <c r="S182" s="211">
        <v>26.4</v>
      </c>
      <c r="T182" s="42">
        <f t="shared" si="310"/>
        <v>-2.1906756860518472E-2</v>
      </c>
      <c r="U182" s="157"/>
      <c r="V182" s="151">
        <f t="shared" si="309"/>
        <v>0.1274125969650575</v>
      </c>
      <c r="W182" s="69"/>
      <c r="X182" s="69"/>
      <c r="Y182" s="69"/>
      <c r="Z182" s="69"/>
      <c r="AA182" s="69"/>
      <c r="AB182" s="69"/>
      <c r="AC182" s="69"/>
      <c r="AD182" s="212">
        <f>+AD122</f>
        <v>2007</v>
      </c>
    </row>
    <row r="183" spans="1:43" ht="15" x14ac:dyDescent="0.2">
      <c r="A183" s="69" t="s">
        <v>196</v>
      </c>
      <c r="K183" s="211"/>
      <c r="L183" s="211"/>
      <c r="M183" s="211">
        <v>-0.8</v>
      </c>
      <c r="N183" s="211">
        <v>3</v>
      </c>
      <c r="O183" s="211">
        <v>1.9</v>
      </c>
      <c r="P183" s="211">
        <v>-0.8</v>
      </c>
      <c r="Q183" s="211">
        <v>-1.1000000000000001</v>
      </c>
      <c r="R183" s="211">
        <v>-3.5</v>
      </c>
      <c r="S183" s="211">
        <v>-28.6</v>
      </c>
      <c r="T183" s="42">
        <f t="shared" si="310"/>
        <v>0.34336989489301711</v>
      </c>
      <c r="U183" s="157"/>
      <c r="V183" s="151">
        <f t="shared" si="309"/>
        <v>8.286838533404528E-2</v>
      </c>
      <c r="W183" s="211"/>
      <c r="X183" s="211"/>
      <c r="Y183" s="211"/>
      <c r="Z183" s="211"/>
      <c r="AA183" s="211"/>
      <c r="AB183" s="211"/>
      <c r="AC183" s="211"/>
      <c r="AD183" s="211"/>
    </row>
    <row r="184" spans="1:43" ht="15" x14ac:dyDescent="0.2">
      <c r="A184" s="69" t="s">
        <v>197</v>
      </c>
      <c r="K184" s="211"/>
      <c r="L184" s="211"/>
      <c r="M184" s="211">
        <v>-36.799999999999997</v>
      </c>
      <c r="N184" s="211">
        <v>20.6</v>
      </c>
      <c r="O184" s="211">
        <v>16.100000000000001</v>
      </c>
      <c r="P184" s="211">
        <v>22</v>
      </c>
      <c r="Q184" s="211">
        <v>-45.8</v>
      </c>
      <c r="R184" s="211">
        <v>20.5</v>
      </c>
      <c r="S184" s="211">
        <v>0.9</v>
      </c>
      <c r="T184" s="42"/>
      <c r="U184" s="157"/>
      <c r="V184" s="151">
        <f t="shared" si="309"/>
        <v>5.6220068197260768E-2</v>
      </c>
      <c r="W184" s="211"/>
      <c r="X184" s="211"/>
      <c r="Y184" s="211"/>
      <c r="Z184" s="211"/>
      <c r="AA184" s="211"/>
      <c r="AB184" s="211"/>
      <c r="AC184" s="211"/>
      <c r="AD184" s="211"/>
    </row>
    <row r="185" spans="1:43" ht="15" x14ac:dyDescent="0.2">
      <c r="A185" s="69" t="s">
        <v>66</v>
      </c>
      <c r="K185" s="142"/>
      <c r="L185" s="142"/>
      <c r="M185" s="142">
        <v>5.5</v>
      </c>
      <c r="N185" s="142">
        <v>5.2</v>
      </c>
      <c r="O185" s="142">
        <v>5</v>
      </c>
      <c r="P185" s="142">
        <v>5</v>
      </c>
      <c r="Q185" s="142">
        <v>4.8</v>
      </c>
      <c r="R185" s="142">
        <v>5</v>
      </c>
      <c r="S185" s="142">
        <v>3.7</v>
      </c>
      <c r="T185" s="50">
        <f t="shared" si="310"/>
        <v>-1.8881504273730761E-2</v>
      </c>
      <c r="U185" s="157"/>
      <c r="V185" s="219">
        <f t="shared" si="309"/>
        <v>-3.3460433818755624E-2</v>
      </c>
      <c r="W185" s="211"/>
      <c r="X185" s="211"/>
      <c r="Y185" s="211"/>
      <c r="Z185" s="211"/>
      <c r="AA185" s="211"/>
      <c r="AB185" s="211"/>
      <c r="AC185" s="211"/>
      <c r="AD185" s="211"/>
    </row>
    <row r="186" spans="1:43" ht="15" x14ac:dyDescent="0.2">
      <c r="A186" s="69" t="s">
        <v>225</v>
      </c>
      <c r="K186" s="211"/>
      <c r="L186" s="211"/>
      <c r="M186" s="211">
        <f t="shared" ref="M186:S186" si="311">SUM(M178:M185)</f>
        <v>592.20000000000016</v>
      </c>
      <c r="N186" s="211">
        <f t="shared" si="311"/>
        <v>645.70000000000005</v>
      </c>
      <c r="O186" s="211">
        <f t="shared" si="311"/>
        <v>533.29999999999995</v>
      </c>
      <c r="P186" s="211">
        <f t="shared" si="311"/>
        <v>650.6</v>
      </c>
      <c r="Q186" s="211">
        <f t="shared" si="311"/>
        <v>604.79999999999995</v>
      </c>
      <c r="R186" s="211">
        <f t="shared" si="311"/>
        <v>558.1</v>
      </c>
      <c r="S186" s="211">
        <f t="shared" si="311"/>
        <v>361.99999999999989</v>
      </c>
      <c r="T186" s="42">
        <f t="shared" si="310"/>
        <v>-1.1791184232560521E-2</v>
      </c>
      <c r="U186" s="157"/>
      <c r="V186" s="151">
        <f t="shared" si="309"/>
        <v>5.2772280741924258E-3</v>
      </c>
      <c r="W186" s="211"/>
      <c r="X186" s="211"/>
      <c r="Y186" s="211"/>
      <c r="Z186" s="211"/>
      <c r="AA186" s="211"/>
      <c r="AB186" s="211"/>
      <c r="AC186" s="211"/>
      <c r="AD186" s="211"/>
    </row>
    <row r="187" spans="1:43" ht="15" x14ac:dyDescent="0.2">
      <c r="A187" s="69"/>
      <c r="K187" s="211"/>
      <c r="L187" s="211"/>
      <c r="M187" s="211"/>
      <c r="N187" s="211"/>
      <c r="O187" s="211"/>
      <c r="P187" s="211"/>
      <c r="Q187" s="211"/>
      <c r="R187" s="211"/>
      <c r="S187" s="211"/>
      <c r="T187" s="157"/>
      <c r="U187" s="211"/>
      <c r="V187" s="151"/>
      <c r="W187" s="211"/>
      <c r="X187" s="211"/>
      <c r="Y187" s="211"/>
      <c r="Z187" s="211"/>
      <c r="AA187" s="211"/>
      <c r="AB187" s="211"/>
      <c r="AC187" s="211"/>
      <c r="AD187" s="211"/>
    </row>
    <row r="188" spans="1:43" ht="15.75" x14ac:dyDescent="0.25">
      <c r="A188" s="69" t="s">
        <v>198</v>
      </c>
      <c r="K188" s="211"/>
      <c r="L188" s="211"/>
      <c r="M188" s="211">
        <v>-313.7</v>
      </c>
      <c r="N188" s="211">
        <v>-327.3</v>
      </c>
      <c r="O188" s="211">
        <v>-347.7</v>
      </c>
      <c r="P188" s="211">
        <v>-370.9</v>
      </c>
      <c r="Q188" s="211">
        <v>-423.4</v>
      </c>
      <c r="R188" s="211">
        <v>-393.5</v>
      </c>
      <c r="S188" s="211">
        <v>-295.39999999999998</v>
      </c>
      <c r="T188" s="152">
        <f>RATE(5,,-M188,R188)</f>
        <v>4.6371840511151674E-2</v>
      </c>
      <c r="U188" s="213" t="s">
        <v>242</v>
      </c>
      <c r="V188" s="151">
        <f>RATE(4,,-M188,Q188)</f>
        <v>7.7851880460899289E-2</v>
      </c>
      <c r="W188" s="211"/>
      <c r="X188" s="211"/>
      <c r="Y188" s="211"/>
      <c r="Z188" s="211"/>
      <c r="AA188" s="211"/>
      <c r="AB188" s="211"/>
      <c r="AC188" s="211"/>
      <c r="AD188" s="211"/>
    </row>
    <row r="189" spans="1:43" ht="15" x14ac:dyDescent="0.2">
      <c r="A189" s="69"/>
      <c r="K189" s="211"/>
      <c r="L189" s="211"/>
      <c r="M189" s="211"/>
      <c r="N189" s="211"/>
      <c r="O189" s="211"/>
      <c r="P189" s="211"/>
      <c r="Q189" s="211"/>
      <c r="R189" s="211"/>
      <c r="S189" s="211"/>
      <c r="T189" s="152"/>
      <c r="U189" s="211"/>
      <c r="V189" s="151"/>
      <c r="W189" s="211"/>
      <c r="X189" s="211"/>
      <c r="Y189" s="211"/>
      <c r="Z189" s="211"/>
      <c r="AA189" s="211"/>
      <c r="AB189" s="211"/>
      <c r="AC189" s="211"/>
      <c r="AD189" s="211"/>
    </row>
    <row r="190" spans="1:43" ht="15.75" x14ac:dyDescent="0.25">
      <c r="A190" s="69" t="s">
        <v>245</v>
      </c>
      <c r="K190" s="211"/>
      <c r="L190" s="211"/>
      <c r="M190" s="211">
        <f t="shared" ref="M190:S190" si="312">+M188+M186</f>
        <v>278.50000000000017</v>
      </c>
      <c r="N190" s="211">
        <f t="shared" si="312"/>
        <v>318.40000000000003</v>
      </c>
      <c r="O190" s="211">
        <f t="shared" si="312"/>
        <v>185.59999999999997</v>
      </c>
      <c r="P190" s="211">
        <f t="shared" si="312"/>
        <v>279.70000000000005</v>
      </c>
      <c r="Q190" s="211">
        <f t="shared" si="312"/>
        <v>181.39999999999998</v>
      </c>
      <c r="R190" s="211">
        <f>+R188+R186</f>
        <v>164.60000000000002</v>
      </c>
      <c r="S190" s="211">
        <f t="shared" si="312"/>
        <v>66.599999999999909</v>
      </c>
      <c r="T190" s="152">
        <f>RATE(5,,-M190,R190)</f>
        <v>-9.9837480038365567E-2</v>
      </c>
      <c r="U190" s="213" t="s">
        <v>243</v>
      </c>
      <c r="V190" s="226">
        <f>RATE(4,,-M190,Q190)</f>
        <v>-0.10163459210202652</v>
      </c>
      <c r="W190" s="211"/>
      <c r="X190" s="211"/>
      <c r="Y190" s="211"/>
      <c r="Z190" s="211"/>
      <c r="AA190" s="211"/>
      <c r="AB190" s="211"/>
      <c r="AC190" s="211"/>
      <c r="AD190" s="211"/>
    </row>
    <row r="191" spans="1:43" ht="15.75" x14ac:dyDescent="0.25">
      <c r="A191" s="69"/>
      <c r="K191" s="211"/>
      <c r="L191" s="211"/>
      <c r="M191" s="213"/>
      <c r="N191" s="213"/>
      <c r="O191" s="213"/>
      <c r="P191" s="213"/>
      <c r="Q191" s="213"/>
      <c r="R191" s="213"/>
      <c r="S191" s="213"/>
      <c r="T191" s="21"/>
      <c r="U191" s="213"/>
      <c r="V191" s="226"/>
      <c r="W191" s="211"/>
      <c r="X191" s="211"/>
      <c r="Y191" s="211"/>
      <c r="Z191" s="211"/>
      <c r="AA191" s="211"/>
      <c r="AB191" s="211"/>
      <c r="AC191" s="211"/>
      <c r="AD191" s="211"/>
    </row>
    <row r="192" spans="1:43" ht="15" x14ac:dyDescent="0.2">
      <c r="A192" s="69" t="s">
        <v>204</v>
      </c>
      <c r="K192" s="211"/>
      <c r="L192" s="211"/>
      <c r="M192" s="211">
        <v>2.4</v>
      </c>
      <c r="N192" s="211">
        <v>3.1</v>
      </c>
      <c r="O192" s="211">
        <v>6.7</v>
      </c>
      <c r="P192" s="211">
        <v>6.1</v>
      </c>
      <c r="Q192" s="211">
        <v>4</v>
      </c>
      <c r="R192" s="211">
        <v>8.9</v>
      </c>
      <c r="S192" s="211">
        <v>2.2999999999999998</v>
      </c>
      <c r="T192" s="42">
        <f>RATE(5,,-M192,R192)</f>
        <v>0.29967795632802108</v>
      </c>
      <c r="U192" s="211"/>
      <c r="V192" s="151">
        <f>RATE(4,,-M192,Q192)</f>
        <v>0.13621936646749927</v>
      </c>
      <c r="W192" s="211"/>
      <c r="X192" s="211"/>
      <c r="Y192" s="211"/>
      <c r="Z192" s="211"/>
      <c r="AA192" s="211"/>
      <c r="AB192" s="211"/>
      <c r="AC192" s="211"/>
      <c r="AD192" s="211"/>
    </row>
    <row r="193" spans="1:30" ht="15" x14ac:dyDescent="0.2">
      <c r="A193" s="69" t="s">
        <v>214</v>
      </c>
      <c r="K193" s="211"/>
      <c r="L193" s="211"/>
      <c r="M193" s="211"/>
      <c r="N193" s="211"/>
      <c r="O193" s="211"/>
      <c r="P193" s="211"/>
      <c r="Q193" s="211">
        <v>0.9</v>
      </c>
      <c r="R193" s="211">
        <v>1.7</v>
      </c>
      <c r="S193" s="211">
        <v>1.3</v>
      </c>
      <c r="T193" s="157"/>
      <c r="U193" s="211"/>
      <c r="V193" s="151"/>
      <c r="W193" s="142"/>
      <c r="X193" s="142"/>
      <c r="Y193" s="142"/>
      <c r="Z193" s="142"/>
      <c r="AA193" s="142"/>
      <c r="AB193" s="142"/>
      <c r="AC193" s="142"/>
      <c r="AD193" s="142"/>
    </row>
    <row r="194" spans="1:30" ht="15" x14ac:dyDescent="0.2">
      <c r="A194" s="69" t="s">
        <v>199</v>
      </c>
      <c r="K194" s="211"/>
      <c r="L194" s="211"/>
      <c r="M194" s="211">
        <f>+M192+M190</f>
        <v>280.90000000000015</v>
      </c>
      <c r="N194" s="211">
        <f>+N192+N190</f>
        <v>321.50000000000006</v>
      </c>
      <c r="O194" s="211">
        <f>+O192+O190</f>
        <v>192.29999999999995</v>
      </c>
      <c r="P194" s="211">
        <f>+P192+P190</f>
        <v>285.80000000000007</v>
      </c>
      <c r="Q194" s="211">
        <f>+Q192+Q190+Q193</f>
        <v>186.29999999999998</v>
      </c>
      <c r="R194" s="211">
        <f>+R192+R190+R193</f>
        <v>175.20000000000002</v>
      </c>
      <c r="S194" s="211">
        <f>+S192+S190+S193</f>
        <v>70.199999999999903</v>
      </c>
      <c r="T194" s="42">
        <f>RATE(5,,-M194,R194)</f>
        <v>-9.0094117934338872E-2</v>
      </c>
      <c r="U194" s="211"/>
      <c r="V194" s="151">
        <f>RATE(4,,-M194,Q194)</f>
        <v>-9.7566354188506482E-2</v>
      </c>
      <c r="W194" s="211">
        <f t="shared" ref="W194" si="313">SUM(W183:W193)</f>
        <v>0</v>
      </c>
      <c r="X194" s="211">
        <f t="shared" ref="X194" si="314">SUM(X183:X193)</f>
        <v>0</v>
      </c>
      <c r="Y194" s="211">
        <f t="shared" ref="Y194" si="315">SUM(Y183:Y193)</f>
        <v>0</v>
      </c>
      <c r="Z194" s="211">
        <f t="shared" ref="Z194" si="316">SUM(Z183:Z193)</f>
        <v>0</v>
      </c>
      <c r="AA194" s="211">
        <f t="shared" ref="AA194" si="317">SUM(AA183:AA193)</f>
        <v>0</v>
      </c>
      <c r="AB194" s="211">
        <f t="shared" ref="AB194" si="318">SUM(AB183:AB193)</f>
        <v>0</v>
      </c>
      <c r="AC194" s="211">
        <f t="shared" ref="AC194" si="319">SUM(AC183:AC193)</f>
        <v>0</v>
      </c>
      <c r="AD194" s="211">
        <f t="shared" ref="AD194" si="320">SUM(AD183:AD193)</f>
        <v>0</v>
      </c>
    </row>
    <row r="195" spans="1:30" ht="15" x14ac:dyDescent="0.2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211"/>
      <c r="X195" s="211"/>
      <c r="Y195" s="211"/>
      <c r="Z195" s="211"/>
      <c r="AA195" s="211"/>
      <c r="AB195" s="211"/>
      <c r="AC195" s="211"/>
      <c r="AD195" s="211"/>
    </row>
    <row r="196" spans="1:30" ht="15" x14ac:dyDescent="0.2">
      <c r="A196" s="223" t="s">
        <v>235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211"/>
      <c r="X196" s="211"/>
      <c r="Y196" s="211"/>
      <c r="Z196" s="211"/>
      <c r="AA196" s="211"/>
      <c r="AB196" s="211"/>
      <c r="AC196" s="211"/>
      <c r="AD196" s="211"/>
    </row>
    <row r="197" spans="1:30" ht="15.75" x14ac:dyDescent="0.25">
      <c r="A197" s="233" t="s">
        <v>232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234">
        <v>46.1</v>
      </c>
      <c r="L197" s="234">
        <v>48.2</v>
      </c>
      <c r="M197" s="234">
        <v>50.2</v>
      </c>
      <c r="N197" s="234">
        <v>50.5</v>
      </c>
      <c r="O197" s="234">
        <v>57.5</v>
      </c>
      <c r="P197" s="234">
        <v>59.2</v>
      </c>
      <c r="Q197" s="234">
        <v>63.5</v>
      </c>
      <c r="R197" s="234">
        <v>57.7</v>
      </c>
      <c r="S197" s="234">
        <v>43.9</v>
      </c>
      <c r="T197" s="42">
        <f t="shared" ref="T197:T199" si="321">RATE(5,,-M197,R197)</f>
        <v>2.8239821646879805E-2</v>
      </c>
      <c r="U197" s="213"/>
      <c r="V197" s="226">
        <f>RATE(4,,-M197,Q197)</f>
        <v>6.0516676257802729E-2</v>
      </c>
      <c r="W197" s="211" t="e">
        <f>+#REF!+W194</f>
        <v>#REF!</v>
      </c>
      <c r="X197" s="211" t="e">
        <f>+#REF!+X194</f>
        <v>#REF!</v>
      </c>
      <c r="Y197" s="211" t="e">
        <f>+#REF!+Y194</f>
        <v>#REF!</v>
      </c>
      <c r="Z197" s="211" t="e">
        <f>+#REF!+Z194</f>
        <v>#REF!</v>
      </c>
      <c r="AA197" s="211" t="e">
        <f>+#REF!+AA194</f>
        <v>#REF!</v>
      </c>
      <c r="AB197" s="211" t="e">
        <f>+#REF!+AB194</f>
        <v>#REF!</v>
      </c>
      <c r="AC197" s="211" t="e">
        <f>+#REF!+AC194</f>
        <v>#REF!</v>
      </c>
      <c r="AD197" s="211" t="e">
        <f>+#REF!+AD194</f>
        <v>#REF!</v>
      </c>
    </row>
    <row r="198" spans="1:30" ht="15.75" x14ac:dyDescent="0.25">
      <c r="A198" s="233" t="s">
        <v>233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234"/>
      <c r="L198" s="229">
        <f>+L199-L197</f>
        <v>62.5</v>
      </c>
      <c r="M198" s="229">
        <f t="shared" ref="M198:S198" si="322">+M199-M197</f>
        <v>60.099999999999994</v>
      </c>
      <c r="N198" s="229">
        <f t="shared" si="322"/>
        <v>67.8</v>
      </c>
      <c r="O198" s="229">
        <f t="shared" si="322"/>
        <v>43.400000000000006</v>
      </c>
      <c r="P198" s="229">
        <f t="shared" si="322"/>
        <v>60.100000000000009</v>
      </c>
      <c r="Q198" s="229">
        <f t="shared" si="322"/>
        <v>38.799999999999997</v>
      </c>
      <c r="R198" s="229">
        <f t="shared" si="322"/>
        <v>39.599999999999994</v>
      </c>
      <c r="S198" s="229">
        <f t="shared" si="322"/>
        <v>17.100000000000001</v>
      </c>
      <c r="T198" s="50">
        <f t="shared" si="321"/>
        <v>-8.0050171491645242E-2</v>
      </c>
      <c r="U198" s="213"/>
      <c r="V198" s="226"/>
      <c r="W198" s="211"/>
      <c r="X198" s="211"/>
      <c r="Y198" s="211"/>
      <c r="Z198" s="211"/>
      <c r="AA198" s="211"/>
      <c r="AB198" s="211"/>
      <c r="AC198" s="211"/>
      <c r="AD198" s="211"/>
    </row>
    <row r="199" spans="1:30" ht="15.75" x14ac:dyDescent="0.25">
      <c r="A199" s="233" t="s">
        <v>234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234"/>
      <c r="L199" s="234">
        <f t="shared" ref="L199:P199" si="323">+AF142+AF143</f>
        <v>110.7</v>
      </c>
      <c r="M199" s="234">
        <f t="shared" si="323"/>
        <v>110.3</v>
      </c>
      <c r="N199" s="234">
        <f t="shared" si="323"/>
        <v>118.3</v>
      </c>
      <c r="O199" s="234">
        <f t="shared" si="323"/>
        <v>100.9</v>
      </c>
      <c r="P199" s="234">
        <f t="shared" si="323"/>
        <v>119.30000000000001</v>
      </c>
      <c r="Q199" s="234">
        <f>+AK142+AK143</f>
        <v>102.3</v>
      </c>
      <c r="R199" s="234">
        <f>+AL142+AL143</f>
        <v>97.3</v>
      </c>
      <c r="S199" s="234">
        <f>+AM142+AM143</f>
        <v>61</v>
      </c>
      <c r="T199" s="42">
        <f t="shared" si="321"/>
        <v>-2.4769072600366367E-2</v>
      </c>
      <c r="U199" s="239"/>
      <c r="V199" s="226"/>
      <c r="W199" s="211"/>
      <c r="X199" s="211"/>
      <c r="Y199" s="211"/>
      <c r="Z199" s="211"/>
      <c r="AA199" s="211"/>
      <c r="AB199" s="211"/>
      <c r="AC199" s="211"/>
      <c r="AD199" s="211"/>
    </row>
    <row r="200" spans="1:30" ht="15" x14ac:dyDescent="0.2">
      <c r="A200" s="197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149"/>
      <c r="M200" s="149"/>
      <c r="N200" s="149"/>
      <c r="O200" s="149"/>
      <c r="P200" s="149"/>
      <c r="Q200" s="149"/>
      <c r="R200" s="149"/>
      <c r="S200" s="69"/>
      <c r="T200" s="69"/>
      <c r="U200" s="69"/>
      <c r="V200" s="69"/>
      <c r="W200" s="211"/>
      <c r="X200" s="211"/>
      <c r="Y200" s="211"/>
      <c r="Z200" s="211"/>
      <c r="AA200" s="211"/>
      <c r="AB200" s="211"/>
      <c r="AC200" s="211"/>
      <c r="AD200" s="211"/>
    </row>
    <row r="201" spans="1:30" ht="15.75" x14ac:dyDescent="0.25">
      <c r="A201" s="233" t="s">
        <v>231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235">
        <f t="shared" ref="K201:P201" si="324">+K179/K197</f>
        <v>4.5574837310195226</v>
      </c>
      <c r="L201" s="149">
        <f t="shared" si="324"/>
        <v>4.6659751037344392</v>
      </c>
      <c r="M201" s="149">
        <f t="shared" si="324"/>
        <v>4.7808764940239037</v>
      </c>
      <c r="N201" s="149">
        <f t="shared" si="324"/>
        <v>5.0178217821782178</v>
      </c>
      <c r="O201" s="149">
        <f t="shared" si="324"/>
        <v>4.7652173913043478</v>
      </c>
      <c r="P201" s="149">
        <f t="shared" si="324"/>
        <v>4.9763513513513518</v>
      </c>
      <c r="Q201" s="149">
        <f>+Q179/Q197</f>
        <v>5.507086614173228</v>
      </c>
      <c r="R201" s="149">
        <f>+R179/R197</f>
        <v>5.5285961871750429</v>
      </c>
      <c r="S201" s="149">
        <f>+S179/S197</f>
        <v>5.4897494305239185</v>
      </c>
      <c r="T201" s="42">
        <f>RATE(5,,-M201,R201)</f>
        <v>2.9488427497692069E-2</v>
      </c>
      <c r="U201" s="213"/>
      <c r="V201" s="151">
        <f>RATE(4,,-M201,Q201)</f>
        <v>3.5985306044118336E-2</v>
      </c>
      <c r="W201" s="211"/>
      <c r="X201" s="211"/>
      <c r="Y201" s="211"/>
      <c r="Z201" s="211"/>
      <c r="AA201" s="211"/>
      <c r="AB201" s="211"/>
      <c r="AC201" s="211"/>
      <c r="AD201" s="211"/>
    </row>
    <row r="202" spans="1:30" ht="15" x14ac:dyDescent="0.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149"/>
      <c r="M202" s="192"/>
      <c r="N202" s="192"/>
      <c r="O202" s="192"/>
      <c r="P202" s="192"/>
      <c r="Q202" s="192"/>
      <c r="R202" s="192"/>
      <c r="S202" s="69"/>
      <c r="T202" s="42"/>
      <c r="V202" s="211" t="e">
        <f>+#REF!+#REF!</f>
        <v>#REF!</v>
      </c>
      <c r="W202" s="211" t="e">
        <f t="shared" ref="W202" si="325">+W200+W197</f>
        <v>#REF!</v>
      </c>
      <c r="X202" s="211" t="e">
        <f t="shared" ref="X202" si="326">+X200+X197</f>
        <v>#REF!</v>
      </c>
      <c r="Y202" s="211" t="e">
        <f t="shared" ref="Y202" si="327">+Y200+Y197</f>
        <v>#REF!</v>
      </c>
      <c r="Z202" s="211" t="e">
        <f t="shared" ref="Z202" si="328">+Z200+Z197</f>
        <v>#REF!</v>
      </c>
      <c r="AA202" s="211" t="e">
        <f t="shared" ref="AA202" si="329">+AA200+AA197</f>
        <v>#REF!</v>
      </c>
      <c r="AB202" s="211" t="e">
        <f t="shared" ref="AB202" si="330">+AB200+AB197</f>
        <v>#REF!</v>
      </c>
      <c r="AC202" s="211" t="e">
        <f t="shared" ref="AC202" si="331">+AC200+AC197</f>
        <v>#REF!</v>
      </c>
      <c r="AD202" s="211" t="e">
        <f t="shared" ref="AD202" si="332">+AD200+AD197</f>
        <v>#REF!</v>
      </c>
    </row>
    <row r="203" spans="1:30" ht="15.75" x14ac:dyDescent="0.25">
      <c r="A203" s="188" t="s">
        <v>228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238">
        <f t="shared" ref="L203:Q203" si="333">(L90/1000)/L197</f>
        <v>6.6597510373443978</v>
      </c>
      <c r="M203" s="238">
        <f t="shared" si="333"/>
        <v>6.2490039840637444</v>
      </c>
      <c r="N203" s="238">
        <f t="shared" si="333"/>
        <v>6.4811881188118816</v>
      </c>
      <c r="O203" s="238">
        <f t="shared" si="333"/>
        <v>6.0469565217391299</v>
      </c>
      <c r="P203" s="238">
        <f t="shared" si="333"/>
        <v>6.2652027027027017</v>
      </c>
      <c r="Q203" s="238">
        <f t="shared" si="333"/>
        <v>6.6677165354330707</v>
      </c>
      <c r="R203" s="238">
        <f t="shared" ref="R203" si="334">(R90/1000)/R197</f>
        <v>6.8197573656845751</v>
      </c>
      <c r="S203" s="238">
        <f t="shared" ref="S203" si="335">(S90/1000)/S197</f>
        <v>0</v>
      </c>
      <c r="T203" s="42">
        <f t="shared" ref="T203:T204" si="336">RATE(5,,-M203,R203)</f>
        <v>1.7634036811538363E-2</v>
      </c>
      <c r="V203" s="211"/>
      <c r="W203" s="211"/>
      <c r="X203" s="211"/>
      <c r="Y203" s="211"/>
      <c r="Z203" s="211"/>
      <c r="AA203" s="211"/>
      <c r="AB203" s="211"/>
      <c r="AC203" s="211"/>
      <c r="AD203" s="211"/>
    </row>
    <row r="204" spans="1:30" ht="15.75" x14ac:dyDescent="0.25">
      <c r="A204" s="188" t="s">
        <v>229</v>
      </c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238">
        <f t="shared" ref="L204" si="337">(L89/1000)/L198</f>
        <v>4.8896000000000006</v>
      </c>
      <c r="M204" s="238">
        <f t="shared" ref="M204:P204" si="338">(M89/1000)/M198</f>
        <v>4.6339434276206326</v>
      </c>
      <c r="N204" s="238">
        <f t="shared" si="338"/>
        <v>4.6961651917404126</v>
      </c>
      <c r="O204" s="238">
        <f t="shared" si="338"/>
        <v>4.2764976958525338</v>
      </c>
      <c r="P204" s="238">
        <f t="shared" si="338"/>
        <v>4.6539101497504154</v>
      </c>
      <c r="Q204" s="238">
        <f>(Q89/1000)/Q198</f>
        <v>4.6752577319587632</v>
      </c>
      <c r="R204" s="238">
        <f>(R89/1000)/R198</f>
        <v>4.1565656565656575</v>
      </c>
      <c r="S204" s="238">
        <f>(S89/1000)/S198</f>
        <v>0</v>
      </c>
      <c r="T204" s="42">
        <f t="shared" si="336"/>
        <v>-2.1509117055652435E-2</v>
      </c>
      <c r="V204" s="211"/>
      <c r="W204" s="211"/>
      <c r="X204" s="211"/>
      <c r="Y204" s="211"/>
      <c r="Z204" s="211"/>
      <c r="AA204" s="211"/>
      <c r="AB204" s="211"/>
      <c r="AC204" s="211"/>
      <c r="AD204" s="211"/>
    </row>
    <row r="205" spans="1:30" ht="15.75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238"/>
      <c r="M205" s="238"/>
      <c r="N205" s="238"/>
      <c r="O205" s="238"/>
      <c r="P205" s="238"/>
      <c r="Q205" s="238"/>
      <c r="R205" s="238"/>
      <c r="S205" s="238"/>
      <c r="T205" s="42"/>
      <c r="V205" s="211"/>
      <c r="W205" s="211"/>
      <c r="X205" s="211"/>
      <c r="Y205" s="211"/>
      <c r="Z205" s="211"/>
      <c r="AA205" s="211"/>
      <c r="AB205" s="211"/>
      <c r="AC205" s="211"/>
      <c r="AD205" s="211"/>
    </row>
    <row r="206" spans="1:30" ht="15.75" x14ac:dyDescent="0.25">
      <c r="A206" s="188" t="s">
        <v>230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238">
        <f t="shared" ref="L206:P206" si="339">(+L85/1000)/L199</f>
        <v>5.6603432700993679</v>
      </c>
      <c r="M206" s="238">
        <f>(+M85/1000)/M199</f>
        <v>5.3689936536718044</v>
      </c>
      <c r="N206" s="238">
        <f t="shared" si="339"/>
        <v>5.4581572273879972</v>
      </c>
      <c r="O206" s="238">
        <f t="shared" si="339"/>
        <v>5.2854311199207125</v>
      </c>
      <c r="P206" s="238">
        <f t="shared" si="339"/>
        <v>5.4534786253143333</v>
      </c>
      <c r="Q206" s="238">
        <f>(+Q85/1000)/Q199</f>
        <v>5.9120234604105573</v>
      </c>
      <c r="R206" s="238">
        <f>(+R85/1000)/R199</f>
        <v>5.7358684480986639</v>
      </c>
      <c r="S206" s="238">
        <f>(+S85/1000)/S199</f>
        <v>0</v>
      </c>
      <c r="T206" s="42">
        <f>RATE(5,,-M206,R206)</f>
        <v>1.3307502872598844E-2</v>
      </c>
      <c r="V206" s="69"/>
      <c r="W206" s="69"/>
      <c r="X206" s="69"/>
      <c r="Y206" s="69"/>
      <c r="Z206" s="69"/>
      <c r="AA206" s="69"/>
      <c r="AB206" s="69"/>
      <c r="AC206" s="69"/>
      <c r="AD206" s="69"/>
    </row>
    <row r="207" spans="1:30" ht="15.75" x14ac:dyDescent="0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V207" s="217"/>
      <c r="W207" s="217"/>
      <c r="X207" s="217"/>
      <c r="Y207" s="217"/>
      <c r="Z207" s="217"/>
      <c r="AA207" s="217"/>
      <c r="AB207" s="218">
        <f>(+AB163-AA163)/AA163</f>
        <v>-1.3925152306353425E-2</v>
      </c>
      <c r="AC207" s="218">
        <f>(+AC163-AB163)/AB163</f>
        <v>2.647837599293885E-3</v>
      </c>
      <c r="AD207" s="218">
        <f>(+AD163-AC163)/AC163</f>
        <v>-2.464788732394364E-2</v>
      </c>
    </row>
    <row r="209" spans="1:40" ht="15" x14ac:dyDescent="0.2">
      <c r="A209" s="69" t="s">
        <v>168</v>
      </c>
      <c r="B209" s="69" t="s">
        <v>112</v>
      </c>
      <c r="C209" s="73"/>
      <c r="D209" s="69"/>
      <c r="E209" s="69"/>
      <c r="F209" s="69"/>
      <c r="G209" s="151"/>
      <c r="H209" s="143">
        <f t="shared" ref="H209:R209" si="340">(+H86-G86)/G86</f>
        <v>0.25956008495236149</v>
      </c>
      <c r="I209" s="143">
        <f t="shared" si="340"/>
        <v>0.10602391363746394</v>
      </c>
      <c r="J209" s="143">
        <f t="shared" si="340"/>
        <v>-0.12408416306594026</v>
      </c>
      <c r="K209" s="143">
        <f t="shared" si="340"/>
        <v>7.2707774798927607E-2</v>
      </c>
      <c r="L209" s="143">
        <f t="shared" si="340"/>
        <v>-8.0375887233829851E-2</v>
      </c>
      <c r="M209" s="143">
        <f t="shared" si="340"/>
        <v>-1.8480269594521145E-2</v>
      </c>
      <c r="N209" s="143">
        <f t="shared" si="340"/>
        <v>7.2987041754347101E-2</v>
      </c>
      <c r="O209" s="143">
        <f t="shared" si="340"/>
        <v>-0.11003303055326177</v>
      </c>
      <c r="P209" s="143">
        <f t="shared" si="340"/>
        <v>0.14335421016005567</v>
      </c>
      <c r="Q209" s="143">
        <f t="shared" si="340"/>
        <v>-2.525867315885575E-2</v>
      </c>
      <c r="R209" s="143">
        <f t="shared" si="340"/>
        <v>-4.5061921115620775E-2</v>
      </c>
      <c r="S209" s="143">
        <f>(+S86-Q86)/Q86</f>
        <v>-1</v>
      </c>
      <c r="T209" s="151">
        <f>AVERAGE(N209:R209)</f>
        <v>7.1975254173328937E-3</v>
      </c>
      <c r="U209" s="69" t="s">
        <v>165</v>
      </c>
      <c r="V209" s="69"/>
      <c r="W209" s="69"/>
      <c r="X209" s="69"/>
      <c r="Y209" s="69"/>
      <c r="Z209" s="69"/>
      <c r="AA209" s="149">
        <f t="shared" ref="AA209:AM209" si="341">+AA156-AA160</f>
        <v>2.12</v>
      </c>
      <c r="AB209" s="149">
        <f t="shared" si="341"/>
        <v>2.5499999999999998</v>
      </c>
      <c r="AC209" s="149">
        <f t="shared" si="341"/>
        <v>3.13</v>
      </c>
      <c r="AD209" s="149">
        <f t="shared" si="341"/>
        <v>2.33</v>
      </c>
      <c r="AE209" s="149">
        <f t="shared" si="341"/>
        <v>2.1100000000000003</v>
      </c>
      <c r="AF209" s="149">
        <f t="shared" si="341"/>
        <v>2.9800000000000004</v>
      </c>
      <c r="AG209" s="149">
        <f t="shared" si="341"/>
        <v>2.54</v>
      </c>
      <c r="AH209" s="149">
        <f t="shared" si="341"/>
        <v>2.83</v>
      </c>
      <c r="AI209" s="149">
        <f t="shared" si="341"/>
        <v>3.42</v>
      </c>
      <c r="AJ209" s="149">
        <f t="shared" si="341"/>
        <v>2.92</v>
      </c>
      <c r="AK209" s="149">
        <f t="shared" si="341"/>
        <v>2.9499999999999993</v>
      </c>
      <c r="AL209" s="149">
        <f t="shared" ref="AL209" si="342">+AL156-AL160</f>
        <v>3.96</v>
      </c>
      <c r="AM209" s="149">
        <f t="shared" si="341"/>
        <v>9.49</v>
      </c>
      <c r="AN209" s="215">
        <f>AVERAGE(AH209:AL209)</f>
        <v>3.2159999999999997</v>
      </c>
    </row>
    <row r="210" spans="1:40" ht="15" x14ac:dyDescent="0.2">
      <c r="A210" s="69" t="s">
        <v>220</v>
      </c>
      <c r="B210" s="69"/>
      <c r="C210" s="69"/>
      <c r="D210" s="69"/>
      <c r="E210" s="69"/>
      <c r="F210" s="69"/>
      <c r="G210" s="143">
        <f t="shared" ref="G210:S210" si="343">+G89/(G$89+G$90)</f>
        <v>0.60506632744419242</v>
      </c>
      <c r="H210" s="143">
        <f t="shared" si="343"/>
        <v>0.67231345801633779</v>
      </c>
      <c r="I210" s="143">
        <f t="shared" si="343"/>
        <v>0.69335604770017034</v>
      </c>
      <c r="J210" s="143">
        <f t="shared" si="343"/>
        <v>0.64202561117578583</v>
      </c>
      <c r="K210" s="143">
        <f t="shared" si="343"/>
        <v>0.4128104220382684</v>
      </c>
      <c r="L210" s="143">
        <f t="shared" si="343"/>
        <v>0.4877114586658155</v>
      </c>
      <c r="M210" s="143">
        <f t="shared" si="343"/>
        <v>0.47028031070584264</v>
      </c>
      <c r="N210" s="143">
        <f t="shared" si="343"/>
        <v>0.49310825460740282</v>
      </c>
      <c r="O210" s="143">
        <f t="shared" si="343"/>
        <v>0.34802175135945995</v>
      </c>
      <c r="P210" s="143">
        <f t="shared" si="343"/>
        <v>0.4299108515216723</v>
      </c>
      <c r="Q210" s="143">
        <f t="shared" si="343"/>
        <v>0.29993386243386244</v>
      </c>
      <c r="R210" s="143">
        <f t="shared" ref="R210" si="344">+R89/(R$89+R$90)</f>
        <v>0.29492922415337752</v>
      </c>
      <c r="S210" s="143" t="e">
        <f t="shared" si="343"/>
        <v>#DIV/0!</v>
      </c>
      <c r="T210" s="151">
        <f t="shared" ref="T210:T213" si="345">AVERAGE(N210:R210)</f>
        <v>0.37318078881515493</v>
      </c>
      <c r="U210" s="69" t="s">
        <v>166</v>
      </c>
      <c r="V210" s="69"/>
      <c r="W210" s="69"/>
      <c r="X210" s="69"/>
      <c r="Y210" s="69"/>
      <c r="Z210" s="69"/>
      <c r="AA210" s="149">
        <f t="shared" ref="AA210:AM210" si="346">+AA157-AA160</f>
        <v>0.35999999999999943</v>
      </c>
      <c r="AB210" s="149">
        <f t="shared" si="346"/>
        <v>0.59999999999999964</v>
      </c>
      <c r="AC210" s="149">
        <f t="shared" si="346"/>
        <v>1.0999999999999996</v>
      </c>
      <c r="AD210" s="149">
        <f t="shared" si="346"/>
        <v>0.25</v>
      </c>
      <c r="AE210" s="149">
        <f t="shared" si="346"/>
        <v>0.85000000000000053</v>
      </c>
      <c r="AF210" s="149">
        <f t="shared" si="346"/>
        <v>1.4900000000000002</v>
      </c>
      <c r="AG210" s="149">
        <f t="shared" si="346"/>
        <v>0.54999999999999982</v>
      </c>
      <c r="AH210" s="149">
        <f t="shared" si="346"/>
        <v>0.98000000000000043</v>
      </c>
      <c r="AI210" s="149">
        <f t="shared" si="346"/>
        <v>1.0200000000000005</v>
      </c>
      <c r="AJ210" s="149">
        <f t="shared" si="346"/>
        <v>1.4699999999999998</v>
      </c>
      <c r="AK210" s="149">
        <f t="shared" si="346"/>
        <v>1.1599999999999993</v>
      </c>
      <c r="AL210" s="149">
        <f t="shared" ref="AL210" si="347">+AL157-AL160</f>
        <v>2.17</v>
      </c>
      <c r="AM210" s="149">
        <f t="shared" si="346"/>
        <v>6.66</v>
      </c>
      <c r="AN210" s="215">
        <f t="shared" ref="AN210:AN211" si="348">AVERAGE(AH210:AL210)</f>
        <v>1.3599999999999999</v>
      </c>
    </row>
    <row r="211" spans="1:40" ht="15.75" x14ac:dyDescent="0.25">
      <c r="A211" s="187" t="s">
        <v>221</v>
      </c>
      <c r="B211" s="188"/>
      <c r="C211" s="188"/>
      <c r="D211" s="188"/>
      <c r="E211" s="188"/>
      <c r="F211" s="188"/>
      <c r="G211" s="189">
        <f t="shared" ref="G211:S211" si="349">+G90/(G$89+G$90)</f>
        <v>0.39493367255580758</v>
      </c>
      <c r="H211" s="189">
        <f t="shared" si="349"/>
        <v>0.32768654198366226</v>
      </c>
      <c r="I211" s="189">
        <f t="shared" si="349"/>
        <v>0.30664395229982966</v>
      </c>
      <c r="J211" s="189">
        <f t="shared" si="349"/>
        <v>0.35797438882421423</v>
      </c>
      <c r="K211" s="189">
        <f t="shared" si="349"/>
        <v>0.58718957796173155</v>
      </c>
      <c r="L211" s="189">
        <f t="shared" si="349"/>
        <v>0.51228854133418444</v>
      </c>
      <c r="M211" s="189">
        <f t="shared" si="349"/>
        <v>0.52971968929415736</v>
      </c>
      <c r="N211" s="189">
        <f t="shared" si="349"/>
        <v>0.50689174539259718</v>
      </c>
      <c r="O211" s="189">
        <f t="shared" si="349"/>
        <v>0.65197824864053999</v>
      </c>
      <c r="P211" s="189">
        <f t="shared" si="349"/>
        <v>0.5700891484783277</v>
      </c>
      <c r="Q211" s="189">
        <f t="shared" si="349"/>
        <v>0.70006613756613756</v>
      </c>
      <c r="R211" s="189">
        <f t="shared" ref="R211" si="350">+R90/(R$89+R$90)</f>
        <v>0.70507077584662248</v>
      </c>
      <c r="S211" s="189" t="e">
        <f t="shared" si="349"/>
        <v>#DIV/0!</v>
      </c>
      <c r="T211" s="151">
        <f t="shared" si="345"/>
        <v>0.62681921118484507</v>
      </c>
      <c r="U211" s="69" t="s">
        <v>171</v>
      </c>
      <c r="V211" s="69"/>
      <c r="W211" s="69"/>
      <c r="X211" s="69"/>
      <c r="Y211" s="69"/>
      <c r="Z211" s="69"/>
      <c r="AA211" s="150">
        <f t="shared" ref="AA211:AG211" si="351">+AA209-AA210</f>
        <v>1.7600000000000007</v>
      </c>
      <c r="AB211" s="150">
        <f t="shared" si="351"/>
        <v>1.9500000000000002</v>
      </c>
      <c r="AC211" s="150">
        <f t="shared" si="351"/>
        <v>2.0300000000000002</v>
      </c>
      <c r="AD211" s="150">
        <f t="shared" si="351"/>
        <v>2.08</v>
      </c>
      <c r="AE211" s="150">
        <f t="shared" si="351"/>
        <v>1.2599999999999998</v>
      </c>
      <c r="AF211" s="150">
        <f t="shared" si="351"/>
        <v>1.4900000000000002</v>
      </c>
      <c r="AG211" s="150">
        <f t="shared" si="351"/>
        <v>1.9900000000000002</v>
      </c>
      <c r="AH211" s="150">
        <f t="shared" ref="AH211" si="352">+AH209-AH210</f>
        <v>1.8499999999999996</v>
      </c>
      <c r="AI211" s="150">
        <f t="shared" ref="AI211:AJ211" si="353">+AI209-AI210</f>
        <v>2.3999999999999995</v>
      </c>
      <c r="AJ211" s="150">
        <f t="shared" si="353"/>
        <v>1.4500000000000002</v>
      </c>
      <c r="AK211" s="150">
        <f t="shared" ref="AK211:AM211" si="354">+AK209-AK210</f>
        <v>1.79</v>
      </c>
      <c r="AL211" s="150">
        <f t="shared" ref="AL211" si="355">+AL209-AL210</f>
        <v>1.79</v>
      </c>
      <c r="AM211" s="150">
        <f t="shared" si="354"/>
        <v>2.83</v>
      </c>
      <c r="AN211" s="215">
        <f t="shared" si="348"/>
        <v>1.8559999999999999</v>
      </c>
    </row>
    <row r="212" spans="1:40" ht="15" x14ac:dyDescent="0.2">
      <c r="A212" s="69" t="s">
        <v>143</v>
      </c>
      <c r="B212" s="69"/>
      <c r="C212" s="69"/>
      <c r="D212" s="69"/>
      <c r="E212" s="69"/>
      <c r="F212" s="69"/>
      <c r="G212" s="151">
        <f t="shared" ref="G212:S212" si="356">+G136</f>
        <v>0.2984390069000894</v>
      </c>
      <c r="H212" s="151">
        <f t="shared" si="356"/>
        <v>0.25180484693214983</v>
      </c>
      <c r="I212" s="151">
        <f t="shared" si="356"/>
        <v>0.22806687957918467</v>
      </c>
      <c r="J212" s="151">
        <f t="shared" si="356"/>
        <v>0.26305630026809651</v>
      </c>
      <c r="K212" s="151">
        <f t="shared" si="356"/>
        <v>0.26332100369889033</v>
      </c>
      <c r="L212" s="151">
        <f t="shared" si="356"/>
        <v>0.31883900423959127</v>
      </c>
      <c r="M212" s="151">
        <f t="shared" si="356"/>
        <v>0.34411341233802195</v>
      </c>
      <c r="N212" s="151">
        <f t="shared" si="356"/>
        <v>0.33350536746490506</v>
      </c>
      <c r="O212" s="151">
        <f t="shared" si="356"/>
        <v>0.38146601716539086</v>
      </c>
      <c r="P212" s="151">
        <f t="shared" si="356"/>
        <v>0.34002840332724693</v>
      </c>
      <c r="Q212" s="151">
        <f t="shared" si="356"/>
        <v>0.37059007180768028</v>
      </c>
      <c r="R212" s="151">
        <f t="shared" ref="R212" si="357">+R136</f>
        <v>0.39178291194420228</v>
      </c>
      <c r="S212" s="151" t="e">
        <f t="shared" si="356"/>
        <v>#DIV/0!</v>
      </c>
      <c r="T212" s="151">
        <f t="shared" si="345"/>
        <v>0.36347455434188503</v>
      </c>
      <c r="U212" s="69"/>
      <c r="V212" s="69"/>
      <c r="W212" s="69"/>
      <c r="X212" s="69"/>
      <c r="Y212" s="69"/>
      <c r="Z212" s="69"/>
    </row>
    <row r="213" spans="1:40" ht="15" x14ac:dyDescent="0.2">
      <c r="A213" s="69" t="s">
        <v>170</v>
      </c>
      <c r="B213" s="69"/>
      <c r="C213" s="69"/>
      <c r="D213" s="69"/>
      <c r="E213" s="69"/>
      <c r="F213" s="69"/>
      <c r="G213" s="143"/>
      <c r="H213" s="143">
        <f t="shared" ref="H213:R213" si="358">(+H108-G108)/G108</f>
        <v>0.14347922825085027</v>
      </c>
      <c r="I213" s="143">
        <f t="shared" si="358"/>
        <v>2.8492008339124391E-2</v>
      </c>
      <c r="J213" s="143">
        <f t="shared" si="358"/>
        <v>1.0810810810810811E-2</v>
      </c>
      <c r="K213" s="143">
        <f t="shared" si="358"/>
        <v>7.4866310160427801E-2</v>
      </c>
      <c r="L213" s="143">
        <f t="shared" si="358"/>
        <v>3.482587064676617E-2</v>
      </c>
      <c r="M213" s="143">
        <f t="shared" si="358"/>
        <v>5.5288461538461536E-2</v>
      </c>
      <c r="N213" s="143">
        <f t="shared" si="358"/>
        <v>5.011389521640091E-2</v>
      </c>
      <c r="O213" s="143">
        <f t="shared" si="358"/>
        <v>2.1691973969631236E-2</v>
      </c>
      <c r="P213" s="143">
        <f t="shared" si="358"/>
        <v>0.12101910828025478</v>
      </c>
      <c r="Q213" s="143">
        <f t="shared" si="358"/>
        <v>4.5454545454545456E-2</v>
      </c>
      <c r="R213" s="143">
        <f t="shared" si="358"/>
        <v>0.16485507246376813</v>
      </c>
      <c r="S213" s="143">
        <f>(+S108-Q108)/Q108</f>
        <v>-1</v>
      </c>
      <c r="T213" s="151">
        <f t="shared" si="345"/>
        <v>8.0626919076920101E-2</v>
      </c>
      <c r="U213" s="69" t="str">
        <f>+U163</f>
        <v>Temp Adjusted Usage / Cust (Dth)</v>
      </c>
      <c r="AD213" s="44">
        <f t="shared" ref="AD213:AL213" si="359">(+AD163-AC163)/AC163</f>
        <v>-2.464788732394364E-2</v>
      </c>
      <c r="AE213" s="44">
        <f t="shared" si="359"/>
        <v>-8.1227436823103922E-3</v>
      </c>
      <c r="AF213" s="44">
        <f t="shared" si="359"/>
        <v>-8.1892629663330805E-3</v>
      </c>
      <c r="AG213" s="44">
        <f t="shared" si="359"/>
        <v>-1.9266055045871509E-2</v>
      </c>
      <c r="AH213" s="44">
        <f t="shared" si="359"/>
        <v>3.9289055191767897E-2</v>
      </c>
      <c r="AI213" s="44">
        <f t="shared" si="359"/>
        <v>-2.4302430243024201E-2</v>
      </c>
      <c r="AJ213" s="44">
        <f t="shared" si="359"/>
        <v>-3.6900369003690561E-3</v>
      </c>
      <c r="AK213" s="44">
        <f t="shared" si="359"/>
        <v>8.3333333333333853E-3</v>
      </c>
      <c r="AL213" s="44">
        <f t="shared" si="359"/>
        <v>-5.1423324150596951E-2</v>
      </c>
      <c r="AM213" s="44"/>
      <c r="AN213" s="150"/>
    </row>
    <row r="214" spans="1:40" ht="15" x14ac:dyDescent="0.2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42"/>
    </row>
    <row r="215" spans="1:40" ht="15" x14ac:dyDescent="0.2">
      <c r="A215" s="69" t="s">
        <v>175</v>
      </c>
      <c r="B215" s="69"/>
      <c r="C215" s="69"/>
      <c r="D215" s="69"/>
      <c r="E215" s="69"/>
      <c r="F215" s="69"/>
      <c r="G215" s="69"/>
      <c r="H215" s="69"/>
      <c r="I215" s="69"/>
      <c r="J215" s="98">
        <f t="shared" ref="J215:R215" si="360">+J111-I111</f>
        <v>500</v>
      </c>
      <c r="K215" s="98">
        <f t="shared" si="360"/>
        <v>500</v>
      </c>
      <c r="L215" s="98">
        <f t="shared" si="360"/>
        <v>700</v>
      </c>
      <c r="M215" s="260">
        <f t="shared" si="360"/>
        <v>600</v>
      </c>
      <c r="N215" s="260">
        <f t="shared" si="360"/>
        <v>1500</v>
      </c>
      <c r="O215" s="260">
        <f t="shared" si="360"/>
        <v>2700</v>
      </c>
      <c r="P215" s="260">
        <f t="shared" si="360"/>
        <v>2500</v>
      </c>
      <c r="Q215" s="260">
        <f t="shared" si="360"/>
        <v>500</v>
      </c>
      <c r="R215" s="260">
        <f t="shared" si="360"/>
        <v>2000</v>
      </c>
      <c r="S215" s="98">
        <f>+S111-Q111</f>
        <v>-36000</v>
      </c>
      <c r="T215" s="132">
        <f>AVERAGE(N215:R215)</f>
        <v>1840</v>
      </c>
    </row>
    <row r="216" spans="1:40" ht="15" x14ac:dyDescent="0.2">
      <c r="A216" s="69" t="s">
        <v>176</v>
      </c>
      <c r="B216" s="69"/>
      <c r="C216" s="69"/>
      <c r="D216" s="69"/>
      <c r="E216" s="69"/>
      <c r="F216" s="69"/>
      <c r="G216" s="69"/>
      <c r="H216" s="69"/>
      <c r="I216" s="69"/>
      <c r="J216" s="44">
        <f t="shared" ref="J216:R216" si="361">+J215/I111</f>
        <v>1.8867924528301886E-2</v>
      </c>
      <c r="K216" s="44">
        <f t="shared" si="361"/>
        <v>1.8518518518518517E-2</v>
      </c>
      <c r="L216" s="44">
        <f t="shared" si="361"/>
        <v>2.5454545454545455E-2</v>
      </c>
      <c r="M216" s="143">
        <f t="shared" si="361"/>
        <v>2.1276595744680851E-2</v>
      </c>
      <c r="N216" s="143">
        <f t="shared" si="361"/>
        <v>5.2083333333333336E-2</v>
      </c>
      <c r="O216" s="143">
        <f t="shared" si="361"/>
        <v>8.9108910891089105E-2</v>
      </c>
      <c r="P216" s="143">
        <f t="shared" si="361"/>
        <v>7.575757575757576E-2</v>
      </c>
      <c r="Q216" s="143">
        <f t="shared" si="361"/>
        <v>1.4084507042253521E-2</v>
      </c>
      <c r="R216" s="143">
        <f t="shared" si="361"/>
        <v>5.5555555555555552E-2</v>
      </c>
      <c r="S216" s="143">
        <f>+S215/Q111</f>
        <v>-1</v>
      </c>
      <c r="T216" s="151">
        <f t="shared" ref="T216:T217" si="362">AVERAGE(N216:R216)</f>
        <v>5.7317976515961454E-2</v>
      </c>
    </row>
    <row r="217" spans="1:40" ht="15" x14ac:dyDescent="0.2">
      <c r="A217" s="69" t="s">
        <v>208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44">
        <f t="shared" ref="K217:S217" si="363">+K111/K108</f>
        <v>0.6840796019900498</v>
      </c>
      <c r="L217" s="44">
        <f t="shared" si="363"/>
        <v>0.67788461538461542</v>
      </c>
      <c r="M217" s="143">
        <f t="shared" si="363"/>
        <v>0.6560364464692483</v>
      </c>
      <c r="N217" s="143">
        <f t="shared" si="363"/>
        <v>0.65726681127982645</v>
      </c>
      <c r="O217" s="143">
        <f t="shared" si="363"/>
        <v>0.70063694267515919</v>
      </c>
      <c r="P217" s="143">
        <f t="shared" si="363"/>
        <v>0.67234848484848486</v>
      </c>
      <c r="Q217" s="143">
        <f t="shared" si="363"/>
        <v>0.65217391304347827</v>
      </c>
      <c r="R217" s="143">
        <f t="shared" ref="R217" si="364">+R111/R108</f>
        <v>0.59097978227060655</v>
      </c>
      <c r="S217" s="143" t="e">
        <f t="shared" si="363"/>
        <v>#DIV/0!</v>
      </c>
      <c r="T217" s="151">
        <f t="shared" si="362"/>
        <v>0.65468118682351106</v>
      </c>
    </row>
    <row r="218" spans="1:40" ht="15" x14ac:dyDescent="0.2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42"/>
    </row>
    <row r="219" spans="1:40" ht="15.75" x14ac:dyDescent="0.25">
      <c r="A219" s="113" t="s">
        <v>186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132"/>
      <c r="P219" s="69"/>
      <c r="Q219" s="69"/>
      <c r="R219" s="69"/>
      <c r="S219" s="69"/>
      <c r="T219" s="42"/>
    </row>
    <row r="220" spans="1:40" ht="15" x14ac:dyDescent="0.2">
      <c r="A220" s="69" t="s">
        <v>187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205">
        <f t="shared" ref="K220:P220" si="365">+K97/K56</f>
        <v>0.22756756756756757</v>
      </c>
      <c r="L220" s="205">
        <f t="shared" si="365"/>
        <v>0.23486486486486485</v>
      </c>
      <c r="M220" s="259">
        <f t="shared" si="365"/>
        <v>0.24076086956521739</v>
      </c>
      <c r="N220" s="259">
        <f t="shared" si="365"/>
        <v>0.34032549728752259</v>
      </c>
      <c r="O220" s="259">
        <f t="shared" si="365"/>
        <v>0.24161248374512354</v>
      </c>
      <c r="P220" s="259">
        <f t="shared" si="365"/>
        <v>0.19064546304957905</v>
      </c>
      <c r="Q220" s="259">
        <f>(P97+Q97)/2/Q56</f>
        <v>0.19766136576239476</v>
      </c>
      <c r="R220" s="259">
        <f>(Q97+R97)/2/R56</f>
        <v>0.21702525724976612</v>
      </c>
      <c r="S220" s="259" t="e">
        <f>(Q97+S97)/2/S56</f>
        <v>#DIV/0!</v>
      </c>
      <c r="T220" s="151">
        <f t="shared" ref="T220:T223" si="366">AVERAGE(N220:R220)</f>
        <v>0.23745401341887723</v>
      </c>
    </row>
    <row r="221" spans="1:40" ht="15" x14ac:dyDescent="0.2">
      <c r="A221" s="69" t="s">
        <v>188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205">
        <f t="shared" ref="K221:S221" si="367">(+K56+K46)/(+K46+K56+K69)</f>
        <v>0.49032600053008218</v>
      </c>
      <c r="L221" s="205">
        <f t="shared" si="367"/>
        <v>0.48114434330299088</v>
      </c>
      <c r="M221" s="259">
        <f t="shared" si="367"/>
        <v>0.47103755569700828</v>
      </c>
      <c r="N221" s="259">
        <f t="shared" si="367"/>
        <v>0.44856167723061918</v>
      </c>
      <c r="O221" s="259">
        <f t="shared" si="367"/>
        <v>0.47701599373671849</v>
      </c>
      <c r="P221" s="259">
        <f t="shared" si="367"/>
        <v>0.48118473172488296</v>
      </c>
      <c r="Q221" s="259">
        <f t="shared" si="367"/>
        <v>0.47238179407865666</v>
      </c>
      <c r="R221" s="259">
        <f t="shared" ref="R221" si="368">(+R56+R46)/(+R46+R56+R69)</f>
        <v>0.46109385783298829</v>
      </c>
      <c r="S221" s="259" t="e">
        <f t="shared" si="367"/>
        <v>#DIV/0!</v>
      </c>
      <c r="T221" s="151">
        <f t="shared" si="366"/>
        <v>0.46804761092077307</v>
      </c>
    </row>
    <row r="222" spans="1:40" ht="15" x14ac:dyDescent="0.2">
      <c r="A222" s="69" t="s">
        <v>189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206">
        <f t="shared" ref="K222:S222" si="369">(+K56+K46)/(K97+K93)</f>
        <v>2.9435163086714398</v>
      </c>
      <c r="L222" s="206">
        <f t="shared" si="369"/>
        <v>2.8309104820198927</v>
      </c>
      <c r="M222" s="206">
        <f t="shared" si="369"/>
        <v>2.796674225245654</v>
      </c>
      <c r="N222" s="206">
        <f t="shared" si="369"/>
        <v>2.6551226551226552</v>
      </c>
      <c r="O222" s="206">
        <f t="shared" si="369"/>
        <v>3.0442541042112778</v>
      </c>
      <c r="P222" s="206">
        <f t="shared" si="369"/>
        <v>3.5257255936675462</v>
      </c>
      <c r="Q222" s="206">
        <f t="shared" si="369"/>
        <v>3.2791411042944785</v>
      </c>
      <c r="R222" s="206">
        <f t="shared" ref="R222" si="370">(+R56+R46)/(R97+R93)</f>
        <v>3.007878446820484</v>
      </c>
      <c r="S222" s="206" t="e">
        <f t="shared" si="369"/>
        <v>#DIV/0!</v>
      </c>
      <c r="T222" s="149">
        <f t="shared" si="366"/>
        <v>3.1024243808232885</v>
      </c>
    </row>
    <row r="223" spans="1:40" ht="15" x14ac:dyDescent="0.2">
      <c r="A223" s="69" t="s">
        <v>190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206">
        <f>(O97-O111)/-'Historical CF - Exhibit 1B'!O31</f>
        <v>0.36952498457742133</v>
      </c>
      <c r="P223" s="206">
        <f>(P97-P111)/-'Historical CF - Exhibit 1B'!P31</f>
        <v>0.39951865222623345</v>
      </c>
      <c r="Q223" s="206">
        <f>(Q97-Q111)/-'Historical CF - Exhibit 1B'!Q31</f>
        <v>0.42014882655981683</v>
      </c>
      <c r="R223" s="206">
        <f>(R97-R111)/-'Historical CF - Exhibit 1B'!R31</f>
        <v>0.38914443422263112</v>
      </c>
      <c r="S223" s="206" t="e">
        <f>(S97-S111)/-'Historical CF - Exhibit 1B'!S31</f>
        <v>#DIV/0!</v>
      </c>
      <c r="T223" s="149">
        <f t="shared" si="366"/>
        <v>0.39458422439652568</v>
      </c>
    </row>
    <row r="224" spans="1:40" ht="15" x14ac:dyDescent="0.2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42"/>
    </row>
    <row r="225" spans="1:20" ht="15" x14ac:dyDescent="0.2">
      <c r="A225" s="69" t="s">
        <v>200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42"/>
    </row>
    <row r="226" spans="1:20" ht="15" x14ac:dyDescent="0.2">
      <c r="A226" s="69" t="s">
        <v>201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42"/>
    </row>
    <row r="227" spans="1:20" ht="15" x14ac:dyDescent="0.2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42"/>
    </row>
    <row r="228" spans="1:20" ht="15" x14ac:dyDescent="0.2">
      <c r="A228" s="69" t="s">
        <v>227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151">
        <f t="shared" ref="L228:O228" si="371">+L211</f>
        <v>0.51228854133418444</v>
      </c>
      <c r="M228" s="151">
        <f t="shared" si="371"/>
        <v>0.52971968929415736</v>
      </c>
      <c r="N228" s="151">
        <f t="shared" si="371"/>
        <v>0.50689174539259718</v>
      </c>
      <c r="O228" s="151">
        <f t="shared" si="371"/>
        <v>0.65197824864053999</v>
      </c>
      <c r="P228" s="151">
        <f>+P211</f>
        <v>0.5700891484783277</v>
      </c>
      <c r="Q228" s="151">
        <f>+Q211</f>
        <v>0.70006613756613756</v>
      </c>
      <c r="R228" s="151">
        <f>+R211</f>
        <v>0.70507077584662248</v>
      </c>
      <c r="S228" s="151" t="e">
        <f>+S211</f>
        <v>#DIV/0!</v>
      </c>
      <c r="T228" s="42"/>
    </row>
    <row r="229" spans="1:20" ht="15" x14ac:dyDescent="0.2">
      <c r="A229" s="69" t="s">
        <v>244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219">
        <f t="shared" ref="L229:P229" si="372">+AF168</f>
        <v>0.51</v>
      </c>
      <c r="M229" s="219">
        <f t="shared" si="372"/>
        <v>0.51</v>
      </c>
      <c r="N229" s="219">
        <f t="shared" si="372"/>
        <v>0.52</v>
      </c>
      <c r="O229" s="219">
        <f t="shared" si="372"/>
        <v>0.68</v>
      </c>
      <c r="P229" s="219">
        <f t="shared" si="372"/>
        <v>0.59</v>
      </c>
      <c r="Q229" s="219">
        <f>+AK168</f>
        <v>0.62072336265884653</v>
      </c>
      <c r="R229" s="219">
        <f>+AL168</f>
        <v>0.59301130524152112</v>
      </c>
      <c r="S229" s="219">
        <f>+AM168</f>
        <v>0.71967213114754092</v>
      </c>
      <c r="T229" s="42"/>
    </row>
    <row r="230" spans="1:20" ht="15" x14ac:dyDescent="0.2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151">
        <f>+L228-L229</f>
        <v>2.2885413341844352E-3</v>
      </c>
      <c r="M230" s="151">
        <f t="shared" ref="M230:Q230" si="373">+M228-M229</f>
        <v>1.971968929415735E-2</v>
      </c>
      <c r="N230" s="151">
        <f t="shared" si="373"/>
        <v>-1.3108254607402836E-2</v>
      </c>
      <c r="O230" s="151">
        <f t="shared" si="373"/>
        <v>-2.8021751359460056E-2</v>
      </c>
      <c r="P230" s="151">
        <f t="shared" si="373"/>
        <v>-1.9910851521672268E-2</v>
      </c>
      <c r="Q230" s="151">
        <f t="shared" si="373"/>
        <v>7.9342774907291025E-2</v>
      </c>
      <c r="R230" s="151">
        <f t="shared" ref="R230" si="374">+R228-R229</f>
        <v>0.11205947060510135</v>
      </c>
      <c r="S230" s="151" t="e">
        <f t="shared" ref="S230" si="375">+S228-S229</f>
        <v>#DIV/0!</v>
      </c>
      <c r="T230" s="42"/>
    </row>
  </sheetData>
  <mergeCells count="17">
    <mergeCell ref="A172:T172"/>
    <mergeCell ref="A173:T173"/>
    <mergeCell ref="A174:T174"/>
    <mergeCell ref="U116:AN116"/>
    <mergeCell ref="U117:AN117"/>
    <mergeCell ref="U118:AN118"/>
    <mergeCell ref="U167:AN167"/>
    <mergeCell ref="U140:AN140"/>
    <mergeCell ref="A77:S77"/>
    <mergeCell ref="A116:S116"/>
    <mergeCell ref="A117:S117"/>
    <mergeCell ref="A118:S118"/>
    <mergeCell ref="A3:S3"/>
    <mergeCell ref="A4:S4"/>
    <mergeCell ref="A5:S5"/>
    <mergeCell ref="A75:S75"/>
    <mergeCell ref="A76:S76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3" manualBreakCount="3">
    <brk id="72" max="37" man="1"/>
    <brk id="113" max="37" man="1"/>
    <brk id="169" max="37" man="1"/>
  </rowBreaks>
  <colBreaks count="1" manualBreakCount="1">
    <brk id="20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view="pageBreakPreview" topLeftCell="A22" zoomScaleNormal="100" zoomScaleSheetLayoutView="100" workbookViewId="0">
      <selection activeCell="R28" sqref="R28"/>
    </sheetView>
  </sheetViews>
  <sheetFormatPr defaultRowHeight="12.75" x14ac:dyDescent="0.2"/>
  <cols>
    <col min="1" max="1" width="52.28515625" style="9" customWidth="1"/>
    <col min="2" max="5" width="10.7109375" style="8" hidden="1" customWidth="1"/>
    <col min="6" max="6" width="10.7109375" style="10" hidden="1" customWidth="1"/>
    <col min="7" max="12" width="10.7109375" style="8" hidden="1" customWidth="1"/>
    <col min="13" max="18" width="10.7109375" style="8" customWidth="1"/>
    <col min="19" max="19" width="10.7109375" style="8" hidden="1" customWidth="1"/>
    <col min="20" max="20" width="11.28515625" style="11" customWidth="1"/>
    <col min="21" max="21" width="52.28515625" style="8" customWidth="1"/>
    <col min="22" max="28" width="11" style="8" hidden="1" customWidth="1"/>
    <col min="29" max="29" width="12.28515625" style="8" hidden="1" customWidth="1"/>
    <col min="30" max="30" width="11" style="8" hidden="1" customWidth="1"/>
    <col min="31" max="31" width="11.28515625" style="8" customWidth="1"/>
    <col min="32" max="38" width="11" style="8" customWidth="1"/>
    <col min="39" max="39" width="11.140625" style="8" customWidth="1"/>
    <col min="40" max="16384" width="9.140625" style="8"/>
  </cols>
  <sheetData>
    <row r="1" spans="1:40" ht="15.75" x14ac:dyDescent="0.25">
      <c r="T1" s="21" t="s">
        <v>114</v>
      </c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2" t="s">
        <v>114</v>
      </c>
      <c r="AN1" s="11"/>
    </row>
    <row r="2" spans="1:40" ht="15.75" x14ac:dyDescent="0.25">
      <c r="T2" s="145" t="s">
        <v>246</v>
      </c>
      <c r="U2" s="11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45" t="s">
        <v>161</v>
      </c>
      <c r="AN2" s="11"/>
    </row>
    <row r="3" spans="1:40" ht="20.25" x14ac:dyDescent="0.3">
      <c r="A3" s="62" t="str">
        <f>+'Historical - Exhibit 1'!A3</f>
        <v>Questar Gas Company</v>
      </c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62" t="str">
        <f>A3</f>
        <v>Questar Gas Company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2"/>
      <c r="AN3" s="11"/>
    </row>
    <row r="4" spans="1:40" ht="15.75" x14ac:dyDescent="0.25">
      <c r="A4" s="20" t="s">
        <v>92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0" t="s">
        <v>113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2"/>
      <c r="AN4" s="11"/>
    </row>
    <row r="5" spans="1:40" ht="15" customHeight="1" x14ac:dyDescent="0.25">
      <c r="A5" s="20" t="str">
        <f>'Historical - Exhibit 1'!A5</f>
        <v>Years Ended December 31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4"/>
      <c r="U5" s="20" t="str">
        <f>A5</f>
        <v>Years Ended December 31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2"/>
      <c r="AN5" s="11"/>
    </row>
    <row r="6" spans="1:40" ht="15" customHeigh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245" t="str">
        <f>'Historical - Exhibit 1'!T6</f>
        <v xml:space="preserve">5 Year Avg 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11"/>
    </row>
    <row r="7" spans="1:40" ht="15.75" x14ac:dyDescent="0.25">
      <c r="A7" s="123" t="s">
        <v>130</v>
      </c>
      <c r="B7" s="273"/>
      <c r="C7" s="273"/>
      <c r="D7" s="273"/>
      <c r="E7" s="273"/>
      <c r="F7" s="273"/>
      <c r="G7" s="273"/>
      <c r="H7" s="124"/>
      <c r="I7" s="125"/>
      <c r="J7" s="125"/>
      <c r="K7" s="125"/>
      <c r="L7" s="125"/>
      <c r="M7" s="137"/>
      <c r="N7" s="137"/>
      <c r="O7" s="180"/>
      <c r="P7" s="200"/>
      <c r="Q7" s="200"/>
      <c r="R7" s="200"/>
      <c r="S7" s="200" t="str">
        <f>+'Historical - Exhibit 1'!S121</f>
        <v>1st Qrtr</v>
      </c>
      <c r="T7" s="246" t="s">
        <v>3</v>
      </c>
      <c r="U7" s="23"/>
      <c r="V7" s="23"/>
      <c r="W7" s="23"/>
      <c r="X7" s="23"/>
      <c r="Y7" s="23"/>
      <c r="Z7" s="128"/>
      <c r="AA7" s="128"/>
      <c r="AB7" s="85"/>
      <c r="AC7" s="85"/>
      <c r="AD7" s="85"/>
      <c r="AE7" s="85"/>
      <c r="AF7" s="85"/>
      <c r="AG7" s="138"/>
      <c r="AH7" s="138"/>
      <c r="AI7" s="138"/>
      <c r="AJ7" s="138"/>
      <c r="AK7" s="138"/>
      <c r="AL7" s="138"/>
      <c r="AM7" s="129" t="s">
        <v>212</v>
      </c>
      <c r="AN7" s="11"/>
    </row>
    <row r="8" spans="1:40" ht="15.75" x14ac:dyDescent="0.25">
      <c r="A8" s="123"/>
      <c r="B8" s="126">
        <f>'Historical - Exhibit 1'!B8</f>
        <v>1999</v>
      </c>
      <c r="C8" s="126">
        <f>'Historical - Exhibit 1'!C8</f>
        <v>2000</v>
      </c>
      <c r="D8" s="126">
        <f>'Historical - Exhibit 1'!D8</f>
        <v>2001</v>
      </c>
      <c r="E8" s="126">
        <f>'Historical - Exhibit 1'!E8</f>
        <v>2002</v>
      </c>
      <c r="F8" s="126">
        <f>'Historical - Exhibit 1'!F8</f>
        <v>2003</v>
      </c>
      <c r="G8" s="126">
        <f>'Historical - Exhibit 1'!G8</f>
        <v>2004</v>
      </c>
      <c r="H8" s="126">
        <f>'Historical - Exhibit 1'!H8</f>
        <v>2005</v>
      </c>
      <c r="I8" s="126">
        <f>'Historical - Exhibit 1'!I8</f>
        <v>2006</v>
      </c>
      <c r="J8" s="126">
        <f>'Historical - Exhibit 1'!J8</f>
        <v>2007</v>
      </c>
      <c r="K8" s="126">
        <f>'Historical - Exhibit 1'!K8</f>
        <v>2008</v>
      </c>
      <c r="L8" s="126">
        <f>+'Historical - Exhibit 1'!L8</f>
        <v>2009</v>
      </c>
      <c r="M8" s="126">
        <f>'Historical - Exhibit 1'!M8</f>
        <v>2010</v>
      </c>
      <c r="N8" s="126">
        <f>'Historical - Exhibit 1'!N8</f>
        <v>2011</v>
      </c>
      <c r="O8" s="126">
        <f>'Historical - Exhibit 1'!O8</f>
        <v>2012</v>
      </c>
      <c r="P8" s="126">
        <f>'Historical - Exhibit 1'!P8</f>
        <v>2013</v>
      </c>
      <c r="Q8" s="126">
        <f>'Historical - Exhibit 1'!Q8</f>
        <v>2014</v>
      </c>
      <c r="R8" s="126">
        <f>'Historical - Exhibit 1'!R8</f>
        <v>2015</v>
      </c>
      <c r="S8" s="126">
        <f>'Historical - Exhibit 1'!S8</f>
        <v>2016</v>
      </c>
      <c r="T8" s="247" t="s">
        <v>24</v>
      </c>
      <c r="U8" s="24"/>
      <c r="V8" s="28">
        <f t="shared" ref="V8:AE8" si="0">B8</f>
        <v>1999</v>
      </c>
      <c r="W8" s="28">
        <f t="shared" si="0"/>
        <v>2000</v>
      </c>
      <c r="X8" s="28">
        <f t="shared" si="0"/>
        <v>2001</v>
      </c>
      <c r="Y8" s="28">
        <f t="shared" si="0"/>
        <v>2002</v>
      </c>
      <c r="Z8" s="130">
        <f t="shared" si="0"/>
        <v>2003</v>
      </c>
      <c r="AA8" s="130">
        <f t="shared" si="0"/>
        <v>2004</v>
      </c>
      <c r="AB8" s="130">
        <f t="shared" si="0"/>
        <v>2005</v>
      </c>
      <c r="AC8" s="130">
        <f t="shared" si="0"/>
        <v>2006</v>
      </c>
      <c r="AD8" s="130">
        <f t="shared" si="0"/>
        <v>2007</v>
      </c>
      <c r="AE8" s="130">
        <f t="shared" si="0"/>
        <v>2008</v>
      </c>
      <c r="AF8" s="130">
        <f>+L8</f>
        <v>2009</v>
      </c>
      <c r="AG8" s="130">
        <f>M8</f>
        <v>2010</v>
      </c>
      <c r="AH8" s="130">
        <f>N8</f>
        <v>2011</v>
      </c>
      <c r="AI8" s="130">
        <f>O8</f>
        <v>2012</v>
      </c>
      <c r="AJ8" s="130">
        <f>P8</f>
        <v>2013</v>
      </c>
      <c r="AK8" s="130">
        <f>Q8</f>
        <v>2014</v>
      </c>
      <c r="AL8" s="243"/>
      <c r="AM8" s="131" t="s">
        <v>2</v>
      </c>
      <c r="AN8" s="11"/>
    </row>
    <row r="9" spans="1:40" ht="12.75" customHeight="1" x14ac:dyDescent="0.2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24"/>
      <c r="V9" s="31"/>
      <c r="W9" s="32"/>
      <c r="X9" s="32"/>
      <c r="Y9" s="32"/>
      <c r="Z9" s="32"/>
      <c r="AA9" s="32"/>
      <c r="AB9" s="3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24"/>
      <c r="AN9" s="11"/>
    </row>
    <row r="10" spans="1:40" ht="15" x14ac:dyDescent="0.2">
      <c r="A10" s="25" t="str">
        <f>+U10</f>
        <v>Total Revenues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24" t="s">
        <v>54</v>
      </c>
      <c r="V10" s="127">
        <f>'Historical - Exhibit 1'!B86</f>
        <v>449937</v>
      </c>
      <c r="W10" s="127">
        <f>'Historical - Exhibit 1'!C86</f>
        <v>536762</v>
      </c>
      <c r="X10" s="127">
        <f>'Historical - Exhibit 1'!D86</f>
        <v>704113</v>
      </c>
      <c r="Y10" s="127">
        <f>'Historical - Exhibit 1'!E86</f>
        <v>595511</v>
      </c>
      <c r="Z10" s="127">
        <f>'Historical - Exhibit 1'!F86</f>
        <v>620995</v>
      </c>
      <c r="AA10" s="127">
        <f>'Historical - Exhibit 1'!G86</f>
        <v>764193</v>
      </c>
      <c r="AB10" s="127">
        <f>'Historical - Exhibit 1'!H86</f>
        <v>962547</v>
      </c>
      <c r="AC10" s="127">
        <f>'Historical - Exhibit 1'!I86</f>
        <v>1064600</v>
      </c>
      <c r="AD10" s="127">
        <f>'Historical - Exhibit 1'!J86</f>
        <v>932500</v>
      </c>
      <c r="AE10" s="127">
        <f>'Historical - Exhibit 1'!K86</f>
        <v>1000300</v>
      </c>
      <c r="AF10" s="127">
        <f>'Historical - Exhibit 1'!L86</f>
        <v>919900</v>
      </c>
      <c r="AG10" s="127">
        <f>'Historical - Exhibit 1'!M86</f>
        <v>902900</v>
      </c>
      <c r="AH10" s="127">
        <f>'Historical - Exhibit 1'!N86</f>
        <v>968800</v>
      </c>
      <c r="AI10" s="127">
        <f>'Historical - Exhibit 1'!O86</f>
        <v>862200</v>
      </c>
      <c r="AJ10" s="127">
        <f>'Historical - Exhibit 1'!P86</f>
        <v>985800</v>
      </c>
      <c r="AK10" s="127">
        <f>'Historical - Exhibit 1'!Q86</f>
        <v>960900</v>
      </c>
      <c r="AL10" s="127"/>
      <c r="AM10" s="132">
        <f>AVERAGE(AF10:AJ10)</f>
        <v>927920</v>
      </c>
      <c r="AN10" s="11"/>
    </row>
    <row r="11" spans="1:40" ht="15" x14ac:dyDescent="0.2">
      <c r="A11" s="35" t="s">
        <v>74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9" t="s">
        <v>74</v>
      </c>
      <c r="V11" s="24"/>
      <c r="W11" s="24"/>
      <c r="X11" s="24"/>
      <c r="Y11" s="24"/>
      <c r="Z11" s="40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40" ht="15" x14ac:dyDescent="0.2">
      <c r="A12" s="41" t="s">
        <v>75</v>
      </c>
      <c r="B12" s="36">
        <f>'Historical - Exhibit 1'!B108</f>
        <v>19219</v>
      </c>
      <c r="C12" s="36">
        <f>'Historical - Exhibit 1'!C108</f>
        <v>24163</v>
      </c>
      <c r="D12" s="36">
        <f>'Historical - Exhibit 1'!D108</f>
        <v>25873</v>
      </c>
      <c r="E12" s="36">
        <f>'Historical - Exhibit 1'!E108</f>
        <v>32399</v>
      </c>
      <c r="F12" s="36">
        <f>'Historical - Exhibit 1'!F108</f>
        <v>20182</v>
      </c>
      <c r="G12" s="36">
        <f>'Historical - Exhibit 1'!G108</f>
        <v>31461</v>
      </c>
      <c r="H12" s="36">
        <f>'Historical - Exhibit 1'!H108</f>
        <v>35975</v>
      </c>
      <c r="I12" s="36">
        <f>'Historical - Exhibit 1'!I108</f>
        <v>37000</v>
      </c>
      <c r="J12" s="36">
        <f>'Historical - Exhibit 1'!J108</f>
        <v>37400</v>
      </c>
      <c r="K12" s="36">
        <f>'Historical - Exhibit 1'!K108</f>
        <v>40200</v>
      </c>
      <c r="L12" s="36">
        <v>41600</v>
      </c>
      <c r="M12" s="36">
        <f>'Historical - Exhibit 1'!M108</f>
        <v>43900</v>
      </c>
      <c r="N12" s="36">
        <f>'Historical - Exhibit 1'!N108</f>
        <v>46100</v>
      </c>
      <c r="O12" s="36">
        <f>'Historical - Exhibit 1'!O108</f>
        <v>47100</v>
      </c>
      <c r="P12" s="36">
        <f>'Historical - Exhibit 1'!P108</f>
        <v>52800</v>
      </c>
      <c r="Q12" s="36">
        <f>'Historical - Exhibit 1'!Q108</f>
        <v>55200</v>
      </c>
      <c r="R12" s="36">
        <f>'Historical - Exhibit 1'!R108</f>
        <v>64300</v>
      </c>
      <c r="S12" s="36"/>
      <c r="T12" s="42">
        <f>RATE(5,,-M12,R12)</f>
        <v>7.9317678413204015E-2</v>
      </c>
      <c r="U12" s="43" t="str">
        <f t="shared" ref="U12:U26" si="1">A12</f>
        <v xml:space="preserve">   Net income</v>
      </c>
      <c r="V12" s="44">
        <f t="shared" ref="V12:AK12" si="2">B12/V$10</f>
        <v>4.2714868970544766E-2</v>
      </c>
      <c r="W12" s="44">
        <f t="shared" si="2"/>
        <v>4.5016226931116586E-2</v>
      </c>
      <c r="X12" s="44">
        <f t="shared" si="2"/>
        <v>3.6745522380640605E-2</v>
      </c>
      <c r="Y12" s="44">
        <f t="shared" si="2"/>
        <v>5.4405376223109231E-2</v>
      </c>
      <c r="Z12" s="44">
        <f t="shared" si="2"/>
        <v>3.2499456517363266E-2</v>
      </c>
      <c r="AA12" s="44">
        <f t="shared" si="2"/>
        <v>4.1168919369845056E-2</v>
      </c>
      <c r="AB12" s="44">
        <f t="shared" si="2"/>
        <v>3.7374798321536506E-2</v>
      </c>
      <c r="AC12" s="44">
        <f t="shared" si="2"/>
        <v>3.4754837497651701E-2</v>
      </c>
      <c r="AD12" s="44">
        <f t="shared" si="2"/>
        <v>4.0107238605898127E-2</v>
      </c>
      <c r="AE12" s="44">
        <f t="shared" si="2"/>
        <v>4.0187943616914926E-2</v>
      </c>
      <c r="AF12" s="44">
        <f t="shared" si="2"/>
        <v>4.5222306772475268E-2</v>
      </c>
      <c r="AG12" s="44">
        <f t="shared" si="2"/>
        <v>4.8621109757448225E-2</v>
      </c>
      <c r="AH12" s="44">
        <f t="shared" si="2"/>
        <v>4.7584640792733279E-2</v>
      </c>
      <c r="AI12" s="44">
        <f t="shared" si="2"/>
        <v>5.4627696590118305E-2</v>
      </c>
      <c r="AJ12" s="44">
        <f t="shared" si="2"/>
        <v>5.3560559951308581E-2</v>
      </c>
      <c r="AK12" s="44">
        <f t="shared" si="2"/>
        <v>5.7446144239775211E-2</v>
      </c>
      <c r="AL12" s="44"/>
      <c r="AM12" s="44">
        <f>AVERAGE(AF12:AJ12)</f>
        <v>4.9923262772816737E-2</v>
      </c>
    </row>
    <row r="13" spans="1:40" ht="15" x14ac:dyDescent="0.2">
      <c r="A13" s="35" t="s">
        <v>76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  <c r="U13" s="43" t="str">
        <f t="shared" si="1"/>
        <v xml:space="preserve">   Adjustments to reconcile net income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34"/>
    </row>
    <row r="14" spans="1:40" ht="15" x14ac:dyDescent="0.2">
      <c r="A14" s="41" t="s">
        <v>77</v>
      </c>
      <c r="B14" s="36">
        <v>39479</v>
      </c>
      <c r="C14" s="37">
        <v>37994</v>
      </c>
      <c r="D14" s="37">
        <v>38310</v>
      </c>
      <c r="E14" s="37">
        <v>42782</v>
      </c>
      <c r="F14" s="37">
        <v>43215</v>
      </c>
      <c r="G14" s="37">
        <v>45700</v>
      </c>
      <c r="H14" s="45">
        <v>50100</v>
      </c>
      <c r="I14" s="45">
        <v>44800</v>
      </c>
      <c r="J14" s="45">
        <f>42700</f>
        <v>42700</v>
      </c>
      <c r="K14" s="45">
        <v>45200</v>
      </c>
      <c r="L14" s="45">
        <v>47800</v>
      </c>
      <c r="M14" s="45">
        <v>48000</v>
      </c>
      <c r="N14" s="45">
        <v>49200</v>
      </c>
      <c r="O14" s="45">
        <v>52100</v>
      </c>
      <c r="P14" s="45">
        <v>54700</v>
      </c>
      <c r="Q14" s="45">
        <v>58800</v>
      </c>
      <c r="R14" s="45">
        <v>60600</v>
      </c>
      <c r="S14" s="45"/>
      <c r="T14" s="42">
        <f t="shared" ref="T14:T15" si="3">RATE(5,,-M14,R14)</f>
        <v>4.7722516422078282E-2</v>
      </c>
      <c r="U14" s="43" t="str">
        <f t="shared" si="1"/>
        <v xml:space="preserve">       Depreciation and amortization</v>
      </c>
      <c r="V14" s="44">
        <f t="shared" ref="V14:AK15" si="4">B14/V$10</f>
        <v>8.7743395186437215E-2</v>
      </c>
      <c r="W14" s="44">
        <f t="shared" si="4"/>
        <v>7.0783699293169036E-2</v>
      </c>
      <c r="X14" s="44">
        <f t="shared" si="4"/>
        <v>5.4408880392777866E-2</v>
      </c>
      <c r="Y14" s="44">
        <f t="shared" si="4"/>
        <v>7.1840822419736994E-2</v>
      </c>
      <c r="Z14" s="44">
        <f t="shared" si="4"/>
        <v>6.9589932286089257E-2</v>
      </c>
      <c r="AA14" s="44">
        <f t="shared" si="4"/>
        <v>5.980164696614599E-2</v>
      </c>
      <c r="AB14" s="44">
        <f t="shared" si="4"/>
        <v>5.2049406418595665E-2</v>
      </c>
      <c r="AC14" s="44">
        <f t="shared" si="4"/>
        <v>4.2081532970129627E-2</v>
      </c>
      <c r="AD14" s="44">
        <f t="shared" si="4"/>
        <v>4.579088471849866E-2</v>
      </c>
      <c r="AE14" s="44">
        <f t="shared" si="4"/>
        <v>4.5186444066779963E-2</v>
      </c>
      <c r="AF14" s="44">
        <f t="shared" si="4"/>
        <v>5.1962169801065335E-2</v>
      </c>
      <c r="AG14" s="44">
        <f t="shared" si="4"/>
        <v>5.316203344777938E-2</v>
      </c>
      <c r="AH14" s="44">
        <f t="shared" si="4"/>
        <v>5.0784475639966971E-2</v>
      </c>
      <c r="AI14" s="44">
        <f t="shared" si="4"/>
        <v>6.0426815124101134E-2</v>
      </c>
      <c r="AJ14" s="44">
        <f t="shared" si="4"/>
        <v>5.5487928585920068E-2</v>
      </c>
      <c r="AK14" s="44">
        <f t="shared" si="4"/>
        <v>6.1192631907586635E-2</v>
      </c>
      <c r="AL14" s="44"/>
      <c r="AM14" s="44">
        <f t="shared" ref="AM14:AM15" si="5">AVERAGE(AF14:AJ14)</f>
        <v>5.436468451976658E-2</v>
      </c>
    </row>
    <row r="15" spans="1:40" ht="15" x14ac:dyDescent="0.2">
      <c r="A15" s="41" t="s">
        <v>78</v>
      </c>
      <c r="B15" s="46">
        <v>5320</v>
      </c>
      <c r="C15" s="37">
        <v>13637</v>
      </c>
      <c r="D15" s="37">
        <v>-12374</v>
      </c>
      <c r="E15" s="37">
        <v>2243</v>
      </c>
      <c r="F15" s="37">
        <v>9636</v>
      </c>
      <c r="G15" s="37">
        <v>32300</v>
      </c>
      <c r="H15" s="37">
        <v>3700</v>
      </c>
      <c r="I15" s="37">
        <v>-15200</v>
      </c>
      <c r="J15" s="37">
        <f>4000</f>
        <v>4000</v>
      </c>
      <c r="K15" s="37">
        <v>30300</v>
      </c>
      <c r="L15" s="37">
        <v>34100</v>
      </c>
      <c r="M15" s="37">
        <v>43600</v>
      </c>
      <c r="N15" s="37">
        <v>25200</v>
      </c>
      <c r="O15" s="37">
        <v>45900</v>
      </c>
      <c r="P15" s="37">
        <v>37700</v>
      </c>
      <c r="Q15" s="37">
        <v>46000</v>
      </c>
      <c r="R15" s="37">
        <v>52900</v>
      </c>
      <c r="S15" s="37"/>
      <c r="T15" s="42">
        <f t="shared" si="3"/>
        <v>3.9426623646738344E-2</v>
      </c>
      <c r="U15" s="43" t="str">
        <f t="shared" si="1"/>
        <v xml:space="preserve">       Deferred income taxes and investment tax credits - net</v>
      </c>
      <c r="V15" s="44">
        <f t="shared" si="4"/>
        <v>1.1823877565081334E-2</v>
      </c>
      <c r="W15" s="44">
        <f t="shared" si="4"/>
        <v>2.5406045882532667E-2</v>
      </c>
      <c r="X15" s="44">
        <f t="shared" si="4"/>
        <v>-1.7573883737411467E-2</v>
      </c>
      <c r="Y15" s="44">
        <f t="shared" si="4"/>
        <v>3.7665131290605882E-3</v>
      </c>
      <c r="Z15" s="44">
        <f t="shared" si="4"/>
        <v>1.5517033148415044E-2</v>
      </c>
      <c r="AA15" s="44">
        <f t="shared" si="4"/>
        <v>4.2266809562505808E-2</v>
      </c>
      <c r="AB15" s="44">
        <f t="shared" si="4"/>
        <v>3.8439681386986816E-3</v>
      </c>
      <c r="AC15" s="44">
        <f t="shared" si="4"/>
        <v>-1.4277662972008266E-2</v>
      </c>
      <c r="AD15" s="44">
        <f t="shared" si="4"/>
        <v>4.2895442359249334E-3</v>
      </c>
      <c r="AE15" s="44">
        <f t="shared" si="4"/>
        <v>3.0290912726182145E-2</v>
      </c>
      <c r="AF15" s="44">
        <f t="shared" si="4"/>
        <v>3.7069246657245356E-2</v>
      </c>
      <c r="AG15" s="44">
        <f t="shared" si="4"/>
        <v>4.82888470483996E-2</v>
      </c>
      <c r="AH15" s="44">
        <f t="shared" si="4"/>
        <v>2.6011560693641619E-2</v>
      </c>
      <c r="AI15" s="44">
        <f t="shared" si="4"/>
        <v>5.3235908141962419E-2</v>
      </c>
      <c r="AJ15" s="44">
        <f t="shared" si="4"/>
        <v>3.8243051328869952E-2</v>
      </c>
      <c r="AK15" s="44">
        <f t="shared" si="4"/>
        <v>4.7871786866479339E-2</v>
      </c>
      <c r="AL15" s="44"/>
      <c r="AM15" s="44">
        <f t="shared" si="5"/>
        <v>4.0569722774023792E-2</v>
      </c>
    </row>
    <row r="16" spans="1:40" ht="15" x14ac:dyDescent="0.2">
      <c r="A16" s="41" t="s">
        <v>239</v>
      </c>
      <c r="B16" s="4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9">
        <v>1400</v>
      </c>
      <c r="N16" s="29">
        <v>1100</v>
      </c>
      <c r="O16" s="29">
        <v>1200</v>
      </c>
      <c r="P16" s="37">
        <v>1400</v>
      </c>
      <c r="Q16" s="37">
        <v>1600</v>
      </c>
      <c r="R16" s="37">
        <v>1400</v>
      </c>
      <c r="S16" s="37"/>
      <c r="T16" s="42"/>
      <c r="U16" s="43" t="str">
        <f t="shared" si="1"/>
        <v xml:space="preserve">       Share-based compensation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ht="15" x14ac:dyDescent="0.2">
      <c r="A17" s="47" t="s">
        <v>101</v>
      </c>
      <c r="B17" s="46">
        <v>0</v>
      </c>
      <c r="C17" s="37">
        <v>-103</v>
      </c>
      <c r="D17" s="37">
        <v>-1195</v>
      </c>
      <c r="E17" s="37">
        <v>422</v>
      </c>
      <c r="F17" s="37">
        <v>14</v>
      </c>
      <c r="G17" s="37">
        <v>200</v>
      </c>
      <c r="H17" s="37"/>
      <c r="I17" s="37">
        <v>300</v>
      </c>
      <c r="J17" s="37"/>
      <c r="K17" s="37"/>
      <c r="L17" s="37"/>
      <c r="M17" s="29"/>
      <c r="N17" s="29"/>
      <c r="O17" s="29"/>
      <c r="P17" s="37"/>
      <c r="Q17" s="37">
        <v>-100</v>
      </c>
      <c r="R17" s="37"/>
      <c r="S17" s="37"/>
      <c r="T17" s="42"/>
      <c r="U17" s="43" t="str">
        <f t="shared" si="1"/>
        <v xml:space="preserve">       (Gain) Loss on sale of assets</v>
      </c>
      <c r="V17" s="44">
        <f t="shared" ref="V17:AA17" si="6">B17/V$10</f>
        <v>0</v>
      </c>
      <c r="W17" s="44">
        <f t="shared" si="6"/>
        <v>-1.9189137830174268E-4</v>
      </c>
      <c r="X17" s="44">
        <f t="shared" si="6"/>
        <v>-1.6971707666241073E-3</v>
      </c>
      <c r="Y17" s="44">
        <f t="shared" si="6"/>
        <v>7.0863510497707011E-4</v>
      </c>
      <c r="Z17" s="44">
        <f t="shared" si="6"/>
        <v>2.2544464931279639E-5</v>
      </c>
      <c r="AA17" s="44">
        <f t="shared" si="6"/>
        <v>2.6171399109910714E-4</v>
      </c>
      <c r="AB17" s="44"/>
      <c r="AC17" s="44">
        <f>I17/AC$10</f>
        <v>2.8179597971068947E-4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34"/>
    </row>
    <row r="18" spans="1:39" ht="15" x14ac:dyDescent="0.2">
      <c r="A18" s="47" t="s">
        <v>127</v>
      </c>
      <c r="B18" s="46">
        <v>0</v>
      </c>
      <c r="C18" s="37">
        <v>0</v>
      </c>
      <c r="D18" s="37">
        <v>0</v>
      </c>
      <c r="E18" s="37">
        <v>0</v>
      </c>
      <c r="F18" s="37">
        <v>334</v>
      </c>
      <c r="G18" s="37"/>
      <c r="H18" s="37"/>
      <c r="I18" s="37">
        <v>700</v>
      </c>
      <c r="J18" s="37">
        <v>700</v>
      </c>
      <c r="K18" s="37">
        <v>1200</v>
      </c>
      <c r="L18" s="37">
        <v>1000</v>
      </c>
      <c r="M18" s="29"/>
      <c r="N18" s="29"/>
      <c r="O18" s="29"/>
      <c r="P18" s="37"/>
      <c r="Q18" s="37"/>
      <c r="R18" s="37"/>
      <c r="S18" s="37"/>
      <c r="T18" s="42"/>
      <c r="U18" s="43" t="str">
        <f t="shared" si="1"/>
        <v xml:space="preserve">       Cumulative Affect of Accounting Chng and Other</v>
      </c>
      <c r="V18" s="44">
        <f>B18/V$10</f>
        <v>0</v>
      </c>
      <c r="W18" s="44">
        <f>C18/W$10</f>
        <v>0</v>
      </c>
      <c r="X18" s="44">
        <f>D18/X$10</f>
        <v>0</v>
      </c>
      <c r="Y18" s="44">
        <f>E18/Y$10</f>
        <v>0</v>
      </c>
      <c r="Z18" s="44">
        <f>F18/Z$10</f>
        <v>5.3784652050338565E-4</v>
      </c>
      <c r="AA18" s="44"/>
      <c r="AB18" s="44"/>
      <c r="AC18" s="44">
        <f>I18/AC$10</f>
        <v>6.5752395265827543E-4</v>
      </c>
      <c r="AD18" s="44">
        <f t="shared" ref="AD18:AK18" si="7">J18/AD$10</f>
        <v>7.5067024128686326E-4</v>
      </c>
      <c r="AE18" s="44">
        <f t="shared" si="7"/>
        <v>1.1996401079676098E-3</v>
      </c>
      <c r="AF18" s="44">
        <f t="shared" si="7"/>
        <v>1.0870746820306554E-3</v>
      </c>
      <c r="AG18" s="44">
        <f t="shared" si="7"/>
        <v>0</v>
      </c>
      <c r="AH18" s="44">
        <f t="shared" si="7"/>
        <v>0</v>
      </c>
      <c r="AI18" s="44">
        <f t="shared" si="7"/>
        <v>0</v>
      </c>
      <c r="AJ18" s="44">
        <f t="shared" si="7"/>
        <v>0</v>
      </c>
      <c r="AK18" s="44">
        <f t="shared" si="7"/>
        <v>0</v>
      </c>
      <c r="AL18" s="44"/>
      <c r="AM18" s="44">
        <f>AVERAGE(AF18:AJ18)</f>
        <v>2.1741493640613108E-4</v>
      </c>
    </row>
    <row r="19" spans="1:39" ht="15" x14ac:dyDescent="0.2">
      <c r="A19" s="35" t="s">
        <v>79</v>
      </c>
      <c r="B19" s="36"/>
      <c r="C19" s="37"/>
      <c r="D19" s="37"/>
      <c r="E19" s="48"/>
      <c r="F19" s="4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2"/>
      <c r="U19" s="43" t="str">
        <f t="shared" si="1"/>
        <v xml:space="preserve">   Changes in: 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34"/>
    </row>
    <row r="20" spans="1:39" ht="15" x14ac:dyDescent="0.2">
      <c r="A20" s="49" t="s">
        <v>100</v>
      </c>
      <c r="B20" s="29">
        <v>-2586</v>
      </c>
      <c r="C20" s="37">
        <v>-32003</v>
      </c>
      <c r="D20" s="37">
        <v>7402</v>
      </c>
      <c r="E20" s="37">
        <v>25099</v>
      </c>
      <c r="F20" s="37">
        <v>-22359</v>
      </c>
      <c r="G20" s="37">
        <v>-5800</v>
      </c>
      <c r="H20" s="37">
        <v>-53100</v>
      </c>
      <c r="I20" s="37">
        <v>36600</v>
      </c>
      <c r="J20" s="37"/>
      <c r="K20" s="37">
        <v>-21600</v>
      </c>
      <c r="L20" s="37">
        <v>7700</v>
      </c>
      <c r="M20" s="37">
        <v>-4400</v>
      </c>
      <c r="N20" s="37">
        <v>5000</v>
      </c>
      <c r="O20" s="37">
        <v>-12700</v>
      </c>
      <c r="P20" s="37">
        <v>-43700</v>
      </c>
      <c r="Q20" s="37">
        <v>4600</v>
      </c>
      <c r="R20" s="37">
        <v>-32700</v>
      </c>
      <c r="S20" s="37"/>
      <c r="T20" s="42">
        <f t="shared" ref="T20" si="8">RATE(5,,-M20,R20)</f>
        <v>0.49354741746868297</v>
      </c>
      <c r="U20" s="43" t="str">
        <f t="shared" si="1"/>
        <v xml:space="preserve">      Accounts receivable</v>
      </c>
      <c r="V20" s="44">
        <f t="shared" ref="V20:AC22" si="9">B20/V$10</f>
        <v>-5.7474713126504373E-3</v>
      </c>
      <c r="W20" s="44">
        <f t="shared" si="9"/>
        <v>-5.9622327959132727E-2</v>
      </c>
      <c r="X20" s="44">
        <f t="shared" si="9"/>
        <v>1.0512517166988821E-2</v>
      </c>
      <c r="Y20" s="44">
        <f t="shared" si="9"/>
        <v>4.2146996445069862E-2</v>
      </c>
      <c r="Z20" s="44">
        <f t="shared" si="9"/>
        <v>-3.6005120814177248E-2</v>
      </c>
      <c r="AA20" s="44">
        <f t="shared" si="9"/>
        <v>-7.5897057418741077E-3</v>
      </c>
      <c r="AB20" s="44">
        <f t="shared" si="9"/>
        <v>-5.5166137341864867E-2</v>
      </c>
      <c r="AC20" s="44">
        <f t="shared" si="9"/>
        <v>3.4379109524704111E-2</v>
      </c>
      <c r="AD20" s="44"/>
      <c r="AE20" s="44">
        <f t="shared" ref="AE20:AK22" si="10">K20/AE$10</f>
        <v>-2.1593521943416974E-2</v>
      </c>
      <c r="AF20" s="44">
        <f t="shared" si="10"/>
        <v>8.3704750516360466E-3</v>
      </c>
      <c r="AG20" s="44">
        <f t="shared" si="10"/>
        <v>-4.8731863993797765E-3</v>
      </c>
      <c r="AH20" s="44">
        <f t="shared" si="10"/>
        <v>5.1610239471511152E-3</v>
      </c>
      <c r="AI20" s="44">
        <f t="shared" si="10"/>
        <v>-1.47297610763164E-2</v>
      </c>
      <c r="AJ20" s="44">
        <f t="shared" si="10"/>
        <v>-4.4329478596064113E-2</v>
      </c>
      <c r="AK20" s="44">
        <f t="shared" si="10"/>
        <v>4.7871786866479343E-3</v>
      </c>
      <c r="AL20" s="44"/>
      <c r="AM20" s="44">
        <f t="shared" ref="AM20:AM22" si="11">AVERAGE(AF20:AJ20)</f>
        <v>-1.0080185414594624E-2</v>
      </c>
    </row>
    <row r="21" spans="1:39" ht="15" x14ac:dyDescent="0.2">
      <c r="A21" s="49" t="s">
        <v>173</v>
      </c>
      <c r="B21" s="46">
        <v>616</v>
      </c>
      <c r="C21" s="37">
        <v>-4306</v>
      </c>
      <c r="D21" s="37">
        <v>-877</v>
      </c>
      <c r="E21" s="37">
        <v>208</v>
      </c>
      <c r="F21" s="37">
        <v>-1172</v>
      </c>
      <c r="G21" s="37">
        <v>-22000</v>
      </c>
      <c r="H21" s="37">
        <v>-14200</v>
      </c>
      <c r="I21" s="37">
        <v>6200</v>
      </c>
      <c r="J21" s="37">
        <f>8000</f>
        <v>8000</v>
      </c>
      <c r="K21" s="37">
        <v>-23600</v>
      </c>
      <c r="L21" s="37">
        <v>21200</v>
      </c>
      <c r="M21" s="37">
        <v>3400</v>
      </c>
      <c r="N21" s="37">
        <v>-1300</v>
      </c>
      <c r="O21" s="37">
        <v>700</v>
      </c>
      <c r="P21" s="37">
        <v>500</v>
      </c>
      <c r="Q21" s="37">
        <v>-8200</v>
      </c>
      <c r="R21" s="37">
        <v>-1500</v>
      </c>
      <c r="S21" s="37"/>
      <c r="T21" s="42"/>
      <c r="U21" s="43" t="str">
        <f t="shared" si="1"/>
        <v xml:space="preserve">      Inventories</v>
      </c>
      <c r="V21" s="44">
        <f t="shared" si="9"/>
        <v>1.3690805601673122E-3</v>
      </c>
      <c r="W21" s="44">
        <f t="shared" si="9"/>
        <v>-8.022177426867028E-3</v>
      </c>
      <c r="X21" s="44">
        <f t="shared" si="9"/>
        <v>-1.2455387132463112E-3</v>
      </c>
      <c r="Y21" s="44">
        <f t="shared" si="9"/>
        <v>3.4927986216879288E-4</v>
      </c>
      <c r="Z21" s="44">
        <f t="shared" si="9"/>
        <v>-1.8872937785328384E-3</v>
      </c>
      <c r="AA21" s="44">
        <f t="shared" si="9"/>
        <v>-2.8788539020901789E-2</v>
      </c>
      <c r="AB21" s="44">
        <f t="shared" si="9"/>
        <v>-1.4752526370140887E-2</v>
      </c>
      <c r="AC21" s="44">
        <f t="shared" si="9"/>
        <v>5.8237835806875821E-3</v>
      </c>
      <c r="AD21" s="44">
        <f>J21/AD$10</f>
        <v>8.5790884718498668E-3</v>
      </c>
      <c r="AE21" s="44">
        <f t="shared" si="10"/>
        <v>-2.3592922123362992E-2</v>
      </c>
      <c r="AF21" s="44">
        <f t="shared" si="10"/>
        <v>2.3045983259049895E-2</v>
      </c>
      <c r="AG21" s="44">
        <f t="shared" si="10"/>
        <v>3.7656440358843726E-3</v>
      </c>
      <c r="AH21" s="44">
        <f t="shared" si="10"/>
        <v>-1.3418662262592899E-3</v>
      </c>
      <c r="AI21" s="44">
        <f t="shared" si="10"/>
        <v>8.118765947575968E-4</v>
      </c>
      <c r="AJ21" s="44">
        <f t="shared" si="10"/>
        <v>5.0720227226617976E-4</v>
      </c>
      <c r="AK21" s="44">
        <f t="shared" si="10"/>
        <v>-8.5336663544593617E-3</v>
      </c>
      <c r="AL21" s="44"/>
      <c r="AM21" s="44">
        <f t="shared" si="11"/>
        <v>5.3577679871397513E-3</v>
      </c>
    </row>
    <row r="22" spans="1:39" ht="15" x14ac:dyDescent="0.2">
      <c r="A22" s="49" t="s">
        <v>102</v>
      </c>
      <c r="B22" s="46">
        <v>-3019</v>
      </c>
      <c r="C22" s="37">
        <v>61717</v>
      </c>
      <c r="D22" s="37">
        <v>-47661</v>
      </c>
      <c r="E22" s="37">
        <v>-4164</v>
      </c>
      <c r="F22" s="37">
        <v>13832</v>
      </c>
      <c r="G22" s="37">
        <v>40200</v>
      </c>
      <c r="H22" s="37">
        <v>52200</v>
      </c>
      <c r="I22" s="37">
        <v>-27300</v>
      </c>
      <c r="J22" s="37">
        <f>10300</f>
        <v>10300</v>
      </c>
      <c r="K22" s="37">
        <v>4300</v>
      </c>
      <c r="L22" s="37">
        <f>-1400+800+7900</f>
        <v>7300</v>
      </c>
      <c r="M22" s="37">
        <v>-21600</v>
      </c>
      <c r="N22" s="37">
        <v>-1800</v>
      </c>
      <c r="O22" s="37">
        <v>7800</v>
      </c>
      <c r="P22" s="37">
        <v>29500</v>
      </c>
      <c r="Q22" s="37">
        <v>-200</v>
      </c>
      <c r="R22" s="37">
        <v>12700</v>
      </c>
      <c r="S22" s="37"/>
      <c r="T22" s="42"/>
      <c r="U22" s="43" t="str">
        <f t="shared" si="1"/>
        <v xml:space="preserve">      Accounts payable and accrued expenses</v>
      </c>
      <c r="V22" s="44">
        <f t="shared" si="9"/>
        <v>-6.7098282648459674E-3</v>
      </c>
      <c r="W22" s="44">
        <f t="shared" si="9"/>
        <v>0.11498019606455002</v>
      </c>
      <c r="X22" s="44">
        <f t="shared" si="9"/>
        <v>-6.7689419169934373E-2</v>
      </c>
      <c r="Y22" s="44">
        <f t="shared" si="9"/>
        <v>-6.9923141638021796E-3</v>
      </c>
      <c r="Z22" s="44">
        <f t="shared" si="9"/>
        <v>2.2273931352104284E-2</v>
      </c>
      <c r="AA22" s="44">
        <f t="shared" si="9"/>
        <v>5.2604512210920537E-2</v>
      </c>
      <c r="AB22" s="44">
        <f t="shared" si="9"/>
        <v>5.4231118064884107E-2</v>
      </c>
      <c r="AC22" s="44">
        <f t="shared" si="9"/>
        <v>-2.5643434153672741E-2</v>
      </c>
      <c r="AD22" s="44">
        <f>J22/AD$10</f>
        <v>1.1045576407506702E-2</v>
      </c>
      <c r="AE22" s="44">
        <f t="shared" si="10"/>
        <v>4.2987103868839345E-3</v>
      </c>
      <c r="AF22" s="44">
        <f t="shared" si="10"/>
        <v>7.9356451788237855E-3</v>
      </c>
      <c r="AG22" s="44">
        <f t="shared" si="10"/>
        <v>-2.392291505150072E-2</v>
      </c>
      <c r="AH22" s="44">
        <f t="shared" si="10"/>
        <v>-1.8579686209744012E-3</v>
      </c>
      <c r="AI22" s="44">
        <f t="shared" si="10"/>
        <v>9.046624913013222E-3</v>
      </c>
      <c r="AJ22" s="44">
        <f t="shared" si="10"/>
        <v>2.9924934063704604E-2</v>
      </c>
      <c r="AK22" s="44">
        <f t="shared" si="10"/>
        <v>-2.081382037673015E-4</v>
      </c>
      <c r="AL22" s="44"/>
      <c r="AM22" s="44">
        <f t="shared" si="11"/>
        <v>4.2252640966132975E-3</v>
      </c>
    </row>
    <row r="23" spans="1:39" ht="15" x14ac:dyDescent="0.2">
      <c r="A23" s="49" t="s">
        <v>103</v>
      </c>
      <c r="B23" s="46">
        <v>0</v>
      </c>
      <c r="C23" s="37">
        <v>0</v>
      </c>
      <c r="D23" s="37">
        <v>0</v>
      </c>
      <c r="E23" s="37">
        <v>0</v>
      </c>
      <c r="F23" s="37">
        <v>24939</v>
      </c>
      <c r="G23" s="37">
        <v>-4300</v>
      </c>
      <c r="H23" s="37">
        <v>-20600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2"/>
      <c r="U23" s="43" t="str">
        <f t="shared" si="1"/>
        <v xml:space="preserve">      Rate-refund obligation</v>
      </c>
      <c r="V23" s="44">
        <f t="shared" ref="V23:AB25" si="12">B23/V$10</f>
        <v>0</v>
      </c>
      <c r="W23" s="44">
        <f t="shared" si="12"/>
        <v>0</v>
      </c>
      <c r="X23" s="44">
        <f t="shared" si="12"/>
        <v>0</v>
      </c>
      <c r="Y23" s="44">
        <f t="shared" si="12"/>
        <v>0</v>
      </c>
      <c r="Z23" s="44">
        <f t="shared" si="12"/>
        <v>4.0159743637227352E-2</v>
      </c>
      <c r="AA23" s="44">
        <f t="shared" si="12"/>
        <v>-5.6268508086308039E-3</v>
      </c>
      <c r="AB23" s="44">
        <f t="shared" si="12"/>
        <v>-2.1401552339781849E-2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34"/>
    </row>
    <row r="24" spans="1:39" ht="15" x14ac:dyDescent="0.2">
      <c r="A24" s="49" t="s">
        <v>104</v>
      </c>
      <c r="B24" s="46">
        <v>1635</v>
      </c>
      <c r="C24" s="37">
        <v>-35133</v>
      </c>
      <c r="D24" s="37">
        <v>27246</v>
      </c>
      <c r="E24" s="37">
        <v>21578</v>
      </c>
      <c r="F24" s="37">
        <v>-13834</v>
      </c>
      <c r="G24" s="37">
        <v>-35300</v>
      </c>
      <c r="H24" s="37">
        <v>-4000</v>
      </c>
      <c r="I24" s="37">
        <v>81700</v>
      </c>
      <c r="J24" s="37">
        <f>16200</f>
        <v>16200</v>
      </c>
      <c r="K24" s="37">
        <v>-12300</v>
      </c>
      <c r="L24" s="37">
        <v>-23700</v>
      </c>
      <c r="M24" s="37"/>
      <c r="N24" s="37"/>
      <c r="O24" s="37"/>
      <c r="P24" s="37"/>
      <c r="Q24" s="37"/>
      <c r="R24" s="37"/>
      <c r="S24" s="37"/>
      <c r="T24" s="42"/>
      <c r="U24" s="43" t="str">
        <f t="shared" si="1"/>
        <v xml:space="preserve">      Purchased-gas adjustments</v>
      </c>
      <c r="V24" s="44">
        <f t="shared" si="12"/>
        <v>3.6338420712233046E-3</v>
      </c>
      <c r="W24" s="44">
        <f t="shared" si="12"/>
        <v>-6.5453590231797337E-2</v>
      </c>
      <c r="X24" s="44">
        <f t="shared" si="12"/>
        <v>3.8695493479029647E-2</v>
      </c>
      <c r="Y24" s="44">
        <f t="shared" si="12"/>
        <v>3.6234427239799097E-2</v>
      </c>
      <c r="Z24" s="44">
        <f t="shared" si="12"/>
        <v>-2.2277151989951609E-2</v>
      </c>
      <c r="AA24" s="44">
        <f t="shared" si="12"/>
        <v>-4.6192519428992412E-2</v>
      </c>
      <c r="AB24" s="44">
        <f t="shared" si="12"/>
        <v>-4.1556412310256021E-3</v>
      </c>
      <c r="AC24" s="44">
        <f t="shared" ref="AC24:AF25" si="13">I24/AC$10</f>
        <v>7.6742438474544428E-2</v>
      </c>
      <c r="AD24" s="44">
        <f t="shared" si="13"/>
        <v>1.7372654155495978E-2</v>
      </c>
      <c r="AE24" s="44">
        <f t="shared" si="13"/>
        <v>-1.2296311106668E-2</v>
      </c>
      <c r="AF24" s="44">
        <f t="shared" si="13"/>
        <v>-2.5763669964126535E-2</v>
      </c>
      <c r="AG24" s="44"/>
      <c r="AH24" s="44"/>
      <c r="AI24" s="44"/>
      <c r="AJ24" s="44"/>
      <c r="AK24" s="44"/>
      <c r="AL24" s="44"/>
      <c r="AM24" s="44">
        <f t="shared" ref="AM24:AM25" si="14">AVERAGE(AF24:AJ24)</f>
        <v>-2.5763669964126535E-2</v>
      </c>
    </row>
    <row r="25" spans="1:39" ht="15" x14ac:dyDescent="0.2">
      <c r="A25" s="49" t="s">
        <v>122</v>
      </c>
      <c r="B25" s="46">
        <f>-330+2875</f>
        <v>2545</v>
      </c>
      <c r="C25" s="37">
        <f>2395-6156-562</f>
        <v>-4323</v>
      </c>
      <c r="D25" s="37">
        <f>-340+3328+2549</f>
        <v>5537</v>
      </c>
      <c r="E25" s="37">
        <f>-377+4522-371</f>
        <v>3774</v>
      </c>
      <c r="F25" s="37">
        <f>-306-3798+5469</f>
        <v>1365</v>
      </c>
      <c r="G25" s="37">
        <f>4600-9100-400</f>
        <v>-4900</v>
      </c>
      <c r="H25" s="37">
        <f>10900+1200+0</f>
        <v>12100</v>
      </c>
      <c r="I25" s="37">
        <f>5300+6300+800</f>
        <v>12400</v>
      </c>
      <c r="J25" s="37">
        <f>500-500-4800</f>
        <v>-4800</v>
      </c>
      <c r="K25" s="37">
        <f>500-3100-8400</f>
        <v>-11000</v>
      </c>
      <c r="L25" s="37">
        <v>-17700</v>
      </c>
      <c r="M25" s="37">
        <f>-8500+500</f>
        <v>-8000</v>
      </c>
      <c r="N25" s="37">
        <v>6000</v>
      </c>
      <c r="O25" s="37">
        <f>1500-100</f>
        <v>1400</v>
      </c>
      <c r="P25" s="37">
        <f>-2800+200</f>
        <v>-2600</v>
      </c>
      <c r="Q25" s="37">
        <f>-500+9200</f>
        <v>8700</v>
      </c>
      <c r="R25" s="37">
        <v>-40600</v>
      </c>
      <c r="S25" s="37"/>
      <c r="T25" s="42">
        <f t="shared" ref="T25:T26" si="15">RATE(5,,-M25,R25)</f>
        <v>0.38384423650741484</v>
      </c>
      <c r="U25" s="43" t="str">
        <f t="shared" si="1"/>
        <v xml:space="preserve">      Other Assets and Liabilities</v>
      </c>
      <c r="V25" s="44">
        <f t="shared" si="12"/>
        <v>5.6563474441977436E-3</v>
      </c>
      <c r="W25" s="44">
        <f t="shared" si="12"/>
        <v>-8.0538488194022671E-3</v>
      </c>
      <c r="X25" s="44">
        <f t="shared" si="12"/>
        <v>7.8637945897888552E-3</v>
      </c>
      <c r="Y25" s="44">
        <f t="shared" si="12"/>
        <v>6.337414422235693E-3</v>
      </c>
      <c r="Z25" s="44">
        <f t="shared" si="12"/>
        <v>2.198085330799765E-3</v>
      </c>
      <c r="AA25" s="44">
        <f t="shared" si="12"/>
        <v>-6.4119927819281256E-3</v>
      </c>
      <c r="AB25" s="44">
        <f t="shared" si="12"/>
        <v>1.2570814723852446E-2</v>
      </c>
      <c r="AC25" s="44">
        <f t="shared" si="13"/>
        <v>1.1647567161375164E-2</v>
      </c>
      <c r="AD25" s="44">
        <f t="shared" si="13"/>
        <v>-5.1474530831099197E-3</v>
      </c>
      <c r="AE25" s="44">
        <f t="shared" si="13"/>
        <v>-1.0996700989703088E-2</v>
      </c>
      <c r="AF25" s="44">
        <f t="shared" si="13"/>
        <v>-1.9241221871942601E-2</v>
      </c>
      <c r="AG25" s="44">
        <f>M25/AG$10</f>
        <v>-8.8603389079632295E-3</v>
      </c>
      <c r="AH25" s="44">
        <f>N25/AH$10</f>
        <v>6.1932287365813379E-3</v>
      </c>
      <c r="AI25" s="44">
        <f>O25/AI$10</f>
        <v>1.6237531895151936E-3</v>
      </c>
      <c r="AJ25" s="44">
        <f>P25/AJ$10</f>
        <v>-2.6374518157841345E-3</v>
      </c>
      <c r="AK25" s="44">
        <f>Q25/AK$10</f>
        <v>9.0540118638776142E-3</v>
      </c>
      <c r="AL25" s="44"/>
      <c r="AM25" s="44">
        <f t="shared" si="14"/>
        <v>-4.5844061339186861E-3</v>
      </c>
    </row>
    <row r="26" spans="1:39" ht="15" x14ac:dyDescent="0.2">
      <c r="A26" s="167" t="s">
        <v>174</v>
      </c>
      <c r="B26" s="4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v>-37000</v>
      </c>
      <c r="N26" s="37">
        <v>17400</v>
      </c>
      <c r="O26" s="37">
        <f>-24400-6400</f>
        <v>-30800</v>
      </c>
      <c r="P26" s="37">
        <f>17600+5400</f>
        <v>23000</v>
      </c>
      <c r="Q26" s="37">
        <f>-46700-6000</f>
        <v>-52700</v>
      </c>
      <c r="R26" s="37">
        <v>-1000</v>
      </c>
      <c r="S26" s="37"/>
      <c r="T26" s="42">
        <f t="shared" si="15"/>
        <v>-0.51430944818084035</v>
      </c>
      <c r="U26" s="43" t="str">
        <f t="shared" si="1"/>
        <v xml:space="preserve">      Regulatory Assets, Liabilities &amp; Other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34"/>
    </row>
    <row r="27" spans="1:39" ht="12.75" customHeight="1" x14ac:dyDescent="0.2">
      <c r="A27" s="41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50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121"/>
    </row>
    <row r="28" spans="1:39" ht="15" x14ac:dyDescent="0.2">
      <c r="A28" s="41" t="s">
        <v>80</v>
      </c>
      <c r="B28" s="51">
        <f t="shared" ref="B28:I28" si="16">SUM(B11:B27)</f>
        <v>63209</v>
      </c>
      <c r="C28" s="51">
        <f t="shared" si="16"/>
        <v>61643</v>
      </c>
      <c r="D28" s="51">
        <f t="shared" si="16"/>
        <v>42261</v>
      </c>
      <c r="E28" s="51">
        <f t="shared" si="16"/>
        <v>124341</v>
      </c>
      <c r="F28" s="51">
        <f t="shared" si="16"/>
        <v>76152</v>
      </c>
      <c r="G28" s="51">
        <f t="shared" si="16"/>
        <v>77561</v>
      </c>
      <c r="H28" s="51">
        <f t="shared" si="16"/>
        <v>62175</v>
      </c>
      <c r="I28" s="51">
        <f t="shared" si="16"/>
        <v>177200</v>
      </c>
      <c r="J28" s="51">
        <f>SUM(J11:J27)</f>
        <v>114500</v>
      </c>
      <c r="K28" s="51">
        <f t="shared" ref="K28:O28" si="17">SUM(K11:K27)</f>
        <v>52700</v>
      </c>
      <c r="L28" s="51">
        <f t="shared" si="17"/>
        <v>119300</v>
      </c>
      <c r="M28" s="51">
        <f t="shared" si="17"/>
        <v>69300</v>
      </c>
      <c r="N28" s="51">
        <f t="shared" ref="N28" si="18">SUM(N11:N27)</f>
        <v>146900</v>
      </c>
      <c r="O28" s="51">
        <f t="shared" si="17"/>
        <v>112700</v>
      </c>
      <c r="P28" s="51">
        <f t="shared" ref="P28:R28" si="19">SUM(P11:P27)</f>
        <v>153300</v>
      </c>
      <c r="Q28" s="51">
        <f t="shared" si="19"/>
        <v>113700</v>
      </c>
      <c r="R28" s="51">
        <f t="shared" si="19"/>
        <v>116100</v>
      </c>
      <c r="S28" s="51">
        <f t="shared" ref="S28" si="20">SUM(S11:S27)</f>
        <v>0</v>
      </c>
      <c r="T28" s="42">
        <f t="shared" ref="T28" si="21">RATE(5,,-M28,R28)</f>
        <v>0.10871467784987032</v>
      </c>
      <c r="U28" s="43" t="s">
        <v>80</v>
      </c>
      <c r="V28" s="52">
        <f t="shared" ref="V28:AK28" si="22">(B28/V$10)</f>
        <v>0.14048411222015528</v>
      </c>
      <c r="W28" s="52">
        <f t="shared" si="22"/>
        <v>0.11484233235586722</v>
      </c>
      <c r="X28" s="52">
        <f t="shared" si="22"/>
        <v>6.0020195622009533E-2</v>
      </c>
      <c r="Y28" s="52">
        <f t="shared" si="22"/>
        <v>0.20879715068235516</v>
      </c>
      <c r="Z28" s="52">
        <f t="shared" si="22"/>
        <v>0.12262900667477195</v>
      </c>
      <c r="AA28" s="52">
        <f t="shared" si="22"/>
        <v>0.10149399431818926</v>
      </c>
      <c r="AB28" s="52">
        <f t="shared" si="22"/>
        <v>6.4594248384754194E-2</v>
      </c>
      <c r="AC28" s="52">
        <f t="shared" si="22"/>
        <v>0.16644749201578057</v>
      </c>
      <c r="AD28" s="52">
        <f t="shared" si="22"/>
        <v>0.12278820375335121</v>
      </c>
      <c r="AE28" s="52">
        <f t="shared" si="22"/>
        <v>5.2684194741577525E-2</v>
      </c>
      <c r="AF28" s="52">
        <f t="shared" si="22"/>
        <v>0.1296880095662572</v>
      </c>
      <c r="AG28" s="52">
        <f t="shared" si="22"/>
        <v>7.6752685790231479E-2</v>
      </c>
      <c r="AH28" s="52">
        <f t="shared" si="22"/>
        <v>0.15163088356729976</v>
      </c>
      <c r="AI28" s="52">
        <f t="shared" si="22"/>
        <v>0.1307121317559731</v>
      </c>
      <c r="AJ28" s="52">
        <f t="shared" si="22"/>
        <v>0.15550821667681072</v>
      </c>
      <c r="AK28" s="52">
        <f t="shared" si="22"/>
        <v>0.1183265688417109</v>
      </c>
      <c r="AL28" s="171"/>
      <c r="AM28" s="44">
        <f>AVERAGE(AF28:AJ28)</f>
        <v>0.12885838547131445</v>
      </c>
    </row>
    <row r="29" spans="1:39" ht="12" customHeight="1" x14ac:dyDescent="0.2">
      <c r="A29" s="41"/>
      <c r="B29" s="4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34"/>
    </row>
    <row r="30" spans="1:39" ht="15" x14ac:dyDescent="0.2">
      <c r="A30" s="35" t="s">
        <v>81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2"/>
      <c r="U30" s="39" t="s">
        <v>81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34"/>
    </row>
    <row r="31" spans="1:39" ht="15" x14ac:dyDescent="0.2">
      <c r="A31" s="41" t="s">
        <v>82</v>
      </c>
      <c r="B31" s="29">
        <v>-68447</v>
      </c>
      <c r="C31" s="37">
        <v>-65767</v>
      </c>
      <c r="D31" s="37">
        <v>-78791</v>
      </c>
      <c r="E31" s="37">
        <v>-72019</v>
      </c>
      <c r="F31" s="37">
        <v>-71383</v>
      </c>
      <c r="G31" s="37">
        <v>-77000</v>
      </c>
      <c r="H31" s="37">
        <v>-67900</v>
      </c>
      <c r="I31" s="37">
        <v>-86700</v>
      </c>
      <c r="J31" s="37">
        <f>-135900</f>
        <v>-135900</v>
      </c>
      <c r="K31" s="37">
        <v>-126300</v>
      </c>
      <c r="L31" s="37">
        <f>-82600</f>
        <v>-82600</v>
      </c>
      <c r="M31" s="37">
        <v>-108600</v>
      </c>
      <c r="N31" s="37">
        <v>-121500</v>
      </c>
      <c r="O31" s="37">
        <v>-162100</v>
      </c>
      <c r="P31" s="37">
        <v>-166200</v>
      </c>
      <c r="Q31" s="37">
        <v>-174700</v>
      </c>
      <c r="R31" s="37">
        <v>-217400</v>
      </c>
      <c r="S31" s="37"/>
      <c r="T31" s="42">
        <f t="shared" ref="T31" si="23">RATE(5,,-M31,R31)</f>
        <v>0.14890982378068635</v>
      </c>
      <c r="U31" s="39" t="str">
        <f>A31</f>
        <v xml:space="preserve">     Capital expenditures</v>
      </c>
      <c r="V31" s="44">
        <f t="shared" ref="V31:AK33" si="24">(B31/V$10)</f>
        <v>-0.15212574204833121</v>
      </c>
      <c r="W31" s="44">
        <f t="shared" si="24"/>
        <v>-0.12252543958029816</v>
      </c>
      <c r="X31" s="44">
        <f t="shared" si="24"/>
        <v>-0.1119010726971381</v>
      </c>
      <c r="Y31" s="44">
        <f t="shared" si="24"/>
        <v>-0.12093647304583795</v>
      </c>
      <c r="Z31" s="44">
        <f t="shared" si="24"/>
        <v>-0.11494939572782389</v>
      </c>
      <c r="AA31" s="44">
        <f t="shared" si="24"/>
        <v>-0.10075988657315625</v>
      </c>
      <c r="AB31" s="44">
        <f t="shared" si="24"/>
        <v>-7.0542009896659597E-2</v>
      </c>
      <c r="AC31" s="44">
        <f t="shared" si="24"/>
        <v>-8.1439038136389252E-2</v>
      </c>
      <c r="AD31" s="44">
        <f t="shared" si="24"/>
        <v>-0.1457372654155496</v>
      </c>
      <c r="AE31" s="44">
        <f t="shared" si="24"/>
        <v>-0.12626212136359091</v>
      </c>
      <c r="AF31" s="44">
        <f t="shared" si="24"/>
        <v>-8.9792368735732139E-2</v>
      </c>
      <c r="AG31" s="44">
        <f t="shared" si="24"/>
        <v>-0.12027910067560084</v>
      </c>
      <c r="AH31" s="44">
        <f t="shared" si="24"/>
        <v>-0.1254128819157721</v>
      </c>
      <c r="AI31" s="44">
        <f t="shared" si="24"/>
        <v>-0.18800742287172351</v>
      </c>
      <c r="AJ31" s="44">
        <f t="shared" si="24"/>
        <v>-0.16859403530127814</v>
      </c>
      <c r="AK31" s="44">
        <f t="shared" si="24"/>
        <v>-0.18180872099073786</v>
      </c>
      <c r="AL31" s="44"/>
      <c r="AM31" s="44">
        <f t="shared" ref="AM31:AM34" si="25">AVERAGE(AF31:AJ31)</f>
        <v>-0.13841716190002135</v>
      </c>
    </row>
    <row r="32" spans="1:39" ht="15" x14ac:dyDescent="0.2">
      <c r="A32" s="41" t="s">
        <v>240</v>
      </c>
      <c r="B32" s="2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-11400</v>
      </c>
      <c r="S32" s="37"/>
      <c r="T32" s="42"/>
      <c r="U32" s="39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5" x14ac:dyDescent="0.2">
      <c r="A33" s="41" t="s">
        <v>83</v>
      </c>
      <c r="B33" s="36">
        <v>2103</v>
      </c>
      <c r="C33" s="37">
        <v>498</v>
      </c>
      <c r="D33" s="37">
        <v>3014</v>
      </c>
      <c r="E33" s="37">
        <v>1005</v>
      </c>
      <c r="F33" s="37">
        <v>632</v>
      </c>
      <c r="G33" s="37">
        <v>-3200</v>
      </c>
      <c r="H33" s="37">
        <v>600</v>
      </c>
      <c r="I33" s="37">
        <v>600</v>
      </c>
      <c r="J33" s="37">
        <f>-2800</f>
        <v>-2800</v>
      </c>
      <c r="K33" s="37">
        <f>-3400+300</f>
        <v>-3100</v>
      </c>
      <c r="L33" s="37">
        <v>-1300</v>
      </c>
      <c r="M33" s="37">
        <v>-1000</v>
      </c>
      <c r="N33" s="37">
        <v>-2000</v>
      </c>
      <c r="O33" s="37">
        <f>-2300+400</f>
        <v>-1900</v>
      </c>
      <c r="P33" s="37">
        <f>300-3900</f>
        <v>-3600</v>
      </c>
      <c r="Q33" s="37">
        <f>-3400+800</f>
        <v>-2600</v>
      </c>
      <c r="R33" s="37">
        <f>-3900+400</f>
        <v>-3500</v>
      </c>
      <c r="S33" s="37"/>
      <c r="T33" s="42">
        <f t="shared" ref="T33" si="26">RATE(5,,-M33,R33)</f>
        <v>0.28473515712343928</v>
      </c>
      <c r="U33" s="39" t="str">
        <f>A33</f>
        <v xml:space="preserve">     Proceeds from sales of assets</v>
      </c>
      <c r="V33" s="44">
        <f t="shared" si="24"/>
        <v>4.673987691610159E-3</v>
      </c>
      <c r="W33" s="44">
        <f t="shared" si="24"/>
        <v>9.2778549897347428E-4</v>
      </c>
      <c r="X33" s="44">
        <f t="shared" si="24"/>
        <v>4.2805629210084179E-3</v>
      </c>
      <c r="Y33" s="44">
        <f t="shared" si="24"/>
        <v>1.6876262571136386E-3</v>
      </c>
      <c r="Z33" s="44">
        <f t="shared" si="24"/>
        <v>1.0177215597549094E-3</v>
      </c>
      <c r="AA33" s="44">
        <f t="shared" si="24"/>
        <v>-4.1874238575857143E-3</v>
      </c>
      <c r="AB33" s="44">
        <f t="shared" si="24"/>
        <v>6.2334618465384028E-4</v>
      </c>
      <c r="AC33" s="44">
        <f t="shared" si="24"/>
        <v>5.6359195942137894E-4</v>
      </c>
      <c r="AD33" s="44">
        <f t="shared" si="24"/>
        <v>-3.002680965147453E-3</v>
      </c>
      <c r="AE33" s="44">
        <f t="shared" si="24"/>
        <v>-3.0990702789163251E-3</v>
      </c>
      <c r="AF33" s="44">
        <f t="shared" si="24"/>
        <v>-1.4131970866398521E-3</v>
      </c>
      <c r="AG33" s="44">
        <f t="shared" si="24"/>
        <v>-1.1075423634954037E-3</v>
      </c>
      <c r="AH33" s="44">
        <f t="shared" si="24"/>
        <v>-2.0644095788604458E-3</v>
      </c>
      <c r="AI33" s="44">
        <f t="shared" si="24"/>
        <v>-2.2036650429134771E-3</v>
      </c>
      <c r="AJ33" s="44">
        <f t="shared" si="24"/>
        <v>-3.6518563603164943E-3</v>
      </c>
      <c r="AK33" s="44">
        <f t="shared" si="24"/>
        <v>-2.7057966489749193E-3</v>
      </c>
      <c r="AL33" s="44"/>
      <c r="AM33" s="44">
        <f t="shared" si="25"/>
        <v>-2.0881340864451346E-3</v>
      </c>
    </row>
    <row r="34" spans="1:39" ht="15" x14ac:dyDescent="0.2">
      <c r="A34" s="41" t="s">
        <v>84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2000</v>
      </c>
      <c r="K34" s="37">
        <v>500</v>
      </c>
      <c r="L34" s="37">
        <v>100</v>
      </c>
      <c r="M34" s="37"/>
      <c r="N34" s="37">
        <v>100</v>
      </c>
      <c r="O34" s="37"/>
      <c r="P34" s="37">
        <v>10800</v>
      </c>
      <c r="Q34" s="37"/>
      <c r="R34" s="37">
        <v>-100</v>
      </c>
      <c r="S34" s="37"/>
      <c r="T34" s="42"/>
      <c r="U34" s="39" t="str">
        <f>A34</f>
        <v xml:space="preserve">     Other</v>
      </c>
      <c r="V34" s="44">
        <f>(B34/V$10)</f>
        <v>0</v>
      </c>
      <c r="W34" s="44">
        <f>(C34/W$10)</f>
        <v>0</v>
      </c>
      <c r="X34" s="44">
        <f>(D34/X$10)</f>
        <v>0</v>
      </c>
      <c r="Y34" s="44">
        <f>(E34/Y$10)</f>
        <v>0</v>
      </c>
      <c r="Z34" s="44">
        <f>(F34/Z$10)</f>
        <v>0</v>
      </c>
      <c r="AA34" s="44"/>
      <c r="AB34" s="44"/>
      <c r="AC34" s="44"/>
      <c r="AD34" s="44">
        <f>(J34/AD$10)</f>
        <v>2.1447721179624667E-3</v>
      </c>
      <c r="AE34" s="44">
        <f>(K34/AE$10)</f>
        <v>4.9985004498650403E-4</v>
      </c>
      <c r="AF34" s="44">
        <f>(L34/AF$10)</f>
        <v>1.0870746820306555E-4</v>
      </c>
      <c r="AG34" s="44"/>
      <c r="AH34" s="44">
        <f>(N34/AH$10)</f>
        <v>1.0322047894302229E-4</v>
      </c>
      <c r="AI34" s="44"/>
      <c r="AJ34" s="44">
        <f>(P34/AJ$10)</f>
        <v>1.0955569080949483E-2</v>
      </c>
      <c r="AK34" s="44"/>
      <c r="AL34" s="44"/>
      <c r="AM34" s="44">
        <f t="shared" si="25"/>
        <v>3.7224990093651903E-3</v>
      </c>
    </row>
    <row r="35" spans="1:39" ht="12.75" customHeight="1" x14ac:dyDescent="0.2">
      <c r="A35" s="41"/>
      <c r="B35" s="36"/>
      <c r="C35" s="37"/>
      <c r="D35" s="37"/>
      <c r="E35" s="37"/>
      <c r="F35" s="37"/>
      <c r="G35" s="37"/>
      <c r="H35" s="37"/>
      <c r="I35" s="37"/>
      <c r="J35" s="37"/>
      <c r="K35" s="120"/>
      <c r="L35" s="120"/>
      <c r="M35" s="120"/>
      <c r="N35" s="120"/>
      <c r="O35" s="120"/>
      <c r="P35" s="120"/>
      <c r="Q35" s="120"/>
      <c r="R35" s="120"/>
      <c r="S35" s="120"/>
      <c r="T35" s="50"/>
      <c r="U35" s="43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121"/>
    </row>
    <row r="36" spans="1:39" ht="15" x14ac:dyDescent="0.2">
      <c r="A36" s="41" t="s">
        <v>85</v>
      </c>
      <c r="B36" s="51">
        <f t="shared" ref="B36:J36" si="27">SUM(B30:B35)</f>
        <v>-66344</v>
      </c>
      <c r="C36" s="51">
        <f t="shared" si="27"/>
        <v>-65269</v>
      </c>
      <c r="D36" s="51">
        <f t="shared" si="27"/>
        <v>-75777</v>
      </c>
      <c r="E36" s="51">
        <f t="shared" si="27"/>
        <v>-71014</v>
      </c>
      <c r="F36" s="51">
        <f t="shared" si="27"/>
        <v>-70751</v>
      </c>
      <c r="G36" s="51">
        <f t="shared" si="27"/>
        <v>-80200</v>
      </c>
      <c r="H36" s="51">
        <f t="shared" si="27"/>
        <v>-67300</v>
      </c>
      <c r="I36" s="51">
        <f t="shared" si="27"/>
        <v>-86100</v>
      </c>
      <c r="J36" s="51">
        <f t="shared" si="27"/>
        <v>-136700</v>
      </c>
      <c r="K36" s="36">
        <f t="shared" ref="K36:O36" si="28">SUM(K30:K35)</f>
        <v>-128900</v>
      </c>
      <c r="L36" s="36">
        <f t="shared" si="28"/>
        <v>-83800</v>
      </c>
      <c r="M36" s="36">
        <f t="shared" si="28"/>
        <v>-109600</v>
      </c>
      <c r="N36" s="36">
        <f t="shared" ref="N36" si="29">SUM(N30:N35)</f>
        <v>-123400</v>
      </c>
      <c r="O36" s="36">
        <f t="shared" si="28"/>
        <v>-164000</v>
      </c>
      <c r="P36" s="36">
        <f t="shared" ref="P36:R36" si="30">SUM(P30:P35)</f>
        <v>-159000</v>
      </c>
      <c r="Q36" s="36">
        <f t="shared" si="30"/>
        <v>-177300</v>
      </c>
      <c r="R36" s="36">
        <f t="shared" si="30"/>
        <v>-232400</v>
      </c>
      <c r="S36" s="36">
        <f t="shared" ref="S36" si="31">SUM(S30:S35)</f>
        <v>0</v>
      </c>
      <c r="T36" s="42">
        <f t="shared" ref="T36" si="32">RATE(5,,-M36,R36)</f>
        <v>0.16221135409154011</v>
      </c>
      <c r="U36" s="43" t="s">
        <v>85</v>
      </c>
      <c r="V36" s="52">
        <f t="shared" ref="V36:AK36" si="33">B36/V$10</f>
        <v>-0.14745175435672106</v>
      </c>
      <c r="W36" s="52">
        <f t="shared" si="33"/>
        <v>-0.12159765408132468</v>
      </c>
      <c r="X36" s="52">
        <f t="shared" si="33"/>
        <v>-0.10762050977612968</v>
      </c>
      <c r="Y36" s="52">
        <f t="shared" si="33"/>
        <v>-0.1192488467887243</v>
      </c>
      <c r="Z36" s="52">
        <f t="shared" si="33"/>
        <v>-0.11393167416806899</v>
      </c>
      <c r="AA36" s="52">
        <f t="shared" si="33"/>
        <v>-0.10494731043074197</v>
      </c>
      <c r="AB36" s="52">
        <f t="shared" si="33"/>
        <v>-6.9918663712005752E-2</v>
      </c>
      <c r="AC36" s="52">
        <f t="shared" si="33"/>
        <v>-8.0875446176967875E-2</v>
      </c>
      <c r="AD36" s="52">
        <f t="shared" si="33"/>
        <v>-0.14659517426273458</v>
      </c>
      <c r="AE36" s="52">
        <f t="shared" si="33"/>
        <v>-0.12886134159752075</v>
      </c>
      <c r="AF36" s="52">
        <f t="shared" si="33"/>
        <v>-9.1096858354168933E-2</v>
      </c>
      <c r="AG36" s="52">
        <f t="shared" si="33"/>
        <v>-0.12138664303909624</v>
      </c>
      <c r="AH36" s="52">
        <f t="shared" si="33"/>
        <v>-0.12737407101568951</v>
      </c>
      <c r="AI36" s="52">
        <f t="shared" si="33"/>
        <v>-0.19021108791463698</v>
      </c>
      <c r="AJ36" s="52">
        <f t="shared" si="33"/>
        <v>-0.16129032258064516</v>
      </c>
      <c r="AK36" s="52">
        <f t="shared" si="33"/>
        <v>-0.18451451763971277</v>
      </c>
      <c r="AL36" s="171"/>
      <c r="AM36" s="44">
        <f>AVERAGE(AF36:AJ36)</f>
        <v>-0.13827179658084734</v>
      </c>
    </row>
    <row r="37" spans="1:39" ht="13.5" customHeight="1" x14ac:dyDescent="0.2">
      <c r="A37" s="41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2"/>
      <c r="U37" s="43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34"/>
    </row>
    <row r="38" spans="1:39" ht="15" x14ac:dyDescent="0.2">
      <c r="A38" s="35" t="s">
        <v>86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2"/>
      <c r="U38" s="39" t="s">
        <v>86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34"/>
    </row>
    <row r="39" spans="1:39" ht="15" x14ac:dyDescent="0.2">
      <c r="A39" s="49" t="s">
        <v>109</v>
      </c>
      <c r="B39" s="36">
        <v>40000</v>
      </c>
      <c r="C39" s="37"/>
      <c r="D39" s="37">
        <v>40000</v>
      </c>
      <c r="E39" s="37"/>
      <c r="F39" s="37"/>
      <c r="G39" s="37"/>
      <c r="H39" s="37"/>
      <c r="I39" s="37"/>
      <c r="J39" s="37"/>
      <c r="K39" s="37">
        <v>30000</v>
      </c>
      <c r="L39" s="37"/>
      <c r="M39" s="37"/>
      <c r="N39" s="37">
        <v>20000</v>
      </c>
      <c r="O39" s="37"/>
      <c r="P39" s="37"/>
      <c r="Q39" s="37"/>
      <c r="R39" s="37"/>
      <c r="S39" s="37"/>
      <c r="T39" s="42"/>
      <c r="U39" s="39" t="str">
        <f t="shared" ref="U39:U45" si="34">A39</f>
        <v xml:space="preserve">     Issuance of Common Stock</v>
      </c>
      <c r="V39" s="44">
        <f t="shared" ref="V39:Z41" si="35">B39/V$10</f>
        <v>8.8901335075799504E-2</v>
      </c>
      <c r="W39" s="44">
        <f t="shared" si="35"/>
        <v>0</v>
      </c>
      <c r="X39" s="44">
        <f t="shared" si="35"/>
        <v>5.6809063317961747E-2</v>
      </c>
      <c r="Y39" s="44">
        <f t="shared" si="35"/>
        <v>0</v>
      </c>
      <c r="Z39" s="44">
        <f t="shared" si="35"/>
        <v>0</v>
      </c>
      <c r="AA39" s="44"/>
      <c r="AB39" s="44"/>
      <c r="AC39" s="44"/>
      <c r="AD39" s="44"/>
      <c r="AE39" s="44">
        <f>K39/AE$10</f>
        <v>2.9991002699190243E-2</v>
      </c>
      <c r="AF39" s="44"/>
      <c r="AG39" s="44"/>
      <c r="AH39" s="44">
        <f>N39/AH$10</f>
        <v>2.0644095788604461E-2</v>
      </c>
      <c r="AI39" s="44"/>
      <c r="AJ39" s="44"/>
      <c r="AK39" s="44"/>
      <c r="AL39" s="44"/>
      <c r="AM39" s="44">
        <f t="shared" ref="AM39:AM44" si="36">AVERAGE(AF39:AJ39)</f>
        <v>2.0644095788604461E-2</v>
      </c>
    </row>
    <row r="40" spans="1:39" ht="15" x14ac:dyDescent="0.2">
      <c r="A40" s="49" t="s">
        <v>105</v>
      </c>
      <c r="B40" s="36"/>
      <c r="C40" s="37"/>
      <c r="D40" s="37">
        <v>60000</v>
      </c>
      <c r="E40" s="37"/>
      <c r="F40" s="37">
        <v>110000</v>
      </c>
      <c r="G40" s="37"/>
      <c r="H40" s="37">
        <v>50000</v>
      </c>
      <c r="I40" s="37"/>
      <c r="J40" s="37"/>
      <c r="K40" s="37">
        <v>148400</v>
      </c>
      <c r="L40" s="37"/>
      <c r="M40" s="37"/>
      <c r="N40" s="37"/>
      <c r="O40" s="37">
        <v>148800</v>
      </c>
      <c r="P40" s="37">
        <v>149000</v>
      </c>
      <c r="Q40" s="37"/>
      <c r="R40" s="37"/>
      <c r="S40" s="37"/>
      <c r="T40" s="42"/>
      <c r="U40" s="43" t="str">
        <f t="shared" si="34"/>
        <v xml:space="preserve">     Proceeds from long-term debt</v>
      </c>
      <c r="V40" s="44">
        <f t="shared" si="35"/>
        <v>0</v>
      </c>
      <c r="W40" s="44">
        <f t="shared" si="35"/>
        <v>0</v>
      </c>
      <c r="X40" s="44">
        <f t="shared" si="35"/>
        <v>8.5213594976942628E-2</v>
      </c>
      <c r="Y40" s="44">
        <f t="shared" si="35"/>
        <v>0</v>
      </c>
      <c r="Z40" s="44">
        <f t="shared" si="35"/>
        <v>0.17713508160291144</v>
      </c>
      <c r="AA40" s="44"/>
      <c r="AB40" s="44">
        <f>H40/AB$10</f>
        <v>5.1945515387820024E-2</v>
      </c>
      <c r="AC40" s="44"/>
      <c r="AD40" s="44"/>
      <c r="AE40" s="44">
        <f>K40/AE$10</f>
        <v>0.14835549335199441</v>
      </c>
      <c r="AF40" s="44"/>
      <c r="AG40" s="44"/>
      <c r="AH40" s="44"/>
      <c r="AI40" s="44"/>
      <c r="AJ40" s="44"/>
      <c r="AK40" s="44"/>
      <c r="AL40" s="44"/>
      <c r="AM40" s="44"/>
    </row>
    <row r="41" spans="1:39" ht="15" x14ac:dyDescent="0.2">
      <c r="A41" s="49" t="s">
        <v>106</v>
      </c>
      <c r="B41" s="36"/>
      <c r="C41" s="37"/>
      <c r="D41" s="37"/>
      <c r="E41" s="37"/>
      <c r="F41" s="37">
        <v>-105000</v>
      </c>
      <c r="G41" s="37">
        <v>-17000</v>
      </c>
      <c r="H41" s="37"/>
      <c r="I41" s="37"/>
      <c r="J41" s="37">
        <v>-10000</v>
      </c>
      <c r="K41" s="37">
        <v>-93000</v>
      </c>
      <c r="L41" s="37"/>
      <c r="M41" s="37"/>
      <c r="N41" s="37">
        <v>-2000</v>
      </c>
      <c r="O41" s="37">
        <v>-91500</v>
      </c>
      <c r="P41" s="37">
        <v>-42000</v>
      </c>
      <c r="Q41" s="37"/>
      <c r="R41" s="37"/>
      <c r="S41" s="37"/>
      <c r="T41" s="42"/>
      <c r="U41" s="43" t="str">
        <f t="shared" si="34"/>
        <v xml:space="preserve">     Long-term debt repaid</v>
      </c>
      <c r="V41" s="44">
        <f t="shared" si="35"/>
        <v>0</v>
      </c>
      <c r="W41" s="44">
        <f t="shared" si="35"/>
        <v>0</v>
      </c>
      <c r="X41" s="44">
        <f t="shared" si="35"/>
        <v>0</v>
      </c>
      <c r="Y41" s="44">
        <f t="shared" si="35"/>
        <v>0</v>
      </c>
      <c r="Z41" s="44">
        <f t="shared" si="35"/>
        <v>-0.1690834869845973</v>
      </c>
      <c r="AA41" s="44">
        <f>G41/AA$10</f>
        <v>-2.224568924342411E-2</v>
      </c>
      <c r="AB41" s="44"/>
      <c r="AC41" s="44"/>
      <c r="AD41" s="44">
        <f>J41/AD$10</f>
        <v>-1.0723860589812333E-2</v>
      </c>
      <c r="AE41" s="44">
        <f>K41/AE$10</f>
        <v>-9.2972108367489759E-2</v>
      </c>
      <c r="AF41" s="44"/>
      <c r="AG41" s="44"/>
      <c r="AH41" s="44">
        <f>N41/AH$10</f>
        <v>-2.0644095788604458E-3</v>
      </c>
      <c r="AI41" s="44">
        <f>O41/AI$10</f>
        <v>-0.10612386917188588</v>
      </c>
      <c r="AJ41" s="44">
        <f>P41/AJ$10</f>
        <v>-4.26049908703591E-2</v>
      </c>
      <c r="AK41" s="44">
        <f>Q41/AK$10</f>
        <v>0</v>
      </c>
      <c r="AL41" s="44"/>
      <c r="AM41" s="44">
        <f t="shared" si="36"/>
        <v>-5.0264423207035142E-2</v>
      </c>
    </row>
    <row r="42" spans="1:39" ht="15" x14ac:dyDescent="0.2">
      <c r="A42" s="167" t="s">
        <v>210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2"/>
      <c r="U42" s="41" t="str">
        <f>+A42</f>
        <v xml:space="preserve">     Change in note receivable from Questar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f>Q42/AK$10</f>
        <v>0</v>
      </c>
      <c r="AL42" s="44"/>
      <c r="AM42" s="44"/>
    </row>
    <row r="43" spans="1:39" ht="15" x14ac:dyDescent="0.2">
      <c r="A43" s="49" t="s">
        <v>107</v>
      </c>
      <c r="B43" s="36">
        <v>-17400</v>
      </c>
      <c r="C43" s="37">
        <v>26300</v>
      </c>
      <c r="D43" s="37">
        <v>-39000</v>
      </c>
      <c r="E43" s="37">
        <v>-30200</v>
      </c>
      <c r="F43" s="37">
        <v>15500</v>
      </c>
      <c r="G43" s="37">
        <v>43300</v>
      </c>
      <c r="H43" s="37">
        <v>-17800</v>
      </c>
      <c r="I43" s="37">
        <v>-64200</v>
      </c>
      <c r="J43" s="37">
        <v>59700</v>
      </c>
      <c r="K43" s="37">
        <v>15400</v>
      </c>
      <c r="L43" s="37">
        <v>-1300</v>
      </c>
      <c r="M43" s="37">
        <v>66600</v>
      </c>
      <c r="N43" s="37">
        <v>-10900</v>
      </c>
      <c r="O43" s="37">
        <v>23400</v>
      </c>
      <c r="P43" s="37">
        <v>-58400</v>
      </c>
      <c r="Q43" s="37">
        <v>101600</v>
      </c>
      <c r="R43" s="37">
        <v>154000</v>
      </c>
      <c r="S43" s="37"/>
      <c r="T43" s="42">
        <f t="shared" ref="T43:T44" si="37">RATE(5,,-M43,R43)</f>
        <v>0.182522188152755</v>
      </c>
      <c r="U43" s="43" t="str">
        <f t="shared" si="34"/>
        <v xml:space="preserve">     Change in note payable to Questar</v>
      </c>
      <c r="V43" s="44">
        <f t="shared" ref="V43:AJ44" si="38">B43/V$10</f>
        <v>-3.8672080757972786E-2</v>
      </c>
      <c r="W43" s="44">
        <f t="shared" si="38"/>
        <v>4.899750727510517E-2</v>
      </c>
      <c r="X43" s="44">
        <f t="shared" si="38"/>
        <v>-5.5388836735012707E-2</v>
      </c>
      <c r="Y43" s="44">
        <f t="shared" si="38"/>
        <v>-5.0712749218738196E-2</v>
      </c>
      <c r="Z43" s="44">
        <f t="shared" si="38"/>
        <v>2.4959943316773887E-2</v>
      </c>
      <c r="AA43" s="44">
        <f t="shared" si="38"/>
        <v>5.6661079072956699E-2</v>
      </c>
      <c r="AB43" s="44">
        <f t="shared" si="38"/>
        <v>-1.8492603478063929E-2</v>
      </c>
      <c r="AC43" s="44">
        <f t="shared" si="38"/>
        <v>-6.0304339658087541E-2</v>
      </c>
      <c r="AD43" s="44">
        <f t="shared" si="38"/>
        <v>6.4021447721179625E-2</v>
      </c>
      <c r="AE43" s="44">
        <f t="shared" si="38"/>
        <v>1.5395381385584325E-2</v>
      </c>
      <c r="AF43" s="44">
        <f t="shared" si="38"/>
        <v>-1.4131970866398521E-3</v>
      </c>
      <c r="AG43" s="44">
        <f t="shared" si="38"/>
        <v>7.3762321408793879E-2</v>
      </c>
      <c r="AH43" s="44">
        <f t="shared" si="38"/>
        <v>-1.125103220478943E-2</v>
      </c>
      <c r="AI43" s="44">
        <f t="shared" si="38"/>
        <v>2.7139874739039668E-2</v>
      </c>
      <c r="AJ43" s="44">
        <f t="shared" si="38"/>
        <v>-5.9241225400689795E-2</v>
      </c>
      <c r="AK43" s="44">
        <f>Q43/AK$10</f>
        <v>0.10573420751378916</v>
      </c>
      <c r="AL43" s="44"/>
      <c r="AM43" s="44">
        <f t="shared" si="36"/>
        <v>5.7993482911428947E-3</v>
      </c>
    </row>
    <row r="44" spans="1:39" ht="12.75" customHeight="1" x14ac:dyDescent="0.2">
      <c r="A44" s="41" t="s">
        <v>87</v>
      </c>
      <c r="B44" s="46">
        <v>-23000</v>
      </c>
      <c r="C44" s="37">
        <v>-23500</v>
      </c>
      <c r="D44" s="37">
        <v>-24000</v>
      </c>
      <c r="E44" s="37">
        <v>-24500</v>
      </c>
      <c r="F44" s="37">
        <v>-25000</v>
      </c>
      <c r="G44" s="37">
        <v>-25500</v>
      </c>
      <c r="H44" s="37">
        <v>-26000</v>
      </c>
      <c r="I44" s="37">
        <v>-26500</v>
      </c>
      <c r="J44" s="37">
        <v>-27000</v>
      </c>
      <c r="K44" s="37">
        <v>-27500</v>
      </c>
      <c r="L44" s="37">
        <v>-28200</v>
      </c>
      <c r="M44" s="37">
        <v>-28800</v>
      </c>
      <c r="N44" s="37">
        <v>-30300</v>
      </c>
      <c r="O44" s="37">
        <v>-33000</v>
      </c>
      <c r="P44" s="37">
        <v>-35500</v>
      </c>
      <c r="Q44" s="37">
        <v>-27000</v>
      </c>
      <c r="R44" s="37">
        <v>-47000</v>
      </c>
      <c r="S44" s="37"/>
      <c r="T44" s="42">
        <f t="shared" si="37"/>
        <v>0.10291253848219908</v>
      </c>
      <c r="U44" s="43" t="str">
        <f t="shared" si="34"/>
        <v xml:space="preserve">     Dividends paid</v>
      </c>
      <c r="V44" s="44">
        <f t="shared" si="38"/>
        <v>-5.111826766858471E-2</v>
      </c>
      <c r="W44" s="44">
        <f t="shared" si="38"/>
        <v>-4.3781042622242257E-2</v>
      </c>
      <c r="X44" s="44">
        <f t="shared" si="38"/>
        <v>-3.4085437990777047E-2</v>
      </c>
      <c r="Y44" s="44">
        <f t="shared" si="38"/>
        <v>-4.1141137611228007E-2</v>
      </c>
      <c r="Z44" s="44">
        <f t="shared" si="38"/>
        <v>-4.0257973091570788E-2</v>
      </c>
      <c r="AA44" s="44">
        <f t="shared" si="38"/>
        <v>-3.3368533865136163E-2</v>
      </c>
      <c r="AB44" s="44">
        <f t="shared" si="38"/>
        <v>-2.7011668001666413E-2</v>
      </c>
      <c r="AC44" s="44">
        <f t="shared" si="38"/>
        <v>-2.4891978207777568E-2</v>
      </c>
      <c r="AD44" s="44">
        <f t="shared" si="38"/>
        <v>-2.8954423592493297E-2</v>
      </c>
      <c r="AE44" s="44">
        <f t="shared" si="38"/>
        <v>-2.7491752474257721E-2</v>
      </c>
      <c r="AF44" s="44">
        <f t="shared" si="38"/>
        <v>-3.0655506033264484E-2</v>
      </c>
      <c r="AG44" s="44">
        <f t="shared" si="38"/>
        <v>-3.1897220068667624E-2</v>
      </c>
      <c r="AH44" s="44">
        <f t="shared" si="38"/>
        <v>-3.1275805119735753E-2</v>
      </c>
      <c r="AI44" s="44">
        <f t="shared" si="38"/>
        <v>-3.8274182324286705E-2</v>
      </c>
      <c r="AJ44" s="44">
        <f t="shared" si="38"/>
        <v>-3.6011361330898765E-2</v>
      </c>
      <c r="AK44" s="44">
        <f>Q44/AK$10</f>
        <v>-2.80986575085857E-2</v>
      </c>
      <c r="AL44" s="44"/>
      <c r="AM44" s="44">
        <f t="shared" si="36"/>
        <v>-3.3622814975370667E-2</v>
      </c>
    </row>
    <row r="45" spans="1:39" ht="12.75" customHeight="1" x14ac:dyDescent="0.2">
      <c r="A45" s="41" t="s">
        <v>84</v>
      </c>
      <c r="B45" s="36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2"/>
      <c r="U45" s="43" t="str">
        <f t="shared" si="34"/>
        <v xml:space="preserve">     Other</v>
      </c>
      <c r="V45" s="44">
        <f>B45/V$10</f>
        <v>0</v>
      </c>
      <c r="W45" s="44">
        <f>C45/W$10</f>
        <v>0</v>
      </c>
      <c r="X45" s="44">
        <f>D45/X$10</f>
        <v>0</v>
      </c>
      <c r="Y45" s="44">
        <f>E45/Y$10</f>
        <v>0</v>
      </c>
      <c r="Z45" s="44">
        <f>F45/Z$10</f>
        <v>0</v>
      </c>
      <c r="AA45" s="44"/>
      <c r="AB45" s="44"/>
      <c r="AC45" s="44"/>
      <c r="AD45" s="44"/>
      <c r="AE45" s="44"/>
      <c r="AF45" s="44"/>
      <c r="AG45" s="44"/>
      <c r="AH45" s="44"/>
      <c r="AI45" s="44">
        <f>O45/AI$10</f>
        <v>0</v>
      </c>
      <c r="AJ45" s="44">
        <f>P45/AJ$10</f>
        <v>0</v>
      </c>
      <c r="AK45" s="44">
        <f>Q45/AK$10</f>
        <v>0</v>
      </c>
      <c r="AL45" s="44"/>
      <c r="AM45" s="34"/>
    </row>
    <row r="46" spans="1:39" ht="12.75" customHeight="1" x14ac:dyDescent="0.2">
      <c r="A46" s="41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50"/>
      <c r="U46" s="4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121"/>
    </row>
    <row r="47" spans="1:39" ht="12.75" customHeight="1" x14ac:dyDescent="0.2">
      <c r="A47" s="41" t="s">
        <v>88</v>
      </c>
      <c r="B47" s="53">
        <f t="shared" ref="B47:J47" si="39">SUM(B38:B46)</f>
        <v>-400</v>
      </c>
      <c r="C47" s="53">
        <f t="shared" si="39"/>
        <v>2800</v>
      </c>
      <c r="D47" s="53">
        <f t="shared" si="39"/>
        <v>37000</v>
      </c>
      <c r="E47" s="53">
        <f t="shared" si="39"/>
        <v>-54700</v>
      </c>
      <c r="F47" s="53">
        <f t="shared" si="39"/>
        <v>-4500</v>
      </c>
      <c r="G47" s="53">
        <f t="shared" si="39"/>
        <v>800</v>
      </c>
      <c r="H47" s="53">
        <f t="shared" si="39"/>
        <v>6200</v>
      </c>
      <c r="I47" s="53">
        <f t="shared" si="39"/>
        <v>-90700</v>
      </c>
      <c r="J47" s="53">
        <f t="shared" si="39"/>
        <v>22700</v>
      </c>
      <c r="K47" s="53">
        <f t="shared" ref="K47:M47" si="40">SUM(K38:K46)</f>
        <v>73300</v>
      </c>
      <c r="L47" s="53">
        <f t="shared" si="40"/>
        <v>-29500</v>
      </c>
      <c r="M47" s="53">
        <f t="shared" si="40"/>
        <v>37800</v>
      </c>
      <c r="N47" s="53">
        <f t="shared" ref="N47" si="41">SUM(N38:N46)</f>
        <v>-23200</v>
      </c>
      <c r="O47" s="53">
        <f t="shared" ref="O47:P47" si="42">SUM(O38:O46)</f>
        <v>47700</v>
      </c>
      <c r="P47" s="53">
        <f t="shared" si="42"/>
        <v>13100</v>
      </c>
      <c r="Q47" s="53">
        <f t="shared" ref="Q47:S47" si="43">SUM(Q38:Q46)</f>
        <v>74600</v>
      </c>
      <c r="R47" s="53">
        <f t="shared" ref="R47" si="44">SUM(R38:R46)</f>
        <v>107000</v>
      </c>
      <c r="S47" s="53">
        <f t="shared" si="43"/>
        <v>0</v>
      </c>
      <c r="T47" s="42">
        <f t="shared" ref="T47" si="45">RATE(5,,-M47,R47)</f>
        <v>0.23134115633689756</v>
      </c>
      <c r="U47" s="43" t="s">
        <v>88</v>
      </c>
      <c r="V47" s="52">
        <f t="shared" ref="V47:AK47" si="46">B47/V$10</f>
        <v>-8.8901335075799504E-4</v>
      </c>
      <c r="W47" s="52">
        <f t="shared" si="46"/>
        <v>5.2164646528629075E-3</v>
      </c>
      <c r="X47" s="52">
        <f t="shared" si="46"/>
        <v>5.2548383569114614E-2</v>
      </c>
      <c r="Y47" s="52">
        <f t="shared" si="46"/>
        <v>-9.1853886829966203E-2</v>
      </c>
      <c r="Z47" s="52">
        <f t="shared" si="46"/>
        <v>-7.2464351564827416E-3</v>
      </c>
      <c r="AA47" s="52">
        <f t="shared" si="46"/>
        <v>1.0468559643964286E-3</v>
      </c>
      <c r="AB47" s="52">
        <f t="shared" si="46"/>
        <v>6.4412439080896826E-3</v>
      </c>
      <c r="AC47" s="52">
        <f t="shared" si="46"/>
        <v>-8.5196317865865109E-2</v>
      </c>
      <c r="AD47" s="52">
        <f t="shared" si="46"/>
        <v>2.4343163538873995E-2</v>
      </c>
      <c r="AE47" s="52">
        <f t="shared" si="46"/>
        <v>7.3278016595021492E-2</v>
      </c>
      <c r="AF47" s="52">
        <f t="shared" si="46"/>
        <v>-3.206870311990434E-2</v>
      </c>
      <c r="AG47" s="52">
        <f t="shared" si="46"/>
        <v>4.1865101340126262E-2</v>
      </c>
      <c r="AH47" s="52">
        <f t="shared" si="46"/>
        <v>-2.3947151114781174E-2</v>
      </c>
      <c r="AI47" s="52">
        <f t="shared" si="46"/>
        <v>5.5323590814196244E-2</v>
      </c>
      <c r="AJ47" s="52">
        <f t="shared" si="46"/>
        <v>1.328869953337391E-2</v>
      </c>
      <c r="AK47" s="52">
        <f t="shared" si="46"/>
        <v>7.763555000520346E-2</v>
      </c>
      <c r="AL47" s="171"/>
      <c r="AM47" s="44">
        <f>AVERAGE(AF47:AJ47)</f>
        <v>1.0892307490602181E-2</v>
      </c>
    </row>
    <row r="48" spans="1:39" ht="12.75" customHeight="1" x14ac:dyDescent="0.2">
      <c r="A48" s="41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50"/>
      <c r="U48" s="4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121"/>
    </row>
    <row r="49" spans="1:39" ht="12.75" customHeight="1" x14ac:dyDescent="0.2">
      <c r="A49" s="41" t="s">
        <v>89</v>
      </c>
      <c r="B49" s="54">
        <f t="shared" ref="B49:J49" si="47">B28+B36+B47</f>
        <v>-3535</v>
      </c>
      <c r="C49" s="54">
        <f t="shared" si="47"/>
        <v>-826</v>
      </c>
      <c r="D49" s="54">
        <f t="shared" si="47"/>
        <v>3484</v>
      </c>
      <c r="E49" s="54">
        <f t="shared" si="47"/>
        <v>-1373</v>
      </c>
      <c r="F49" s="54">
        <f t="shared" si="47"/>
        <v>901</v>
      </c>
      <c r="G49" s="54">
        <f t="shared" si="47"/>
        <v>-1839</v>
      </c>
      <c r="H49" s="54">
        <f t="shared" si="47"/>
        <v>1075</v>
      </c>
      <c r="I49" s="54">
        <f t="shared" si="47"/>
        <v>400</v>
      </c>
      <c r="J49" s="54">
        <f t="shared" si="47"/>
        <v>500</v>
      </c>
      <c r="K49" s="54">
        <f>K28+K36+K47</f>
        <v>-2900</v>
      </c>
      <c r="L49" s="54">
        <f>L28+L36+L47</f>
        <v>6000</v>
      </c>
      <c r="M49" s="54">
        <f t="shared" ref="M49:O49" si="48">M28+M36+M47</f>
        <v>-2500</v>
      </c>
      <c r="N49" s="54">
        <f t="shared" ref="N49" si="49">N28+N36+N47</f>
        <v>300</v>
      </c>
      <c r="O49" s="54">
        <f t="shared" si="48"/>
        <v>-3600</v>
      </c>
      <c r="P49" s="54">
        <f t="shared" ref="P49:Q49" si="50">P28+P36+P47</f>
        <v>7400</v>
      </c>
      <c r="Q49" s="54">
        <f t="shared" si="50"/>
        <v>11000</v>
      </c>
      <c r="R49" s="54">
        <f t="shared" ref="R49" si="51">R28+R36+R47</f>
        <v>-9300</v>
      </c>
      <c r="S49" s="54">
        <f t="shared" ref="S49" si="52">S28+S36+S47</f>
        <v>0</v>
      </c>
      <c r="T49" s="42">
        <f t="shared" ref="T49" si="53">RATE(5,,-M49,R49)</f>
        <v>0.30049470405023315</v>
      </c>
      <c r="U49" s="43" t="s">
        <v>89</v>
      </c>
      <c r="V49" s="52">
        <f t="shared" ref="V49:AK49" si="54">B49/V$10</f>
        <v>-7.8566554873237809E-3</v>
      </c>
      <c r="W49" s="52">
        <f t="shared" si="54"/>
        <v>-1.5388570725945578E-3</v>
      </c>
      <c r="X49" s="52">
        <f t="shared" si="54"/>
        <v>4.9480694149944679E-3</v>
      </c>
      <c r="Y49" s="52">
        <f t="shared" si="54"/>
        <v>-2.3055829363353491E-3</v>
      </c>
      <c r="Z49" s="52">
        <f t="shared" si="54"/>
        <v>1.4508973502202112E-3</v>
      </c>
      <c r="AA49" s="52">
        <f t="shared" si="54"/>
        <v>-2.4064601481562902E-3</v>
      </c>
      <c r="AB49" s="52">
        <f t="shared" si="54"/>
        <v>1.1168285808381305E-3</v>
      </c>
      <c r="AC49" s="52">
        <f t="shared" si="54"/>
        <v>3.7572797294758596E-4</v>
      </c>
      <c r="AD49" s="52">
        <f t="shared" si="54"/>
        <v>5.3619302949061668E-4</v>
      </c>
      <c r="AE49" s="52">
        <f t="shared" si="54"/>
        <v>-2.8991302609217237E-3</v>
      </c>
      <c r="AF49" s="52">
        <f t="shared" si="54"/>
        <v>6.5224480921839334E-3</v>
      </c>
      <c r="AG49" s="52">
        <f t="shared" si="54"/>
        <v>-2.7688559087385091E-3</v>
      </c>
      <c r="AH49" s="52">
        <f t="shared" si="54"/>
        <v>3.0966143682906687E-4</v>
      </c>
      <c r="AI49" s="52">
        <f t="shared" si="54"/>
        <v>-4.1753653444676405E-3</v>
      </c>
      <c r="AJ49" s="52">
        <f t="shared" si="54"/>
        <v>7.5065936295394603E-3</v>
      </c>
      <c r="AK49" s="52">
        <f t="shared" si="54"/>
        <v>1.1447601207201582E-2</v>
      </c>
      <c r="AL49" s="171"/>
      <c r="AM49" s="44">
        <f>AVERAGE(AF49:AJ49)</f>
        <v>1.478896381069262E-3</v>
      </c>
    </row>
    <row r="50" spans="1:39" ht="12" customHeight="1" x14ac:dyDescent="0.2">
      <c r="A50" s="41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50"/>
      <c r="U50" s="43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121"/>
    </row>
    <row r="51" spans="1:39" ht="12.75" customHeight="1" x14ac:dyDescent="0.2">
      <c r="A51" s="41" t="s">
        <v>90</v>
      </c>
      <c r="B51" s="51">
        <v>3326</v>
      </c>
      <c r="C51" s="54">
        <v>1708</v>
      </c>
      <c r="D51" s="54">
        <f t="shared" ref="D51:J51" si="55">C53</f>
        <v>882</v>
      </c>
      <c r="E51" s="54">
        <f t="shared" si="55"/>
        <v>4366</v>
      </c>
      <c r="F51" s="54">
        <f t="shared" si="55"/>
        <v>2993</v>
      </c>
      <c r="G51" s="54">
        <f t="shared" si="55"/>
        <v>3894</v>
      </c>
      <c r="H51" s="54">
        <f t="shared" si="55"/>
        <v>2131</v>
      </c>
      <c r="I51" s="54">
        <f t="shared" si="55"/>
        <v>3206</v>
      </c>
      <c r="J51" s="54">
        <f t="shared" si="55"/>
        <v>3606</v>
      </c>
      <c r="K51" s="54">
        <f t="shared" ref="K51:L51" si="56">J53</f>
        <v>4106</v>
      </c>
      <c r="L51" s="54">
        <f t="shared" si="56"/>
        <v>1206</v>
      </c>
      <c r="M51" s="54">
        <f t="shared" ref="M51:Q51" si="57">L53</f>
        <v>7206</v>
      </c>
      <c r="N51" s="54">
        <f t="shared" si="57"/>
        <v>4700</v>
      </c>
      <c r="O51" s="54">
        <f t="shared" si="57"/>
        <v>5000</v>
      </c>
      <c r="P51" s="54">
        <f t="shared" si="57"/>
        <v>1400</v>
      </c>
      <c r="Q51" s="54">
        <f t="shared" si="57"/>
        <v>8800</v>
      </c>
      <c r="R51" s="54">
        <f t="shared" ref="R51" si="58">Q53</f>
        <v>19800</v>
      </c>
      <c r="S51" s="54">
        <f t="shared" ref="S51" si="59">R53</f>
        <v>10500</v>
      </c>
      <c r="T51" s="42">
        <f t="shared" ref="T51" si="60">RATE(5,,-M51,R51)</f>
        <v>0.22403598733438859</v>
      </c>
      <c r="U51" s="43" t="s">
        <v>90</v>
      </c>
      <c r="V51" s="52">
        <f t="shared" ref="V51:AK51" si="61">B51/V$10</f>
        <v>7.3921460115527289E-3</v>
      </c>
      <c r="W51" s="52">
        <f t="shared" si="61"/>
        <v>3.1820434382463735E-3</v>
      </c>
      <c r="X51" s="52">
        <f t="shared" si="61"/>
        <v>1.2526398461610566E-3</v>
      </c>
      <c r="Y51" s="52">
        <f t="shared" si="61"/>
        <v>7.3315186453314883E-3</v>
      </c>
      <c r="Z51" s="52">
        <f t="shared" si="61"/>
        <v>4.8196845385228542E-3</v>
      </c>
      <c r="AA51" s="52">
        <f t="shared" si="61"/>
        <v>5.0955714066996168E-3</v>
      </c>
      <c r="AB51" s="52">
        <f t="shared" si="61"/>
        <v>2.2139178658288892E-3</v>
      </c>
      <c r="AC51" s="52">
        <f t="shared" si="61"/>
        <v>3.0114597031749013E-3</v>
      </c>
      <c r="AD51" s="52">
        <f t="shared" si="61"/>
        <v>3.8670241286863269E-3</v>
      </c>
      <c r="AE51" s="52">
        <f t="shared" si="61"/>
        <v>4.1047685694291713E-3</v>
      </c>
      <c r="AF51" s="52">
        <f t="shared" si="61"/>
        <v>1.3110120665289706E-3</v>
      </c>
      <c r="AG51" s="52">
        <f t="shared" si="61"/>
        <v>7.9809502713478787E-3</v>
      </c>
      <c r="AH51" s="52">
        <f t="shared" si="61"/>
        <v>4.8513625103220482E-3</v>
      </c>
      <c r="AI51" s="52">
        <f t="shared" si="61"/>
        <v>5.7991185339828343E-3</v>
      </c>
      <c r="AJ51" s="52">
        <f t="shared" si="61"/>
        <v>1.4201663623453033E-3</v>
      </c>
      <c r="AK51" s="52">
        <f t="shared" si="61"/>
        <v>9.1580809657612651E-3</v>
      </c>
      <c r="AL51" s="171"/>
      <c r="AM51" s="44">
        <f>AVERAGE(AF51:AJ51)</f>
        <v>4.272521948905407E-3</v>
      </c>
    </row>
    <row r="52" spans="1:39" ht="12" customHeight="1" x14ac:dyDescent="0.2">
      <c r="A52" s="4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50"/>
      <c r="U52" s="43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121"/>
    </row>
    <row r="53" spans="1:39" ht="12.75" customHeight="1" thickBot="1" x14ac:dyDescent="0.25">
      <c r="A53" s="41" t="s">
        <v>91</v>
      </c>
      <c r="B53" s="55">
        <f>B49+B51</f>
        <v>-209</v>
      </c>
      <c r="C53" s="54">
        <v>882</v>
      </c>
      <c r="D53" s="54">
        <v>4366</v>
      </c>
      <c r="E53" s="54">
        <v>2993</v>
      </c>
      <c r="F53" s="54">
        <v>3894</v>
      </c>
      <c r="G53" s="54">
        <v>2131</v>
      </c>
      <c r="H53" s="54">
        <f>H49+H51</f>
        <v>3206</v>
      </c>
      <c r="I53" s="54">
        <f>I49+I51</f>
        <v>3606</v>
      </c>
      <c r="J53" s="54">
        <f>J49+J51</f>
        <v>4106</v>
      </c>
      <c r="K53" s="54">
        <f t="shared" ref="K53:L53" si="62">K49+K51</f>
        <v>1206</v>
      </c>
      <c r="L53" s="54">
        <f t="shared" si="62"/>
        <v>7206</v>
      </c>
      <c r="M53" s="54">
        <f>M49+M51-6</f>
        <v>4700</v>
      </c>
      <c r="N53" s="54">
        <f>N49+N51</f>
        <v>5000</v>
      </c>
      <c r="O53" s="54">
        <f t="shared" ref="O53:P53" si="63">O49+O51</f>
        <v>1400</v>
      </c>
      <c r="P53" s="54">
        <f t="shared" si="63"/>
        <v>8800</v>
      </c>
      <c r="Q53" s="54">
        <f t="shared" ref="Q53" si="64">Q49+Q51</f>
        <v>19800</v>
      </c>
      <c r="R53" s="54">
        <f t="shared" ref="R53:S53" si="65">R49+R51</f>
        <v>10500</v>
      </c>
      <c r="S53" s="54">
        <f t="shared" si="65"/>
        <v>10500</v>
      </c>
      <c r="T53" s="42">
        <f t="shared" ref="T53" si="66">RATE(5,,-M53,R53)</f>
        <v>0.17440607261658353</v>
      </c>
      <c r="U53" s="43" t="s">
        <v>91</v>
      </c>
      <c r="V53" s="52">
        <f t="shared" ref="V53:AK53" si="67">B53/V$10</f>
        <v>-4.6450947577105238E-4</v>
      </c>
      <c r="W53" s="52">
        <f t="shared" si="67"/>
        <v>1.6431863656518159E-3</v>
      </c>
      <c r="X53" s="52">
        <f t="shared" si="67"/>
        <v>6.2007092611555247E-3</v>
      </c>
      <c r="Y53" s="52">
        <f t="shared" si="67"/>
        <v>5.0259357089961392E-3</v>
      </c>
      <c r="Z53" s="52">
        <f t="shared" si="67"/>
        <v>6.2705818887430652E-3</v>
      </c>
      <c r="AA53" s="52">
        <f t="shared" si="67"/>
        <v>2.7885625751609866E-3</v>
      </c>
      <c r="AB53" s="52">
        <f t="shared" si="67"/>
        <v>3.3307464466670201E-3</v>
      </c>
      <c r="AC53" s="52">
        <f t="shared" si="67"/>
        <v>3.3871876761224873E-3</v>
      </c>
      <c r="AD53" s="52">
        <f t="shared" si="67"/>
        <v>4.4032171581769438E-3</v>
      </c>
      <c r="AE53" s="52">
        <f t="shared" si="67"/>
        <v>1.2056383085074479E-3</v>
      </c>
      <c r="AF53" s="52">
        <f t="shared" si="67"/>
        <v>7.8334601587129044E-3</v>
      </c>
      <c r="AG53" s="52">
        <f t="shared" si="67"/>
        <v>5.2054491084283974E-3</v>
      </c>
      <c r="AH53" s="52">
        <f t="shared" si="67"/>
        <v>5.1610239471511152E-3</v>
      </c>
      <c r="AI53" s="52">
        <f t="shared" si="67"/>
        <v>1.6237531895151936E-3</v>
      </c>
      <c r="AJ53" s="52">
        <f t="shared" si="67"/>
        <v>8.9267599918847629E-3</v>
      </c>
      <c r="AK53" s="52">
        <f t="shared" si="67"/>
        <v>2.0605682172962846E-2</v>
      </c>
      <c r="AL53" s="171"/>
      <c r="AM53" s="44">
        <f>AVERAGE(AF53:AJ53)</f>
        <v>5.7500892791384744E-3</v>
      </c>
    </row>
    <row r="54" spans="1:39" ht="12.75" customHeight="1" thickTop="1" x14ac:dyDescent="0.2">
      <c r="A54" s="56"/>
      <c r="B54" s="57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9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1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Historical - Exhibit 1</vt:lpstr>
      <vt:lpstr>Historical CF - Exhibit 1B</vt:lpstr>
      <vt:lpstr>OSF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2016-02-19T22:34:37Z</cp:lastPrinted>
  <dcterms:created xsi:type="dcterms:W3CDTF">2005-09-19T14:11:29Z</dcterms:created>
  <dcterms:modified xsi:type="dcterms:W3CDTF">2016-03-10T22:46:29Z</dcterms:modified>
</cp:coreProperties>
</file>