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misc\18docs\1899901\"/>
    </mc:Choice>
  </mc:AlternateContent>
  <bookViews>
    <workbookView xWindow="0" yWindow="0" windowWidth="9570" windowHeight="10920" activeTab="2"/>
  </bookViews>
  <sheets>
    <sheet name="Historical" sheetId="5" r:id="rId1"/>
    <sheet name="Historical CF" sheetId="6" r:id="rId2"/>
    <sheet name="Forecast" sheetId="7" r:id="rId3"/>
    <sheet name="Assumptions" sheetId="8" r:id="rId4"/>
  </sheets>
  <definedNames>
    <definedName name="_xlnm.Print_Area" localSheetId="3">Assumptions!$A$1:$O$59</definedName>
    <definedName name="_xlnm.Print_Area" localSheetId="2">Forecast!$A$1:$W$152</definedName>
    <definedName name="_xlnm.Print_Area" localSheetId="0">Historical!$A$1:$AQ$157</definedName>
    <definedName name="_xlnm.Print_Area" localSheetId="1">'Historical CF'!$A$1:$U$121</definedName>
  </definedNames>
  <calcPr calcId="152511"/>
</workbook>
</file>

<file path=xl/calcChain.xml><?xml version="1.0" encoding="utf-8"?>
<calcChain xmlns="http://schemas.openxmlformats.org/spreadsheetml/2006/main">
  <c r="C28" i="8" l="1"/>
  <c r="C18" i="8"/>
  <c r="D21" i="7"/>
  <c r="C21" i="7"/>
  <c r="F79" i="7"/>
  <c r="C79" i="7"/>
  <c r="T22" i="6"/>
  <c r="T136" i="5"/>
  <c r="T135" i="5"/>
  <c r="T132" i="5"/>
  <c r="T131" i="5"/>
  <c r="T130" i="5"/>
  <c r="T120" i="5"/>
  <c r="T119" i="5"/>
  <c r="T24" i="6" l="1"/>
  <c r="T67" i="6"/>
  <c r="T66" i="6"/>
  <c r="T68" i="6"/>
  <c r="T9" i="6"/>
  <c r="T8" i="6"/>
  <c r="T7" i="6"/>
  <c r="T90" i="5"/>
  <c r="T114" i="5"/>
  <c r="T113" i="5"/>
  <c r="T112" i="5"/>
  <c r="AP75" i="5"/>
  <c r="AP74" i="5"/>
  <c r="AP73" i="5"/>
  <c r="T74" i="5"/>
  <c r="T73" i="5"/>
  <c r="AP10" i="5"/>
  <c r="AP9" i="5"/>
  <c r="AP8" i="5"/>
  <c r="T62" i="5"/>
  <c r="T53" i="5"/>
  <c r="T47" i="5"/>
  <c r="T44" i="5"/>
  <c r="T45" i="5"/>
  <c r="T20" i="5"/>
  <c r="T16" i="5"/>
  <c r="T58" i="6" l="1"/>
  <c r="T55" i="6"/>
  <c r="T42" i="6"/>
  <c r="T93" i="5"/>
  <c r="T86" i="5"/>
  <c r="T78" i="5"/>
  <c r="AP89" i="5" s="1"/>
  <c r="T75" i="5"/>
  <c r="T54" i="5"/>
  <c r="T36" i="5"/>
  <c r="T24" i="5"/>
  <c r="T17" i="5"/>
  <c r="AP81" i="5" l="1"/>
  <c r="AP82" i="5"/>
  <c r="AP83" i="5"/>
  <c r="AP86" i="5"/>
  <c r="AP91" i="5"/>
  <c r="AP92" i="5"/>
  <c r="AP93" i="5"/>
  <c r="AP84" i="5"/>
  <c r="AP90" i="5"/>
  <c r="T28" i="5"/>
  <c r="T38" i="5" s="1"/>
  <c r="AP54" i="5" s="1"/>
  <c r="T48" i="5"/>
  <c r="T117" i="5" s="1"/>
  <c r="AP85" i="5"/>
  <c r="AP97" i="5"/>
  <c r="T63" i="5"/>
  <c r="T87" i="5"/>
  <c r="AP77" i="5"/>
  <c r="AP98" i="5"/>
  <c r="T70" i="6"/>
  <c r="T83" i="6" s="1"/>
  <c r="AP78" i="5"/>
  <c r="C61" i="8"/>
  <c r="C93" i="7"/>
  <c r="C83" i="8"/>
  <c r="C66" i="8"/>
  <c r="AP53" i="5" l="1"/>
  <c r="AP16" i="5"/>
  <c r="AP62" i="5"/>
  <c r="AP45" i="5"/>
  <c r="AP20" i="5"/>
  <c r="T118" i="5"/>
  <c r="AP48" i="5"/>
  <c r="T56" i="5"/>
  <c r="T123" i="5" s="1"/>
  <c r="T110" i="6"/>
  <c r="T99" i="6"/>
  <c r="T87" i="6"/>
  <c r="T89" i="6"/>
  <c r="T111" i="6"/>
  <c r="T78" i="6"/>
  <c r="T109" i="6"/>
  <c r="T98" i="6"/>
  <c r="T86" i="6"/>
  <c r="T96" i="6"/>
  <c r="T114" i="6"/>
  <c r="T113" i="6"/>
  <c r="T103" i="6"/>
  <c r="T90" i="6"/>
  <c r="T80" i="6"/>
  <c r="T101" i="6"/>
  <c r="T88" i="6"/>
  <c r="T97" i="6"/>
  <c r="T85" i="6"/>
  <c r="T107" i="6"/>
  <c r="T106" i="6"/>
  <c r="T82" i="6"/>
  <c r="T112" i="6"/>
  <c r="T79" i="6"/>
  <c r="T100" i="6"/>
  <c r="T95" i="5"/>
  <c r="AP87" i="5"/>
  <c r="T116" i="6"/>
  <c r="AP46" i="5"/>
  <c r="AP35" i="5"/>
  <c r="AP23" i="5"/>
  <c r="AP13" i="5"/>
  <c r="AP51" i="5"/>
  <c r="AP31" i="5"/>
  <c r="AP15" i="5"/>
  <c r="AP47" i="5"/>
  <c r="AP14" i="5"/>
  <c r="AP34" i="5"/>
  <c r="AP22" i="5"/>
  <c r="AP52" i="5"/>
  <c r="AP32" i="5"/>
  <c r="AP50" i="5"/>
  <c r="AP38" i="5"/>
  <c r="AP61" i="5"/>
  <c r="AP58" i="5"/>
  <c r="AP44" i="5"/>
  <c r="AP33" i="5"/>
  <c r="AP21" i="5"/>
  <c r="AP43" i="5"/>
  <c r="AP42" i="5"/>
  <c r="AP26" i="5"/>
  <c r="AP36" i="5"/>
  <c r="T119" i="6"/>
  <c r="AP63" i="5"/>
  <c r="T139" i="5"/>
  <c r="T144" i="5"/>
  <c r="T125" i="5"/>
  <c r="T124" i="5"/>
  <c r="AP24" i="5"/>
  <c r="AP17" i="5"/>
  <c r="AP28" i="5"/>
  <c r="T37" i="5"/>
  <c r="AP37" i="5" s="1"/>
  <c r="D79" i="7"/>
  <c r="E79" i="7" s="1"/>
  <c r="G79" i="7" s="1"/>
  <c r="H79" i="7" s="1"/>
  <c r="I79" i="7" s="1"/>
  <c r="J79" i="7" s="1"/>
  <c r="K83" i="8"/>
  <c r="M83" i="8"/>
  <c r="M73" i="8"/>
  <c r="L73" i="8"/>
  <c r="K73" i="8"/>
  <c r="J73" i="8"/>
  <c r="I73" i="8"/>
  <c r="H73" i="8"/>
  <c r="M68" i="8"/>
  <c r="K68" i="8"/>
  <c r="M67" i="8"/>
  <c r="L67" i="8"/>
  <c r="K67" i="8"/>
  <c r="J67" i="8"/>
  <c r="N67" i="8" s="1"/>
  <c r="I67" i="8"/>
  <c r="H67" i="8"/>
  <c r="G73" i="8"/>
  <c r="G67" i="8"/>
  <c r="K46" i="8"/>
  <c r="M46" i="8"/>
  <c r="K47" i="8"/>
  <c r="M47" i="8"/>
  <c r="H48" i="8"/>
  <c r="I48" i="8"/>
  <c r="J48" i="8"/>
  <c r="K48" i="8"/>
  <c r="L48" i="8"/>
  <c r="M48" i="8"/>
  <c r="G48" i="8"/>
  <c r="H38" i="8"/>
  <c r="I38" i="8"/>
  <c r="J38" i="8"/>
  <c r="K38" i="8"/>
  <c r="L38" i="8"/>
  <c r="M38" i="8"/>
  <c r="K39" i="8"/>
  <c r="M39" i="8"/>
  <c r="K40" i="8"/>
  <c r="M40" i="8"/>
  <c r="K41" i="8"/>
  <c r="M41" i="8"/>
  <c r="K42" i="8"/>
  <c r="M42" i="8"/>
  <c r="G38" i="8"/>
  <c r="H24" i="8"/>
  <c r="I24" i="8"/>
  <c r="J24" i="8"/>
  <c r="K24" i="8"/>
  <c r="L24" i="8"/>
  <c r="M24" i="8"/>
  <c r="G24" i="8"/>
  <c r="K12" i="8"/>
  <c r="M12" i="8"/>
  <c r="K10" i="8"/>
  <c r="M10" i="8"/>
  <c r="H3" i="8"/>
  <c r="I3" i="8"/>
  <c r="J3" i="8"/>
  <c r="K3" i="8"/>
  <c r="L3" i="8"/>
  <c r="M3" i="8"/>
  <c r="G3" i="8"/>
  <c r="B9" i="7"/>
  <c r="D100" i="7"/>
  <c r="E100" i="7"/>
  <c r="F100" i="7"/>
  <c r="G100" i="7"/>
  <c r="H100" i="7"/>
  <c r="I100" i="7"/>
  <c r="J100" i="7"/>
  <c r="C100" i="7"/>
  <c r="B105" i="7"/>
  <c r="B104" i="7"/>
  <c r="B101" i="7"/>
  <c r="B100" i="7"/>
  <c r="B95" i="7"/>
  <c r="B93" i="7"/>
  <c r="B92" i="7"/>
  <c r="C92" i="7" s="1"/>
  <c r="B91" i="7"/>
  <c r="B86" i="7"/>
  <c r="B85" i="7"/>
  <c r="B84" i="7"/>
  <c r="C84" i="7" s="1"/>
  <c r="B83" i="7"/>
  <c r="B79" i="7"/>
  <c r="B63" i="7"/>
  <c r="B62" i="7"/>
  <c r="B59" i="7"/>
  <c r="B53" i="7"/>
  <c r="B52" i="7"/>
  <c r="B51" i="7"/>
  <c r="B50" i="7"/>
  <c r="B47" i="7"/>
  <c r="B46" i="7"/>
  <c r="B45" i="7"/>
  <c r="B44" i="7"/>
  <c r="B43" i="7"/>
  <c r="B42" i="7"/>
  <c r="B35" i="7"/>
  <c r="B33" i="7"/>
  <c r="B31" i="7"/>
  <c r="B26" i="7"/>
  <c r="B21" i="7"/>
  <c r="B20" i="7"/>
  <c r="B16" i="7"/>
  <c r="B15" i="7"/>
  <c r="B14" i="7"/>
  <c r="B12" i="7"/>
  <c r="S119" i="5"/>
  <c r="U98" i="5"/>
  <c r="U92" i="5"/>
  <c r="U91" i="5"/>
  <c r="U90" i="5"/>
  <c r="U89" i="5"/>
  <c r="U85" i="5"/>
  <c r="U84" i="5"/>
  <c r="U83" i="5"/>
  <c r="U82" i="5"/>
  <c r="U81" i="5"/>
  <c r="U77" i="5"/>
  <c r="U44" i="5"/>
  <c r="U45" i="5"/>
  <c r="U46" i="5"/>
  <c r="U47" i="5"/>
  <c r="U50" i="5"/>
  <c r="U51" i="5"/>
  <c r="U52" i="5"/>
  <c r="U53" i="5"/>
  <c r="U58" i="5"/>
  <c r="U61" i="5"/>
  <c r="U62" i="5"/>
  <c r="U42" i="5"/>
  <c r="U14" i="5"/>
  <c r="U15" i="5"/>
  <c r="U16" i="5"/>
  <c r="U20" i="5"/>
  <c r="U21" i="5"/>
  <c r="U22" i="5"/>
  <c r="U23" i="5"/>
  <c r="U26" i="5"/>
  <c r="U31" i="5"/>
  <c r="U32" i="5"/>
  <c r="U33" i="5"/>
  <c r="U34" i="5"/>
  <c r="U35" i="5"/>
  <c r="U13" i="5"/>
  <c r="S28" i="6"/>
  <c r="S22" i="6"/>
  <c r="AM101" i="5"/>
  <c r="AO101" i="5"/>
  <c r="AM102" i="5"/>
  <c r="AO102" i="5"/>
  <c r="S92" i="5"/>
  <c r="S62" i="5"/>
  <c r="S53" i="5"/>
  <c r="AM52" i="5"/>
  <c r="AO52" i="5"/>
  <c r="AM46" i="5"/>
  <c r="AO46" i="5"/>
  <c r="S47" i="5"/>
  <c r="S45" i="5"/>
  <c r="S20" i="5"/>
  <c r="S16" i="5"/>
  <c r="AP56" i="5" l="1"/>
  <c r="T64" i="5"/>
  <c r="AP64" i="5" s="1"/>
  <c r="T141" i="5"/>
  <c r="T140" i="5"/>
  <c r="T142" i="5" s="1"/>
  <c r="T126" i="5"/>
  <c r="AP95" i="5"/>
  <c r="T127" i="5"/>
  <c r="T99" i="5"/>
  <c r="AP99" i="5" l="1"/>
  <c r="AP102" i="5"/>
  <c r="AP101" i="5"/>
  <c r="T12" i="6"/>
  <c r="T73" i="6" l="1"/>
  <c r="T31" i="6"/>
  <c r="T92" i="6" s="1"/>
  <c r="C73" i="8"/>
  <c r="L64" i="8"/>
  <c r="L82" i="8" s="1"/>
  <c r="N26" i="8"/>
  <c r="F24" i="8"/>
  <c r="M26" i="8"/>
  <c r="L37" i="8"/>
  <c r="L45" i="8" s="1"/>
  <c r="M37" i="8" l="1"/>
  <c r="M45" i="8" s="1"/>
  <c r="M64" i="8" s="1"/>
  <c r="M82" i="8" s="1"/>
  <c r="L26" i="8"/>
  <c r="R22" i="6"/>
  <c r="Q70" i="6"/>
  <c r="Q58" i="6"/>
  <c r="R57" i="6" s="1"/>
  <c r="Q12" i="6"/>
  <c r="R9" i="6"/>
  <c r="Q9" i="6"/>
  <c r="Q68" i="6" s="1"/>
  <c r="R89" i="5"/>
  <c r="R62" i="5"/>
  <c r="R53" i="5"/>
  <c r="R47" i="5"/>
  <c r="R45" i="5"/>
  <c r="R16" i="5"/>
  <c r="Q16" i="5"/>
  <c r="Q17" i="5" s="1"/>
  <c r="Q38" i="5" s="1"/>
  <c r="R15" i="5"/>
  <c r="AM75" i="5"/>
  <c r="AM10" i="5"/>
  <c r="W6" i="5"/>
  <c r="W7" i="5"/>
  <c r="Q114" i="5"/>
  <c r="Q89" i="5"/>
  <c r="Q93" i="5" s="1"/>
  <c r="AM93" i="5" s="1"/>
  <c r="Q86" i="5"/>
  <c r="AM86" i="5" s="1"/>
  <c r="Q78" i="5"/>
  <c r="Q75" i="5"/>
  <c r="Q62" i="5"/>
  <c r="Q63" i="5" s="1"/>
  <c r="Q53" i="5"/>
  <c r="Q48" i="5"/>
  <c r="Q47" i="5"/>
  <c r="Q45" i="5"/>
  <c r="Q36" i="5"/>
  <c r="Q24" i="5"/>
  <c r="Q28" i="5" s="1"/>
  <c r="Q15" i="5"/>
  <c r="Q55" i="6"/>
  <c r="Q42" i="6"/>
  <c r="Q22" i="6"/>
  <c r="AM53" i="5" l="1"/>
  <c r="K49" i="8" s="1"/>
  <c r="AM48" i="5"/>
  <c r="Q144" i="5"/>
  <c r="Q139" i="5" s="1"/>
  <c r="Q125" i="5"/>
  <c r="AM63" i="5"/>
  <c r="AM58" i="5"/>
  <c r="AM34" i="5"/>
  <c r="AM22" i="5"/>
  <c r="AM32" i="5"/>
  <c r="AM44" i="5"/>
  <c r="AM33" i="5"/>
  <c r="K30" i="8" s="1"/>
  <c r="AM21" i="5"/>
  <c r="AM43" i="5"/>
  <c r="AM20" i="5"/>
  <c r="AM42" i="5"/>
  <c r="AM31" i="5"/>
  <c r="AM14" i="5"/>
  <c r="AM61" i="5"/>
  <c r="AM47" i="5"/>
  <c r="K43" i="8" s="1"/>
  <c r="AM35" i="5"/>
  <c r="K32" i="8" s="1"/>
  <c r="AM23" i="5"/>
  <c r="AM13" i="5"/>
  <c r="AM51" i="5"/>
  <c r="AM38" i="5"/>
  <c r="AM16" i="5"/>
  <c r="K14" i="8" s="1"/>
  <c r="AM50" i="5"/>
  <c r="AM26" i="5"/>
  <c r="AM15" i="5"/>
  <c r="Q37" i="5"/>
  <c r="AM37" i="5" s="1"/>
  <c r="AM28" i="5"/>
  <c r="AM36" i="5"/>
  <c r="AM45" i="5"/>
  <c r="Q117" i="5"/>
  <c r="AM84" i="5"/>
  <c r="Q118" i="5"/>
  <c r="AM85" i="5"/>
  <c r="AM82" i="5"/>
  <c r="AM91" i="5"/>
  <c r="AM24" i="5"/>
  <c r="AM62" i="5"/>
  <c r="AM83" i="5"/>
  <c r="AM92" i="5"/>
  <c r="K77" i="8" s="1"/>
  <c r="Q54" i="5"/>
  <c r="Q87" i="5"/>
  <c r="AM97" i="5"/>
  <c r="AM77" i="5"/>
  <c r="AM78" i="5"/>
  <c r="AM89" i="5"/>
  <c r="Q119" i="5"/>
  <c r="AM17" i="5"/>
  <c r="AM98" i="5"/>
  <c r="AM81" i="5"/>
  <c r="AM90" i="5"/>
  <c r="A132" i="7"/>
  <c r="AM54" i="5" l="1"/>
  <c r="Q56" i="5"/>
  <c r="Q140" i="5"/>
  <c r="Q142" i="5" s="1"/>
  <c r="Q141" i="5"/>
  <c r="Q124" i="5"/>
  <c r="Q95" i="5"/>
  <c r="AM87" i="5"/>
  <c r="AM56" i="5" l="1"/>
  <c r="Q123" i="5"/>
  <c r="Q64" i="5"/>
  <c r="AM64" i="5" s="1"/>
  <c r="Q126" i="5"/>
  <c r="Q99" i="5"/>
  <c r="AM95" i="5"/>
  <c r="Q127" i="5"/>
  <c r="S58" i="6"/>
  <c r="T57" i="6" s="1"/>
  <c r="S55" i="6"/>
  <c r="S42" i="6"/>
  <c r="S93" i="5"/>
  <c r="S78" i="5"/>
  <c r="S86" i="5"/>
  <c r="S63" i="5"/>
  <c r="S54" i="5"/>
  <c r="S48" i="5"/>
  <c r="S36" i="5"/>
  <c r="S24" i="5"/>
  <c r="S28" i="5" s="1"/>
  <c r="S17" i="5"/>
  <c r="T56" i="6" l="1"/>
  <c r="T117" i="6" s="1"/>
  <c r="T118" i="6"/>
  <c r="S87" i="5"/>
  <c r="S95" i="5" s="1"/>
  <c r="S99" i="5" s="1"/>
  <c r="S12" i="6" s="1"/>
  <c r="S31" i="6" s="1"/>
  <c r="S37" i="5"/>
  <c r="S38" i="5"/>
  <c r="AM99" i="5"/>
  <c r="S56" i="5"/>
  <c r="S123" i="5" s="1"/>
  <c r="A76" i="8"/>
  <c r="C74" i="8"/>
  <c r="A71" i="8"/>
  <c r="A70" i="8"/>
  <c r="N69" i="8"/>
  <c r="A69" i="8"/>
  <c r="A68" i="8"/>
  <c r="A67" i="8"/>
  <c r="E66" i="8"/>
  <c r="A66" i="8"/>
  <c r="C65" i="8"/>
  <c r="A65" i="8"/>
  <c r="A64" i="8"/>
  <c r="A62" i="8"/>
  <c r="A61" i="8"/>
  <c r="A59" i="8"/>
  <c r="A58" i="8"/>
  <c r="A57" i="8"/>
  <c r="A56" i="8"/>
  <c r="A55" i="8"/>
  <c r="A53" i="8"/>
  <c r="A51" i="8"/>
  <c r="A50" i="8"/>
  <c r="A49" i="8"/>
  <c r="A48" i="8"/>
  <c r="A47" i="8"/>
  <c r="A46" i="8"/>
  <c r="A44" i="8"/>
  <c r="A43" i="8"/>
  <c r="A42" i="8"/>
  <c r="A41" i="8"/>
  <c r="A40" i="8"/>
  <c r="A39" i="8"/>
  <c r="A38" i="8"/>
  <c r="N37" i="8"/>
  <c r="A37" i="8"/>
  <c r="A35" i="8"/>
  <c r="A34" i="8"/>
  <c r="A33" i="8"/>
  <c r="A32" i="8"/>
  <c r="A31" i="8"/>
  <c r="A30" i="8"/>
  <c r="A29" i="8"/>
  <c r="A28" i="8"/>
  <c r="A27" i="8"/>
  <c r="A25" i="8"/>
  <c r="A24" i="8"/>
  <c r="A23" i="8"/>
  <c r="A22" i="8"/>
  <c r="A21" i="8"/>
  <c r="A20" i="8"/>
  <c r="A18" i="8"/>
  <c r="A17" i="8"/>
  <c r="A15" i="8"/>
  <c r="A14" i="8"/>
  <c r="A13" i="8"/>
  <c r="A12" i="8"/>
  <c r="A10" i="8"/>
  <c r="A9" i="8"/>
  <c r="J26" i="8"/>
  <c r="I26" i="8"/>
  <c r="A146" i="7"/>
  <c r="A145" i="7"/>
  <c r="A144" i="7"/>
  <c r="A143" i="7"/>
  <c r="A141" i="7"/>
  <c r="A140" i="7"/>
  <c r="A139" i="7"/>
  <c r="A137" i="7"/>
  <c r="A136" i="7"/>
  <c r="A135" i="7"/>
  <c r="A134" i="7"/>
  <c r="A131" i="7"/>
  <c r="A130" i="7"/>
  <c r="A129" i="7"/>
  <c r="A128" i="7"/>
  <c r="A127" i="7"/>
  <c r="A125" i="7"/>
  <c r="A124" i="7"/>
  <c r="A123" i="7"/>
  <c r="A122" i="7"/>
  <c r="A121" i="7"/>
  <c r="A119" i="7"/>
  <c r="K105" i="7"/>
  <c r="A105" i="7"/>
  <c r="A87" i="8" s="1"/>
  <c r="A104" i="7"/>
  <c r="A102" i="7"/>
  <c r="M102" i="7" s="1"/>
  <c r="A101" i="7"/>
  <c r="M101" i="7" s="1"/>
  <c r="M100" i="7"/>
  <c r="A98" i="7"/>
  <c r="A80" i="8" s="1"/>
  <c r="A96" i="7"/>
  <c r="A78" i="8" s="1"/>
  <c r="A95" i="7"/>
  <c r="A77" i="8" s="1"/>
  <c r="M94" i="7"/>
  <c r="J93" i="7"/>
  <c r="I93" i="7"/>
  <c r="H93" i="7"/>
  <c r="G93" i="7"/>
  <c r="F93" i="7"/>
  <c r="E93" i="7"/>
  <c r="D93" i="7"/>
  <c r="A93" i="7"/>
  <c r="A75" i="8" s="1"/>
  <c r="A92" i="7"/>
  <c r="A74" i="8" s="1"/>
  <c r="A91" i="7"/>
  <c r="A73" i="8" s="1"/>
  <c r="A89" i="7"/>
  <c r="M89" i="7" s="1"/>
  <c r="A88" i="7"/>
  <c r="M88" i="7" s="1"/>
  <c r="B87" i="7"/>
  <c r="C87" i="7" s="1"/>
  <c r="A87" i="7"/>
  <c r="M87" i="7" s="1"/>
  <c r="A86" i="7"/>
  <c r="M86" i="7" s="1"/>
  <c r="A85" i="7"/>
  <c r="M85" i="7" s="1"/>
  <c r="A84" i="7"/>
  <c r="M84" i="7" s="1"/>
  <c r="A83" i="7"/>
  <c r="M83" i="7" s="1"/>
  <c r="A82" i="7"/>
  <c r="M82" i="7" s="1"/>
  <c r="C80" i="7"/>
  <c r="O83" i="7" s="1"/>
  <c r="A80" i="7"/>
  <c r="M80" i="7" s="1"/>
  <c r="B80" i="7"/>
  <c r="A79" i="7"/>
  <c r="M79" i="7" s="1"/>
  <c r="A78" i="7"/>
  <c r="M78" i="7" s="1"/>
  <c r="N76" i="7"/>
  <c r="A65" i="7"/>
  <c r="M65" i="7" s="1"/>
  <c r="A64" i="7"/>
  <c r="M64" i="7" s="1"/>
  <c r="A63" i="7"/>
  <c r="M63" i="7" s="1"/>
  <c r="A62" i="7"/>
  <c r="M62" i="7" s="1"/>
  <c r="A61" i="7"/>
  <c r="M61" i="7" s="1"/>
  <c r="J59" i="7"/>
  <c r="I59" i="7"/>
  <c r="H59" i="7"/>
  <c r="G59" i="7"/>
  <c r="F59" i="7"/>
  <c r="E59" i="7"/>
  <c r="D59" i="7"/>
  <c r="C59" i="7"/>
  <c r="K59" i="7"/>
  <c r="A59" i="7"/>
  <c r="M59" i="7" s="1"/>
  <c r="A57" i="7"/>
  <c r="M57" i="7" s="1"/>
  <c r="A55" i="7"/>
  <c r="M55" i="7" s="1"/>
  <c r="M54" i="7"/>
  <c r="A53" i="7"/>
  <c r="C52" i="7"/>
  <c r="A52" i="7"/>
  <c r="M52" i="7" s="1"/>
  <c r="A51" i="7"/>
  <c r="M51" i="7" s="1"/>
  <c r="A50" i="7"/>
  <c r="M50" i="7" s="1"/>
  <c r="A48" i="7"/>
  <c r="M48" i="7" s="1"/>
  <c r="A47" i="7"/>
  <c r="M47" i="7" s="1"/>
  <c r="A46" i="7"/>
  <c r="M46" i="7" s="1"/>
  <c r="A45" i="7"/>
  <c r="M45" i="7" s="1"/>
  <c r="A44" i="7"/>
  <c r="M44" i="7" s="1"/>
  <c r="A43" i="7"/>
  <c r="M43" i="7" s="1"/>
  <c r="A42" i="7"/>
  <c r="M42" i="7" s="1"/>
  <c r="A41" i="7"/>
  <c r="M41" i="7" s="1"/>
  <c r="A38" i="7"/>
  <c r="M38" i="7" s="1"/>
  <c r="A37" i="7"/>
  <c r="M37" i="7" s="1"/>
  <c r="A36" i="7"/>
  <c r="M36" i="7" s="1"/>
  <c r="A35" i="7"/>
  <c r="M35" i="7" s="1"/>
  <c r="B34" i="7"/>
  <c r="C34" i="7" s="1"/>
  <c r="D34" i="7" s="1"/>
  <c r="E34" i="7" s="1"/>
  <c r="F34" i="7" s="1"/>
  <c r="G34" i="7" s="1"/>
  <c r="H34" i="7" s="1"/>
  <c r="I34" i="7" s="1"/>
  <c r="J34" i="7" s="1"/>
  <c r="A34" i="7"/>
  <c r="M34" i="7" s="1"/>
  <c r="A33" i="7"/>
  <c r="M33" i="7" s="1"/>
  <c r="B32" i="7"/>
  <c r="C32" i="7" s="1"/>
  <c r="D32" i="7" s="1"/>
  <c r="E32" i="7" s="1"/>
  <c r="F32" i="7" s="1"/>
  <c r="G32" i="7" s="1"/>
  <c r="H32" i="7" s="1"/>
  <c r="I32" i="7" s="1"/>
  <c r="J32" i="7" s="1"/>
  <c r="A32" i="7"/>
  <c r="M32" i="7" s="1"/>
  <c r="A31" i="7"/>
  <c r="M31" i="7" s="1"/>
  <c r="A30" i="7"/>
  <c r="M30" i="7" s="1"/>
  <c r="A28" i="7"/>
  <c r="M28" i="7" s="1"/>
  <c r="C26" i="7"/>
  <c r="A26" i="7"/>
  <c r="M26" i="7" s="1"/>
  <c r="A24" i="7"/>
  <c r="M24" i="7" s="1"/>
  <c r="B23" i="7"/>
  <c r="C23" i="7" s="1"/>
  <c r="D23" i="7" s="1"/>
  <c r="E23" i="7" s="1"/>
  <c r="F23" i="7" s="1"/>
  <c r="G23" i="7" s="1"/>
  <c r="H23" i="7" s="1"/>
  <c r="I23" i="7" s="1"/>
  <c r="J23" i="7" s="1"/>
  <c r="A23" i="7"/>
  <c r="M23" i="7" s="1"/>
  <c r="B22" i="7"/>
  <c r="C22" i="7" s="1"/>
  <c r="D22" i="7" s="1"/>
  <c r="E22" i="7" s="1"/>
  <c r="F22" i="7" s="1"/>
  <c r="G22" i="7" s="1"/>
  <c r="H22" i="7" s="1"/>
  <c r="I22" i="7" s="1"/>
  <c r="J22" i="7" s="1"/>
  <c r="A22" i="7"/>
  <c r="M22" i="7" s="1"/>
  <c r="K21" i="7"/>
  <c r="A21" i="7"/>
  <c r="M21" i="7" s="1"/>
  <c r="A20" i="7"/>
  <c r="M20" i="7" s="1"/>
  <c r="A19" i="7"/>
  <c r="M19" i="7" s="1"/>
  <c r="A17" i="7"/>
  <c r="M17" i="7" s="1"/>
  <c r="A16" i="7"/>
  <c r="M16" i="7" s="1"/>
  <c r="A15" i="7"/>
  <c r="M15" i="7" s="1"/>
  <c r="A14" i="7"/>
  <c r="M14" i="7" s="1"/>
  <c r="M13" i="7"/>
  <c r="A12" i="7"/>
  <c r="M12" i="7" s="1"/>
  <c r="A11" i="7"/>
  <c r="M11" i="7" s="1"/>
  <c r="A6" i="7"/>
  <c r="A112" i="7" s="1"/>
  <c r="A4" i="7"/>
  <c r="A110" i="7" s="1"/>
  <c r="A110" i="6"/>
  <c r="A90" i="6"/>
  <c r="A89" i="6"/>
  <c r="A88" i="6"/>
  <c r="A87" i="6"/>
  <c r="A86" i="6"/>
  <c r="A85" i="6"/>
  <c r="S70" i="6"/>
  <c r="S119" i="6" s="1"/>
  <c r="M70" i="6"/>
  <c r="M98" i="6" s="1"/>
  <c r="R68" i="6"/>
  <c r="O68" i="6"/>
  <c r="G68" i="6"/>
  <c r="C68" i="6"/>
  <c r="R58" i="6"/>
  <c r="P58" i="6"/>
  <c r="Q57" i="6" s="1"/>
  <c r="O58" i="6"/>
  <c r="N58" i="6"/>
  <c r="M58" i="6"/>
  <c r="N57" i="6" s="1"/>
  <c r="L58" i="6"/>
  <c r="H58" i="6"/>
  <c r="B58" i="6"/>
  <c r="M57" i="6"/>
  <c r="L57" i="6"/>
  <c r="H57" i="6"/>
  <c r="L56" i="6"/>
  <c r="R55" i="6"/>
  <c r="P55" i="6"/>
  <c r="O55" i="6"/>
  <c r="N55" i="6"/>
  <c r="M55" i="6"/>
  <c r="L55" i="6"/>
  <c r="K55" i="6"/>
  <c r="J55" i="6"/>
  <c r="I55" i="6"/>
  <c r="H55" i="6"/>
  <c r="L53" i="6"/>
  <c r="J53" i="6"/>
  <c r="J46" i="6"/>
  <c r="R42" i="6"/>
  <c r="P42" i="6"/>
  <c r="O42" i="6"/>
  <c r="N42" i="6"/>
  <c r="M42" i="6"/>
  <c r="L42" i="6"/>
  <c r="K42" i="6"/>
  <c r="J42" i="6"/>
  <c r="I42" i="6"/>
  <c r="H42" i="6"/>
  <c r="D40" i="6"/>
  <c r="H27" i="6"/>
  <c r="P22" i="6"/>
  <c r="O22" i="6"/>
  <c r="C22" i="6"/>
  <c r="B22" i="6"/>
  <c r="S9" i="6"/>
  <c r="P9" i="6"/>
  <c r="P68" i="6" s="1"/>
  <c r="O9" i="6"/>
  <c r="N9" i="6"/>
  <c r="N68" i="6" s="1"/>
  <c r="M9" i="6"/>
  <c r="M68" i="6" s="1"/>
  <c r="L9" i="6"/>
  <c r="L68" i="6" s="1"/>
  <c r="K9" i="6"/>
  <c r="K68" i="6" s="1"/>
  <c r="J9" i="6"/>
  <c r="U16" i="6" s="1"/>
  <c r="I9" i="6"/>
  <c r="I68" i="6" s="1"/>
  <c r="H9" i="6"/>
  <c r="H68" i="6" s="1"/>
  <c r="G9" i="6"/>
  <c r="F9" i="6"/>
  <c r="E9" i="6"/>
  <c r="E68" i="6" s="1"/>
  <c r="D9" i="6"/>
  <c r="D68" i="6" s="1"/>
  <c r="C9" i="6"/>
  <c r="B9" i="6"/>
  <c r="B68" i="6" s="1"/>
  <c r="U7" i="6"/>
  <c r="U67" i="6" s="1"/>
  <c r="A6" i="6"/>
  <c r="A66" i="6" s="1"/>
  <c r="A5" i="6"/>
  <c r="A65" i="6" s="1"/>
  <c r="A3" i="6"/>
  <c r="A63" i="6" s="1"/>
  <c r="S144" i="5"/>
  <c r="S139" i="5" s="1"/>
  <c r="K144" i="5"/>
  <c r="J144" i="5"/>
  <c r="H144" i="5"/>
  <c r="H141" i="5" s="1"/>
  <c r="B144" i="5"/>
  <c r="B141" i="5" s="1"/>
  <c r="K142" i="5"/>
  <c r="J142" i="5"/>
  <c r="K141" i="5"/>
  <c r="J141" i="5"/>
  <c r="K140" i="5"/>
  <c r="J140" i="5"/>
  <c r="K139" i="5"/>
  <c r="J139" i="5"/>
  <c r="B139" i="5"/>
  <c r="S125" i="5"/>
  <c r="S124" i="5"/>
  <c r="D124" i="5"/>
  <c r="C120" i="5"/>
  <c r="B120" i="5"/>
  <c r="K119" i="5"/>
  <c r="S118" i="5"/>
  <c r="N118" i="5"/>
  <c r="I118" i="5"/>
  <c r="C118" i="5"/>
  <c r="S117" i="5"/>
  <c r="K117" i="5"/>
  <c r="E117" i="5"/>
  <c r="S114" i="5"/>
  <c r="R114" i="5"/>
  <c r="O114" i="5"/>
  <c r="N114" i="5"/>
  <c r="M114" i="5"/>
  <c r="L114" i="5"/>
  <c r="K114" i="5"/>
  <c r="J114" i="5"/>
  <c r="H114" i="5"/>
  <c r="G114" i="5"/>
  <c r="F114" i="5"/>
  <c r="E114" i="5"/>
  <c r="D114" i="5"/>
  <c r="C114" i="5"/>
  <c r="B114" i="5"/>
  <c r="U113" i="5"/>
  <c r="A111" i="5"/>
  <c r="A110" i="5"/>
  <c r="A108" i="5"/>
  <c r="AD102" i="5"/>
  <c r="G102" i="5"/>
  <c r="E102" i="5"/>
  <c r="D102" i="5"/>
  <c r="C102" i="5"/>
  <c r="B102" i="5"/>
  <c r="AB101" i="5"/>
  <c r="W99" i="5"/>
  <c r="AO98" i="5"/>
  <c r="AE98" i="5"/>
  <c r="AC98" i="5"/>
  <c r="Y98" i="5"/>
  <c r="W98" i="5"/>
  <c r="AO97" i="5"/>
  <c r="AF97" i="5"/>
  <c r="AD97" i="5"/>
  <c r="Y97" i="5"/>
  <c r="W97" i="5"/>
  <c r="D97" i="5"/>
  <c r="B97" i="5"/>
  <c r="AO95" i="5"/>
  <c r="W95" i="5"/>
  <c r="AO93" i="5"/>
  <c r="AC93" i="5"/>
  <c r="W93" i="5"/>
  <c r="R93" i="5"/>
  <c r="P93" i="5"/>
  <c r="O93" i="5"/>
  <c r="N93" i="5"/>
  <c r="M93" i="5"/>
  <c r="L93" i="5"/>
  <c r="K93" i="5"/>
  <c r="J93" i="5"/>
  <c r="I93" i="5"/>
  <c r="AE93" i="5" s="1"/>
  <c r="H93" i="5"/>
  <c r="G93" i="5"/>
  <c r="F93" i="5"/>
  <c r="E93" i="5"/>
  <c r="D93" i="5"/>
  <c r="C93" i="5"/>
  <c r="Y93" i="5" s="1"/>
  <c r="B93" i="5"/>
  <c r="AO92" i="5"/>
  <c r="M77" i="8" s="1"/>
  <c r="AK92" i="5"/>
  <c r="I77" i="8" s="1"/>
  <c r="AD92" i="5"/>
  <c r="AA92" i="5"/>
  <c r="Y92" i="5"/>
  <c r="W92" i="5"/>
  <c r="P92" i="5"/>
  <c r="L92" i="5"/>
  <c r="D92" i="5"/>
  <c r="B92" i="5"/>
  <c r="AO91" i="5"/>
  <c r="AG91" i="5"/>
  <c r="W91" i="5"/>
  <c r="AO90" i="5"/>
  <c r="AK90" i="5"/>
  <c r="AG90" i="5"/>
  <c r="W90" i="5"/>
  <c r="AO89" i="5"/>
  <c r="AK89" i="5"/>
  <c r="AI89" i="5"/>
  <c r="Y89" i="5"/>
  <c r="X89" i="5"/>
  <c r="W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89" i="5"/>
  <c r="AO87" i="5"/>
  <c r="AG87" i="5"/>
  <c r="W87" i="5"/>
  <c r="K87" i="5"/>
  <c r="K95" i="5" s="1"/>
  <c r="AG95" i="5" s="1"/>
  <c r="J87" i="5"/>
  <c r="AF87" i="5" s="1"/>
  <c r="H87" i="5"/>
  <c r="AO86" i="5"/>
  <c r="W86" i="5"/>
  <c r="R86" i="5"/>
  <c r="P86" i="5"/>
  <c r="O86" i="5"/>
  <c r="AK86" i="5" s="1"/>
  <c r="N86" i="5"/>
  <c r="M86" i="5"/>
  <c r="L86" i="5"/>
  <c r="K86" i="5"/>
  <c r="J86" i="5"/>
  <c r="I86" i="5"/>
  <c r="H86" i="5"/>
  <c r="G86" i="5"/>
  <c r="AC86" i="5" s="1"/>
  <c r="F86" i="5"/>
  <c r="E86" i="5"/>
  <c r="D86" i="5"/>
  <c r="Z86" i="5" s="1"/>
  <c r="C86" i="5"/>
  <c r="Y86" i="5" s="1"/>
  <c r="B86" i="5"/>
  <c r="X86" i="5" s="1"/>
  <c r="AO85" i="5"/>
  <c r="AK85" i="5"/>
  <c r="AG85" i="5"/>
  <c r="AC85" i="5"/>
  <c r="W85" i="5"/>
  <c r="AO84" i="5"/>
  <c r="AL84" i="5"/>
  <c r="Y84" i="5"/>
  <c r="X84" i="5"/>
  <c r="W84" i="5"/>
  <c r="AO83" i="5"/>
  <c r="AK83" i="5"/>
  <c r="AG83" i="5"/>
  <c r="Y83" i="5"/>
  <c r="W83" i="5"/>
  <c r="AO82" i="5"/>
  <c r="AK82" i="5"/>
  <c r="AD82" i="5"/>
  <c r="AA82" i="5"/>
  <c r="Y82" i="5"/>
  <c r="W82" i="5"/>
  <c r="C82" i="5"/>
  <c r="B82" i="5"/>
  <c r="AO81" i="5"/>
  <c r="AL81" i="5"/>
  <c r="AG81" i="5"/>
  <c r="X81" i="5"/>
  <c r="W81" i="5"/>
  <c r="H81" i="5"/>
  <c r="G81" i="5"/>
  <c r="F81" i="5"/>
  <c r="E81" i="5"/>
  <c r="D81" i="5"/>
  <c r="C81" i="5"/>
  <c r="B81" i="5"/>
  <c r="W80" i="5"/>
  <c r="AO78" i="5"/>
  <c r="AK78" i="5"/>
  <c r="AC78" i="5"/>
  <c r="AB78" i="5"/>
  <c r="AA78" i="5"/>
  <c r="W78" i="5"/>
  <c r="R78" i="5"/>
  <c r="P78" i="5"/>
  <c r="AL90" i="5" s="1"/>
  <c r="O78" i="5"/>
  <c r="N78" i="5"/>
  <c r="M78" i="5"/>
  <c r="AI101" i="5" s="1"/>
  <c r="L78" i="5"/>
  <c r="AH90" i="5" s="1"/>
  <c r="K78" i="5"/>
  <c r="AG98" i="5" s="1"/>
  <c r="J78" i="5"/>
  <c r="AF89" i="5" s="1"/>
  <c r="I78" i="5"/>
  <c r="H78" i="5"/>
  <c r="AD90" i="5" s="1"/>
  <c r="G78" i="5"/>
  <c r="AC97" i="5" s="1"/>
  <c r="F78" i="5"/>
  <c r="AB90" i="5" s="1"/>
  <c r="E78" i="5"/>
  <c r="AA97" i="5" s="1"/>
  <c r="D78" i="5"/>
  <c r="Z98" i="5" s="1"/>
  <c r="C78" i="5"/>
  <c r="B78" i="5"/>
  <c r="X98" i="5" s="1"/>
  <c r="AO77" i="5"/>
  <c r="AL77" i="5"/>
  <c r="AG77" i="5"/>
  <c r="AF77" i="5"/>
  <c r="Y77" i="5"/>
  <c r="X77" i="5"/>
  <c r="W77" i="5"/>
  <c r="W76" i="5"/>
  <c r="AL75" i="5"/>
  <c r="AH75" i="5"/>
  <c r="AE75" i="5"/>
  <c r="I114" i="5" s="1"/>
  <c r="X75" i="5"/>
  <c r="W75" i="5"/>
  <c r="S75" i="5"/>
  <c r="AO75" i="5" s="1"/>
  <c r="R75" i="5"/>
  <c r="O75" i="5"/>
  <c r="AK75" i="5" s="1"/>
  <c r="N75" i="5"/>
  <c r="AJ75" i="5" s="1"/>
  <c r="M75" i="5"/>
  <c r="AI75" i="5" s="1"/>
  <c r="L75" i="5"/>
  <c r="K75" i="5"/>
  <c r="AG75" i="5" s="1"/>
  <c r="J75" i="5"/>
  <c r="AF75" i="5" s="1"/>
  <c r="I75" i="5"/>
  <c r="C75" i="5"/>
  <c r="D75" i="5" s="1"/>
  <c r="Z75" i="5" s="1"/>
  <c r="B75" i="5"/>
  <c r="AQ74" i="5"/>
  <c r="U73" i="5"/>
  <c r="A72" i="5"/>
  <c r="W72" i="5" s="1"/>
  <c r="A71" i="5"/>
  <c r="W71" i="5" s="1"/>
  <c r="W70" i="5"/>
  <c r="W69" i="5"/>
  <c r="A69" i="5"/>
  <c r="W64" i="5"/>
  <c r="W63" i="5"/>
  <c r="R63" i="5"/>
  <c r="P63" i="5"/>
  <c r="O63" i="5"/>
  <c r="N63" i="5"/>
  <c r="M63" i="5"/>
  <c r="M124" i="5" s="1"/>
  <c r="L63" i="5"/>
  <c r="K63" i="5"/>
  <c r="J63" i="5"/>
  <c r="I63" i="5"/>
  <c r="H63" i="5"/>
  <c r="G63" i="5"/>
  <c r="F63" i="5"/>
  <c r="E63" i="5"/>
  <c r="E124" i="5" s="1"/>
  <c r="D63" i="5"/>
  <c r="D144" i="5" s="1"/>
  <c r="C63" i="5"/>
  <c r="B63" i="5"/>
  <c r="W62" i="5"/>
  <c r="P62" i="5"/>
  <c r="O62" i="5"/>
  <c r="N62" i="5"/>
  <c r="B62" i="5"/>
  <c r="W61" i="5"/>
  <c r="L61" i="5"/>
  <c r="K61" i="5"/>
  <c r="J61" i="5"/>
  <c r="I61" i="5"/>
  <c r="H61" i="5"/>
  <c r="G61" i="5"/>
  <c r="F61" i="5"/>
  <c r="E61" i="5"/>
  <c r="D61" i="5"/>
  <c r="C61" i="5"/>
  <c r="W60" i="5"/>
  <c r="W58" i="5"/>
  <c r="H58" i="5"/>
  <c r="G58" i="5"/>
  <c r="F58" i="5"/>
  <c r="E58" i="5"/>
  <c r="D58" i="5"/>
  <c r="C58" i="5"/>
  <c r="B58" i="5"/>
  <c r="W56" i="5"/>
  <c r="K56" i="5"/>
  <c r="K64" i="5" s="1"/>
  <c r="H56" i="5"/>
  <c r="W54" i="5"/>
  <c r="R54" i="5"/>
  <c r="P54" i="5"/>
  <c r="O54" i="5"/>
  <c r="N54" i="5"/>
  <c r="M54" i="5"/>
  <c r="M56" i="5" s="1"/>
  <c r="L54" i="5"/>
  <c r="K54" i="5"/>
  <c r="J54" i="5"/>
  <c r="I54" i="5"/>
  <c r="I124" i="5" s="1"/>
  <c r="H54" i="5"/>
  <c r="G54" i="5"/>
  <c r="F54" i="5"/>
  <c r="E54" i="5"/>
  <c r="E56" i="5" s="1"/>
  <c r="E123" i="5" s="1"/>
  <c r="D54" i="5"/>
  <c r="C54" i="5"/>
  <c r="B54" i="5"/>
  <c r="W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W52" i="5"/>
  <c r="W51" i="5"/>
  <c r="AO50" i="5"/>
  <c r="W50" i="5"/>
  <c r="B50" i="5"/>
  <c r="AO48" i="5"/>
  <c r="W48" i="5"/>
  <c r="R48" i="5"/>
  <c r="P48" i="5"/>
  <c r="P117" i="5" s="1"/>
  <c r="O48" i="5"/>
  <c r="N48" i="5"/>
  <c r="M48" i="5"/>
  <c r="M118" i="5" s="1"/>
  <c r="L48" i="5"/>
  <c r="K48" i="5"/>
  <c r="K118" i="5" s="1"/>
  <c r="J48" i="5"/>
  <c r="I48" i="5"/>
  <c r="H48" i="5"/>
  <c r="H118" i="5" s="1"/>
  <c r="G48" i="5"/>
  <c r="G118" i="5" s="1"/>
  <c r="F48" i="5"/>
  <c r="F118" i="5" s="1"/>
  <c r="E48" i="5"/>
  <c r="D48" i="5"/>
  <c r="D118" i="5" s="1"/>
  <c r="C48" i="5"/>
  <c r="B48" i="5"/>
  <c r="B118" i="5" s="1"/>
  <c r="W47" i="5"/>
  <c r="P47" i="5"/>
  <c r="O47" i="5"/>
  <c r="N47" i="5"/>
  <c r="W46" i="5"/>
  <c r="W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W44" i="5"/>
  <c r="W43" i="5"/>
  <c r="W42" i="5"/>
  <c r="W41" i="5"/>
  <c r="W38" i="5"/>
  <c r="W37" i="5"/>
  <c r="W36" i="5"/>
  <c r="R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W35" i="5"/>
  <c r="W34" i="5"/>
  <c r="AO33" i="5"/>
  <c r="M30" i="8" s="1"/>
  <c r="W33" i="5"/>
  <c r="H33" i="5"/>
  <c r="G33" i="5"/>
  <c r="F33" i="5"/>
  <c r="E33" i="5"/>
  <c r="D33" i="5"/>
  <c r="C33" i="5"/>
  <c r="B33" i="5"/>
  <c r="W32" i="5"/>
  <c r="W31" i="5"/>
  <c r="G31" i="5"/>
  <c r="F31" i="5"/>
  <c r="W30" i="5"/>
  <c r="AO28" i="5"/>
  <c r="W28" i="5"/>
  <c r="N28" i="5"/>
  <c r="M28" i="5"/>
  <c r="F28" i="5"/>
  <c r="F37" i="5" s="1"/>
  <c r="D28" i="5"/>
  <c r="W26" i="5"/>
  <c r="W24" i="5"/>
  <c r="R24" i="5"/>
  <c r="P24" i="5"/>
  <c r="O24" i="5"/>
  <c r="O28" i="5" s="1"/>
  <c r="N24" i="5"/>
  <c r="M24" i="5"/>
  <c r="L24" i="5"/>
  <c r="K24" i="5"/>
  <c r="K28" i="5" s="1"/>
  <c r="J24" i="5"/>
  <c r="J28" i="5" s="1"/>
  <c r="I24" i="5"/>
  <c r="I28" i="5" s="1"/>
  <c r="I125" i="5" s="1"/>
  <c r="H24" i="5"/>
  <c r="G24" i="5"/>
  <c r="F24" i="5"/>
  <c r="E24" i="5"/>
  <c r="E28" i="5" s="1"/>
  <c r="D24" i="5"/>
  <c r="C24" i="5"/>
  <c r="B24" i="5"/>
  <c r="B28" i="5" s="1"/>
  <c r="B37" i="5" s="1"/>
  <c r="W23" i="5"/>
  <c r="W22" i="5"/>
  <c r="W21" i="5"/>
  <c r="AO20" i="5"/>
  <c r="W20" i="5"/>
  <c r="I20" i="5"/>
  <c r="G20" i="5"/>
  <c r="F20" i="5"/>
  <c r="E20" i="5"/>
  <c r="D20" i="5"/>
  <c r="C20" i="5"/>
  <c r="B20" i="5"/>
  <c r="W19" i="5"/>
  <c r="W17" i="5"/>
  <c r="R17" i="5"/>
  <c r="P17" i="5"/>
  <c r="O17" i="5"/>
  <c r="N17" i="5"/>
  <c r="M17" i="5"/>
  <c r="L17" i="5"/>
  <c r="K17" i="5"/>
  <c r="J17" i="5"/>
  <c r="I17" i="5"/>
  <c r="H17" i="5"/>
  <c r="G17" i="5"/>
  <c r="G117" i="5" s="1"/>
  <c r="F17" i="5"/>
  <c r="E17" i="5"/>
  <c r="D17" i="5"/>
  <c r="C17" i="5"/>
  <c r="B17" i="5"/>
  <c r="W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W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W14" i="5"/>
  <c r="I14" i="5"/>
  <c r="W13" i="5"/>
  <c r="W12" i="5"/>
  <c r="AO10" i="5"/>
  <c r="AN10" i="5"/>
  <c r="AN75" i="5" s="1"/>
  <c r="AL10" i="5"/>
  <c r="P75" i="5" s="1"/>
  <c r="P114" i="5" s="1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M10" i="5"/>
  <c r="L10" i="5"/>
  <c r="K10" i="5"/>
  <c r="J10" i="5"/>
  <c r="G10" i="5"/>
  <c r="F10" i="5"/>
  <c r="E10" i="5"/>
  <c r="D10" i="5"/>
  <c r="C10" i="5"/>
  <c r="AQ9" i="5"/>
  <c r="W3" i="5"/>
  <c r="B38" i="5" l="1"/>
  <c r="X17" i="5" s="1"/>
  <c r="AA17" i="5"/>
  <c r="I68" i="8"/>
  <c r="I47" i="8"/>
  <c r="I46" i="8"/>
  <c r="Z91" i="5"/>
  <c r="Z93" i="5"/>
  <c r="U54" i="5"/>
  <c r="E75" i="5"/>
  <c r="F75" i="5" s="1"/>
  <c r="G75" i="5" s="1"/>
  <c r="Z83" i="5"/>
  <c r="AA91" i="5"/>
  <c r="S68" i="6"/>
  <c r="U57" i="6"/>
  <c r="U45" i="6"/>
  <c r="U20" i="6"/>
  <c r="U55" i="6"/>
  <c r="U42" i="6"/>
  <c r="U19" i="6"/>
  <c r="U50" i="6"/>
  <c r="U34" i="6"/>
  <c r="U49" i="6"/>
  <c r="U48" i="6"/>
  <c r="U22" i="6"/>
  <c r="U21" i="6"/>
  <c r="U35" i="6"/>
  <c r="U18" i="6"/>
  <c r="U53" i="6"/>
  <c r="U51" i="6"/>
  <c r="U58" i="6"/>
  <c r="U46" i="6"/>
  <c r="U40" i="6"/>
  <c r="U48" i="5"/>
  <c r="AI77" i="5"/>
  <c r="AQ91" i="5"/>
  <c r="AQ82" i="5"/>
  <c r="H42" i="8"/>
  <c r="U78" i="5"/>
  <c r="AQ90" i="5"/>
  <c r="AQ81" i="5"/>
  <c r="AQ97" i="5"/>
  <c r="H40" i="8"/>
  <c r="AQ85" i="5"/>
  <c r="H10" i="8"/>
  <c r="AQ84" i="5"/>
  <c r="AQ83" i="5"/>
  <c r="AQ89" i="5"/>
  <c r="AQ77" i="5"/>
  <c r="H12" i="8"/>
  <c r="AQ98" i="5"/>
  <c r="AQ92" i="5"/>
  <c r="AA81" i="5"/>
  <c r="AF82" i="5"/>
  <c r="AB83" i="5"/>
  <c r="Z84" i="5"/>
  <c r="AL89" i="5"/>
  <c r="AD91" i="5"/>
  <c r="AF92" i="5"/>
  <c r="AA93" i="5"/>
  <c r="AI93" i="5"/>
  <c r="AI97" i="5"/>
  <c r="AF101" i="5"/>
  <c r="AF102" i="5"/>
  <c r="H119" i="5"/>
  <c r="H120" i="5"/>
  <c r="Q132" i="5"/>
  <c r="Q131" i="5"/>
  <c r="AJ77" i="5"/>
  <c r="AK91" i="5"/>
  <c r="I12" i="8"/>
  <c r="I42" i="8"/>
  <c r="I40" i="8"/>
  <c r="I10" i="8"/>
  <c r="AF78" i="5"/>
  <c r="AB81" i="5"/>
  <c r="AI82" i="5"/>
  <c r="AA84" i="5"/>
  <c r="Z85" i="5"/>
  <c r="AH86" i="5"/>
  <c r="M87" i="5"/>
  <c r="AI87" i="5" s="1"/>
  <c r="Z89" i="5"/>
  <c r="AF91" i="5"/>
  <c r="AI92" i="5"/>
  <c r="G77" i="8" s="1"/>
  <c r="AB93" i="5"/>
  <c r="AJ93" i="5"/>
  <c r="U93" i="5"/>
  <c r="AQ93" i="5"/>
  <c r="AG93" i="5"/>
  <c r="AJ97" i="5"/>
  <c r="AF98" i="5"/>
  <c r="AG102" i="5"/>
  <c r="J119" i="5"/>
  <c r="L120" i="5"/>
  <c r="M144" i="5"/>
  <c r="M139" i="5" s="1"/>
  <c r="N125" i="5"/>
  <c r="H46" i="8"/>
  <c r="H47" i="8"/>
  <c r="U28" i="5"/>
  <c r="H68" i="8"/>
  <c r="G40" i="8"/>
  <c r="G10" i="8"/>
  <c r="G12" i="8"/>
  <c r="G42" i="8"/>
  <c r="E38" i="5"/>
  <c r="M117" i="5"/>
  <c r="U36" i="5"/>
  <c r="S132" i="5"/>
  <c r="S131" i="5"/>
  <c r="J10" i="8"/>
  <c r="J12" i="8"/>
  <c r="J42" i="8"/>
  <c r="J40" i="8"/>
  <c r="AH78" i="5"/>
  <c r="AD81" i="5"/>
  <c r="AD84" i="5"/>
  <c r="E87" i="5"/>
  <c r="E95" i="5" s="1"/>
  <c r="AI86" i="5"/>
  <c r="AD86" i="5"/>
  <c r="P87" i="5"/>
  <c r="AA89" i="5"/>
  <c r="AL93" i="5"/>
  <c r="X97" i="5"/>
  <c r="AL97" i="5"/>
  <c r="AH98" i="5"/>
  <c r="AI102" i="5"/>
  <c r="F117" i="5"/>
  <c r="U17" i="5"/>
  <c r="U24" i="5"/>
  <c r="Y75" i="5"/>
  <c r="L40" i="8"/>
  <c r="S120" i="5"/>
  <c r="L10" i="8"/>
  <c r="N10" i="8" s="1"/>
  <c r="L42" i="8"/>
  <c r="L12" i="8"/>
  <c r="R120" i="5"/>
  <c r="R119" i="5"/>
  <c r="AI78" i="5"/>
  <c r="AF81" i="5"/>
  <c r="X82" i="5"/>
  <c r="AL82" i="5"/>
  <c r="AL83" i="5"/>
  <c r="AF84" i="5"/>
  <c r="AQ86" i="5"/>
  <c r="U86" i="5"/>
  <c r="AF86" i="5"/>
  <c r="AD89" i="5"/>
  <c r="Z90" i="5"/>
  <c r="AI91" i="5"/>
  <c r="X92" i="5"/>
  <c r="AL92" i="5"/>
  <c r="J77" i="8" s="1"/>
  <c r="AD93" i="5"/>
  <c r="AJ98" i="5"/>
  <c r="L119" i="5"/>
  <c r="G46" i="8"/>
  <c r="G68" i="8"/>
  <c r="G47" i="8"/>
  <c r="U63" i="5"/>
  <c r="AA54" i="5"/>
  <c r="AA77" i="5"/>
  <c r="AI84" i="5"/>
  <c r="AL86" i="5"/>
  <c r="X91" i="5"/>
  <c r="AL91" i="5"/>
  <c r="M119" i="5"/>
  <c r="B70" i="6"/>
  <c r="AD77" i="5"/>
  <c r="D120" i="5"/>
  <c r="X78" i="5"/>
  <c r="AI81" i="5"/>
  <c r="Z82" i="5"/>
  <c r="AK84" i="5"/>
  <c r="AL85" i="5"/>
  <c r="AG89" i="5"/>
  <c r="Y91" i="5"/>
  <c r="Z92" i="5"/>
  <c r="X93" i="5"/>
  <c r="P119" i="5"/>
  <c r="P124" i="5"/>
  <c r="H140" i="5"/>
  <c r="D70" i="6"/>
  <c r="D90" i="6" s="1"/>
  <c r="C13" i="8"/>
  <c r="AO17" i="5"/>
  <c r="AO99" i="5"/>
  <c r="AO23" i="5"/>
  <c r="AO35" i="5"/>
  <c r="M32" i="8" s="1"/>
  <c r="AO62" i="5"/>
  <c r="AO54" i="5"/>
  <c r="AO13" i="5"/>
  <c r="AO38" i="5"/>
  <c r="AO45" i="5"/>
  <c r="AO32" i="5"/>
  <c r="AO36" i="5"/>
  <c r="AO42" i="5"/>
  <c r="AO58" i="5"/>
  <c r="S126" i="5"/>
  <c r="S127" i="5"/>
  <c r="AO21" i="5"/>
  <c r="AO15" i="5"/>
  <c r="AO16" i="5"/>
  <c r="M14" i="8" s="1"/>
  <c r="AO24" i="5"/>
  <c r="AO37" i="5"/>
  <c r="AO43" i="5"/>
  <c r="AO51" i="5"/>
  <c r="AO61" i="5"/>
  <c r="AO63" i="5"/>
  <c r="AO14" i="5"/>
  <c r="AO31" i="5"/>
  <c r="AO34" i="5"/>
  <c r="AO47" i="5"/>
  <c r="M43" i="8" s="1"/>
  <c r="AO22" i="5"/>
  <c r="AO26" i="5"/>
  <c r="AO44" i="5"/>
  <c r="AO53" i="5"/>
  <c r="M49" i="8" s="1"/>
  <c r="S140" i="5"/>
  <c r="S64" i="5"/>
  <c r="AO64" i="5" s="1"/>
  <c r="AO56" i="5"/>
  <c r="O93" i="7"/>
  <c r="O80" i="7"/>
  <c r="D84" i="7"/>
  <c r="E84" i="7" s="1"/>
  <c r="F84" i="7" s="1"/>
  <c r="G84" i="7" s="1"/>
  <c r="H84" i="7" s="1"/>
  <c r="I84" i="7" s="1"/>
  <c r="J84" i="7" s="1"/>
  <c r="K84" i="7" s="1"/>
  <c r="I37" i="8"/>
  <c r="I45" i="8" s="1"/>
  <c r="I64" i="8" s="1"/>
  <c r="I82" i="8" s="1"/>
  <c r="N48" i="8"/>
  <c r="D83" i="7"/>
  <c r="E83" i="7" s="1"/>
  <c r="F83" i="7" s="1"/>
  <c r="J37" i="8"/>
  <c r="J45" i="8" s="1"/>
  <c r="J64" i="8" s="1"/>
  <c r="J82" i="8" s="1"/>
  <c r="N24" i="8"/>
  <c r="C24" i="8" s="1"/>
  <c r="D26" i="7" s="1"/>
  <c r="E26" i="7" s="1"/>
  <c r="F26" i="7" s="1"/>
  <c r="G26" i="7" s="1"/>
  <c r="H26" i="7" s="1"/>
  <c r="I26" i="7" s="1"/>
  <c r="J26" i="7" s="1"/>
  <c r="G37" i="8"/>
  <c r="G45" i="8" s="1"/>
  <c r="G26" i="8"/>
  <c r="H37" i="8"/>
  <c r="H45" i="8" s="1"/>
  <c r="H64" i="8" s="1"/>
  <c r="H82" i="8" s="1"/>
  <c r="H26" i="8"/>
  <c r="C67" i="8"/>
  <c r="K37" i="8"/>
  <c r="K45" i="8" s="1"/>
  <c r="K64" i="8" s="1"/>
  <c r="K82" i="8" s="1"/>
  <c r="K26" i="8"/>
  <c r="AQ78" i="5"/>
  <c r="R70" i="6"/>
  <c r="R111" i="6" s="1"/>
  <c r="R56" i="5"/>
  <c r="R28" i="5"/>
  <c r="R117" i="5"/>
  <c r="AN85" i="5"/>
  <c r="H28" i="5"/>
  <c r="I135" i="5" s="1"/>
  <c r="P28" i="5"/>
  <c r="M125" i="5"/>
  <c r="M37" i="5"/>
  <c r="AI37" i="5" s="1"/>
  <c r="M38" i="5"/>
  <c r="H95" i="5"/>
  <c r="AD87" i="5"/>
  <c r="B117" i="5"/>
  <c r="J117" i="5"/>
  <c r="AA22" i="5"/>
  <c r="AA28" i="5"/>
  <c r="X37" i="5"/>
  <c r="X42" i="5"/>
  <c r="J118" i="5"/>
  <c r="AA51" i="5"/>
  <c r="K123" i="5"/>
  <c r="C64" i="5"/>
  <c r="AE97" i="5"/>
  <c r="J120" i="5"/>
  <c r="I119" i="5"/>
  <c r="AE92" i="5"/>
  <c r="AE91" i="5"/>
  <c r="AE89" i="5"/>
  <c r="AE84" i="5"/>
  <c r="AE82" i="5"/>
  <c r="I70" i="6"/>
  <c r="I120" i="5"/>
  <c r="AE78" i="5"/>
  <c r="AE102" i="5"/>
  <c r="AE83" i="5"/>
  <c r="AE101" i="5"/>
  <c r="I87" i="5"/>
  <c r="AE90" i="5"/>
  <c r="AE81" i="5"/>
  <c r="AN97" i="5"/>
  <c r="AN92" i="5"/>
  <c r="L77" i="8" s="1"/>
  <c r="N77" i="8" s="1"/>
  <c r="C77" i="8" s="1"/>
  <c r="C95" i="7" s="1"/>
  <c r="O95" i="7" s="1"/>
  <c r="AN91" i="5"/>
  <c r="AN89" i="5"/>
  <c r="AN84" i="5"/>
  <c r="AN82" i="5"/>
  <c r="AN98" i="5"/>
  <c r="AN90" i="5"/>
  <c r="AN81" i="5"/>
  <c r="AN77" i="5"/>
  <c r="R87" i="5"/>
  <c r="AN83" i="5"/>
  <c r="AN78" i="5"/>
  <c r="AE85" i="5"/>
  <c r="D140" i="5"/>
  <c r="D141" i="5"/>
  <c r="X14" i="5"/>
  <c r="C117" i="5"/>
  <c r="K38" i="5"/>
  <c r="AG64" i="5" s="1"/>
  <c r="G28" i="5"/>
  <c r="J37" i="5"/>
  <c r="J125" i="5"/>
  <c r="AA35" i="5"/>
  <c r="I37" i="5"/>
  <c r="F56" i="5"/>
  <c r="F64" i="5" s="1"/>
  <c r="AJ54" i="5"/>
  <c r="N56" i="5"/>
  <c r="M123" i="5"/>
  <c r="M64" i="5"/>
  <c r="AI64" i="5" s="1"/>
  <c r="E64" i="5"/>
  <c r="AA64" i="5" s="1"/>
  <c r="AE77" i="5"/>
  <c r="K127" i="5"/>
  <c r="K126" i="5"/>
  <c r="K99" i="5"/>
  <c r="K131" i="5" s="1"/>
  <c r="L118" i="5"/>
  <c r="M103" i="6"/>
  <c r="M88" i="6"/>
  <c r="M101" i="6"/>
  <c r="M116" i="6"/>
  <c r="M119" i="6"/>
  <c r="M113" i="6"/>
  <c r="M112" i="6"/>
  <c r="M109" i="6"/>
  <c r="M107" i="6"/>
  <c r="M114" i="6"/>
  <c r="M111" i="6"/>
  <c r="M97" i="6"/>
  <c r="M89" i="6"/>
  <c r="M83" i="6"/>
  <c r="M79" i="6"/>
  <c r="M80" i="6"/>
  <c r="M99" i="6"/>
  <c r="M86" i="6"/>
  <c r="M100" i="6"/>
  <c r="M87" i="6"/>
  <c r="M106" i="6"/>
  <c r="M82" i="6"/>
  <c r="M78" i="6"/>
  <c r="M90" i="6"/>
  <c r="M110" i="6"/>
  <c r="M96" i="6"/>
  <c r="M85" i="6"/>
  <c r="AA26" i="5"/>
  <c r="N37" i="5"/>
  <c r="X43" i="5"/>
  <c r="AA58" i="5"/>
  <c r="N38" i="5"/>
  <c r="N117" i="5"/>
  <c r="U117" i="5" s="1"/>
  <c r="AI36" i="5"/>
  <c r="AA38" i="5"/>
  <c r="K125" i="5"/>
  <c r="K37" i="5"/>
  <c r="X54" i="5"/>
  <c r="B56" i="5"/>
  <c r="B123" i="5" s="1"/>
  <c r="F144" i="5"/>
  <c r="F124" i="5"/>
  <c r="F70" i="6"/>
  <c r="G120" i="5"/>
  <c r="AB92" i="5"/>
  <c r="AB91" i="5"/>
  <c r="AB89" i="5"/>
  <c r="AB84" i="5"/>
  <c r="AB82" i="5"/>
  <c r="AB98" i="5"/>
  <c r="AB97" i="5"/>
  <c r="AB102" i="5"/>
  <c r="F135" i="5"/>
  <c r="F120" i="5"/>
  <c r="AB85" i="5"/>
  <c r="AB77" i="5"/>
  <c r="F125" i="5"/>
  <c r="K135" i="5"/>
  <c r="X45" i="5"/>
  <c r="X21" i="5"/>
  <c r="X61" i="5"/>
  <c r="X58" i="5"/>
  <c r="X33" i="5"/>
  <c r="B136" i="5"/>
  <c r="X31" i="5"/>
  <c r="X15" i="5"/>
  <c r="Z48" i="5"/>
  <c r="C144" i="5"/>
  <c r="C124" i="5"/>
  <c r="X63" i="5"/>
  <c r="C123" i="5"/>
  <c r="AA61" i="5"/>
  <c r="AA47" i="5"/>
  <c r="AA63" i="5"/>
  <c r="AA42" i="5"/>
  <c r="AA34" i="5"/>
  <c r="AA44" i="5"/>
  <c r="AA32" i="5"/>
  <c r="AA16" i="5"/>
  <c r="AA53" i="5"/>
  <c r="AA45" i="5"/>
  <c r="AA31" i="5"/>
  <c r="AA23" i="5"/>
  <c r="AA15" i="5"/>
  <c r="AA14" i="5"/>
  <c r="AA20" i="5"/>
  <c r="AA62" i="5"/>
  <c r="X36" i="5"/>
  <c r="X38" i="5"/>
  <c r="F38" i="5"/>
  <c r="Q135" i="5"/>
  <c r="AK28" i="5"/>
  <c r="O37" i="5"/>
  <c r="AA36" i="5"/>
  <c r="AA43" i="5"/>
  <c r="I56" i="5"/>
  <c r="I64" i="5" s="1"/>
  <c r="AA13" i="5"/>
  <c r="O117" i="5"/>
  <c r="O38" i="5"/>
  <c r="AK24" i="5" s="1"/>
  <c r="C28" i="5"/>
  <c r="C135" i="5" s="1"/>
  <c r="E135" i="5"/>
  <c r="D38" i="5"/>
  <c r="Z36" i="5" s="1"/>
  <c r="AJ28" i="5"/>
  <c r="R37" i="5"/>
  <c r="O56" i="5"/>
  <c r="AK56" i="5" s="1"/>
  <c r="O118" i="5"/>
  <c r="U118" i="5" s="1"/>
  <c r="X50" i="5"/>
  <c r="J124" i="5"/>
  <c r="J56" i="5"/>
  <c r="N144" i="5"/>
  <c r="N124" i="5"/>
  <c r="N119" i="5"/>
  <c r="N70" i="6"/>
  <c r="N135" i="5"/>
  <c r="AJ92" i="5"/>
  <c r="H77" i="8" s="1"/>
  <c r="AJ91" i="5"/>
  <c r="AJ89" i="5"/>
  <c r="AJ84" i="5"/>
  <c r="AJ82" i="5"/>
  <c r="AJ85" i="5"/>
  <c r="AJ83" i="5"/>
  <c r="AJ78" i="5"/>
  <c r="N87" i="5"/>
  <c r="AJ81" i="5"/>
  <c r="AJ90" i="5"/>
  <c r="O120" i="5"/>
  <c r="N120" i="5"/>
  <c r="H117" i="5"/>
  <c r="X20" i="5"/>
  <c r="L28" i="5"/>
  <c r="AA24" i="5"/>
  <c r="E125" i="5"/>
  <c r="E37" i="5"/>
  <c r="AA37" i="5" s="1"/>
  <c r="D37" i="5"/>
  <c r="J38" i="5"/>
  <c r="AF48" i="5" s="1"/>
  <c r="X44" i="5"/>
  <c r="AA50" i="5"/>
  <c r="G56" i="5"/>
  <c r="G144" i="5"/>
  <c r="G139" i="5" s="1"/>
  <c r="G125" i="5"/>
  <c r="G124" i="5"/>
  <c r="G123" i="5"/>
  <c r="G64" i="5"/>
  <c r="O144" i="5"/>
  <c r="O139" i="5" s="1"/>
  <c r="O125" i="5"/>
  <c r="AK63" i="5"/>
  <c r="O124" i="5"/>
  <c r="F87" i="5"/>
  <c r="AN93" i="5"/>
  <c r="AG54" i="5"/>
  <c r="K124" i="5"/>
  <c r="H139" i="5"/>
  <c r="H142" i="5" s="1"/>
  <c r="H124" i="5"/>
  <c r="H123" i="5"/>
  <c r="H64" i="5"/>
  <c r="P144" i="5"/>
  <c r="P139" i="5" s="1"/>
  <c r="P125" i="5"/>
  <c r="J103" i="6"/>
  <c r="I116" i="6"/>
  <c r="I117" i="5"/>
  <c r="I38" i="5"/>
  <c r="E118" i="5"/>
  <c r="AA48" i="5"/>
  <c r="I144" i="5"/>
  <c r="R125" i="5"/>
  <c r="R124" i="5"/>
  <c r="R144" i="5"/>
  <c r="AB86" i="5"/>
  <c r="AJ86" i="5"/>
  <c r="AA86" i="5"/>
  <c r="B87" i="5"/>
  <c r="B79" i="6"/>
  <c r="N9" i="7"/>
  <c r="B77" i="7"/>
  <c r="P118" i="5"/>
  <c r="P56" i="5"/>
  <c r="P123" i="5" s="1"/>
  <c r="D139" i="5"/>
  <c r="D125" i="5"/>
  <c r="L124" i="5"/>
  <c r="L144" i="5"/>
  <c r="L139" i="5" s="1"/>
  <c r="L125" i="5"/>
  <c r="Z63" i="5"/>
  <c r="G135" i="5"/>
  <c r="AC102" i="5"/>
  <c r="AC101" i="5"/>
  <c r="G87" i="5"/>
  <c r="AC81" i="5"/>
  <c r="AC77" i="5"/>
  <c r="AC91" i="5"/>
  <c r="AC89" i="5"/>
  <c r="G70" i="6"/>
  <c r="AC90" i="5"/>
  <c r="AC92" i="5"/>
  <c r="AC84" i="5"/>
  <c r="AC82" i="5"/>
  <c r="Q120" i="5"/>
  <c r="O70" i="6"/>
  <c r="O119" i="6" s="1"/>
  <c r="O135" i="5"/>
  <c r="P120" i="5"/>
  <c r="O119" i="5"/>
  <c r="O87" i="5"/>
  <c r="AK81" i="5"/>
  <c r="AK77" i="5"/>
  <c r="AK98" i="5"/>
  <c r="AK97" i="5"/>
  <c r="AC83" i="5"/>
  <c r="AE86" i="5"/>
  <c r="AN86" i="5"/>
  <c r="B140" i="5"/>
  <c r="M118" i="6"/>
  <c r="M56" i="6"/>
  <c r="M117" i="6" s="1"/>
  <c r="B117" i="6"/>
  <c r="B107" i="6"/>
  <c r="B86" i="6"/>
  <c r="B97" i="6"/>
  <c r="B88" i="6"/>
  <c r="B76" i="6"/>
  <c r="B99" i="6"/>
  <c r="B80" i="6"/>
  <c r="B101" i="6"/>
  <c r="B100" i="6"/>
  <c r="B83" i="6"/>
  <c r="AI17" i="5"/>
  <c r="AE48" i="5"/>
  <c r="R118" i="5"/>
  <c r="C56" i="5"/>
  <c r="AK93" i="5"/>
  <c r="F68" i="6"/>
  <c r="P57" i="6"/>
  <c r="D109" i="6"/>
  <c r="D106" i="6"/>
  <c r="D88" i="6"/>
  <c r="D119" i="6"/>
  <c r="D100" i="6"/>
  <c r="D98" i="6"/>
  <c r="D77" i="6"/>
  <c r="D99" i="6"/>
  <c r="D96" i="6"/>
  <c r="D80" i="6"/>
  <c r="D116" i="6"/>
  <c r="D114" i="6"/>
  <c r="D107" i="6"/>
  <c r="D97" i="6"/>
  <c r="D118" i="6"/>
  <c r="D81" i="6"/>
  <c r="D87" i="6"/>
  <c r="D117" i="5"/>
  <c r="L117" i="5"/>
  <c r="D56" i="5"/>
  <c r="L56" i="5"/>
  <c r="L123" i="5" s="1"/>
  <c r="B125" i="5"/>
  <c r="H70" i="6"/>
  <c r="T108" i="6" s="1"/>
  <c r="AD78" i="5"/>
  <c r="AD98" i="5"/>
  <c r="P70" i="6"/>
  <c r="P103" i="6" s="1"/>
  <c r="AL78" i="5"/>
  <c r="AL98" i="5"/>
  <c r="AD83" i="5"/>
  <c r="AD85" i="5"/>
  <c r="AH89" i="5"/>
  <c r="Y90" i="5"/>
  <c r="AH91" i="5"/>
  <c r="J95" i="5"/>
  <c r="AG97" i="5"/>
  <c r="AD101" i="5"/>
  <c r="P116" i="6"/>
  <c r="N118" i="6"/>
  <c r="C70" i="6"/>
  <c r="Y78" i="5"/>
  <c r="K70" i="6"/>
  <c r="K116" i="6" s="1"/>
  <c r="AG78" i="5"/>
  <c r="Y81" i="5"/>
  <c r="AG82" i="5"/>
  <c r="AH83" i="5"/>
  <c r="AG84" i="5"/>
  <c r="AH85" i="5"/>
  <c r="AG86" i="5"/>
  <c r="C87" i="5"/>
  <c r="AG92" i="5"/>
  <c r="AH93" i="5"/>
  <c r="AG101" i="5"/>
  <c r="L135" i="5"/>
  <c r="U15" i="6"/>
  <c r="J68" i="6"/>
  <c r="U17" i="6"/>
  <c r="E120" i="5"/>
  <c r="D87" i="5"/>
  <c r="Z81" i="5"/>
  <c r="Z77" i="5"/>
  <c r="Z97" i="5"/>
  <c r="M120" i="5"/>
  <c r="L70" i="6"/>
  <c r="L117" i="6" s="1"/>
  <c r="AH102" i="5"/>
  <c r="AH101" i="5"/>
  <c r="L87" i="5"/>
  <c r="AH81" i="5"/>
  <c r="AH77" i="5"/>
  <c r="AH97" i="5"/>
  <c r="Z78" i="5"/>
  <c r="AH82" i="5"/>
  <c r="AH84" i="5"/>
  <c r="Y85" i="5"/>
  <c r="AH92" i="5"/>
  <c r="K120" i="5"/>
  <c r="M141" i="5"/>
  <c r="M140" i="5"/>
  <c r="E144" i="5"/>
  <c r="E70" i="6"/>
  <c r="AA83" i="5"/>
  <c r="AI83" i="5"/>
  <c r="AA85" i="5"/>
  <c r="AI85" i="5"/>
  <c r="AA90" i="5"/>
  <c r="AI90" i="5"/>
  <c r="M135" i="5"/>
  <c r="C38" i="8"/>
  <c r="N38" i="8"/>
  <c r="B124" i="5"/>
  <c r="B135" i="5"/>
  <c r="J70" i="6"/>
  <c r="J135" i="5"/>
  <c r="X83" i="5"/>
  <c r="AF83" i="5"/>
  <c r="X85" i="5"/>
  <c r="AF85" i="5"/>
  <c r="X90" i="5"/>
  <c r="AF90" i="5"/>
  <c r="AF93" i="5"/>
  <c r="AA98" i="5"/>
  <c r="AI98" i="5"/>
  <c r="O57" i="6"/>
  <c r="U118" i="6" s="1"/>
  <c r="N56" i="6"/>
  <c r="N73" i="8"/>
  <c r="P119" i="6"/>
  <c r="S57" i="6"/>
  <c r="S56" i="6" s="1"/>
  <c r="S117" i="6" s="1"/>
  <c r="R56" i="6"/>
  <c r="J116" i="6"/>
  <c r="N86" i="7"/>
  <c r="A83" i="8"/>
  <c r="D87" i="7"/>
  <c r="E87" i="7" s="1"/>
  <c r="F87" i="7" s="1"/>
  <c r="G87" i="7" s="1"/>
  <c r="H87" i="7" s="1"/>
  <c r="I87" i="7" s="1"/>
  <c r="J87" i="7" s="1"/>
  <c r="M98" i="7"/>
  <c r="M92" i="7"/>
  <c r="M95" i="7"/>
  <c r="B48" i="7"/>
  <c r="A156" i="7"/>
  <c r="A168" i="7" s="1"/>
  <c r="B17" i="7"/>
  <c r="M105" i="7"/>
  <c r="M96" i="7"/>
  <c r="N77" i="7"/>
  <c r="B36" i="7"/>
  <c r="N94" i="7"/>
  <c r="N87" i="7"/>
  <c r="N85" i="7"/>
  <c r="N80" i="7"/>
  <c r="N105" i="7"/>
  <c r="N100" i="7"/>
  <c r="N104" i="7"/>
  <c r="A72" i="7"/>
  <c r="M72" i="7" s="1"/>
  <c r="N93" i="7"/>
  <c r="N79" i="7"/>
  <c r="N84" i="7"/>
  <c r="B88" i="7"/>
  <c r="N88" i="7" s="1"/>
  <c r="N95" i="7"/>
  <c r="C15" i="7"/>
  <c r="D15" i="7" s="1"/>
  <c r="E15" i="7" s="1"/>
  <c r="F15" i="7" s="1"/>
  <c r="G15" i="7" s="1"/>
  <c r="H15" i="7" s="1"/>
  <c r="I15" i="7" s="1"/>
  <c r="J15" i="7" s="1"/>
  <c r="K15" i="7" s="1"/>
  <c r="N92" i="7"/>
  <c r="M4" i="7"/>
  <c r="A86" i="8"/>
  <c r="M104" i="7"/>
  <c r="B55" i="7"/>
  <c r="M93" i="7"/>
  <c r="N83" i="7"/>
  <c r="B96" i="7"/>
  <c r="N96" i="7" s="1"/>
  <c r="N91" i="7"/>
  <c r="N101" i="7"/>
  <c r="B24" i="7"/>
  <c r="B64" i="7"/>
  <c r="C62" i="7"/>
  <c r="D62" i="7" s="1"/>
  <c r="E62" i="7" s="1"/>
  <c r="F62" i="7" s="1"/>
  <c r="G62" i="7" s="1"/>
  <c r="H62" i="7" s="1"/>
  <c r="I62" i="7" s="1"/>
  <c r="J62" i="7" s="1"/>
  <c r="K62" i="7" s="1"/>
  <c r="M91" i="7"/>
  <c r="A82" i="8"/>
  <c r="A84" i="8"/>
  <c r="C9" i="7"/>
  <c r="C50" i="7"/>
  <c r="O84" i="7"/>
  <c r="O100" i="7"/>
  <c r="O87" i="7"/>
  <c r="C46" i="7"/>
  <c r="O79" i="7"/>
  <c r="O104" i="7"/>
  <c r="O105" i="7"/>
  <c r="S86" i="6"/>
  <c r="S106" i="6"/>
  <c r="S111" i="6"/>
  <c r="S78" i="6"/>
  <c r="S107" i="6"/>
  <c r="S116" i="6"/>
  <c r="S141" i="5"/>
  <c r="S142" i="5" s="1"/>
  <c r="S73" i="6"/>
  <c r="S82" i="6"/>
  <c r="S83" i="6"/>
  <c r="S89" i="6"/>
  <c r="S100" i="6"/>
  <c r="S109" i="6"/>
  <c r="S99" i="6"/>
  <c r="S87" i="6"/>
  <c r="S79" i="6"/>
  <c r="S96" i="6"/>
  <c r="S80" i="6"/>
  <c r="S92" i="6"/>
  <c r="S97" i="6"/>
  <c r="S98" i="6"/>
  <c r="S103" i="6"/>
  <c r="S110" i="6"/>
  <c r="S112" i="6"/>
  <c r="S113" i="6"/>
  <c r="S88" i="6"/>
  <c r="S90" i="6"/>
  <c r="S101" i="6"/>
  <c r="S85" i="6"/>
  <c r="S114" i="6"/>
  <c r="A74" i="7"/>
  <c r="U125" i="5" l="1"/>
  <c r="U111" i="6"/>
  <c r="U100" i="6"/>
  <c r="U88" i="6"/>
  <c r="U79" i="6"/>
  <c r="U110" i="6"/>
  <c r="U99" i="6"/>
  <c r="U87" i="6"/>
  <c r="U109" i="6"/>
  <c r="U116" i="6"/>
  <c r="U107" i="6"/>
  <c r="U96" i="6"/>
  <c r="U83" i="6"/>
  <c r="U77" i="6"/>
  <c r="U114" i="6"/>
  <c r="U106" i="6"/>
  <c r="U82" i="6"/>
  <c r="U76" i="6"/>
  <c r="U113" i="6"/>
  <c r="U103" i="6"/>
  <c r="U90" i="6"/>
  <c r="U81" i="6"/>
  <c r="U70" i="6"/>
  <c r="U108" i="6"/>
  <c r="U95" i="6"/>
  <c r="U86" i="6"/>
  <c r="U85" i="6"/>
  <c r="U101" i="6"/>
  <c r="U80" i="6"/>
  <c r="U98" i="6"/>
  <c r="U97" i="6"/>
  <c r="U89" i="6"/>
  <c r="U112" i="6"/>
  <c r="B109" i="6"/>
  <c r="B81" i="6"/>
  <c r="B111" i="6"/>
  <c r="B114" i="6"/>
  <c r="K103" i="6"/>
  <c r="AK48" i="5"/>
  <c r="X35" i="5"/>
  <c r="D76" i="6"/>
  <c r="D117" i="6"/>
  <c r="D79" i="6"/>
  <c r="D95" i="6"/>
  <c r="B118" i="6"/>
  <c r="B106" i="6"/>
  <c r="B116" i="6"/>
  <c r="AA87" i="5"/>
  <c r="H125" i="5"/>
  <c r="U124" i="5"/>
  <c r="X26" i="5"/>
  <c r="R106" i="6"/>
  <c r="AF17" i="5"/>
  <c r="G39" i="8"/>
  <c r="G41" i="8"/>
  <c r="L46" i="8"/>
  <c r="S135" i="5"/>
  <c r="L68" i="8"/>
  <c r="N68" i="8" s="1"/>
  <c r="L47" i="8"/>
  <c r="P95" i="5"/>
  <c r="AL87" i="5"/>
  <c r="AA56" i="5"/>
  <c r="AA33" i="5"/>
  <c r="AG17" i="5"/>
  <c r="AQ45" i="5"/>
  <c r="AQ20" i="5"/>
  <c r="AQ32" i="5"/>
  <c r="AQ50" i="5"/>
  <c r="AQ14" i="5"/>
  <c r="U38" i="5"/>
  <c r="H41" i="8"/>
  <c r="AQ61" i="5"/>
  <c r="AQ58" i="5"/>
  <c r="H39" i="8"/>
  <c r="AQ38" i="5"/>
  <c r="AQ53" i="5"/>
  <c r="N117" i="6"/>
  <c r="R119" i="6"/>
  <c r="N119" i="6"/>
  <c r="E136" i="5"/>
  <c r="U120" i="5"/>
  <c r="B125" i="7" s="1"/>
  <c r="N136" i="5"/>
  <c r="R78" i="6"/>
  <c r="AB75" i="5"/>
  <c r="B95" i="6"/>
  <c r="AA75" i="5"/>
  <c r="I39" i="8"/>
  <c r="I41" i="8"/>
  <c r="R100" i="6"/>
  <c r="AF37" i="5"/>
  <c r="D78" i="6"/>
  <c r="D86" i="6"/>
  <c r="D82" i="6"/>
  <c r="D103" i="6"/>
  <c r="B85" i="6"/>
  <c r="B119" i="6"/>
  <c r="B113" i="6"/>
  <c r="X22" i="5"/>
  <c r="U144" i="5"/>
  <c r="AJ36" i="5"/>
  <c r="M95" i="5"/>
  <c r="G83" i="8" s="1"/>
  <c r="X48" i="5"/>
  <c r="X51" i="5"/>
  <c r="X28" i="5"/>
  <c r="AQ56" i="5"/>
  <c r="U56" i="5"/>
  <c r="U119" i="6"/>
  <c r="AQ87" i="5"/>
  <c r="U87" i="5"/>
  <c r="U37" i="5"/>
  <c r="AQ37" i="5"/>
  <c r="AJ63" i="5"/>
  <c r="Z37" i="5"/>
  <c r="AG28" i="5"/>
  <c r="AE37" i="5"/>
  <c r="P135" i="5"/>
  <c r="J68" i="8"/>
  <c r="J47" i="8"/>
  <c r="J46" i="8"/>
  <c r="X62" i="5"/>
  <c r="X34" i="5"/>
  <c r="X32" i="5"/>
  <c r="X23" i="5"/>
  <c r="Z56" i="5"/>
  <c r="D101" i="6"/>
  <c r="D85" i="6"/>
  <c r="D111" i="6"/>
  <c r="B98" i="6"/>
  <c r="B96" i="6"/>
  <c r="B103" i="6"/>
  <c r="O136" i="5"/>
  <c r="X16" i="5"/>
  <c r="U119" i="5"/>
  <c r="B124" i="7" s="1"/>
  <c r="X24" i="5"/>
  <c r="AK37" i="5"/>
  <c r="X47" i="5"/>
  <c r="X53" i="5"/>
  <c r="R80" i="6"/>
  <c r="X13" i="5"/>
  <c r="AQ24" i="5"/>
  <c r="AQ36" i="5"/>
  <c r="AQ54" i="5"/>
  <c r="R135" i="5"/>
  <c r="C47" i="8"/>
  <c r="D52" i="7"/>
  <c r="N42" i="8"/>
  <c r="G64" i="8"/>
  <c r="G82" i="8" s="1"/>
  <c r="N40" i="8"/>
  <c r="E52" i="7"/>
  <c r="R88" i="6"/>
  <c r="R116" i="6"/>
  <c r="R90" i="6"/>
  <c r="C40" i="8"/>
  <c r="C44" i="7" s="1"/>
  <c r="R99" i="6"/>
  <c r="R96" i="6"/>
  <c r="B129" i="7"/>
  <c r="R123" i="5"/>
  <c r="R97" i="6"/>
  <c r="R109" i="6"/>
  <c r="R107" i="6"/>
  <c r="R98" i="6"/>
  <c r="B57" i="7"/>
  <c r="B65" i="7" s="1"/>
  <c r="R113" i="6"/>
  <c r="R112" i="6"/>
  <c r="R83" i="6"/>
  <c r="R110" i="6"/>
  <c r="R87" i="6"/>
  <c r="R101" i="6"/>
  <c r="R114" i="6"/>
  <c r="R38" i="5"/>
  <c r="R79" i="6"/>
  <c r="R82" i="6"/>
  <c r="R117" i="6"/>
  <c r="R64" i="5"/>
  <c r="R103" i="6"/>
  <c r="R89" i="6"/>
  <c r="R86" i="6"/>
  <c r="R85" i="6"/>
  <c r="C116" i="6"/>
  <c r="C114" i="6"/>
  <c r="C107" i="6"/>
  <c r="C109" i="6"/>
  <c r="C106" i="6"/>
  <c r="C119" i="6"/>
  <c r="C103" i="6"/>
  <c r="C82" i="6"/>
  <c r="C79" i="6"/>
  <c r="C118" i="6"/>
  <c r="C117" i="6"/>
  <c r="C96" i="6"/>
  <c r="C90" i="6"/>
  <c r="C100" i="6"/>
  <c r="C88" i="6"/>
  <c r="C99" i="6"/>
  <c r="C97" i="6"/>
  <c r="C80" i="6"/>
  <c r="C98" i="6"/>
  <c r="C101" i="6"/>
  <c r="C86" i="6"/>
  <c r="C81" i="6"/>
  <c r="C85" i="6"/>
  <c r="C95" i="6"/>
  <c r="C111" i="6"/>
  <c r="R141" i="5"/>
  <c r="R139" i="5"/>
  <c r="R140" i="5"/>
  <c r="AB44" i="5"/>
  <c r="AB61" i="5"/>
  <c r="AB47" i="5"/>
  <c r="AB20" i="5"/>
  <c r="AB16" i="5"/>
  <c r="AB53" i="5"/>
  <c r="AB45" i="5"/>
  <c r="AB42" i="5"/>
  <c r="AB36" i="5"/>
  <c r="AB31" i="5"/>
  <c r="AB23" i="5"/>
  <c r="AB15" i="5"/>
  <c r="AB14" i="5"/>
  <c r="AB43" i="5"/>
  <c r="AB35" i="5"/>
  <c r="AB22" i="5"/>
  <c r="AB62" i="5"/>
  <c r="AB50" i="5"/>
  <c r="AB34" i="5"/>
  <c r="AB13" i="5"/>
  <c r="AB58" i="5"/>
  <c r="AB26" i="5"/>
  <c r="AB21" i="5"/>
  <c r="AB32" i="5"/>
  <c r="AB17" i="5"/>
  <c r="AB38" i="5"/>
  <c r="AB46" i="5"/>
  <c r="AB48" i="5"/>
  <c r="AB37" i="5"/>
  <c r="AB51" i="5"/>
  <c r="AB52" i="5"/>
  <c r="AB33" i="5"/>
  <c r="AB24" i="5"/>
  <c r="AB64" i="5"/>
  <c r="B122" i="7"/>
  <c r="Q73" i="6"/>
  <c r="Q31" i="6"/>
  <c r="Q92" i="6" s="1"/>
  <c r="AB87" i="5"/>
  <c r="F95" i="5"/>
  <c r="AF56" i="5"/>
  <c r="J64" i="5"/>
  <c r="AF64" i="5" s="1"/>
  <c r="J123" i="5"/>
  <c r="F140" i="5"/>
  <c r="F141" i="5"/>
  <c r="S118" i="6"/>
  <c r="D95" i="5"/>
  <c r="Z87" i="5"/>
  <c r="Q118" i="6"/>
  <c r="Q56" i="6"/>
  <c r="Q117" i="6" s="1"/>
  <c r="X87" i="5"/>
  <c r="B95" i="5"/>
  <c r="AE52" i="5"/>
  <c r="AE46" i="5"/>
  <c r="AE38" i="5"/>
  <c r="AE35" i="5"/>
  <c r="AE33" i="5"/>
  <c r="AE15" i="5"/>
  <c r="AE21" i="5"/>
  <c r="AE13" i="5"/>
  <c r="AE34" i="5"/>
  <c r="AE20" i="5"/>
  <c r="AE61" i="5"/>
  <c r="AE58" i="5"/>
  <c r="AE51" i="5"/>
  <c r="AE32" i="5"/>
  <c r="AE24" i="5"/>
  <c r="AE43" i="5"/>
  <c r="AE26" i="5"/>
  <c r="AE23" i="5"/>
  <c r="AE62" i="5"/>
  <c r="AE17" i="5"/>
  <c r="AE14" i="5"/>
  <c r="AE45" i="5"/>
  <c r="AE63" i="5"/>
  <c r="AE42" i="5"/>
  <c r="AE47" i="5"/>
  <c r="AE44" i="5"/>
  <c r="AE31" i="5"/>
  <c r="AE22" i="5"/>
  <c r="AE53" i="5"/>
  <c r="AE50" i="5"/>
  <c r="AE36" i="5"/>
  <c r="AE28" i="5"/>
  <c r="AE16" i="5"/>
  <c r="O140" i="5"/>
  <c r="O141" i="5"/>
  <c r="O142" i="5" s="1"/>
  <c r="G140" i="5"/>
  <c r="G141" i="5"/>
  <c r="Z62" i="5"/>
  <c r="Z58" i="5"/>
  <c r="Z50" i="5"/>
  <c r="Z38" i="5"/>
  <c r="Z51" i="5"/>
  <c r="Z43" i="5"/>
  <c r="Z32" i="5"/>
  <c r="Z17" i="5"/>
  <c r="Z44" i="5"/>
  <c r="Z42" i="5"/>
  <c r="Z16" i="5"/>
  <c r="Z54" i="5"/>
  <c r="Z21" i="5"/>
  <c r="Z13" i="5"/>
  <c r="Z53" i="5"/>
  <c r="Z33" i="5"/>
  <c r="Z34" i="5"/>
  <c r="Z15" i="5"/>
  <c r="Z23" i="5"/>
  <c r="Z45" i="5"/>
  <c r="Z47" i="5"/>
  <c r="Z35" i="5"/>
  <c r="Z20" i="5"/>
  <c r="Z61" i="5"/>
  <c r="Z31" i="5"/>
  <c r="Z28" i="5"/>
  <c r="Z22" i="5"/>
  <c r="Z26" i="5"/>
  <c r="Z14" i="5"/>
  <c r="C140" i="5"/>
  <c r="C141" i="5"/>
  <c r="F136" i="5"/>
  <c r="AB56" i="5"/>
  <c r="I118" i="6"/>
  <c r="I110" i="6"/>
  <c r="I98" i="6"/>
  <c r="I96" i="6"/>
  <c r="I85" i="6"/>
  <c r="I82" i="6"/>
  <c r="I111" i="6"/>
  <c r="I101" i="6"/>
  <c r="I89" i="6"/>
  <c r="I87" i="6"/>
  <c r="I106" i="6"/>
  <c r="I80" i="6"/>
  <c r="I114" i="6"/>
  <c r="I83" i="6"/>
  <c r="I86" i="6"/>
  <c r="I103" i="6"/>
  <c r="I109" i="6"/>
  <c r="I107" i="6"/>
  <c r="I113" i="6"/>
  <c r="I79" i="6"/>
  <c r="I88" i="6"/>
  <c r="I112" i="6"/>
  <c r="I99" i="6"/>
  <c r="I100" i="6"/>
  <c r="I90" i="6"/>
  <c r="I78" i="6"/>
  <c r="I97" i="6"/>
  <c r="L103" i="6"/>
  <c r="E103" i="6"/>
  <c r="E88" i="6"/>
  <c r="E108" i="6"/>
  <c r="E101" i="6"/>
  <c r="E117" i="6"/>
  <c r="E118" i="6"/>
  <c r="E99" i="6"/>
  <c r="E96" i="6"/>
  <c r="E85" i="6"/>
  <c r="E80" i="6"/>
  <c r="E90" i="6"/>
  <c r="E87" i="6"/>
  <c r="E111" i="6"/>
  <c r="E100" i="6"/>
  <c r="E97" i="6"/>
  <c r="E83" i="6"/>
  <c r="E113" i="6"/>
  <c r="E106" i="6"/>
  <c r="E77" i="6"/>
  <c r="E82" i="6"/>
  <c r="E116" i="6"/>
  <c r="E109" i="6"/>
  <c r="E79" i="6"/>
  <c r="E86" i="6"/>
  <c r="E119" i="6"/>
  <c r="E78" i="6"/>
  <c r="O95" i="5"/>
  <c r="I83" i="8" s="1"/>
  <c r="AK87" i="5"/>
  <c r="G100" i="6"/>
  <c r="G90" i="6"/>
  <c r="G87" i="6"/>
  <c r="G86" i="6"/>
  <c r="G119" i="6"/>
  <c r="G111" i="6"/>
  <c r="G99" i="6"/>
  <c r="G97" i="6"/>
  <c r="G89" i="6"/>
  <c r="G114" i="6"/>
  <c r="G116" i="6"/>
  <c r="G106" i="6"/>
  <c r="G83" i="6"/>
  <c r="G79" i="6"/>
  <c r="G107" i="6"/>
  <c r="G101" i="6"/>
  <c r="G112" i="6"/>
  <c r="G109" i="6"/>
  <c r="G88" i="6"/>
  <c r="G82" i="6"/>
  <c r="G118" i="6"/>
  <c r="G98" i="6"/>
  <c r="G85" i="6"/>
  <c r="G78" i="6"/>
  <c r="G96" i="6"/>
  <c r="G80" i="6"/>
  <c r="G117" i="6"/>
  <c r="G103" i="6"/>
  <c r="G113" i="6"/>
  <c r="O123" i="5"/>
  <c r="P38" i="5"/>
  <c r="AQ46" i="5" s="1"/>
  <c r="N95" i="5"/>
  <c r="AJ87" i="5"/>
  <c r="F101" i="6"/>
  <c r="F100" i="6"/>
  <c r="F90" i="6"/>
  <c r="F87" i="6"/>
  <c r="F86" i="6"/>
  <c r="F117" i="6"/>
  <c r="F112" i="6"/>
  <c r="F109" i="6"/>
  <c r="F96" i="6"/>
  <c r="F80" i="6"/>
  <c r="F107" i="6"/>
  <c r="F77" i="6"/>
  <c r="F113" i="6"/>
  <c r="F78" i="6"/>
  <c r="F97" i="6"/>
  <c r="F82" i="6"/>
  <c r="F111" i="6"/>
  <c r="F119" i="6"/>
  <c r="F114" i="6"/>
  <c r="F83" i="6"/>
  <c r="F85" i="6"/>
  <c r="F103" i="6"/>
  <c r="F118" i="6"/>
  <c r="F99" i="6"/>
  <c r="F116" i="6"/>
  <c r="F79" i="6"/>
  <c r="F106" i="6"/>
  <c r="F88" i="6"/>
  <c r="X56" i="5"/>
  <c r="B64" i="5"/>
  <c r="X64" i="5" s="1"/>
  <c r="J136" i="5"/>
  <c r="AB54" i="5"/>
  <c r="H135" i="5"/>
  <c r="G38" i="5"/>
  <c r="AC56" i="5" s="1"/>
  <c r="G37" i="5"/>
  <c r="D123" i="5"/>
  <c r="AJ56" i="5"/>
  <c r="N123" i="5"/>
  <c r="L114" i="6"/>
  <c r="L113" i="6"/>
  <c r="L109" i="6"/>
  <c r="L107" i="6"/>
  <c r="L106" i="6"/>
  <c r="L88" i="6"/>
  <c r="L90" i="6"/>
  <c r="L86" i="6"/>
  <c r="L82" i="6"/>
  <c r="L100" i="6"/>
  <c r="L78" i="6"/>
  <c r="L111" i="6"/>
  <c r="L97" i="6"/>
  <c r="L89" i="6"/>
  <c r="L83" i="6"/>
  <c r="L79" i="6"/>
  <c r="L101" i="6"/>
  <c r="L87" i="6"/>
  <c r="L98" i="6"/>
  <c r="L85" i="6"/>
  <c r="L99" i="6"/>
  <c r="L110" i="6"/>
  <c r="L96" i="6"/>
  <c r="L112" i="6"/>
  <c r="L80" i="6"/>
  <c r="Q110" i="6"/>
  <c r="Q99" i="6"/>
  <c r="Q87" i="6"/>
  <c r="Q98" i="6"/>
  <c r="Q86" i="6"/>
  <c r="Q85" i="6"/>
  <c r="Q107" i="6"/>
  <c r="Q109" i="6"/>
  <c r="Q97" i="6"/>
  <c r="Q96" i="6"/>
  <c r="Q112" i="6"/>
  <c r="Q101" i="6"/>
  <c r="Q89" i="6"/>
  <c r="Q79" i="6"/>
  <c r="Q111" i="6"/>
  <c r="Q100" i="6"/>
  <c r="Q88" i="6"/>
  <c r="Q78" i="6"/>
  <c r="Q116" i="6"/>
  <c r="Q83" i="6"/>
  <c r="Q114" i="6"/>
  <c r="Q106" i="6"/>
  <c r="Q82" i="6"/>
  <c r="Q113" i="6"/>
  <c r="Q103" i="6"/>
  <c r="Q90" i="6"/>
  <c r="Q80" i="6"/>
  <c r="Q119" i="6"/>
  <c r="O100" i="6"/>
  <c r="O90" i="6"/>
  <c r="O87" i="6"/>
  <c r="O86" i="6"/>
  <c r="O111" i="6"/>
  <c r="O99" i="6"/>
  <c r="O97" i="6"/>
  <c r="O89" i="6"/>
  <c r="O79" i="6"/>
  <c r="O113" i="6"/>
  <c r="O112" i="6"/>
  <c r="O109" i="6"/>
  <c r="O88" i="6"/>
  <c r="O82" i="6"/>
  <c r="O80" i="6"/>
  <c r="O110" i="6"/>
  <c r="O103" i="6"/>
  <c r="O96" i="6"/>
  <c r="O85" i="6"/>
  <c r="O106" i="6"/>
  <c r="O78" i="6"/>
  <c r="O107" i="6"/>
  <c r="O114" i="6"/>
  <c r="O98" i="6"/>
  <c r="O116" i="6"/>
  <c r="O101" i="6"/>
  <c r="O83" i="6"/>
  <c r="M127" i="5"/>
  <c r="M126" i="5"/>
  <c r="AI95" i="5"/>
  <c r="M142" i="5"/>
  <c r="AJ44" i="5"/>
  <c r="AJ62" i="5"/>
  <c r="AJ58" i="5"/>
  <c r="AJ51" i="5"/>
  <c r="AJ50" i="5"/>
  <c r="AJ42" i="5"/>
  <c r="AJ20" i="5"/>
  <c r="AJ16" i="5"/>
  <c r="H14" i="8" s="1"/>
  <c r="AJ32" i="5"/>
  <c r="AJ61" i="5"/>
  <c r="AJ31" i="5"/>
  <c r="AJ23" i="5"/>
  <c r="AJ15" i="5"/>
  <c r="AJ14" i="5"/>
  <c r="AJ38" i="5"/>
  <c r="AJ21" i="5"/>
  <c r="AJ35" i="5"/>
  <c r="H32" i="8" s="1"/>
  <c r="AJ22" i="5"/>
  <c r="AJ52" i="5"/>
  <c r="AJ24" i="5"/>
  <c r="AJ47" i="5"/>
  <c r="H43" i="8" s="1"/>
  <c r="AJ33" i="5"/>
  <c r="H30" i="8" s="1"/>
  <c r="AJ53" i="5"/>
  <c r="H49" i="8" s="1"/>
  <c r="AJ34" i="5"/>
  <c r="AJ46" i="5"/>
  <c r="AJ43" i="5"/>
  <c r="AJ26" i="5"/>
  <c r="AJ48" i="5"/>
  <c r="AJ45" i="5"/>
  <c r="AJ17" i="5"/>
  <c r="AJ13" i="5"/>
  <c r="B123" i="7"/>
  <c r="I95" i="5"/>
  <c r="AE87" i="5"/>
  <c r="AL28" i="5"/>
  <c r="P37" i="5"/>
  <c r="E141" i="5"/>
  <c r="E140" i="5"/>
  <c r="K112" i="6"/>
  <c r="K83" i="6"/>
  <c r="K114" i="6"/>
  <c r="K113" i="6"/>
  <c r="K109" i="6"/>
  <c r="K107" i="6"/>
  <c r="K106" i="6"/>
  <c r="K118" i="6"/>
  <c r="K110" i="6"/>
  <c r="K99" i="6"/>
  <c r="K97" i="6"/>
  <c r="K98" i="6"/>
  <c r="K86" i="6"/>
  <c r="K100" i="6"/>
  <c r="K78" i="6"/>
  <c r="K96" i="6"/>
  <c r="K90" i="6"/>
  <c r="K85" i="6"/>
  <c r="K80" i="6"/>
  <c r="K88" i="6"/>
  <c r="K79" i="6"/>
  <c r="K87" i="6"/>
  <c r="K111" i="6"/>
  <c r="K82" i="6"/>
  <c r="K101" i="6"/>
  <c r="K89" i="6"/>
  <c r="D64" i="5"/>
  <c r="Z64" i="5" s="1"/>
  <c r="P140" i="5"/>
  <c r="P141" i="5"/>
  <c r="AG43" i="5"/>
  <c r="AG63" i="5"/>
  <c r="AG52" i="5"/>
  <c r="AG51" i="5"/>
  <c r="AG26" i="5"/>
  <c r="AG23" i="5"/>
  <c r="AG21" i="5"/>
  <c r="AG14" i="5"/>
  <c r="AG50" i="5"/>
  <c r="AG46" i="5"/>
  <c r="AG62" i="5"/>
  <c r="AG33" i="5"/>
  <c r="AG44" i="5"/>
  <c r="AG42" i="5"/>
  <c r="AG31" i="5"/>
  <c r="AG15" i="5"/>
  <c r="AG53" i="5"/>
  <c r="AG58" i="5"/>
  <c r="AG48" i="5"/>
  <c r="AG47" i="5"/>
  <c r="AG35" i="5"/>
  <c r="AG22" i="5"/>
  <c r="AG20" i="5"/>
  <c r="AG45" i="5"/>
  <c r="AG16" i="5"/>
  <c r="AG61" i="5"/>
  <c r="AG36" i="5"/>
  <c r="AG13" i="5"/>
  <c r="AG38" i="5"/>
  <c r="AG34" i="5"/>
  <c r="AG32" i="5"/>
  <c r="AG24" i="5"/>
  <c r="R118" i="6"/>
  <c r="J82" i="6"/>
  <c r="J112" i="6"/>
  <c r="J83" i="6"/>
  <c r="J118" i="6"/>
  <c r="J88" i="6"/>
  <c r="J85" i="6"/>
  <c r="J106" i="6"/>
  <c r="J114" i="6"/>
  <c r="J98" i="6"/>
  <c r="J86" i="6"/>
  <c r="J107" i="6"/>
  <c r="J99" i="6"/>
  <c r="J111" i="6"/>
  <c r="J80" i="6"/>
  <c r="J113" i="6"/>
  <c r="J90" i="6"/>
  <c r="J89" i="6"/>
  <c r="J109" i="6"/>
  <c r="J100" i="6"/>
  <c r="J78" i="6"/>
  <c r="J101" i="6"/>
  <c r="J110" i="6"/>
  <c r="J96" i="6"/>
  <c r="J87" i="6"/>
  <c r="J79" i="6"/>
  <c r="J97" i="6"/>
  <c r="E139" i="5"/>
  <c r="AH87" i="5"/>
  <c r="L95" i="5"/>
  <c r="N12" i="8"/>
  <c r="C12" i="8" s="1"/>
  <c r="J99" i="5"/>
  <c r="J131" i="5" s="1"/>
  <c r="J126" i="5"/>
  <c r="J127" i="5"/>
  <c r="AF95" i="5"/>
  <c r="L64" i="5"/>
  <c r="P64" i="5"/>
  <c r="AL64" i="5" s="1"/>
  <c r="B130" i="7"/>
  <c r="I141" i="5"/>
  <c r="I140" i="5"/>
  <c r="I139" i="5"/>
  <c r="O64" i="5"/>
  <c r="AK64" i="5" s="1"/>
  <c r="N46" i="8"/>
  <c r="N47" i="8"/>
  <c r="L37" i="5"/>
  <c r="L38" i="5"/>
  <c r="N101" i="6"/>
  <c r="N100" i="6"/>
  <c r="N90" i="6"/>
  <c r="N87" i="6"/>
  <c r="N86" i="6"/>
  <c r="N110" i="6"/>
  <c r="N114" i="6"/>
  <c r="N111" i="6"/>
  <c r="N103" i="6"/>
  <c r="N80" i="6"/>
  <c r="N116" i="6"/>
  <c r="N113" i="6"/>
  <c r="N112" i="6"/>
  <c r="N109" i="6"/>
  <c r="N88" i="6"/>
  <c r="N82" i="6"/>
  <c r="N98" i="6"/>
  <c r="N79" i="6"/>
  <c r="N78" i="6"/>
  <c r="N97" i="6"/>
  <c r="N107" i="6"/>
  <c r="N96" i="6"/>
  <c r="N89" i="6"/>
  <c r="N106" i="6"/>
  <c r="N85" i="6"/>
  <c r="N83" i="6"/>
  <c r="N99" i="6"/>
  <c r="N64" i="5"/>
  <c r="C37" i="5"/>
  <c r="D135" i="5"/>
  <c r="C38" i="5"/>
  <c r="AE56" i="5"/>
  <c r="I123" i="5"/>
  <c r="F123" i="5"/>
  <c r="AG37" i="5"/>
  <c r="L118" i="6"/>
  <c r="AG56" i="5"/>
  <c r="H126" i="5"/>
  <c r="H99" i="5"/>
  <c r="H131" i="5" s="1"/>
  <c r="AD95" i="5"/>
  <c r="AI61" i="5"/>
  <c r="AI47" i="5"/>
  <c r="G43" i="8" s="1"/>
  <c r="AI54" i="5"/>
  <c r="AI53" i="5"/>
  <c r="G49" i="8" s="1"/>
  <c r="AI43" i="5"/>
  <c r="AI34" i="5"/>
  <c r="AI62" i="5"/>
  <c r="AI24" i="5"/>
  <c r="AI51" i="5"/>
  <c r="AI32" i="5"/>
  <c r="AI16" i="5"/>
  <c r="G14" i="8" s="1"/>
  <c r="AI63" i="5"/>
  <c r="AI13" i="5"/>
  <c r="AI58" i="5"/>
  <c r="AI48" i="5"/>
  <c r="AI45" i="5"/>
  <c r="AI42" i="5"/>
  <c r="AI31" i="5"/>
  <c r="AI22" i="5"/>
  <c r="AI33" i="5"/>
  <c r="G30" i="8" s="1"/>
  <c r="AI52" i="5"/>
  <c r="AI35" i="5"/>
  <c r="G32" i="8" s="1"/>
  <c r="AI20" i="5"/>
  <c r="AI44" i="5"/>
  <c r="AI50" i="5"/>
  <c r="AI15" i="5"/>
  <c r="AI38" i="5"/>
  <c r="AI23" i="5"/>
  <c r="AI21" i="5"/>
  <c r="AI56" i="5"/>
  <c r="AI46" i="5"/>
  <c r="AI26" i="5"/>
  <c r="AI14" i="5"/>
  <c r="C139" i="5"/>
  <c r="H38" i="5"/>
  <c r="H37" i="5"/>
  <c r="AD37" i="5" s="1"/>
  <c r="P118" i="6"/>
  <c r="P56" i="6"/>
  <c r="P117" i="6" s="1"/>
  <c r="AC87" i="5"/>
  <c r="G95" i="5"/>
  <c r="G142" i="5"/>
  <c r="N141" i="5"/>
  <c r="N140" i="5"/>
  <c r="K132" i="5"/>
  <c r="K130" i="5"/>
  <c r="AG99" i="5"/>
  <c r="K12" i="6"/>
  <c r="O118" i="6"/>
  <c r="D95" i="7"/>
  <c r="Q108" i="6"/>
  <c r="H119" i="6"/>
  <c r="H111" i="6"/>
  <c r="N108" i="6"/>
  <c r="F108" i="6"/>
  <c r="H99" i="6"/>
  <c r="H97" i="6"/>
  <c r="H89" i="6"/>
  <c r="H118" i="6"/>
  <c r="M108" i="6"/>
  <c r="H98" i="6"/>
  <c r="H96" i="6"/>
  <c r="H85" i="6"/>
  <c r="L108" i="6"/>
  <c r="H113" i="6"/>
  <c r="I108" i="6"/>
  <c r="H87" i="6"/>
  <c r="H78" i="6"/>
  <c r="S108" i="6"/>
  <c r="H101" i="6"/>
  <c r="H90" i="6"/>
  <c r="R108" i="6"/>
  <c r="J108" i="6"/>
  <c r="H79" i="6"/>
  <c r="O108" i="6"/>
  <c r="H107" i="6"/>
  <c r="H114" i="6"/>
  <c r="K108" i="6"/>
  <c r="H83" i="6"/>
  <c r="H112" i="6"/>
  <c r="H86" i="6"/>
  <c r="H82" i="6"/>
  <c r="P108" i="6"/>
  <c r="H88" i="6"/>
  <c r="H117" i="6"/>
  <c r="H108" i="6"/>
  <c r="H109" i="6"/>
  <c r="H100" i="6"/>
  <c r="H80" i="6"/>
  <c r="G108" i="6"/>
  <c r="H116" i="6"/>
  <c r="H106" i="6"/>
  <c r="H103" i="6"/>
  <c r="AB63" i="5"/>
  <c r="AJ37" i="5"/>
  <c r="L119" i="6"/>
  <c r="C10" i="8"/>
  <c r="C95" i="5"/>
  <c r="Y87" i="5"/>
  <c r="AE54" i="5"/>
  <c r="L116" i="6"/>
  <c r="P111" i="6"/>
  <c r="P99" i="6"/>
  <c r="P97" i="6"/>
  <c r="P89" i="6"/>
  <c r="P110" i="6"/>
  <c r="P98" i="6"/>
  <c r="P96" i="6"/>
  <c r="P85" i="6"/>
  <c r="P112" i="6"/>
  <c r="P109" i="6"/>
  <c r="P100" i="6"/>
  <c r="P78" i="6"/>
  <c r="P83" i="6"/>
  <c r="P88" i="6"/>
  <c r="P87" i="6"/>
  <c r="P101" i="6"/>
  <c r="P80" i="6"/>
  <c r="P114" i="6"/>
  <c r="P86" i="6"/>
  <c r="P106" i="6"/>
  <c r="P79" i="6"/>
  <c r="P90" i="6"/>
  <c r="P107" i="6"/>
  <c r="P113" i="6"/>
  <c r="P82" i="6"/>
  <c r="O56" i="6"/>
  <c r="O117" i="6" s="1"/>
  <c r="L140" i="5"/>
  <c r="L141" i="5"/>
  <c r="L142" i="5" s="1"/>
  <c r="AE64" i="5"/>
  <c r="E99" i="5"/>
  <c r="E131" i="5" s="1"/>
  <c r="AA95" i="5"/>
  <c r="E126" i="5"/>
  <c r="AF46" i="5"/>
  <c r="AF45" i="5"/>
  <c r="AF53" i="5"/>
  <c r="AF61" i="5"/>
  <c r="AF62" i="5"/>
  <c r="AF58" i="5"/>
  <c r="AF44" i="5"/>
  <c r="AF34" i="5"/>
  <c r="AF20" i="5"/>
  <c r="K136" i="5"/>
  <c r="AF52" i="5"/>
  <c r="AF50" i="5"/>
  <c r="AF26" i="5"/>
  <c r="AF36" i="5"/>
  <c r="AF23" i="5"/>
  <c r="AF16" i="5"/>
  <c r="AF14" i="5"/>
  <c r="AF63" i="5"/>
  <c r="AF38" i="5"/>
  <c r="AF32" i="5"/>
  <c r="AF21" i="5"/>
  <c r="AF47" i="5"/>
  <c r="AF28" i="5"/>
  <c r="AF42" i="5"/>
  <c r="AF35" i="5"/>
  <c r="AF51" i="5"/>
  <c r="AF24" i="5"/>
  <c r="AF43" i="5"/>
  <c r="AF15" i="5"/>
  <c r="AF13" i="5"/>
  <c r="AF33" i="5"/>
  <c r="AF22" i="5"/>
  <c r="AF31" i="5"/>
  <c r="Z24" i="5"/>
  <c r="N139" i="5"/>
  <c r="U139" i="5" s="1"/>
  <c r="Q136" i="5"/>
  <c r="Q130" i="5"/>
  <c r="AK53" i="5"/>
  <c r="I49" i="8" s="1"/>
  <c r="AK42" i="5"/>
  <c r="AK62" i="5"/>
  <c r="AK58" i="5"/>
  <c r="AK50" i="5"/>
  <c r="AK47" i="5"/>
  <c r="I43" i="8" s="1"/>
  <c r="AK22" i="5"/>
  <c r="P136" i="5"/>
  <c r="AK61" i="5"/>
  <c r="AK51" i="5"/>
  <c r="AK36" i="5"/>
  <c r="AK31" i="5"/>
  <c r="AK23" i="5"/>
  <c r="AK16" i="5"/>
  <c r="I14" i="8" s="1"/>
  <c r="AK15" i="5"/>
  <c r="AK14" i="5"/>
  <c r="AK45" i="5"/>
  <c r="AK44" i="5"/>
  <c r="AK35" i="5"/>
  <c r="I32" i="8" s="1"/>
  <c r="AK46" i="5"/>
  <c r="AK34" i="5"/>
  <c r="AK20" i="5"/>
  <c r="AK54" i="5"/>
  <c r="AK52" i="5"/>
  <c r="AK33" i="5"/>
  <c r="I30" i="8" s="1"/>
  <c r="AK13" i="5"/>
  <c r="AK43" i="5"/>
  <c r="AK38" i="5"/>
  <c r="AK26" i="5"/>
  <c r="AK21" i="5"/>
  <c r="AK32" i="5"/>
  <c r="AK17" i="5"/>
  <c r="C125" i="5"/>
  <c r="F139" i="5"/>
  <c r="AB28" i="5"/>
  <c r="AN87" i="5"/>
  <c r="R95" i="5"/>
  <c r="L83" i="8" s="1"/>
  <c r="AC75" i="5"/>
  <c r="H75" i="5"/>
  <c r="AD75" i="5" s="1"/>
  <c r="AI28" i="5"/>
  <c r="AF54" i="5"/>
  <c r="A157" i="7"/>
  <c r="A169" i="7" s="1"/>
  <c r="B89" i="7"/>
  <c r="N89" i="7" s="1"/>
  <c r="C77" i="7"/>
  <c r="D9" i="7"/>
  <c r="O9" i="7"/>
  <c r="O77" i="7"/>
  <c r="C119" i="7" s="1"/>
  <c r="B28" i="7"/>
  <c r="C42" i="7"/>
  <c r="D50" i="7" s="1"/>
  <c r="G83" i="7"/>
  <c r="F52" i="7"/>
  <c r="N49" i="8" l="1"/>
  <c r="U140" i="5"/>
  <c r="AN37" i="5"/>
  <c r="S130" i="5"/>
  <c r="AN46" i="5"/>
  <c r="S136" i="5"/>
  <c r="AN52" i="5"/>
  <c r="L41" i="8"/>
  <c r="L39" i="8"/>
  <c r="AQ15" i="5"/>
  <c r="AQ13" i="5"/>
  <c r="U141" i="5"/>
  <c r="AQ35" i="5"/>
  <c r="P142" i="5"/>
  <c r="M99" i="5"/>
  <c r="H83" i="8"/>
  <c r="U95" i="5"/>
  <c r="AQ95" i="5"/>
  <c r="AQ63" i="5"/>
  <c r="U117" i="6"/>
  <c r="AQ33" i="5"/>
  <c r="AQ21" i="5"/>
  <c r="AQ23" i="5"/>
  <c r="U135" i="5"/>
  <c r="U78" i="6"/>
  <c r="AQ62" i="5"/>
  <c r="AQ47" i="5"/>
  <c r="U123" i="5"/>
  <c r="B128" i="7" s="1"/>
  <c r="J39" i="8"/>
  <c r="J41" i="8"/>
  <c r="AL52" i="5"/>
  <c r="AL46" i="5"/>
  <c r="AQ48" i="5"/>
  <c r="AQ44" i="5"/>
  <c r="AQ16" i="5"/>
  <c r="AQ42" i="5"/>
  <c r="AQ17" i="5"/>
  <c r="AJ64" i="5"/>
  <c r="AQ64" i="5"/>
  <c r="U64" i="5"/>
  <c r="J83" i="8"/>
  <c r="N83" i="8" s="1"/>
  <c r="P99" i="5"/>
  <c r="P127" i="5"/>
  <c r="P126" i="5"/>
  <c r="AL95" i="5"/>
  <c r="AQ43" i="5"/>
  <c r="AQ34" i="5"/>
  <c r="AQ31" i="5"/>
  <c r="AQ22" i="5"/>
  <c r="AQ52" i="5"/>
  <c r="AQ26" i="5"/>
  <c r="AQ51" i="5"/>
  <c r="AQ28" i="5"/>
  <c r="C31" i="7"/>
  <c r="D31" i="7" s="1"/>
  <c r="E31" i="7" s="1"/>
  <c r="F31" i="7" s="1"/>
  <c r="G31" i="7" s="1"/>
  <c r="H31" i="7" s="1"/>
  <c r="I31" i="7" s="1"/>
  <c r="J31" i="7" s="1"/>
  <c r="K31" i="7" s="1"/>
  <c r="C20" i="7"/>
  <c r="D20" i="7" s="1"/>
  <c r="E20" i="7" s="1"/>
  <c r="F20" i="7" s="1"/>
  <c r="G20" i="7" s="1"/>
  <c r="H20" i="7" s="1"/>
  <c r="I20" i="7" s="1"/>
  <c r="J20" i="7" s="1"/>
  <c r="C68" i="8"/>
  <c r="R136" i="5"/>
  <c r="U136" i="5" s="1"/>
  <c r="AN64" i="5"/>
  <c r="B140" i="7"/>
  <c r="AN23" i="5"/>
  <c r="AN26" i="5"/>
  <c r="AN58" i="5"/>
  <c r="AN63" i="5"/>
  <c r="AN51" i="5"/>
  <c r="AN43" i="5"/>
  <c r="AN47" i="5"/>
  <c r="L43" i="8" s="1"/>
  <c r="AN54" i="5"/>
  <c r="AN42" i="5"/>
  <c r="AN16" i="5"/>
  <c r="L14" i="8" s="1"/>
  <c r="N14" i="8" s="1"/>
  <c r="AN36" i="5"/>
  <c r="AN61" i="5"/>
  <c r="AN14" i="5"/>
  <c r="AN35" i="5"/>
  <c r="AN38" i="5"/>
  <c r="AN34" i="5"/>
  <c r="AN20" i="5"/>
  <c r="AN32" i="5"/>
  <c r="AN33" i="5"/>
  <c r="L30" i="8" s="1"/>
  <c r="AN21" i="5"/>
  <c r="AN44" i="5"/>
  <c r="AN17" i="5"/>
  <c r="AN15" i="5"/>
  <c r="AN13" i="5"/>
  <c r="AN24" i="5"/>
  <c r="AN22" i="5"/>
  <c r="AN31" i="5"/>
  <c r="AN48" i="5"/>
  <c r="AN45" i="5"/>
  <c r="AN53" i="5"/>
  <c r="L49" i="8" s="1"/>
  <c r="AN50" i="5"/>
  <c r="AN62" i="5"/>
  <c r="AN56" i="5"/>
  <c r="AN28" i="5"/>
  <c r="R127" i="5"/>
  <c r="R126" i="5"/>
  <c r="AN95" i="5"/>
  <c r="R99" i="5"/>
  <c r="H132" i="5"/>
  <c r="AD99" i="5"/>
  <c r="H130" i="5"/>
  <c r="H12" i="6"/>
  <c r="Y43" i="5"/>
  <c r="Y51" i="5"/>
  <c r="Y62" i="5"/>
  <c r="Y58" i="5"/>
  <c r="Y53" i="5"/>
  <c r="Y50" i="5"/>
  <c r="Y26" i="5"/>
  <c r="Y23" i="5"/>
  <c r="Y14" i="5"/>
  <c r="Y33" i="5"/>
  <c r="Y32" i="5"/>
  <c r="Y48" i="5"/>
  <c r="Y38" i="5"/>
  <c r="Y35" i="5"/>
  <c r="Y22" i="5"/>
  <c r="Y61" i="5"/>
  <c r="Y31" i="5"/>
  <c r="Y36" i="5"/>
  <c r="Y13" i="5"/>
  <c r="Y15" i="5"/>
  <c r="Y34" i="5"/>
  <c r="Y21" i="5"/>
  <c r="Y45" i="5"/>
  <c r="Y42" i="5"/>
  <c r="Y47" i="5"/>
  <c r="Y44" i="5"/>
  <c r="Y20" i="5"/>
  <c r="Y16" i="5"/>
  <c r="C136" i="5"/>
  <c r="Y17" i="5"/>
  <c r="Y54" i="5"/>
  <c r="Y24" i="5"/>
  <c r="Y63" i="5"/>
  <c r="D136" i="5"/>
  <c r="AH62" i="5"/>
  <c r="AH58" i="5"/>
  <c r="AH50" i="5"/>
  <c r="AH38" i="5"/>
  <c r="AH32" i="5"/>
  <c r="AH52" i="5"/>
  <c r="AH33" i="5"/>
  <c r="AH26" i="5"/>
  <c r="AH17" i="5"/>
  <c r="AH53" i="5"/>
  <c r="AH47" i="5"/>
  <c r="AH45" i="5"/>
  <c r="AH43" i="5"/>
  <c r="AH35" i="5"/>
  <c r="AH22" i="5"/>
  <c r="AH46" i="5"/>
  <c r="AH14" i="5"/>
  <c r="AH42" i="5"/>
  <c r="AH20" i="5"/>
  <c r="AH16" i="5"/>
  <c r="AH51" i="5"/>
  <c r="AH44" i="5"/>
  <c r="AH31" i="5"/>
  <c r="AH54" i="5"/>
  <c r="AH61" i="5"/>
  <c r="AH13" i="5"/>
  <c r="AH34" i="5"/>
  <c r="AH15" i="5"/>
  <c r="AH23" i="5"/>
  <c r="AH21" i="5"/>
  <c r="AH63" i="5"/>
  <c r="M136" i="5"/>
  <c r="AH48" i="5"/>
  <c r="AH24" i="5"/>
  <c r="AH36" i="5"/>
  <c r="AH64" i="5"/>
  <c r="C14" i="7"/>
  <c r="AL51" i="5"/>
  <c r="AL61" i="5"/>
  <c r="AL47" i="5"/>
  <c r="J43" i="8" s="1"/>
  <c r="AL31" i="5"/>
  <c r="AL13" i="5"/>
  <c r="AL45" i="5"/>
  <c r="AL44" i="5"/>
  <c r="AL35" i="5"/>
  <c r="J32" i="8" s="1"/>
  <c r="AL58" i="5"/>
  <c r="AL43" i="5"/>
  <c r="AL42" i="5"/>
  <c r="AL22" i="5"/>
  <c r="AL54" i="5"/>
  <c r="AL33" i="5"/>
  <c r="J30" i="8" s="1"/>
  <c r="AL26" i="5"/>
  <c r="AL62" i="5"/>
  <c r="AL20" i="5"/>
  <c r="AL16" i="5"/>
  <c r="J14" i="8" s="1"/>
  <c r="AL50" i="5"/>
  <c r="AL38" i="5"/>
  <c r="AL53" i="5"/>
  <c r="J49" i="8" s="1"/>
  <c r="AL32" i="5"/>
  <c r="AL23" i="5"/>
  <c r="AL17" i="5"/>
  <c r="AL14" i="5"/>
  <c r="AL36" i="5"/>
  <c r="AL21" i="5"/>
  <c r="AL15" i="5"/>
  <c r="AL34" i="5"/>
  <c r="AL48" i="5"/>
  <c r="AL24" i="5"/>
  <c r="AL63" i="5"/>
  <c r="Z95" i="5"/>
  <c r="D126" i="5"/>
  <c r="D99" i="5"/>
  <c r="D131" i="5" s="1"/>
  <c r="F126" i="5"/>
  <c r="AB95" i="5"/>
  <c r="F99" i="5"/>
  <c r="F131" i="5" s="1"/>
  <c r="R142" i="5"/>
  <c r="G136" i="5"/>
  <c r="AD52" i="5"/>
  <c r="AD51" i="5"/>
  <c r="AD61" i="5"/>
  <c r="AD45" i="5"/>
  <c r="AD31" i="5"/>
  <c r="AD13" i="5"/>
  <c r="AD47" i="5"/>
  <c r="AD38" i="5"/>
  <c r="AD22" i="5"/>
  <c r="AD54" i="5"/>
  <c r="AD46" i="5"/>
  <c r="AD21" i="5"/>
  <c r="AD58" i="5"/>
  <c r="AD34" i="5"/>
  <c r="AD15" i="5"/>
  <c r="AD32" i="5"/>
  <c r="AD23" i="5"/>
  <c r="AD62" i="5"/>
  <c r="AD14" i="5"/>
  <c r="AD43" i="5"/>
  <c r="AD26" i="5"/>
  <c r="AD42" i="5"/>
  <c r="AD44" i="5"/>
  <c r="AD33" i="5"/>
  <c r="AD16" i="5"/>
  <c r="AD53" i="5"/>
  <c r="AD50" i="5"/>
  <c r="AD35" i="5"/>
  <c r="AD20" i="5"/>
  <c r="AD36" i="5"/>
  <c r="AD63" i="5"/>
  <c r="AD17" i="5"/>
  <c r="AD24" i="5"/>
  <c r="I136" i="5"/>
  <c r="AD48" i="5"/>
  <c r="AD56" i="5"/>
  <c r="AD64" i="5"/>
  <c r="L126" i="5"/>
  <c r="L127" i="5"/>
  <c r="AH95" i="5"/>
  <c r="AS98" i="5" s="1"/>
  <c r="L99" i="5"/>
  <c r="L131" i="5" s="1"/>
  <c r="O127" i="5"/>
  <c r="AK95" i="5"/>
  <c r="O99" i="5"/>
  <c r="O126" i="5"/>
  <c r="N142" i="5"/>
  <c r="B146" i="7"/>
  <c r="AD28" i="5"/>
  <c r="Y28" i="5"/>
  <c r="AH37" i="5"/>
  <c r="I142" i="5"/>
  <c r="AH56" i="5"/>
  <c r="Y64" i="5"/>
  <c r="AC37" i="5"/>
  <c r="B99" i="5"/>
  <c r="B131" i="5" s="1"/>
  <c r="B126" i="5"/>
  <c r="X95" i="5"/>
  <c r="J12" i="6"/>
  <c r="J130" i="5"/>
  <c r="AF99" i="5"/>
  <c r="J132" i="5"/>
  <c r="N126" i="5"/>
  <c r="AJ95" i="5"/>
  <c r="N99" i="5"/>
  <c r="N127" i="5"/>
  <c r="Y37" i="5"/>
  <c r="AC53" i="5"/>
  <c r="AC42" i="5"/>
  <c r="AC62" i="5"/>
  <c r="AC58" i="5"/>
  <c r="AC50" i="5"/>
  <c r="AC22" i="5"/>
  <c r="AC43" i="5"/>
  <c r="AC35" i="5"/>
  <c r="AC47" i="5"/>
  <c r="AC38" i="5"/>
  <c r="AC13" i="5"/>
  <c r="AC33" i="5"/>
  <c r="AC26" i="5"/>
  <c r="AC61" i="5"/>
  <c r="AC51" i="5"/>
  <c r="AC36" i="5"/>
  <c r="AC34" i="5"/>
  <c r="AC21" i="5"/>
  <c r="AC15" i="5"/>
  <c r="AC48" i="5"/>
  <c r="AC32" i="5"/>
  <c r="AC17" i="5"/>
  <c r="AC63" i="5"/>
  <c r="AC45" i="5"/>
  <c r="AC46" i="5"/>
  <c r="AC23" i="5"/>
  <c r="AC14" i="5"/>
  <c r="AC52" i="5"/>
  <c r="AC20" i="5"/>
  <c r="AC54" i="5"/>
  <c r="AC44" i="5"/>
  <c r="AC31" i="5"/>
  <c r="AC16" i="5"/>
  <c r="H136" i="5"/>
  <c r="AC24" i="5"/>
  <c r="K31" i="6"/>
  <c r="K73" i="6"/>
  <c r="AC64" i="5"/>
  <c r="I127" i="5"/>
  <c r="AE95" i="5"/>
  <c r="I126" i="5"/>
  <c r="I99" i="5"/>
  <c r="I131" i="5" s="1"/>
  <c r="AL56" i="5"/>
  <c r="Y56" i="5"/>
  <c r="L136" i="5"/>
  <c r="AC28" i="5"/>
  <c r="E132" i="5"/>
  <c r="E12" i="6"/>
  <c r="AA99" i="5"/>
  <c r="AA101" i="5"/>
  <c r="E130" i="5"/>
  <c r="AA102" i="5"/>
  <c r="C99" i="5"/>
  <c r="C131" i="5" s="1"/>
  <c r="C126" i="5"/>
  <c r="Y95" i="5"/>
  <c r="B145" i="7"/>
  <c r="C12" i="7"/>
  <c r="AC95" i="5"/>
  <c r="G99" i="5"/>
  <c r="G131" i="5" s="1"/>
  <c r="G126" i="5"/>
  <c r="AH28" i="5"/>
  <c r="AI99" i="5"/>
  <c r="B144" i="7"/>
  <c r="D80" i="7"/>
  <c r="P79" i="7" s="1"/>
  <c r="AL37" i="5"/>
  <c r="E95" i="7"/>
  <c r="B98" i="7"/>
  <c r="A158" i="7"/>
  <c r="A159" i="7" s="1"/>
  <c r="B37" i="7"/>
  <c r="P9" i="7"/>
  <c r="E9" i="7"/>
  <c r="P77" i="7"/>
  <c r="D119" i="7" s="1"/>
  <c r="D77" i="7"/>
  <c r="D42" i="7"/>
  <c r="E50" i="7" s="1"/>
  <c r="G52" i="7"/>
  <c r="H83" i="7"/>
  <c r="M131" i="5" l="1"/>
  <c r="M132" i="5"/>
  <c r="U127" i="5"/>
  <c r="AQ102" i="5"/>
  <c r="AJ101" i="5"/>
  <c r="AQ101" i="5"/>
  <c r="AJ102" i="5"/>
  <c r="U99" i="5"/>
  <c r="AQ99" i="5"/>
  <c r="N131" i="5"/>
  <c r="N132" i="5"/>
  <c r="AN102" i="5"/>
  <c r="AN101" i="5"/>
  <c r="L32" i="8"/>
  <c r="N32" i="8" s="1"/>
  <c r="C32" i="8" s="1"/>
  <c r="AL101" i="5"/>
  <c r="AL102" i="5"/>
  <c r="P131" i="5"/>
  <c r="P132" i="5"/>
  <c r="P12" i="6"/>
  <c r="AL99" i="5"/>
  <c r="P130" i="5"/>
  <c r="M12" i="6"/>
  <c r="U126" i="5"/>
  <c r="B131" i="7" s="1"/>
  <c r="M130" i="5"/>
  <c r="U142" i="5"/>
  <c r="AK102" i="5"/>
  <c r="AK101" i="5"/>
  <c r="O131" i="5"/>
  <c r="O132" i="5"/>
  <c r="C24" i="7"/>
  <c r="C28" i="7" s="1"/>
  <c r="C140" i="7" s="1"/>
  <c r="C85" i="7"/>
  <c r="C14" i="8"/>
  <c r="B102" i="7"/>
  <c r="C156" i="7" s="1"/>
  <c r="N98" i="7"/>
  <c r="R131" i="5"/>
  <c r="R132" i="5"/>
  <c r="R130" i="5"/>
  <c r="N43" i="8"/>
  <c r="C49" i="8"/>
  <c r="N41" i="8"/>
  <c r="C41" i="8" s="1"/>
  <c r="N39" i="8"/>
  <c r="D12" i="7"/>
  <c r="C43" i="8"/>
  <c r="M31" i="6"/>
  <c r="M92" i="6" s="1"/>
  <c r="M73" i="6"/>
  <c r="E31" i="6"/>
  <c r="E92" i="6" s="1"/>
  <c r="E73" i="6"/>
  <c r="N12" i="6"/>
  <c r="AJ99" i="5"/>
  <c r="N130" i="5"/>
  <c r="J73" i="6"/>
  <c r="J31" i="6"/>
  <c r="O12" i="6"/>
  <c r="O130" i="5"/>
  <c r="AK99" i="5"/>
  <c r="B132" i="7"/>
  <c r="K56" i="6"/>
  <c r="K92" i="6"/>
  <c r="C39" i="8"/>
  <c r="P80" i="7"/>
  <c r="P95" i="7"/>
  <c r="P84" i="7"/>
  <c r="P105" i="7"/>
  <c r="P100" i="7"/>
  <c r="P83" i="7"/>
  <c r="P87" i="7"/>
  <c r="D46" i="7"/>
  <c r="P93" i="7"/>
  <c r="P104" i="7"/>
  <c r="D44" i="7"/>
  <c r="R12" i="6"/>
  <c r="AN99" i="5"/>
  <c r="G12" i="6"/>
  <c r="G130" i="5"/>
  <c r="AC99" i="5"/>
  <c r="G132" i="5"/>
  <c r="I12" i="6"/>
  <c r="I132" i="5"/>
  <c r="I130" i="5"/>
  <c r="AE99" i="5"/>
  <c r="B130" i="5"/>
  <c r="B132" i="5"/>
  <c r="X101" i="5"/>
  <c r="B12" i="6"/>
  <c r="X102" i="5"/>
  <c r="X99" i="5"/>
  <c r="F130" i="5"/>
  <c r="AB99" i="5"/>
  <c r="F12" i="6"/>
  <c r="F132" i="5"/>
  <c r="H73" i="6"/>
  <c r="H31" i="6"/>
  <c r="H92" i="6" s="1"/>
  <c r="B141" i="7"/>
  <c r="L12" i="6"/>
  <c r="AH99" i="5"/>
  <c r="L130" i="5"/>
  <c r="L132" i="5"/>
  <c r="AS43" i="5"/>
  <c r="D14" i="7"/>
  <c r="C132" i="5"/>
  <c r="C12" i="6"/>
  <c r="Y99" i="5"/>
  <c r="C130" i="5"/>
  <c r="Y101" i="5"/>
  <c r="Y102" i="5"/>
  <c r="F95" i="7"/>
  <c r="E80" i="7"/>
  <c r="O92" i="7"/>
  <c r="D12" i="6"/>
  <c r="Z102" i="5"/>
  <c r="Z101" i="5"/>
  <c r="D130" i="5"/>
  <c r="D132" i="5"/>
  <c r="Z99" i="5"/>
  <c r="C125" i="7"/>
  <c r="C30" i="8"/>
  <c r="A170" i="7"/>
  <c r="N102" i="7"/>
  <c r="Q9" i="7"/>
  <c r="F9" i="7"/>
  <c r="Q77" i="7"/>
  <c r="E119" i="7" s="1"/>
  <c r="E77" i="7"/>
  <c r="A160" i="7"/>
  <c r="A171" i="7"/>
  <c r="E42" i="7"/>
  <c r="F50" i="7" s="1"/>
  <c r="B38" i="7"/>
  <c r="H52" i="7"/>
  <c r="I83" i="7"/>
  <c r="U130" i="5" l="1"/>
  <c r="P31" i="6"/>
  <c r="P92" i="6" s="1"/>
  <c r="P73" i="6"/>
  <c r="B156" i="7"/>
  <c r="U73" i="6"/>
  <c r="U12" i="6"/>
  <c r="U132" i="5"/>
  <c r="B137" i="7" s="1"/>
  <c r="U131" i="5"/>
  <c r="O85" i="7"/>
  <c r="C51" i="7"/>
  <c r="C86" i="7"/>
  <c r="O86" i="7" s="1"/>
  <c r="D92" i="7"/>
  <c r="D85" i="7"/>
  <c r="P85" i="7" s="1"/>
  <c r="D24" i="7"/>
  <c r="D28" i="7" s="1"/>
  <c r="D86" i="7" s="1"/>
  <c r="B135" i="7"/>
  <c r="I73" i="6"/>
  <c r="I31" i="6"/>
  <c r="K117" i="6"/>
  <c r="K58" i="6"/>
  <c r="K119" i="6" s="1"/>
  <c r="C31" i="6"/>
  <c r="C92" i="6" s="1"/>
  <c r="C73" i="6"/>
  <c r="B31" i="6"/>
  <c r="B92" i="6" s="1"/>
  <c r="B73" i="6"/>
  <c r="O73" i="6"/>
  <c r="O31" i="6"/>
  <c r="O92" i="6" s="1"/>
  <c r="Q80" i="7"/>
  <c r="Q95" i="7"/>
  <c r="Q84" i="7"/>
  <c r="Q83" i="7"/>
  <c r="E46" i="7"/>
  <c r="Q79" i="7"/>
  <c r="Q93" i="7"/>
  <c r="Q104" i="7"/>
  <c r="E44" i="7"/>
  <c r="Q100" i="7"/>
  <c r="E12" i="7"/>
  <c r="Q87" i="7"/>
  <c r="E14" i="7"/>
  <c r="E125" i="7" s="1"/>
  <c r="Q105" i="7"/>
  <c r="F73" i="6"/>
  <c r="F31" i="6"/>
  <c r="F92" i="6" s="1"/>
  <c r="J56" i="6"/>
  <c r="J92" i="6"/>
  <c r="D31" i="6"/>
  <c r="D92" i="6" s="1"/>
  <c r="D73" i="6"/>
  <c r="F80" i="7"/>
  <c r="R79" i="7" s="1"/>
  <c r="G95" i="7"/>
  <c r="R31" i="6"/>
  <c r="R73" i="6"/>
  <c r="D125" i="7"/>
  <c r="L31" i="6"/>
  <c r="L73" i="6"/>
  <c r="N73" i="6"/>
  <c r="N31" i="6"/>
  <c r="B136" i="7"/>
  <c r="G73" i="6"/>
  <c r="G31" i="6"/>
  <c r="G92" i="6" s="1"/>
  <c r="F42" i="7"/>
  <c r="G50" i="7" s="1"/>
  <c r="C168" i="7"/>
  <c r="B168" i="7" s="1"/>
  <c r="N35" i="7"/>
  <c r="N33" i="7"/>
  <c r="N54" i="7"/>
  <c r="N13" i="7"/>
  <c r="N43" i="7"/>
  <c r="N14" i="7"/>
  <c r="N45" i="7"/>
  <c r="N34" i="7"/>
  <c r="N62" i="7"/>
  <c r="N42" i="7"/>
  <c r="N23" i="7"/>
  <c r="N22" i="7"/>
  <c r="N21" i="7"/>
  <c r="N44" i="7"/>
  <c r="N38" i="7"/>
  <c r="N46" i="7"/>
  <c r="N52" i="7"/>
  <c r="N47" i="7"/>
  <c r="N59" i="7"/>
  <c r="N32" i="7"/>
  <c r="N16" i="7"/>
  <c r="N48" i="7"/>
  <c r="N50" i="7"/>
  <c r="N36" i="7"/>
  <c r="N26" i="7"/>
  <c r="N15" i="7"/>
  <c r="N31" i="7"/>
  <c r="N12" i="7"/>
  <c r="N51" i="7"/>
  <c r="N17" i="7"/>
  <c r="N63" i="7"/>
  <c r="N20" i="7"/>
  <c r="N57" i="7"/>
  <c r="N55" i="7"/>
  <c r="N24" i="7"/>
  <c r="N64" i="7"/>
  <c r="N28" i="7"/>
  <c r="N65" i="7"/>
  <c r="N37" i="7"/>
  <c r="A172" i="7"/>
  <c r="A161" i="7"/>
  <c r="F77" i="7"/>
  <c r="R77" i="7"/>
  <c r="F119" i="7" s="1"/>
  <c r="R9" i="7"/>
  <c r="G9" i="7"/>
  <c r="I52" i="7"/>
  <c r="J83" i="7"/>
  <c r="N92" i="6" l="1"/>
  <c r="U92" i="6"/>
  <c r="U31" i="6"/>
  <c r="E92" i="7"/>
  <c r="Q92" i="7" s="1"/>
  <c r="C88" i="7"/>
  <c r="P92" i="7"/>
  <c r="D140" i="7"/>
  <c r="D51" i="7"/>
  <c r="E85" i="7"/>
  <c r="Q85" i="7" s="1"/>
  <c r="E24" i="7"/>
  <c r="E28" i="7" s="1"/>
  <c r="E140" i="7" s="1"/>
  <c r="R92" i="6"/>
  <c r="J117" i="6"/>
  <c r="J58" i="6"/>
  <c r="J119" i="6" s="1"/>
  <c r="H95" i="7"/>
  <c r="G80" i="7"/>
  <c r="I56" i="6"/>
  <c r="I92" i="6"/>
  <c r="R104" i="7"/>
  <c r="F44" i="7"/>
  <c r="R80" i="7"/>
  <c r="R87" i="7"/>
  <c r="R95" i="7"/>
  <c r="R83" i="7"/>
  <c r="F46" i="7"/>
  <c r="R84" i="7"/>
  <c r="R100" i="7"/>
  <c r="R93" i="7"/>
  <c r="F12" i="7"/>
  <c r="R105" i="7"/>
  <c r="F14" i="7"/>
  <c r="F125" i="7" s="1"/>
  <c r="L92" i="6"/>
  <c r="G42" i="7"/>
  <c r="H50" i="7" s="1"/>
  <c r="S77" i="7"/>
  <c r="G119" i="7" s="1"/>
  <c r="G77" i="7"/>
  <c r="S9" i="7"/>
  <c r="H9" i="7"/>
  <c r="A173" i="7"/>
  <c r="A162" i="7"/>
  <c r="J52" i="7"/>
  <c r="K83" i="7"/>
  <c r="C89" i="7" l="1"/>
  <c r="O89" i="7" s="1"/>
  <c r="O88" i="7"/>
  <c r="F92" i="7"/>
  <c r="F85" i="7"/>
  <c r="R85" i="7" s="1"/>
  <c r="F24" i="7"/>
  <c r="E86" i="7"/>
  <c r="E88" i="7" s="1"/>
  <c r="E51" i="7"/>
  <c r="P86" i="7"/>
  <c r="D88" i="7"/>
  <c r="I117" i="6"/>
  <c r="I58" i="6"/>
  <c r="I119" i="6" s="1"/>
  <c r="S79" i="7"/>
  <c r="G46" i="7"/>
  <c r="S105" i="7"/>
  <c r="G44" i="7"/>
  <c r="S95" i="7"/>
  <c r="S84" i="7"/>
  <c r="S83" i="7"/>
  <c r="S93" i="7"/>
  <c r="G14" i="7"/>
  <c r="G125" i="7" s="1"/>
  <c r="S104" i="7"/>
  <c r="S87" i="7"/>
  <c r="S80" i="7"/>
  <c r="G12" i="7"/>
  <c r="S100" i="7"/>
  <c r="H80" i="7"/>
  <c r="I95" i="7"/>
  <c r="H42" i="7"/>
  <c r="I50" i="7" s="1"/>
  <c r="A174" i="7"/>
  <c r="A163" i="7"/>
  <c r="T77" i="7"/>
  <c r="H119" i="7" s="1"/>
  <c r="H77" i="7"/>
  <c r="T9" i="7"/>
  <c r="I9" i="7"/>
  <c r="G92" i="7" l="1"/>
  <c r="R92" i="7"/>
  <c r="Q86" i="7"/>
  <c r="P88" i="7"/>
  <c r="D89" i="7"/>
  <c r="P89" i="7" s="1"/>
  <c r="F28" i="7"/>
  <c r="G85" i="7"/>
  <c r="S85" i="7" s="1"/>
  <c r="G24" i="7"/>
  <c r="T79" i="7"/>
  <c r="T100" i="7"/>
  <c r="T104" i="7"/>
  <c r="T83" i="7"/>
  <c r="H46" i="7"/>
  <c r="T87" i="7"/>
  <c r="T80" i="7"/>
  <c r="H12" i="7"/>
  <c r="H44" i="7"/>
  <c r="T95" i="7"/>
  <c r="H14" i="7"/>
  <c r="H125" i="7" s="1"/>
  <c r="T93" i="7"/>
  <c r="T105" i="7"/>
  <c r="T84" i="7"/>
  <c r="Q88" i="7"/>
  <c r="E89" i="7"/>
  <c r="Q89" i="7" s="1"/>
  <c r="I80" i="7"/>
  <c r="J95" i="7"/>
  <c r="K95" i="7" s="1"/>
  <c r="I42" i="7"/>
  <c r="J50" i="7" s="1"/>
  <c r="A175" i="7"/>
  <c r="A164" i="7"/>
  <c r="A176" i="7" s="1"/>
  <c r="I77" i="7"/>
  <c r="U9" i="7"/>
  <c r="J9" i="7"/>
  <c r="J53" i="7" s="1"/>
  <c r="U77" i="7"/>
  <c r="I119" i="7" s="1"/>
  <c r="H92" i="7" l="1"/>
  <c r="S92" i="7"/>
  <c r="G28" i="7"/>
  <c r="G140" i="7" s="1"/>
  <c r="H24" i="7"/>
  <c r="H85" i="7"/>
  <c r="T85" i="7" s="1"/>
  <c r="F140" i="7"/>
  <c r="F86" i="7"/>
  <c r="F51" i="7"/>
  <c r="J80" i="7"/>
  <c r="W80" i="7" s="1"/>
  <c r="K79" i="7"/>
  <c r="U79" i="7"/>
  <c r="U93" i="7"/>
  <c r="U104" i="7"/>
  <c r="U95" i="7"/>
  <c r="I14" i="7"/>
  <c r="I125" i="7" s="1"/>
  <c r="U84" i="7"/>
  <c r="I12" i="7"/>
  <c r="U83" i="7"/>
  <c r="U80" i="7"/>
  <c r="U100" i="7"/>
  <c r="I44" i="7"/>
  <c r="U87" i="7"/>
  <c r="I46" i="7"/>
  <c r="U105" i="7"/>
  <c r="J42" i="7"/>
  <c r="K42" i="7" s="1"/>
  <c r="K50" i="7"/>
  <c r="V9" i="7"/>
  <c r="V77" i="7"/>
  <c r="J119" i="7" s="1"/>
  <c r="J77" i="7"/>
  <c r="I92" i="7" l="1"/>
  <c r="T92" i="7"/>
  <c r="G86" i="7"/>
  <c r="G51" i="7"/>
  <c r="R86" i="7"/>
  <c r="F88" i="7"/>
  <c r="I85" i="7"/>
  <c r="U85" i="7" s="1"/>
  <c r="I24" i="7"/>
  <c r="H28" i="7"/>
  <c r="W84" i="7"/>
  <c r="W95" i="7"/>
  <c r="V79" i="7"/>
  <c r="V95" i="7"/>
  <c r="V104" i="7"/>
  <c r="W93" i="7"/>
  <c r="V84" i="7"/>
  <c r="W87" i="7"/>
  <c r="V100" i="7"/>
  <c r="V83" i="7"/>
  <c r="V87" i="7"/>
  <c r="V80" i="7"/>
  <c r="J44" i="7"/>
  <c r="K44" i="7" s="1"/>
  <c r="W100" i="7"/>
  <c r="V105" i="7"/>
  <c r="W83" i="7"/>
  <c r="V93" i="7"/>
  <c r="J46" i="7"/>
  <c r="J14" i="7"/>
  <c r="K14" i="7" s="1"/>
  <c r="J12" i="7"/>
  <c r="K80" i="7"/>
  <c r="W79" i="7"/>
  <c r="J92" i="7" l="1"/>
  <c r="U92" i="7"/>
  <c r="S86" i="7"/>
  <c r="G88" i="7"/>
  <c r="H86" i="7"/>
  <c r="H51" i="7"/>
  <c r="H140" i="7"/>
  <c r="I28" i="7"/>
  <c r="J85" i="7"/>
  <c r="K20" i="7"/>
  <c r="J24" i="7"/>
  <c r="K26" i="7"/>
  <c r="R88" i="7"/>
  <c r="F89" i="7"/>
  <c r="R89" i="7" s="1"/>
  <c r="J125" i="7"/>
  <c r="K125" i="7" s="1"/>
  <c r="K12" i="7"/>
  <c r="G89" i="7" l="1"/>
  <c r="S89" i="7" s="1"/>
  <c r="S88" i="7"/>
  <c r="V85" i="7"/>
  <c r="K85" i="7"/>
  <c r="W85" i="7"/>
  <c r="K24" i="7"/>
  <c r="J28" i="7"/>
  <c r="J140" i="7" s="1"/>
  <c r="K140" i="7" s="1"/>
  <c r="I86" i="7"/>
  <c r="I51" i="7"/>
  <c r="I140" i="7"/>
  <c r="H88" i="7"/>
  <c r="T86" i="7"/>
  <c r="K92" i="7"/>
  <c r="V92" i="7"/>
  <c r="W92" i="7"/>
  <c r="I88" i="7" l="1"/>
  <c r="U86" i="7"/>
  <c r="J51" i="7"/>
  <c r="K51" i="7" s="1"/>
  <c r="K28" i="7"/>
  <c r="J86" i="7"/>
  <c r="W86" i="7" s="1"/>
  <c r="T88" i="7"/>
  <c r="H89" i="7"/>
  <c r="T89" i="7" s="1"/>
  <c r="J88" i="7" l="1"/>
  <c r="V86" i="7"/>
  <c r="K86" i="7"/>
  <c r="I89" i="7"/>
  <c r="U89" i="7" s="1"/>
  <c r="U88" i="7"/>
  <c r="K88" i="7" l="1"/>
  <c r="W88" i="7"/>
  <c r="V88" i="7"/>
  <c r="J89" i="7"/>
  <c r="V12" i="7"/>
  <c r="V14" i="7"/>
  <c r="V15" i="7"/>
  <c r="J16" i="7"/>
  <c r="K16" i="7" s="1"/>
  <c r="V20" i="7"/>
  <c r="V21" i="7"/>
  <c r="V22" i="7"/>
  <c r="V23" i="7"/>
  <c r="V24" i="7"/>
  <c r="V26" i="7"/>
  <c r="V28" i="7"/>
  <c r="V31" i="7"/>
  <c r="V32" i="7"/>
  <c r="J33" i="7"/>
  <c r="V33" i="7" s="1"/>
  <c r="V34" i="7"/>
  <c r="J35" i="7"/>
  <c r="V35" i="7" s="1"/>
  <c r="K35" i="7"/>
  <c r="K38" i="7"/>
  <c r="V38" i="7"/>
  <c r="V42" i="7"/>
  <c r="J43" i="7"/>
  <c r="V43" i="7" s="1"/>
  <c r="V44" i="7"/>
  <c r="J45" i="7"/>
  <c r="K45" i="7" s="1"/>
  <c r="V46" i="7"/>
  <c r="J47" i="7"/>
  <c r="K47" i="7"/>
  <c r="V47" i="7"/>
  <c r="V50" i="7"/>
  <c r="V51" i="7"/>
  <c r="V52" i="7"/>
  <c r="K53" i="7"/>
  <c r="V59" i="7"/>
  <c r="V62" i="7"/>
  <c r="C176" i="7"/>
  <c r="W89" i="7" l="1"/>
  <c r="K89" i="7"/>
  <c r="V89" i="7"/>
  <c r="J48" i="7"/>
  <c r="V45" i="7"/>
  <c r="J36" i="7"/>
  <c r="V16" i="7"/>
  <c r="V36" i="7" l="1"/>
  <c r="K36" i="7"/>
  <c r="J37" i="7"/>
  <c r="V48" i="7"/>
  <c r="K48" i="7"/>
  <c r="V37" i="7" l="1"/>
  <c r="K37" i="7"/>
  <c r="O38" i="7" l="1"/>
  <c r="O24" i="7"/>
  <c r="W50" i="7"/>
  <c r="W15" i="7"/>
  <c r="W38" i="7"/>
  <c r="O22" i="7"/>
  <c r="W42" i="7"/>
  <c r="W24" i="7"/>
  <c r="W12" i="7"/>
  <c r="O26" i="7"/>
  <c r="W59" i="7"/>
  <c r="O28" i="7"/>
  <c r="W32" i="7"/>
  <c r="W28" i="7"/>
  <c r="W23" i="7"/>
  <c r="O20" i="7"/>
  <c r="W26" i="7"/>
  <c r="O52" i="7"/>
  <c r="W21" i="7"/>
  <c r="W51" i="7"/>
  <c r="O21" i="7"/>
  <c r="O12" i="7"/>
  <c r="O59" i="7"/>
  <c r="W22" i="7"/>
  <c r="O50" i="7"/>
  <c r="O23" i="7"/>
  <c r="W52" i="7"/>
  <c r="D141" i="7"/>
  <c r="W44" i="7"/>
  <c r="W20" i="7"/>
  <c r="O62" i="7"/>
  <c r="O31" i="7"/>
  <c r="O32" i="7"/>
  <c r="O46" i="7"/>
  <c r="W62" i="7"/>
  <c r="W34" i="7"/>
  <c r="O51" i="7"/>
  <c r="O15" i="7"/>
  <c r="O34" i="7"/>
  <c r="O44" i="7"/>
  <c r="W46" i="7"/>
  <c r="O42" i="7"/>
  <c r="W14" i="7"/>
  <c r="W31" i="7"/>
  <c r="O14" i="7"/>
  <c r="U34" i="7"/>
  <c r="U26" i="7"/>
  <c r="U15" i="7"/>
  <c r="U22" i="7"/>
  <c r="U44" i="7"/>
  <c r="U21" i="7"/>
  <c r="U62" i="7"/>
  <c r="U28" i="7"/>
  <c r="U46" i="7"/>
  <c r="U12" i="7"/>
  <c r="J141" i="7"/>
  <c r="U23" i="7"/>
  <c r="U14" i="7"/>
  <c r="U20" i="7"/>
  <c r="U52" i="7"/>
  <c r="U32" i="7"/>
  <c r="U51" i="7"/>
  <c r="U31" i="7"/>
  <c r="U42" i="7"/>
  <c r="U59" i="7"/>
  <c r="U38" i="7"/>
  <c r="U50" i="7"/>
  <c r="U24" i="7"/>
  <c r="R20" i="7"/>
  <c r="R34" i="7"/>
  <c r="R50" i="7"/>
  <c r="R31" i="7"/>
  <c r="R38" i="7"/>
  <c r="R52" i="7"/>
  <c r="R22" i="7"/>
  <c r="R21" i="7"/>
  <c r="R44" i="7"/>
  <c r="R23" i="7"/>
  <c r="R28" i="7"/>
  <c r="R42" i="7"/>
  <c r="R59" i="7"/>
  <c r="R62" i="7"/>
  <c r="R26" i="7"/>
  <c r="R14" i="7"/>
  <c r="R51" i="7"/>
  <c r="R32" i="7"/>
  <c r="R15" i="7"/>
  <c r="R46" i="7"/>
  <c r="G141" i="7"/>
  <c r="R24" i="7"/>
  <c r="R12" i="7"/>
  <c r="S50" i="7"/>
  <c r="H141" i="7"/>
  <c r="S62" i="7"/>
  <c r="S51" i="7"/>
  <c r="S32" i="7"/>
  <c r="S31" i="7"/>
  <c r="S28" i="7"/>
  <c r="S14" i="7"/>
  <c r="S46" i="7"/>
  <c r="S20" i="7"/>
  <c r="S23" i="7"/>
  <c r="S26" i="7"/>
  <c r="S42" i="7"/>
  <c r="S22" i="7"/>
  <c r="S21" i="7"/>
  <c r="S44" i="7"/>
  <c r="S52" i="7"/>
  <c r="S59" i="7"/>
  <c r="S15" i="7"/>
  <c r="S34" i="7"/>
  <c r="S12" i="7"/>
  <c r="S24" i="7"/>
  <c r="S38" i="7"/>
  <c r="T44" i="7"/>
  <c r="T14" i="7"/>
  <c r="T28" i="7"/>
  <c r="T42" i="7"/>
  <c r="T21" i="7"/>
  <c r="T51" i="7"/>
  <c r="T24" i="7"/>
  <c r="T12" i="7"/>
  <c r="T22" i="7"/>
  <c r="I141" i="7"/>
  <c r="T20" i="7"/>
  <c r="T34" i="7"/>
  <c r="T62" i="7"/>
  <c r="T38" i="7"/>
  <c r="T31" i="7"/>
  <c r="T50" i="7"/>
  <c r="T26" i="7"/>
  <c r="T15" i="7"/>
  <c r="T32" i="7"/>
  <c r="T52" i="7"/>
  <c r="T59" i="7"/>
  <c r="T46" i="7"/>
  <c r="T23" i="7"/>
  <c r="F135" i="7"/>
  <c r="C160" i="7"/>
  <c r="F136" i="7"/>
  <c r="F137" i="7"/>
  <c r="B160" i="7"/>
  <c r="R102" i="7"/>
  <c r="F132" i="7"/>
  <c r="F131" i="7"/>
  <c r="F102" i="7"/>
  <c r="R98" i="7"/>
  <c r="P24" i="7"/>
  <c r="P20" i="7"/>
  <c r="P46" i="7"/>
  <c r="P62" i="7"/>
  <c r="P15" i="7"/>
  <c r="P59" i="7"/>
  <c r="P34" i="7"/>
  <c r="P28" i="7"/>
  <c r="P26" i="7"/>
  <c r="P31" i="7"/>
  <c r="P42" i="7"/>
  <c r="P32" i="7"/>
  <c r="P44" i="7"/>
  <c r="P21" i="7"/>
  <c r="P14" i="7"/>
  <c r="P52" i="7"/>
  <c r="P51" i="7"/>
  <c r="P50" i="7"/>
  <c r="P22" i="7"/>
  <c r="P38" i="7"/>
  <c r="E141" i="7"/>
  <c r="P23" i="7"/>
  <c r="P12" i="7"/>
  <c r="G136" i="7"/>
  <c r="S102" i="7"/>
  <c r="B161" i="7"/>
  <c r="G137" i="7"/>
  <c r="C161" i="7"/>
  <c r="G135" i="7"/>
  <c r="Q21" i="7"/>
  <c r="F141" i="7"/>
  <c r="Q23" i="7"/>
  <c r="Q52" i="7"/>
  <c r="Q14" i="7"/>
  <c r="Q15" i="7"/>
  <c r="Q38" i="7"/>
  <c r="Q31" i="7"/>
  <c r="Q26" i="7"/>
  <c r="Q62" i="7"/>
  <c r="Q51" i="7"/>
  <c r="Q34" i="7"/>
  <c r="Q44" i="7"/>
  <c r="Q46" i="7"/>
  <c r="Q32" i="7"/>
  <c r="Q59" i="7"/>
  <c r="Q28" i="7"/>
  <c r="Q50" i="7"/>
  <c r="Q42" i="7"/>
  <c r="Q24" i="7"/>
  <c r="Q22" i="7"/>
  <c r="Q12" i="7"/>
  <c r="Q20" i="7"/>
  <c r="D132" i="7"/>
  <c r="P98" i="7"/>
  <c r="D131" i="7"/>
  <c r="C162" i="7"/>
  <c r="T102" i="7"/>
  <c r="H135" i="7"/>
  <c r="H136" i="7"/>
  <c r="B162" i="7"/>
  <c r="H137" i="7"/>
  <c r="U98" i="7"/>
  <c r="I131" i="7"/>
  <c r="I132" i="7"/>
  <c r="T43" i="7"/>
  <c r="H130" i="7"/>
  <c r="T64" i="7"/>
  <c r="H128" i="7"/>
  <c r="H129" i="7"/>
  <c r="I101" i="7"/>
  <c r="U101" i="7"/>
  <c r="T98" i="7"/>
  <c r="H131" i="7"/>
  <c r="H102" i="7"/>
  <c r="H132" i="7"/>
  <c r="W13" i="7"/>
  <c r="O13" i="7"/>
  <c r="D124" i="7"/>
  <c r="U33" i="7"/>
  <c r="J123" i="7"/>
  <c r="V13" i="7"/>
  <c r="U57" i="7"/>
  <c r="I35" i="7"/>
  <c r="U35" i="7"/>
  <c r="T63" i="7"/>
  <c r="P102" i="7"/>
  <c r="B158" i="7"/>
  <c r="D136" i="7"/>
  <c r="C158" i="7"/>
  <c r="D137" i="7"/>
  <c r="D102" i="7"/>
  <c r="D135" i="7"/>
  <c r="G131" i="7"/>
  <c r="S98" i="7"/>
  <c r="G132" i="7"/>
  <c r="G102" i="7"/>
  <c r="I135" i="7"/>
  <c r="B163" i="7"/>
  <c r="I136" i="7"/>
  <c r="C163" i="7"/>
  <c r="I137" i="7"/>
  <c r="I102" i="7"/>
  <c r="U102" i="7"/>
  <c r="P48" i="7"/>
  <c r="O47" i="7"/>
  <c r="C47" i="7"/>
  <c r="W47" i="7"/>
  <c r="E47" i="7"/>
  <c r="Q47" i="7"/>
  <c r="K96" i="7"/>
  <c r="V96" i="7"/>
  <c r="O98" i="7"/>
  <c r="U96" i="7"/>
  <c r="I98" i="7"/>
  <c r="V101" i="7"/>
  <c r="K101" i="7"/>
  <c r="D101" i="7"/>
  <c r="P101" i="7"/>
  <c r="P54" i="7"/>
  <c r="D146" i="7"/>
  <c r="F101" i="7"/>
  <c r="R101" i="7"/>
  <c r="D35" i="7"/>
  <c r="P35" i="7"/>
  <c r="G122" i="7"/>
  <c r="S17" i="7"/>
  <c r="J122" i="7"/>
  <c r="K17" i="7"/>
  <c r="J17" i="7"/>
  <c r="V17" i="7"/>
  <c r="O91" i="7"/>
  <c r="W91" i="7"/>
  <c r="V57" i="7"/>
  <c r="K57" i="7"/>
  <c r="Q48" i="7"/>
  <c r="R43" i="7"/>
  <c r="E145" i="7"/>
  <c r="I150" i="7"/>
  <c r="Q17" i="7"/>
  <c r="E122" i="7"/>
  <c r="V54" i="7"/>
  <c r="J146" i="7"/>
  <c r="O54" i="7"/>
  <c r="W54" i="7"/>
  <c r="F35" i="7"/>
  <c r="R35" i="7"/>
  <c r="K135" i="7"/>
  <c r="B157" i="7"/>
  <c r="C135" i="7"/>
  <c r="W102" i="7"/>
  <c r="O102" i="7"/>
  <c r="C157" i="7"/>
  <c r="K128" i="7"/>
  <c r="R55" i="7"/>
  <c r="V91" i="7"/>
  <c r="K91" i="7"/>
  <c r="I145" i="7"/>
  <c r="T48" i="7"/>
  <c r="J124" i="7"/>
  <c r="U13" i="7"/>
  <c r="I123" i="7"/>
  <c r="D122" i="7"/>
  <c r="P17" i="7"/>
  <c r="V102" i="7"/>
  <c r="J135" i="7"/>
  <c r="B164" i="7"/>
  <c r="J136" i="7"/>
  <c r="C164" i="7"/>
  <c r="J137" i="7"/>
  <c r="K102" i="7"/>
  <c r="J102" i="7"/>
  <c r="J132" i="7"/>
  <c r="J101" i="7"/>
  <c r="J131" i="7"/>
  <c r="V98" i="7"/>
  <c r="C159" i="7"/>
  <c r="E136" i="7"/>
  <c r="E135" i="7"/>
  <c r="E137" i="7"/>
  <c r="B159" i="7"/>
  <c r="Q102" i="7"/>
  <c r="O17" i="7"/>
  <c r="W17" i="7"/>
  <c r="W36" i="7"/>
  <c r="O36" i="7"/>
  <c r="F128" i="7"/>
  <c r="R64" i="7"/>
  <c r="F129" i="7"/>
  <c r="F130" i="7"/>
  <c r="H123" i="7"/>
  <c r="T13" i="7"/>
  <c r="I124" i="7"/>
  <c r="S54" i="7"/>
  <c r="G146" i="7"/>
  <c r="U55" i="7"/>
  <c r="W35" i="7"/>
  <c r="C35" i="7"/>
  <c r="O35" i="7"/>
  <c r="U63" i="7"/>
  <c r="S13" i="7"/>
  <c r="G17" i="7"/>
  <c r="H124" i="7"/>
  <c r="G123" i="7"/>
  <c r="C173" i="7"/>
  <c r="B173" i="7"/>
  <c r="D148" i="7"/>
  <c r="D145" i="7"/>
  <c r="W65" i="7"/>
  <c r="O65" i="7"/>
  <c r="O48" i="7"/>
  <c r="W48" i="7"/>
  <c r="Q57" i="7"/>
  <c r="S91" i="7"/>
  <c r="F146" i="7"/>
  <c r="R54" i="7"/>
  <c r="H122" i="7"/>
  <c r="H17" i="7"/>
  <c r="T17" i="7"/>
  <c r="E17" i="7"/>
  <c r="E123" i="7"/>
  <c r="F124" i="7"/>
  <c r="Q13" i="7"/>
  <c r="W94" i="7"/>
  <c r="C94" i="7"/>
  <c r="O94" i="7"/>
  <c r="R91" i="7"/>
  <c r="C137" i="7"/>
  <c r="K137" i="7"/>
  <c r="H35" i="7"/>
  <c r="T35" i="7"/>
  <c r="K55" i="7"/>
  <c r="V55" i="7"/>
  <c r="I122" i="7"/>
  <c r="I17" i="7"/>
  <c r="U17" i="7"/>
  <c r="V64" i="7"/>
  <c r="K64" i="7"/>
  <c r="J128" i="7"/>
  <c r="J129" i="7"/>
  <c r="J130" i="7"/>
  <c r="G124" i="7"/>
  <c r="F123" i="7"/>
  <c r="R13" i="7"/>
  <c r="W37" i="7"/>
  <c r="O37" i="7"/>
  <c r="B176" i="7"/>
  <c r="V65" i="7"/>
  <c r="K65" i="7"/>
  <c r="W64" i="7"/>
  <c r="C128" i="7"/>
  <c r="O64" i="7"/>
  <c r="O33" i="7"/>
  <c r="W33" i="7"/>
  <c r="Q98" i="7"/>
  <c r="E132" i="7"/>
  <c r="E131" i="7"/>
  <c r="E102" i="7"/>
  <c r="W55" i="7"/>
  <c r="O55" i="7"/>
  <c r="O45" i="7"/>
  <c r="C45" i="7"/>
  <c r="W45" i="7"/>
  <c r="U37" i="7"/>
  <c r="P43" i="7"/>
  <c r="I129" i="7"/>
  <c r="I144" i="7"/>
  <c r="I130" i="7"/>
  <c r="I128" i="7"/>
  <c r="I64" i="7"/>
  <c r="U64" i="7"/>
  <c r="W57" i="7"/>
  <c r="C65" i="7"/>
  <c r="C57" i="7"/>
  <c r="O57" i="7"/>
  <c r="R33" i="7"/>
  <c r="C150" i="7"/>
  <c r="K63" i="7"/>
  <c r="V63" i="7"/>
  <c r="D130" i="7"/>
  <c r="D128" i="7"/>
  <c r="P64" i="7"/>
  <c r="D129" i="7"/>
  <c r="E129" i="7"/>
  <c r="E130" i="7"/>
  <c r="E128" i="7"/>
  <c r="Q64" i="7"/>
  <c r="R37" i="7"/>
  <c r="E146" i="7"/>
  <c r="E148" i="7"/>
  <c r="E68" i="7"/>
  <c r="E54" i="7"/>
  <c r="Q54" i="7"/>
  <c r="C131" i="7"/>
  <c r="K131" i="7"/>
  <c r="H146" i="7"/>
  <c r="T54" i="7"/>
  <c r="P13" i="7"/>
  <c r="D123" i="7"/>
  <c r="D17" i="7"/>
  <c r="E124" i="7"/>
  <c r="P96" i="7"/>
  <c r="D98" i="7"/>
  <c r="R17" i="7"/>
  <c r="F17" i="7"/>
  <c r="F122" i="7"/>
  <c r="S43" i="7"/>
  <c r="U91" i="7"/>
  <c r="I91" i="7"/>
  <c r="I96" i="7"/>
  <c r="T91" i="7"/>
  <c r="K145" i="7"/>
  <c r="H101" i="7"/>
  <c r="T101" i="7"/>
  <c r="C124" i="7"/>
  <c r="K124" i="7"/>
  <c r="D68" i="7"/>
  <c r="D54" i="7"/>
  <c r="P57" i="7"/>
  <c r="D144" i="7"/>
  <c r="D150" i="7"/>
  <c r="G128" i="7"/>
  <c r="S64" i="7"/>
  <c r="G130" i="7"/>
  <c r="G129" i="7"/>
  <c r="G68" i="7"/>
  <c r="G54" i="7"/>
  <c r="G148" i="7"/>
  <c r="G145" i="7"/>
  <c r="T33" i="7"/>
  <c r="W63" i="7"/>
  <c r="O63" i="7"/>
  <c r="I65" i="7"/>
  <c r="U65" i="7"/>
  <c r="P91" i="7"/>
  <c r="D96" i="7"/>
  <c r="C171" i="7"/>
  <c r="B171" i="7"/>
  <c r="F67" i="7"/>
  <c r="F13" i="7"/>
  <c r="G94" i="7"/>
  <c r="S94" i="7"/>
  <c r="S96" i="7"/>
  <c r="Q63" i="7"/>
  <c r="Q96" i="7"/>
  <c r="T65" i="7"/>
  <c r="S33" i="7"/>
  <c r="D64" i="7"/>
  <c r="P63" i="7"/>
  <c r="U43" i="7"/>
  <c r="C136" i="7"/>
  <c r="K136" i="7"/>
  <c r="G47" i="7"/>
  <c r="S47" i="7"/>
  <c r="G35" i="7"/>
  <c r="S35" i="7"/>
  <c r="C175" i="7"/>
  <c r="B175" i="7"/>
  <c r="R63" i="7"/>
  <c r="P33" i="7"/>
  <c r="P55" i="7"/>
  <c r="C132" i="7"/>
  <c r="K132" i="7"/>
  <c r="H67" i="7"/>
  <c r="H13" i="7"/>
  <c r="I94" i="7"/>
  <c r="U94" i="7"/>
  <c r="I45" i="7"/>
  <c r="U45" i="7"/>
  <c r="E94" i="7"/>
  <c r="Q94" i="7"/>
  <c r="S63" i="7"/>
  <c r="E53" i="7"/>
  <c r="E55" i="7"/>
  <c r="Q55" i="7"/>
  <c r="F16" i="7"/>
  <c r="R16" i="7"/>
  <c r="S36" i="7"/>
  <c r="Q43" i="7"/>
  <c r="T57" i="7"/>
  <c r="H43" i="7"/>
  <c r="H48" i="7"/>
  <c r="H57" i="7"/>
  <c r="H65" i="7"/>
  <c r="S57" i="7"/>
  <c r="I16" i="7"/>
  <c r="U16" i="7"/>
  <c r="H98" i="7"/>
  <c r="H91" i="7"/>
  <c r="H96" i="7"/>
  <c r="T96" i="7"/>
  <c r="P37" i="7"/>
  <c r="F47" i="7"/>
  <c r="R47" i="7"/>
  <c r="S48" i="7"/>
  <c r="C130" i="7"/>
  <c r="K130" i="7"/>
  <c r="D47" i="7"/>
  <c r="P47" i="7"/>
  <c r="P36" i="7"/>
  <c r="T55" i="7"/>
  <c r="W43" i="7"/>
  <c r="C48" i="7"/>
  <c r="D91" i="7"/>
  <c r="O43" i="7"/>
  <c r="I146" i="7"/>
  <c r="U54" i="7"/>
  <c r="I68" i="7"/>
  <c r="I54" i="7"/>
  <c r="I148" i="7"/>
  <c r="G43" i="7"/>
  <c r="G48" i="7"/>
  <c r="G57" i="7"/>
  <c r="G65" i="7"/>
  <c r="S65" i="7"/>
  <c r="W16" i="7"/>
  <c r="C16" i="7"/>
  <c r="O16" i="7"/>
  <c r="C17" i="7"/>
  <c r="C122" i="7"/>
  <c r="K122" i="7"/>
  <c r="D16" i="7"/>
  <c r="P16" i="7"/>
  <c r="U48" i="7"/>
  <c r="I48" i="7"/>
  <c r="I57" i="7"/>
  <c r="I53" i="7"/>
  <c r="I55" i="7"/>
  <c r="I43" i="7"/>
  <c r="J91" i="7"/>
  <c r="J96" i="7"/>
  <c r="J98" i="7"/>
  <c r="K98" i="7"/>
  <c r="W98" i="7"/>
  <c r="D94" i="7"/>
  <c r="P94" i="7"/>
  <c r="E67" i="7"/>
  <c r="E13" i="7"/>
  <c r="F94" i="7"/>
  <c r="R94" i="7"/>
  <c r="U36" i="7"/>
  <c r="G53" i="7"/>
  <c r="G55" i="7"/>
  <c r="S55" i="7"/>
  <c r="R65" i="7"/>
  <c r="E98" i="7"/>
  <c r="E101" i="7"/>
  <c r="Q101" i="7"/>
  <c r="E45" i="7"/>
  <c r="Q45" i="7"/>
  <c r="F45" i="7"/>
  <c r="R45" i="7"/>
  <c r="J67" i="7"/>
  <c r="J13" i="7"/>
  <c r="R36" i="7"/>
  <c r="C169" i="7"/>
  <c r="B169" i="7"/>
  <c r="F53" i="7"/>
  <c r="F55" i="7"/>
  <c r="G16" i="7"/>
  <c r="S16" i="7"/>
  <c r="C141" i="7"/>
  <c r="K141" i="7"/>
  <c r="O96" i="7"/>
  <c r="W96" i="7"/>
  <c r="J94" i="7"/>
  <c r="V94" i="7"/>
  <c r="R48" i="7"/>
  <c r="J148" i="7"/>
  <c r="J145" i="7"/>
  <c r="E16" i="7"/>
  <c r="Q16" i="7"/>
  <c r="C129" i="7"/>
  <c r="K129" i="7"/>
  <c r="C174" i="7"/>
  <c r="B174" i="7"/>
  <c r="E64" i="7"/>
  <c r="E144" i="7"/>
  <c r="E150" i="7"/>
  <c r="G67" i="7"/>
  <c r="G13" i="7"/>
  <c r="H94" i="7"/>
  <c r="T94" i="7"/>
  <c r="T36" i="7"/>
  <c r="T37" i="7"/>
  <c r="F65" i="7"/>
  <c r="F48" i="7"/>
  <c r="F57" i="7"/>
  <c r="R57" i="7"/>
  <c r="Q33" i="7"/>
  <c r="Q36" i="7"/>
  <c r="Q37" i="7"/>
  <c r="D67" i="7"/>
  <c r="D13" i="7"/>
  <c r="H16" i="7"/>
  <c r="T16" i="7"/>
  <c r="D45" i="7"/>
  <c r="P45" i="7"/>
  <c r="F64" i="7"/>
  <c r="F144" i="7"/>
  <c r="F150" i="7"/>
  <c r="C170" i="7"/>
  <c r="B170" i="7"/>
  <c r="C172" i="7"/>
  <c r="B172" i="7"/>
  <c r="E48" i="7"/>
  <c r="E57" i="7"/>
  <c r="E65" i="7"/>
  <c r="Q65" i="7"/>
  <c r="G64" i="7"/>
  <c r="G144" i="7"/>
  <c r="G150" i="7"/>
  <c r="R96" i="7"/>
  <c r="E43" i="7"/>
  <c r="F91" i="7"/>
  <c r="F96" i="7"/>
  <c r="F98" i="7"/>
  <c r="I47" i="7"/>
  <c r="U47" i="7"/>
  <c r="H53" i="7"/>
  <c r="H55" i="7"/>
  <c r="W101" i="7"/>
  <c r="C101" i="7"/>
  <c r="O101" i="7"/>
  <c r="S37" i="7"/>
  <c r="D48" i="7"/>
  <c r="D57" i="7"/>
  <c r="D65" i="7"/>
  <c r="P65" i="7"/>
  <c r="I33" i="7"/>
  <c r="I36" i="7"/>
  <c r="I37" i="7"/>
  <c r="I38" i="7"/>
  <c r="I67" i="7"/>
  <c r="I13" i="7"/>
  <c r="C64" i="7"/>
  <c r="C144" i="7"/>
  <c r="K144" i="7"/>
  <c r="K150" i="7"/>
  <c r="H148" i="7"/>
  <c r="H145" i="7"/>
  <c r="H68" i="7"/>
  <c r="H54" i="7"/>
  <c r="G33" i="7"/>
  <c r="G36" i="7"/>
  <c r="G37" i="7"/>
  <c r="G38" i="7"/>
  <c r="G45" i="7"/>
  <c r="S45" i="7"/>
  <c r="H64" i="7"/>
  <c r="H144" i="7"/>
  <c r="H150" i="7"/>
  <c r="J55" i="7"/>
  <c r="J57" i="7"/>
  <c r="J65" i="7"/>
  <c r="J68" i="7"/>
  <c r="J54" i="7"/>
  <c r="H47" i="7"/>
  <c r="T47" i="7"/>
  <c r="F68" i="7"/>
  <c r="F54" i="7"/>
  <c r="F148" i="7"/>
  <c r="F145" i="7"/>
  <c r="C146" i="7"/>
  <c r="K146" i="7"/>
  <c r="H33" i="7"/>
  <c r="H36" i="7"/>
  <c r="H37" i="7"/>
  <c r="H38" i="7"/>
  <c r="H45" i="7"/>
  <c r="T45" i="7"/>
  <c r="E96" i="7"/>
  <c r="D43" i="7"/>
  <c r="E91" i="7"/>
  <c r="Q91" i="7"/>
  <c r="E33" i="7"/>
  <c r="E36" i="7"/>
  <c r="E37" i="7"/>
  <c r="E38" i="7"/>
  <c r="E35" i="7"/>
  <c r="Q35" i="7"/>
  <c r="F33" i="7"/>
  <c r="F36" i="7"/>
  <c r="F37" i="7"/>
  <c r="F38" i="7"/>
  <c r="F43" i="7"/>
  <c r="G91" i="7"/>
  <c r="G96" i="7"/>
  <c r="G98" i="7"/>
  <c r="G101" i="7"/>
  <c r="S101" i="7"/>
  <c r="C68" i="7"/>
  <c r="C54" i="7"/>
  <c r="C148" i="7"/>
  <c r="C145" i="7"/>
  <c r="C53" i="7"/>
  <c r="C55" i="7"/>
  <c r="C43" i="7"/>
  <c r="C91" i="7"/>
  <c r="C96" i="7"/>
  <c r="C98" i="7"/>
  <c r="C102" i="7"/>
  <c r="C63" i="7"/>
  <c r="D63" i="7"/>
  <c r="E63" i="7"/>
  <c r="F63" i="7"/>
  <c r="G63" i="7"/>
  <c r="H63" i="7"/>
  <c r="I63" i="7"/>
  <c r="J63" i="7"/>
  <c r="J64" i="7"/>
  <c r="J144" i="7"/>
  <c r="J150" i="7"/>
  <c r="D33" i="7"/>
  <c r="D36" i="7"/>
  <c r="D37" i="7"/>
  <c r="D38" i="7"/>
  <c r="D53" i="7"/>
  <c r="D55" i="7"/>
  <c r="C33" i="7"/>
  <c r="C36" i="7"/>
  <c r="C37" i="7"/>
  <c r="C38" i="7"/>
  <c r="C67" i="7"/>
  <c r="C13" i="7"/>
  <c r="C123" i="7"/>
  <c r="K123" i="7"/>
</calcChain>
</file>

<file path=xl/sharedStrings.xml><?xml version="1.0" encoding="utf-8"?>
<sst xmlns="http://schemas.openxmlformats.org/spreadsheetml/2006/main" count="446" uniqueCount="255">
  <si>
    <t>Account Name</t>
  </si>
  <si>
    <t>Accounts Payable</t>
  </si>
  <si>
    <t>Accounts Receivable</t>
  </si>
  <si>
    <t>Average</t>
  </si>
  <si>
    <t>Avg. Annual</t>
  </si>
  <si>
    <t>Cash &amp; Equivalents</t>
  </si>
  <si>
    <t>Common Stock</t>
  </si>
  <si>
    <t>Current</t>
  </si>
  <si>
    <t>Current Assets:</t>
  </si>
  <si>
    <t>Current Liabilities:</t>
  </si>
  <si>
    <t>Days Revenues Receivable</t>
  </si>
  <si>
    <t>Deferred Income Taxes</t>
  </si>
  <si>
    <t>Earnings Before Taxes</t>
  </si>
  <si>
    <t>Earnings From Operations</t>
  </si>
  <si>
    <t>Historical Income Statements</t>
  </si>
  <si>
    <t>Income Taxes</t>
  </si>
  <si>
    <t>Long-term Solvency Ratios:</t>
  </si>
  <si>
    <t>Net Income</t>
  </si>
  <si>
    <t>Net Worth/Fixed Assets</t>
  </si>
  <si>
    <t>Net Worth/Non Current Debt</t>
  </si>
  <si>
    <t>Net Worth/Total Debt</t>
  </si>
  <si>
    <t>Operating Expenses:</t>
  </si>
  <si>
    <t>Other Current Assets</t>
  </si>
  <si>
    <t>Pct. Change</t>
  </si>
  <si>
    <t>Plant &amp; Equipment:</t>
  </si>
  <si>
    <t>Quick</t>
  </si>
  <si>
    <t>Ratio Group And Name</t>
  </si>
  <si>
    <t>Retained Earnings</t>
  </si>
  <si>
    <t>Return On Total Assets</t>
  </si>
  <si>
    <t>Short-term Liquidity Ratios:</t>
  </si>
  <si>
    <t>Times Interest Earned</t>
  </si>
  <si>
    <t>Total Assets</t>
  </si>
  <si>
    <t>Total Current Assets</t>
  </si>
  <si>
    <t>Total Current Liabilities</t>
  </si>
  <si>
    <t>Total Liabilities</t>
  </si>
  <si>
    <t>Total Liabilities &amp; Equity</t>
  </si>
  <si>
    <t>Total Non-Current Assets</t>
  </si>
  <si>
    <t>Total Operating Expenses</t>
  </si>
  <si>
    <t>Wt. Average</t>
  </si>
  <si>
    <t>Common Size</t>
  </si>
  <si>
    <t>Historical Balance Sheets</t>
  </si>
  <si>
    <t>Historical Financial Ratios</t>
  </si>
  <si>
    <t>PacifiCorp</t>
  </si>
  <si>
    <t>Extraordinary Items</t>
  </si>
  <si>
    <t>Revenues</t>
  </si>
  <si>
    <t>Total Revenues</t>
  </si>
  <si>
    <t>Preferred Stock Dividends</t>
  </si>
  <si>
    <t>Common Stock Dividends</t>
  </si>
  <si>
    <t>Material, Supplies, Fuel</t>
  </si>
  <si>
    <t>Other PP&amp;E</t>
  </si>
  <si>
    <t>Accumulated Depreciation &amp; Amort.</t>
  </si>
  <si>
    <t>Net Plant &amp; Equipment</t>
  </si>
  <si>
    <t>Regulatory Assets</t>
  </si>
  <si>
    <t>Intangible Assets-net</t>
  </si>
  <si>
    <t>Deferred Charges and Other</t>
  </si>
  <si>
    <t>Investments in Affiliates</t>
  </si>
  <si>
    <t>Current Maturities LTD</t>
  </si>
  <si>
    <t>Long-Term Debt</t>
  </si>
  <si>
    <t>Total LTD &amp; Deferrals</t>
  </si>
  <si>
    <t>Preferred Stock</t>
  </si>
  <si>
    <t>Total Plant &amp; Equipment:</t>
  </si>
  <si>
    <t xml:space="preserve">Other </t>
  </si>
  <si>
    <t>Common Equity:</t>
  </si>
  <si>
    <t>Total Common Equity</t>
  </si>
  <si>
    <t>Return On Common Equity</t>
  </si>
  <si>
    <t>Return On Total Capital</t>
  </si>
  <si>
    <t>Profitability Ratios:</t>
  </si>
  <si>
    <t>Other Financial Indicators:</t>
  </si>
  <si>
    <t>Commercial Paper Ratings</t>
  </si>
  <si>
    <t>Other Assets:</t>
  </si>
  <si>
    <t>Total Other Assets</t>
  </si>
  <si>
    <t>Cash flows from operating activities:</t>
  </si>
  <si>
    <t xml:space="preserve">   Net income</t>
  </si>
  <si>
    <t xml:space="preserve">   Adjustments to reconcile net income</t>
  </si>
  <si>
    <t xml:space="preserve">     to net cash provided by operating activities:</t>
  </si>
  <si>
    <t xml:space="preserve">       Gain on disposal of discontinued operations</t>
  </si>
  <si>
    <t>-</t>
  </si>
  <si>
    <t xml:space="preserve">       Cumulative effect of accounting change, net of tax</t>
  </si>
  <si>
    <t xml:space="preserve">       Unrealized gain on derivative contracts</t>
  </si>
  <si>
    <t xml:space="preserve">       Depreciation and amortization</t>
  </si>
  <si>
    <t xml:space="preserve">       Deferred income taxes and investment tax credits - net</t>
  </si>
  <si>
    <t xml:space="preserve">       (Gain) loss on sale of subsidiary and assets</t>
  </si>
  <si>
    <t xml:space="preserve">       Regulatory asset/liability establishment and amortization</t>
  </si>
  <si>
    <t xml:space="preserve">       Other</t>
  </si>
  <si>
    <t xml:space="preserve">   Changes in: </t>
  </si>
  <si>
    <t xml:space="preserve">      Accounts receivable, prepayments and other current assets</t>
  </si>
  <si>
    <t xml:space="preserve">      Inventories</t>
  </si>
  <si>
    <t xml:space="preserve">      Other</t>
  </si>
  <si>
    <t>Net cash provided by operating activities</t>
  </si>
  <si>
    <t>Cash flows from investing activities:</t>
  </si>
  <si>
    <t>Investments affilated and partent companies-net</t>
  </si>
  <si>
    <t xml:space="preserve">     Capital expenditures</t>
  </si>
  <si>
    <t xml:space="preserve">     Proceeds from sales of assets</t>
  </si>
  <si>
    <t xml:space="preserve">     Proceeds from sales of finance assets and principal payments</t>
  </si>
  <si>
    <t xml:space="preserve">     Proceeds from available-for-sale securities</t>
  </si>
  <si>
    <t xml:space="preserve">     Purchases of available-for-sale securities</t>
  </si>
  <si>
    <t xml:space="preserve">     Other</t>
  </si>
  <si>
    <t>Net cash used in investing activities</t>
  </si>
  <si>
    <t>Cash flows from financing activities:</t>
  </si>
  <si>
    <t xml:space="preserve">     Changes in short-term debt</t>
  </si>
  <si>
    <t xml:space="preserve">     Proceeds from long-term debt, net of issuance costs</t>
  </si>
  <si>
    <t xml:space="preserve">     Proceeds from issuance of common stock to PHI</t>
  </si>
  <si>
    <t xml:space="preserve">     Dividends paid</t>
  </si>
  <si>
    <t xml:space="preserve">     Repayments and redemptions of long-term debt</t>
  </si>
  <si>
    <t xml:space="preserve">     Repayment of preferred securities</t>
  </si>
  <si>
    <t xml:space="preserve">     Redemptions of preferred stock</t>
  </si>
  <si>
    <t>Net cash provided by (used in) financing activities</t>
  </si>
  <si>
    <t>Change in cash and cash equivalents</t>
  </si>
  <si>
    <t>Cash and cash equivalents at beginning of period</t>
  </si>
  <si>
    <t>Cash and cash equivalents at end of period</t>
  </si>
  <si>
    <t>Historical Cash Flow Statements</t>
  </si>
  <si>
    <t>Cash Flows as a Percent of Revenues</t>
  </si>
  <si>
    <t>Exhibit 1</t>
  </si>
  <si>
    <t>page 3 of 7</t>
  </si>
  <si>
    <t>page 6 of 7</t>
  </si>
  <si>
    <t>page 5 of 7</t>
  </si>
  <si>
    <t>page 7 of 7</t>
  </si>
  <si>
    <t>page 4 of 7</t>
  </si>
  <si>
    <t>page 1 of 7</t>
  </si>
  <si>
    <t>page 2 of 7</t>
  </si>
  <si>
    <t>Forecast Balance Sheets</t>
  </si>
  <si>
    <t>Historical</t>
  </si>
  <si>
    <t>Forecast</t>
  </si>
  <si>
    <t>Wtd. Avg.</t>
  </si>
  <si>
    <t>Pct. Of Assets</t>
  </si>
  <si>
    <t>Difference</t>
  </si>
  <si>
    <t>Previous Value</t>
  </si>
  <si>
    <t>Difference in Total Assets &amp; Total Liabilities</t>
  </si>
  <si>
    <t>Forecast Year</t>
  </si>
  <si>
    <t>Asset Value</t>
  </si>
  <si>
    <t>FORECAST ASSUMPTIONS</t>
  </si>
  <si>
    <t>Company Name</t>
  </si>
  <si>
    <t>Inflation (GDP)</t>
  </si>
  <si>
    <t>of total assets</t>
  </si>
  <si>
    <t>Surplus Cash</t>
  </si>
  <si>
    <t>Additonal Loans</t>
  </si>
  <si>
    <t>Period</t>
  </si>
  <si>
    <t>Short-term debt Rate</t>
  </si>
  <si>
    <t>Rate on Cash balances</t>
  </si>
  <si>
    <t>Plant in Service</t>
  </si>
  <si>
    <t>Construction Work in Progress</t>
  </si>
  <si>
    <t xml:space="preserve">     Proceeds from issuance of common stock/equity contribution</t>
  </si>
  <si>
    <t xml:space="preserve">    Investments in affilated companies-net</t>
  </si>
  <si>
    <t>Forecast Income Statements</t>
  </si>
  <si>
    <t>Forecast Financial Ratios</t>
  </si>
  <si>
    <t>Difference in Net Income</t>
  </si>
  <si>
    <t>Common Equity</t>
  </si>
  <si>
    <t>Australian Electric Operations</t>
  </si>
  <si>
    <t>Operating Sales and Revenues:</t>
  </si>
  <si>
    <t>Average includes both fuel and power costs.</t>
  </si>
  <si>
    <t>Percent change includes both fuel and power costs.</t>
  </si>
  <si>
    <t>Asset-Utilization Ratios:</t>
  </si>
  <si>
    <t>Regulatory Capital Structure</t>
  </si>
  <si>
    <t>Long Term Debt (incl. current portion)</t>
  </si>
  <si>
    <t>Total Capital (Millions of Dollars)</t>
  </si>
  <si>
    <t>A- / BBB+</t>
  </si>
  <si>
    <t>Other operations and maintenance</t>
  </si>
  <si>
    <t>Depreciation and amortization</t>
  </si>
  <si>
    <t>Other Operating Expenses</t>
  </si>
  <si>
    <t>Taxes, other than income taxes</t>
  </si>
  <si>
    <t>Interest expense (net)</t>
  </si>
  <si>
    <t>Interest income</t>
  </si>
  <si>
    <t>Loss (Gain) on Sale of Assets</t>
  </si>
  <si>
    <t>Other (Income) Expense</t>
  </si>
  <si>
    <t>Financial Assets/Derivatives</t>
  </si>
  <si>
    <t>Derivative Contacts</t>
  </si>
  <si>
    <t>Derivative Contracts</t>
  </si>
  <si>
    <t>Short-term Debt</t>
  </si>
  <si>
    <t>Accrued Expenses</t>
  </si>
  <si>
    <t>Energy Costs</t>
  </si>
  <si>
    <t>Other Long-term Liabilities</t>
  </si>
  <si>
    <t>Forecast Common Size Balance Sheets</t>
  </si>
  <si>
    <t>Description</t>
  </si>
  <si>
    <t>Comments</t>
  </si>
  <si>
    <t>percent of assets</t>
  </si>
  <si>
    <t>computer calculation</t>
  </si>
  <si>
    <t>fixed amount</t>
  </si>
  <si>
    <t>percent of revenues</t>
  </si>
  <si>
    <t>percent of LTD</t>
  </si>
  <si>
    <t xml:space="preserve">average </t>
  </si>
  <si>
    <t>constant at 2009 amount</t>
  </si>
  <si>
    <t>Common Size Forecast Income Statements</t>
  </si>
  <si>
    <t>Interest Expense (Income) on Additional Loans (Surplus Cash)</t>
  </si>
  <si>
    <t>of average cash balance</t>
  </si>
  <si>
    <t>computer calculation based on average surplus cash and additional loans times s-t and l-t debt interest</t>
  </si>
  <si>
    <t>constant</t>
  </si>
  <si>
    <t>of EBT</t>
  </si>
  <si>
    <t>last year's LTD less last year's current maturities</t>
  </si>
  <si>
    <t>Additional Loans Rate</t>
  </si>
  <si>
    <t>Revenues/Fixed Assets</t>
  </si>
  <si>
    <t>Revenues/Total Assets</t>
  </si>
  <si>
    <t>A/BBB+</t>
  </si>
  <si>
    <t xml:space="preserve">      Derivative Collateral, net</t>
  </si>
  <si>
    <t>page 3 of 5</t>
  </si>
  <si>
    <t>page 1 of 5</t>
  </si>
  <si>
    <t>page 5 of 5</t>
  </si>
  <si>
    <t>page 4 of 5</t>
  </si>
  <si>
    <t>page 2 of 5</t>
  </si>
  <si>
    <t>Manually estimated to keep capital structure in expected range of 50-53%</t>
  </si>
  <si>
    <t>Exhibit 2</t>
  </si>
  <si>
    <t>Total Other (Income)/Expense</t>
  </si>
  <si>
    <t>Days Revenues Cash</t>
  </si>
  <si>
    <t xml:space="preserve">     Common Stock Dividends paid</t>
  </si>
  <si>
    <t>Times Interest Earned plus Depr.</t>
  </si>
  <si>
    <t xml:space="preserve">     Preferred Stock Dividends paid</t>
  </si>
  <si>
    <t>estimated growth rate,</t>
  </si>
  <si>
    <t xml:space="preserve">of revenues, </t>
  </si>
  <si>
    <t>avg pct. of  assets</t>
  </si>
  <si>
    <t>of assets</t>
  </si>
  <si>
    <t>Pct.of net plant</t>
  </si>
  <si>
    <t xml:space="preserve">      Income taxes, net</t>
  </si>
  <si>
    <t>A-2</t>
  </si>
  <si>
    <t>Bond Rating (senior secured/stand alone)</t>
  </si>
  <si>
    <t xml:space="preserve"> </t>
  </si>
  <si>
    <t>Percent of net plant</t>
  </si>
  <si>
    <t>---</t>
  </si>
  <si>
    <t>fuel and O&amp;M growth rate</t>
  </si>
  <si>
    <t>2011-2015</t>
  </si>
  <si>
    <t xml:space="preserve">estimate: Value Line 3-5 year at 2.50 percent, </t>
  </si>
  <si>
    <t>2012-2015</t>
  </si>
  <si>
    <t>2014-2015</t>
  </si>
  <si>
    <t>A+/A</t>
  </si>
  <si>
    <t>A-1</t>
  </si>
  <si>
    <t>Inflation rate</t>
  </si>
  <si>
    <t>x 2011</t>
  </si>
  <si>
    <t>Total Capital ($ millions)</t>
  </si>
  <si>
    <t xml:space="preserve">  </t>
  </si>
  <si>
    <t>percent of plant in service, then growing after 2017 at 5.00-3.44=1.56% rate to reflect slower replacement. The 5.00 is the growth in accumulated depreciation, 3.44 is the plant in service average growth rate.</t>
  </si>
  <si>
    <t>estimated from 2015-2016</t>
  </si>
  <si>
    <t>2014-2016</t>
  </si>
  <si>
    <t>per Dec 2016 10-K</t>
  </si>
  <si>
    <t>Fiscal Years Ended December 31, 2012-2017</t>
  </si>
  <si>
    <t>2012-2017</t>
  </si>
  <si>
    <t>Common Divid. Pct of Net Income</t>
  </si>
  <si>
    <t>Pfd Stock Divd Pct of Net Income</t>
  </si>
  <si>
    <t xml:space="preserve">      Accounts payable and other liabilities</t>
  </si>
  <si>
    <t>Amort. Of Excess Def. Inc. Tax</t>
  </si>
  <si>
    <t>2015-2017 average</t>
  </si>
  <si>
    <t>2011-2017</t>
  </si>
  <si>
    <t>2015-2017</t>
  </si>
  <si>
    <t xml:space="preserve">Average of Inflation rate </t>
  </si>
  <si>
    <t>of plant in service, 2014-2017</t>
  </si>
  <si>
    <t>2017 cost of average s-t and l-t debt</t>
  </si>
  <si>
    <t>average of 2015-2017 percent of revenues</t>
  </si>
  <si>
    <t>estimated from current fed corp rate of 21%, and ratio of previous 2017 average rate of 31.97% to the previous fed corporate rate of 35%</t>
  </si>
  <si>
    <t>2011-2016</t>
  </si>
  <si>
    <t>Inflation plus 0.25 percent</t>
  </si>
  <si>
    <t>First</t>
  </si>
  <si>
    <t>Quarter</t>
  </si>
  <si>
    <t>$800 MM and $200 MM added in 2019 and 2020, to reflect repowering</t>
  </si>
  <si>
    <t>2% bump in 2021 for rate cases putting in repowering etc</t>
  </si>
  <si>
    <t>Assumed to be 650 annually to reflect low cap ex</t>
  </si>
  <si>
    <t>$400 MM and $100 MM added in 2019 and 2020, to reflect repowering</t>
  </si>
  <si>
    <t>PP&amp;E set at one-half of Rev growth to reflect expected slow plant additions during period</t>
  </si>
  <si>
    <t>One-half Revenue forecast to reflect slowing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</si>
</sst>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164" formatCode="0.000%"/>
    <numFmt numFmtId="165" formatCode="#,##0.0_);\(#,##0.0\)"/>
    <numFmt numFmtId="166" formatCode="&quot;$&quot;#,##0.0_);\(&quot;$&quot;#,##0.0\)"/>
    <numFmt numFmtId="167" formatCode="#,##0.0"/>
    <numFmt numFmtId="168" formatCode="#,##0.000_);\(#,##0.000\)"/>
    <numFmt numFmtId="169" formatCode="0.00_);\(0.00\)"/>
    <numFmt numFmtId="170" formatCode="&quot;$&quot;#,##0.00000_);\(&quot;$&quot;#,##0.00000\)"/>
    <numFmt numFmtId="171" formatCode="#,##0.0000_);[Red]\(#,##0.0000\)"/>
  </numFmts>
  <fonts count="23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0"/>
      </bottom>
      <diagonal/>
    </border>
    <border>
      <left/>
      <right/>
      <top/>
      <bottom style="double">
        <color indexed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 style="double">
        <color indexed="64"/>
      </bottom>
      <diagonal/>
    </border>
    <border>
      <left/>
      <right/>
      <top style="thin">
        <color indexed="0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</borders>
  <cellStyleXfs count="11">
    <xf numFmtId="0" fontId="0" fillId="0" borderId="0"/>
    <xf numFmtId="3" fontId="10" fillId="2" borderId="0"/>
    <xf numFmtId="7" fontId="10" fillId="2" borderId="0"/>
    <xf numFmtId="5" fontId="10" fillId="2" borderId="0"/>
    <xf numFmtId="0" fontId="10" fillId="2" borderId="0"/>
    <xf numFmtId="2" fontId="10" fillId="2" borderId="0"/>
    <xf numFmtId="0" fontId="1" fillId="2" borderId="0"/>
    <xf numFmtId="0" fontId="2" fillId="2" borderId="0"/>
    <xf numFmtId="0" fontId="10" fillId="0" borderId="0" applyFill="0" applyBorder="0"/>
    <xf numFmtId="10" fontId="10" fillId="2" borderId="0"/>
    <xf numFmtId="0" fontId="10" fillId="2" borderId="1"/>
  </cellStyleXfs>
  <cellXfs count="352">
    <xf numFmtId="5" fontId="0" fillId="2" borderId="0" xfId="0" applyNumberFormat="1" applyFill="1"/>
    <xf numFmtId="10" fontId="0" fillId="2" borderId="0" xfId="0" applyNumberFormat="1" applyFill="1"/>
    <xf numFmtId="5" fontId="5" fillId="2" borderId="0" xfId="0" applyNumberFormat="1" applyFont="1" applyFill="1"/>
    <xf numFmtId="5" fontId="5" fillId="2" borderId="2" xfId="0" applyNumberFormat="1" applyFont="1" applyFill="1" applyBorder="1"/>
    <xf numFmtId="0" fontId="5" fillId="2" borderId="2" xfId="0" applyFont="1" applyFill="1" applyBorder="1"/>
    <xf numFmtId="10" fontId="5" fillId="2" borderId="0" xfId="0" applyNumberFormat="1" applyFont="1" applyFill="1"/>
    <xf numFmtId="10" fontId="5" fillId="2" borderId="2" xfId="0" applyNumberFormat="1" applyFont="1" applyFill="1" applyBorder="1"/>
    <xf numFmtId="10" fontId="5" fillId="2" borderId="3" xfId="0" applyNumberFormat="1" applyFont="1" applyFill="1" applyBorder="1"/>
    <xf numFmtId="2" fontId="5" fillId="2" borderId="0" xfId="0" applyNumberFormat="1" applyFont="1" applyFill="1"/>
    <xf numFmtId="5" fontId="3" fillId="2" borderId="0" xfId="0" applyNumberFormat="1" applyFont="1" applyFill="1" applyAlignment="1">
      <alignment horizontal="centerContinuous"/>
    </xf>
    <xf numFmtId="5" fontId="0" fillId="2" borderId="0" xfId="0" applyNumberFormat="1" applyFill="1" applyAlignment="1">
      <alignment horizontal="centerContinuous"/>
    </xf>
    <xf numFmtId="5" fontId="4" fillId="2" borderId="0" xfId="0" applyNumberFormat="1" applyFont="1" applyFill="1" applyAlignment="1">
      <alignment horizontal="centerContinuous"/>
    </xf>
    <xf numFmtId="5" fontId="5" fillId="2" borderId="0" xfId="0" applyNumberFormat="1" applyFont="1" applyFill="1" applyAlignment="1">
      <alignment horizontal="centerContinuous"/>
    </xf>
    <xf numFmtId="10" fontId="5" fillId="2" borderId="0" xfId="0" applyNumberFormat="1" applyFont="1" applyFill="1" applyAlignment="1">
      <alignment horizontal="centerContinuous"/>
    </xf>
    <xf numFmtId="5" fontId="5" fillId="2" borderId="0" xfId="0" applyNumberFormat="1" applyFont="1" applyFill="1" applyAlignment="1">
      <alignment horizontal="right"/>
    </xf>
    <xf numFmtId="10" fontId="5" fillId="2" borderId="0" xfId="0" applyNumberFormat="1" applyFont="1" applyFill="1" applyAlignment="1">
      <alignment horizontal="right"/>
    </xf>
    <xf numFmtId="10" fontId="5" fillId="2" borderId="2" xfId="0" applyNumberFormat="1" applyFont="1" applyFill="1" applyBorder="1" applyAlignment="1">
      <alignment horizontal="right"/>
    </xf>
    <xf numFmtId="10" fontId="5" fillId="2" borderId="4" xfId="0" applyNumberFormat="1" applyFont="1" applyFill="1" applyBorder="1"/>
    <xf numFmtId="10" fontId="5" fillId="2" borderId="0" xfId="0" applyNumberFormat="1" applyFont="1" applyFill="1" applyBorder="1"/>
    <xf numFmtId="5" fontId="5" fillId="2" borderId="0" xfId="0" applyNumberFormat="1" applyFont="1" applyFill="1" applyBorder="1"/>
    <xf numFmtId="5" fontId="5" fillId="2" borderId="4" xfId="0" applyNumberFormat="1" applyFont="1" applyFill="1" applyBorder="1"/>
    <xf numFmtId="5" fontId="0" fillId="2" borderId="0" xfId="0" applyNumberFormat="1" applyFill="1" applyBorder="1"/>
    <xf numFmtId="0" fontId="5" fillId="2" borderId="0" xfId="0" applyFont="1" applyFill="1" applyBorder="1"/>
    <xf numFmtId="10" fontId="5" fillId="2" borderId="0" xfId="0" applyNumberFormat="1" applyFont="1" applyFill="1" applyBorder="1" applyAlignment="1">
      <alignment horizontal="right"/>
    </xf>
    <xf numFmtId="0" fontId="10" fillId="2" borderId="0" xfId="8" applyFill="1"/>
    <xf numFmtId="0" fontId="9" fillId="0" borderId="0" xfId="8" applyFont="1" applyFill="1" applyBorder="1" applyAlignment="1">
      <alignment vertical="center"/>
    </xf>
    <xf numFmtId="165" fontId="9" fillId="2" borderId="0" xfId="8" applyNumberFormat="1" applyFont="1" applyFill="1" applyBorder="1" applyAlignment="1">
      <alignment horizontal="right"/>
    </xf>
    <xf numFmtId="0" fontId="9" fillId="0" borderId="0" xfId="8" applyFont="1" applyBorder="1" applyAlignment="1">
      <alignment vertical="center"/>
    </xf>
    <xf numFmtId="165" fontId="9" fillId="0" borderId="0" xfId="8" applyNumberFormat="1" applyFont="1" applyFill="1" applyBorder="1" applyAlignment="1">
      <alignment horizontal="right"/>
    </xf>
    <xf numFmtId="0" fontId="7" fillId="3" borderId="0" xfId="8" applyFont="1" applyFill="1" applyBorder="1" applyAlignment="1"/>
    <xf numFmtId="0" fontId="9" fillId="0" borderId="5" xfId="8" applyFont="1" applyBorder="1" applyAlignment="1">
      <alignment vertical="center"/>
    </xf>
    <xf numFmtId="165" fontId="9" fillId="2" borderId="5" xfId="8" applyNumberFormat="1" applyFont="1" applyFill="1" applyBorder="1" applyAlignment="1">
      <alignment horizontal="right"/>
    </xf>
    <xf numFmtId="0" fontId="10" fillId="2" borderId="0" xfId="8" applyFont="1" applyFill="1"/>
    <xf numFmtId="167" fontId="10" fillId="2" borderId="0" xfId="8" applyNumberFormat="1" applyFill="1"/>
    <xf numFmtId="0" fontId="11" fillId="0" borderId="0" xfId="8" applyFont="1" applyFill="1" applyBorder="1" applyAlignment="1">
      <alignment horizontal="right"/>
    </xf>
    <xf numFmtId="0" fontId="11" fillId="2" borderId="0" xfId="8" applyNumberFormat="1" applyFont="1" applyFill="1" applyBorder="1" applyAlignment="1">
      <alignment horizontal="right"/>
    </xf>
    <xf numFmtId="0" fontId="11" fillId="2" borderId="0" xfId="8" applyFont="1" applyFill="1"/>
    <xf numFmtId="0" fontId="9" fillId="2" borderId="0" xfId="8" applyFont="1" applyFill="1"/>
    <xf numFmtId="167" fontId="9" fillId="2" borderId="0" xfId="8" applyNumberFormat="1" applyFont="1" applyFill="1"/>
    <xf numFmtId="0" fontId="10" fillId="2" borderId="0" xfId="8" applyFill="1" applyAlignment="1">
      <alignment horizontal="centerContinuous"/>
    </xf>
    <xf numFmtId="5" fontId="13" fillId="2" borderId="0" xfId="8" applyNumberFormat="1" applyFont="1" applyFill="1" applyAlignment="1">
      <alignment horizontal="centerContinuous"/>
    </xf>
    <xf numFmtId="167" fontId="10" fillId="2" borderId="0" xfId="8" applyNumberFormat="1" applyFill="1" applyAlignment="1">
      <alignment horizontal="centerContinuous"/>
    </xf>
    <xf numFmtId="0" fontId="15" fillId="2" borderId="0" xfId="8" applyFont="1" applyFill="1" applyAlignment="1">
      <alignment horizontal="centerContinuous"/>
    </xf>
    <xf numFmtId="0" fontId="10" fillId="2" borderId="0" xfId="8" applyFont="1" applyFill="1" applyAlignment="1">
      <alignment horizontal="centerContinuous"/>
    </xf>
    <xf numFmtId="0" fontId="11" fillId="2" borderId="0" xfId="8" applyFont="1" applyFill="1" applyAlignment="1">
      <alignment horizontal="center"/>
    </xf>
    <xf numFmtId="167" fontId="10" fillId="2" borderId="0" xfId="8" applyNumberFormat="1" applyFont="1" applyFill="1" applyAlignment="1">
      <alignment horizontal="centerContinuous"/>
    </xf>
    <xf numFmtId="0" fontId="9" fillId="0" borderId="0" xfId="8" quotePrefix="1" applyFont="1" applyBorder="1" applyAlignment="1">
      <alignment horizontal="left" vertical="center"/>
    </xf>
    <xf numFmtId="0" fontId="14" fillId="2" borderId="0" xfId="8" applyFont="1" applyFill="1" applyAlignment="1">
      <alignment horizontal="centerContinuous"/>
    </xf>
    <xf numFmtId="5" fontId="13" fillId="0" borderId="0" xfId="8" applyNumberFormat="1" applyFont="1" applyAlignment="1">
      <alignment horizontal="centerContinuous"/>
    </xf>
    <xf numFmtId="0" fontId="13" fillId="0" borderId="0" xfId="8" applyFont="1" applyAlignment="1">
      <alignment horizontal="centerContinuous"/>
    </xf>
    <xf numFmtId="0" fontId="12" fillId="2" borderId="0" xfId="8" applyFont="1" applyFill="1" applyAlignment="1">
      <alignment horizontal="centerContinuous"/>
    </xf>
    <xf numFmtId="5" fontId="11" fillId="2" borderId="0" xfId="8" applyNumberFormat="1" applyFont="1" applyFill="1" applyAlignment="1">
      <alignment horizontal="centerContinuous"/>
    </xf>
    <xf numFmtId="5" fontId="9" fillId="2" borderId="0" xfId="0" applyNumberFormat="1" applyFont="1" applyFill="1"/>
    <xf numFmtId="10" fontId="16" fillId="2" borderId="0" xfId="0" applyNumberFormat="1" applyFont="1" applyFill="1"/>
    <xf numFmtId="10" fontId="9" fillId="2" borderId="0" xfId="0" quotePrefix="1" applyNumberFormat="1" applyFont="1" applyFill="1" applyAlignment="1">
      <alignment horizontal="left"/>
    </xf>
    <xf numFmtId="10" fontId="9" fillId="2" borderId="0" xfId="0" applyNumberFormat="1" applyFont="1" applyFill="1"/>
    <xf numFmtId="0" fontId="9" fillId="2" borderId="0" xfId="8" applyFont="1" applyFill="1" applyAlignment="1">
      <alignment horizontal="centerContinuous"/>
    </xf>
    <xf numFmtId="10" fontId="9" fillId="2" borderId="0" xfId="9" applyFont="1"/>
    <xf numFmtId="10" fontId="9" fillId="2" borderId="0" xfId="8" applyNumberFormat="1" applyFont="1" applyFill="1"/>
    <xf numFmtId="10" fontId="9" fillId="2" borderId="0" xfId="9" applyFont="1" applyAlignment="1">
      <alignment horizontal="center"/>
    </xf>
    <xf numFmtId="0" fontId="7" fillId="3" borderId="0" xfId="8" quotePrefix="1" applyFont="1" applyFill="1" applyBorder="1" applyAlignment="1">
      <alignment horizontal="left"/>
    </xf>
    <xf numFmtId="165" fontId="9" fillId="0" borderId="0" xfId="8" applyNumberFormat="1" applyFont="1" applyBorder="1" applyAlignment="1">
      <alignment horizontal="right"/>
    </xf>
    <xf numFmtId="165" fontId="5" fillId="2" borderId="0" xfId="0" applyNumberFormat="1" applyFont="1" applyFill="1" applyAlignment="1">
      <alignment horizontal="centerContinuous"/>
    </xf>
    <xf numFmtId="165" fontId="9" fillId="0" borderId="0" xfId="8" applyNumberFormat="1" applyFont="1" applyBorder="1" applyAlignment="1" applyProtection="1">
      <alignment horizontal="right"/>
      <protection locked="0"/>
    </xf>
    <xf numFmtId="165" fontId="7" fillId="3" borderId="0" xfId="8" applyNumberFormat="1" applyFont="1" applyFill="1" applyBorder="1" applyAlignment="1">
      <alignment horizontal="right"/>
    </xf>
    <xf numFmtId="165" fontId="9" fillId="0" borderId="5" xfId="8" applyNumberFormat="1" applyFont="1" applyBorder="1" applyAlignment="1">
      <alignment horizontal="right"/>
    </xf>
    <xf numFmtId="165" fontId="7" fillId="3" borderId="5" xfId="2" applyNumberFormat="1" applyFont="1" applyFill="1" applyBorder="1" applyAlignment="1">
      <alignment horizontal="right"/>
    </xf>
    <xf numFmtId="165" fontId="10" fillId="2" borderId="0" xfId="8" applyNumberFormat="1" applyFill="1"/>
    <xf numFmtId="165" fontId="7" fillId="3" borderId="0" xfId="2" applyNumberFormat="1" applyFont="1" applyFill="1" applyBorder="1"/>
    <xf numFmtId="0" fontId="9" fillId="0" borderId="0" xfId="8" quotePrefix="1" applyFont="1" applyFill="1" applyBorder="1" applyAlignment="1">
      <alignment horizontal="left" vertical="center"/>
    </xf>
    <xf numFmtId="10" fontId="9" fillId="2" borderId="4" xfId="9" applyFont="1" applyBorder="1"/>
    <xf numFmtId="10" fontId="5" fillId="2" borderId="6" xfId="0" applyNumberFormat="1" applyFont="1" applyFill="1" applyBorder="1"/>
    <xf numFmtId="10" fontId="5" fillId="2" borderId="7" xfId="0" applyNumberFormat="1" applyFont="1" applyFill="1" applyBorder="1"/>
    <xf numFmtId="10" fontId="0" fillId="2" borderId="0" xfId="0" applyNumberFormat="1" applyFill="1" applyAlignment="1">
      <alignment horizontal="centerContinuous"/>
    </xf>
    <xf numFmtId="5" fontId="5" fillId="2" borderId="8" xfId="0" applyNumberFormat="1" applyFont="1" applyFill="1" applyBorder="1" applyAlignment="1">
      <alignment horizontal="right"/>
    </xf>
    <xf numFmtId="0" fontId="5" fillId="2" borderId="9" xfId="0" applyFont="1" applyFill="1" applyBorder="1"/>
    <xf numFmtId="0" fontId="5" fillId="2" borderId="8" xfId="0" applyFont="1" applyFill="1" applyBorder="1"/>
    <xf numFmtId="5" fontId="5" fillId="2" borderId="8" xfId="0" applyNumberFormat="1" applyFont="1" applyFill="1" applyBorder="1"/>
    <xf numFmtId="5" fontId="5" fillId="2" borderId="6" xfId="0" applyNumberFormat="1" applyFont="1" applyFill="1" applyBorder="1"/>
    <xf numFmtId="5" fontId="5" fillId="2" borderId="2" xfId="0" applyNumberFormat="1" applyFont="1" applyFill="1" applyBorder="1" applyAlignment="1">
      <alignment horizontal="right"/>
    </xf>
    <xf numFmtId="5" fontId="5" fillId="2" borderId="0" xfId="0" applyNumberFormat="1" applyFont="1" applyFill="1" applyBorder="1" applyAlignment="1">
      <alignment horizontal="right"/>
    </xf>
    <xf numFmtId="2" fontId="5" fillId="2" borderId="0" xfId="0" applyNumberFormat="1" applyFont="1" applyFill="1" applyBorder="1"/>
    <xf numFmtId="0" fontId="5" fillId="2" borderId="0" xfId="0" applyFont="1" applyFill="1"/>
    <xf numFmtId="7" fontId="5" fillId="2" borderId="0" xfId="0" applyNumberFormat="1" applyFont="1" applyFill="1"/>
    <xf numFmtId="0" fontId="9" fillId="2" borderId="0" xfId="0" applyNumberFormat="1" applyFont="1" applyFill="1"/>
    <xf numFmtId="5" fontId="5" fillId="2" borderId="10" xfId="0" applyNumberFormat="1" applyFont="1" applyFill="1" applyBorder="1"/>
    <xf numFmtId="5" fontId="5" fillId="2" borderId="11" xfId="0" applyNumberFormat="1" applyFont="1" applyFill="1" applyBorder="1"/>
    <xf numFmtId="0" fontId="9" fillId="0" borderId="0" xfId="0" applyFont="1"/>
    <xf numFmtId="0" fontId="5" fillId="2" borderId="8" xfId="0" applyNumberFormat="1" applyFont="1" applyFill="1" applyBorder="1"/>
    <xf numFmtId="39" fontId="5" fillId="2" borderId="8" xfId="0" applyNumberFormat="1" applyFont="1" applyFill="1" applyBorder="1"/>
    <xf numFmtId="10" fontId="5" fillId="2" borderId="8" xfId="0" applyNumberFormat="1" applyFont="1" applyFill="1" applyBorder="1"/>
    <xf numFmtId="10" fontId="5" fillId="2" borderId="10" xfId="0" applyNumberFormat="1" applyFont="1" applyFill="1" applyBorder="1"/>
    <xf numFmtId="10" fontId="5" fillId="2" borderId="11" xfId="0" applyNumberFormat="1" applyFont="1" applyFill="1" applyBorder="1"/>
    <xf numFmtId="10" fontId="5" fillId="2" borderId="12" xfId="0" applyNumberFormat="1" applyFont="1" applyFill="1" applyBorder="1"/>
    <xf numFmtId="10" fontId="5" fillId="2" borderId="13" xfId="0" applyNumberFormat="1" applyFont="1" applyFill="1" applyBorder="1"/>
    <xf numFmtId="10" fontId="5" fillId="2" borderId="14" xfId="0" applyNumberFormat="1" applyFont="1" applyFill="1" applyBorder="1"/>
    <xf numFmtId="10" fontId="5" fillId="2" borderId="15" xfId="0" applyNumberFormat="1" applyFont="1" applyFill="1" applyBorder="1"/>
    <xf numFmtId="10" fontId="5" fillId="2" borderId="5" xfId="0" applyNumberFormat="1" applyFont="1" applyFill="1" applyBorder="1"/>
    <xf numFmtId="0" fontId="5" fillId="2" borderId="8" xfId="0" applyNumberFormat="1" applyFont="1" applyFill="1" applyBorder="1" applyAlignment="1">
      <alignment horizontal="right"/>
    </xf>
    <xf numFmtId="2" fontId="5" fillId="2" borderId="0" xfId="0" quotePrefix="1" applyNumberFormat="1" applyFont="1" applyFill="1" applyAlignment="1">
      <alignment horizontal="right" wrapText="1"/>
    </xf>
    <xf numFmtId="5" fontId="5" fillId="2" borderId="16" xfId="0" applyNumberFormat="1" applyFont="1" applyFill="1" applyBorder="1"/>
    <xf numFmtId="169" fontId="5" fillId="2" borderId="0" xfId="0" applyNumberFormat="1" applyFont="1" applyFill="1"/>
    <xf numFmtId="10" fontId="5" fillId="2" borderId="16" xfId="0" applyNumberFormat="1" applyFont="1" applyFill="1" applyBorder="1"/>
    <xf numFmtId="5" fontId="11" fillId="2" borderId="0" xfId="0" applyNumberFormat="1" applyFont="1" applyFill="1" applyBorder="1"/>
    <xf numFmtId="5" fontId="12" fillId="2" borderId="0" xfId="0" applyNumberFormat="1" applyFont="1" applyFill="1" applyBorder="1" applyAlignment="1">
      <alignment horizontal="centerContinuous"/>
    </xf>
    <xf numFmtId="5" fontId="5" fillId="2" borderId="0" xfId="0" applyNumberFormat="1" applyFont="1" applyFill="1" applyBorder="1" applyAlignment="1">
      <alignment horizontal="centerContinuous"/>
    </xf>
    <xf numFmtId="5" fontId="11" fillId="2" borderId="0" xfId="0" applyNumberFormat="1" applyFont="1" applyFill="1" applyBorder="1" applyAlignment="1">
      <alignment horizontal="centerContinuous"/>
    </xf>
    <xf numFmtId="10" fontId="11" fillId="2" borderId="0" xfId="0" applyNumberFormat="1" applyFont="1" applyFill="1" applyBorder="1"/>
    <xf numFmtId="10" fontId="11" fillId="2" borderId="0" xfId="0" applyNumberFormat="1" applyFont="1" applyFill="1" applyBorder="1" applyAlignment="1">
      <alignment horizontal="centerContinuous"/>
    </xf>
    <xf numFmtId="39" fontId="5" fillId="2" borderId="0" xfId="0" applyNumberFormat="1" applyFont="1" applyFill="1" applyBorder="1"/>
    <xf numFmtId="5" fontId="9" fillId="2" borderId="0" xfId="0" applyNumberFormat="1" applyFont="1" applyFill="1" applyBorder="1"/>
    <xf numFmtId="0" fontId="9" fillId="2" borderId="0" xfId="0" applyNumberFormat="1" applyFont="1" applyFill="1" applyAlignment="1">
      <alignment horizontal="right"/>
    </xf>
    <xf numFmtId="5" fontId="9" fillId="2" borderId="0" xfId="0" applyNumberFormat="1" applyFont="1" applyFill="1" applyAlignment="1">
      <alignment wrapText="1"/>
    </xf>
    <xf numFmtId="0" fontId="9" fillId="2" borderId="0" xfId="0" applyFont="1" applyFill="1" applyAlignment="1">
      <alignment wrapText="1"/>
    </xf>
    <xf numFmtId="5" fontId="9" fillId="2" borderId="0" xfId="0" quotePrefix="1" applyNumberFormat="1" applyFont="1" applyFill="1" applyAlignment="1">
      <alignment horizontal="left" wrapText="1"/>
    </xf>
    <xf numFmtId="10" fontId="9" fillId="2" borderId="0" xfId="0" applyNumberFormat="1" applyFont="1" applyFill="1" applyAlignment="1">
      <alignment wrapText="1"/>
    </xf>
    <xf numFmtId="5" fontId="9" fillId="2" borderId="0" xfId="0" applyNumberFormat="1" applyFont="1" applyFill="1" applyAlignment="1">
      <alignment vertical="center"/>
    </xf>
    <xf numFmtId="10" fontId="9" fillId="2" borderId="0" xfId="0" applyNumberFormat="1" applyFont="1" applyFill="1" applyAlignment="1">
      <alignment vertical="center"/>
    </xf>
    <xf numFmtId="5" fontId="9" fillId="2" borderId="0" xfId="0" quotePrefix="1" applyNumberFormat="1" applyFont="1" applyFill="1" applyAlignment="1">
      <alignment horizontal="left" vertical="center"/>
    </xf>
    <xf numFmtId="166" fontId="9" fillId="2" borderId="0" xfId="0" applyNumberFormat="1" applyFont="1" applyFill="1" applyAlignment="1">
      <alignment vertical="center"/>
    </xf>
    <xf numFmtId="2" fontId="9" fillId="2" borderId="0" xfId="0" applyNumberFormat="1" applyFont="1" applyFill="1" applyAlignment="1">
      <alignment vertical="center"/>
    </xf>
    <xf numFmtId="37" fontId="9" fillId="2" borderId="0" xfId="0" applyNumberFormat="1" applyFont="1" applyFill="1" applyAlignment="1">
      <alignment vertical="center"/>
    </xf>
    <xf numFmtId="5" fontId="9" fillId="2" borderId="0" xfId="0" applyNumberFormat="1" applyFont="1" applyFill="1" applyAlignment="1">
      <alignment vertical="center" wrapText="1"/>
    </xf>
    <xf numFmtId="5" fontId="9" fillId="2" borderId="0" xfId="0" quotePrefix="1" applyNumberFormat="1" applyFont="1" applyFill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10" fontId="9" fillId="2" borderId="0" xfId="0" applyNumberFormat="1" applyFont="1" applyFill="1" applyAlignment="1">
      <alignment vertical="center" wrapText="1"/>
    </xf>
    <xf numFmtId="5" fontId="0" fillId="2" borderId="6" xfId="0" applyNumberFormat="1" applyFill="1" applyBorder="1"/>
    <xf numFmtId="0" fontId="9" fillId="2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left" wrapText="1"/>
    </xf>
    <xf numFmtId="10" fontId="5" fillId="2" borderId="17" xfId="0" applyNumberFormat="1" applyFont="1" applyFill="1" applyBorder="1"/>
    <xf numFmtId="22" fontId="11" fillId="2" borderId="0" xfId="0" applyNumberFormat="1" applyFont="1" applyFill="1" applyBorder="1" applyAlignment="1">
      <alignment horizontal="centerContinuous"/>
    </xf>
    <xf numFmtId="22" fontId="11" fillId="2" borderId="0" xfId="0" applyNumberFormat="1" applyFont="1" applyFill="1" applyAlignment="1">
      <alignment horizontal="centerContinuous"/>
    </xf>
    <xf numFmtId="5" fontId="9" fillId="0" borderId="0" xfId="0" applyNumberFormat="1" applyFont="1" applyFill="1"/>
    <xf numFmtId="10" fontId="9" fillId="0" borderId="0" xfId="0" applyNumberFormat="1" applyFont="1" applyFill="1"/>
    <xf numFmtId="5" fontId="3" fillId="0" borderId="0" xfId="0" applyNumberFormat="1" applyFont="1" applyFill="1" applyAlignment="1">
      <alignment horizontal="centerContinuous"/>
    </xf>
    <xf numFmtId="5" fontId="5" fillId="0" borderId="0" xfId="0" applyNumberFormat="1" applyFont="1" applyFill="1" applyAlignment="1">
      <alignment horizontal="centerContinuous"/>
    </xf>
    <xf numFmtId="5" fontId="4" fillId="0" borderId="0" xfId="0" applyNumberFormat="1" applyFont="1" applyFill="1" applyAlignment="1">
      <alignment horizontal="centerContinuous"/>
    </xf>
    <xf numFmtId="10" fontId="5" fillId="0" borderId="0" xfId="0" applyNumberFormat="1" applyFont="1" applyFill="1" applyAlignment="1">
      <alignment horizontal="centerContinuous"/>
    </xf>
    <xf numFmtId="5" fontId="5" fillId="0" borderId="0" xfId="0" applyNumberFormat="1" applyFont="1" applyFill="1"/>
    <xf numFmtId="5" fontId="5" fillId="0" borderId="0" xfId="0" applyNumberFormat="1" applyFont="1" applyFill="1" applyAlignment="1">
      <alignment horizontal="right"/>
    </xf>
    <xf numFmtId="10" fontId="5" fillId="0" borderId="0" xfId="0" applyNumberFormat="1" applyFont="1" applyFill="1"/>
    <xf numFmtId="5" fontId="5" fillId="0" borderId="0" xfId="0" applyNumberFormat="1" applyFont="1" applyFill="1" applyBorder="1"/>
    <xf numFmtId="5" fontId="5" fillId="0" borderId="2" xfId="0" applyNumberFormat="1" applyFont="1" applyFill="1" applyBorder="1"/>
    <xf numFmtId="5" fontId="5" fillId="0" borderId="16" xfId="0" applyNumberFormat="1" applyFont="1" applyFill="1" applyBorder="1"/>
    <xf numFmtId="168" fontId="11" fillId="0" borderId="0" xfId="0" applyNumberFormat="1" applyFont="1" applyFill="1" applyBorder="1"/>
    <xf numFmtId="5" fontId="5" fillId="0" borderId="0" xfId="0" applyNumberFormat="1" applyFont="1" applyFill="1" applyAlignment="1">
      <alignment horizontal="left"/>
    </xf>
    <xf numFmtId="10" fontId="5" fillId="0" borderId="6" xfId="0" applyNumberFormat="1" applyFont="1" applyFill="1" applyBorder="1"/>
    <xf numFmtId="166" fontId="7" fillId="0" borderId="16" xfId="2" applyNumberFormat="1" applyFont="1" applyFill="1" applyBorder="1"/>
    <xf numFmtId="166" fontId="5" fillId="0" borderId="2" xfId="0" applyNumberFormat="1" applyFont="1" applyFill="1" applyBorder="1"/>
    <xf numFmtId="166" fontId="5" fillId="0" borderId="16" xfId="0" applyNumberFormat="1" applyFont="1" applyFill="1" applyBorder="1"/>
    <xf numFmtId="166" fontId="5" fillId="0" borderId="0" xfId="0" applyNumberFormat="1" applyFont="1" applyFill="1"/>
    <xf numFmtId="0" fontId="7" fillId="0" borderId="0" xfId="0" applyFont="1" applyFill="1"/>
    <xf numFmtId="166" fontId="5" fillId="0" borderId="0" xfId="0" applyNumberFormat="1" applyFont="1" applyFill="1" applyAlignment="1">
      <alignment horizontal="right"/>
    </xf>
    <xf numFmtId="166" fontId="5" fillId="0" borderId="5" xfId="0" applyNumberFormat="1" applyFont="1" applyFill="1" applyBorder="1"/>
    <xf numFmtId="166" fontId="5" fillId="0" borderId="0" xfId="0" applyNumberFormat="1" applyFont="1" applyFill="1" applyBorder="1"/>
    <xf numFmtId="166" fontId="5" fillId="2" borderId="0" xfId="0" quotePrefix="1" applyNumberFormat="1" applyFont="1" applyFill="1" applyAlignment="1">
      <alignment horizontal="left"/>
    </xf>
    <xf numFmtId="0" fontId="5" fillId="0" borderId="0" xfId="0" applyFont="1" applyFill="1" applyBorder="1"/>
    <xf numFmtId="10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/>
    <xf numFmtId="10" fontId="5" fillId="0" borderId="0" xfId="9" applyNumberFormat="1" applyFont="1" applyFill="1"/>
    <xf numFmtId="10" fontId="9" fillId="0" borderId="16" xfId="0" applyNumberFormat="1" applyFont="1" applyFill="1" applyBorder="1"/>
    <xf numFmtId="0" fontId="5" fillId="0" borderId="0" xfId="0" applyFont="1" applyFill="1"/>
    <xf numFmtId="0" fontId="8" fillId="0" borderId="0" xfId="0" applyFont="1" applyFill="1"/>
    <xf numFmtId="5" fontId="11" fillId="0" borderId="0" xfId="0" applyNumberFormat="1" applyFont="1" applyFill="1"/>
    <xf numFmtId="10" fontId="11" fillId="0" borderId="0" xfId="0" applyNumberFormat="1" applyFont="1" applyFill="1"/>
    <xf numFmtId="5" fontId="17" fillId="0" borderId="0" xfId="0" applyNumberFormat="1" applyFont="1" applyFill="1"/>
    <xf numFmtId="0" fontId="11" fillId="0" borderId="2" xfId="0" applyFont="1" applyFill="1" applyBorder="1"/>
    <xf numFmtId="5" fontId="11" fillId="0" borderId="0" xfId="0" applyNumberFormat="1" applyFont="1" applyFill="1" applyAlignment="1">
      <alignment horizontal="centerContinuous"/>
    </xf>
    <xf numFmtId="10" fontId="11" fillId="0" borderId="0" xfId="0" applyNumberFormat="1" applyFont="1" applyFill="1" applyAlignment="1">
      <alignment horizontal="right"/>
    </xf>
    <xf numFmtId="5" fontId="11" fillId="0" borderId="0" xfId="0" applyNumberFormat="1" applyFont="1" applyFill="1" applyAlignment="1">
      <alignment horizontal="right"/>
    </xf>
    <xf numFmtId="0" fontId="11" fillId="0" borderId="2" xfId="0" applyFont="1" applyFill="1" applyBorder="1" applyAlignment="1">
      <alignment horizontal="right"/>
    </xf>
    <xf numFmtId="10" fontId="11" fillId="0" borderId="2" xfId="0" applyNumberFormat="1" applyFont="1" applyFill="1" applyBorder="1" applyAlignment="1">
      <alignment horizontal="right"/>
    </xf>
    <xf numFmtId="5" fontId="11" fillId="2" borderId="0" xfId="0" applyNumberFormat="1" applyFont="1" applyFill="1"/>
    <xf numFmtId="5" fontId="11" fillId="2" borderId="0" xfId="0" applyNumberFormat="1" applyFont="1" applyFill="1" applyAlignment="1">
      <alignment horizontal="right"/>
    </xf>
    <xf numFmtId="10" fontId="11" fillId="2" borderId="0" xfId="0" applyNumberFormat="1" applyFont="1" applyFill="1" applyAlignment="1">
      <alignment horizontal="right"/>
    </xf>
    <xf numFmtId="5" fontId="11" fillId="2" borderId="2" xfId="0" applyNumberFormat="1" applyFont="1" applyFill="1" applyBorder="1"/>
    <xf numFmtId="0" fontId="11" fillId="2" borderId="2" xfId="0" applyFont="1" applyFill="1" applyBorder="1"/>
    <xf numFmtId="10" fontId="11" fillId="2" borderId="2" xfId="0" applyNumberFormat="1" applyFont="1" applyFill="1" applyBorder="1" applyAlignment="1">
      <alignment horizontal="right"/>
    </xf>
    <xf numFmtId="5" fontId="17" fillId="2" borderId="0" xfId="0" applyNumberFormat="1" applyFont="1" applyFill="1"/>
    <xf numFmtId="10" fontId="11" fillId="2" borderId="0" xfId="0" applyNumberFormat="1" applyFont="1" applyFill="1"/>
    <xf numFmtId="10" fontId="11" fillId="2" borderId="4" xfId="0" applyNumberFormat="1" applyFont="1" applyFill="1" applyBorder="1"/>
    <xf numFmtId="10" fontId="11" fillId="2" borderId="2" xfId="0" applyNumberFormat="1" applyFont="1" applyFill="1" applyBorder="1"/>
    <xf numFmtId="10" fontId="11" fillId="2" borderId="5" xfId="0" applyNumberFormat="1" applyFont="1" applyFill="1" applyBorder="1"/>
    <xf numFmtId="10" fontId="11" fillId="2" borderId="3" xfId="0" applyNumberFormat="1" applyFont="1" applyFill="1" applyBorder="1"/>
    <xf numFmtId="10" fontId="11" fillId="2" borderId="7" xfId="0" applyNumberFormat="1" applyFont="1" applyFill="1" applyBorder="1"/>
    <xf numFmtId="5" fontId="11" fillId="0" borderId="2" xfId="0" applyNumberFormat="1" applyFont="1" applyFill="1" applyBorder="1"/>
    <xf numFmtId="5" fontId="11" fillId="0" borderId="5" xfId="0" applyNumberFormat="1" applyFont="1" applyFill="1" applyBorder="1"/>
    <xf numFmtId="5" fontId="11" fillId="0" borderId="3" xfId="0" applyNumberFormat="1" applyFont="1" applyFill="1" applyBorder="1"/>
    <xf numFmtId="5" fontId="11" fillId="0" borderId="7" xfId="0" applyNumberFormat="1" applyFont="1" applyFill="1" applyBorder="1"/>
    <xf numFmtId="5" fontId="11" fillId="0" borderId="0" xfId="0" applyNumberFormat="1" applyFont="1" applyFill="1" applyBorder="1"/>
    <xf numFmtId="5" fontId="11" fillId="0" borderId="4" xfId="0" applyNumberFormat="1" applyFont="1" applyFill="1" applyBorder="1"/>
    <xf numFmtId="10" fontId="11" fillId="0" borderId="6" xfId="0" applyNumberFormat="1" applyFont="1" applyFill="1" applyBorder="1"/>
    <xf numFmtId="10" fontId="17" fillId="0" borderId="0" xfId="0" applyNumberFormat="1" applyFont="1" applyFill="1"/>
    <xf numFmtId="10" fontId="17" fillId="2" borderId="0" xfId="0" applyNumberFormat="1" applyFont="1" applyFill="1"/>
    <xf numFmtId="5" fontId="12" fillId="2" borderId="0" xfId="0" applyNumberFormat="1" applyFont="1" applyFill="1" applyAlignment="1">
      <alignment horizontal="centerContinuous"/>
    </xf>
    <xf numFmtId="5" fontId="11" fillId="2" borderId="4" xfId="0" applyNumberFormat="1" applyFont="1" applyFill="1" applyBorder="1"/>
    <xf numFmtId="5" fontId="7" fillId="0" borderId="0" xfId="0" applyNumberFormat="1" applyFont="1" applyFill="1" applyAlignment="1">
      <alignment horizontal="left"/>
    </xf>
    <xf numFmtId="166" fontId="11" fillId="0" borderId="0" xfId="0" applyNumberFormat="1" applyFont="1" applyFill="1"/>
    <xf numFmtId="0" fontId="19" fillId="0" borderId="0" xfId="0" applyFont="1" applyFill="1"/>
    <xf numFmtId="166" fontId="11" fillId="0" borderId="0" xfId="0" applyNumberFormat="1" applyFont="1" applyFill="1" applyBorder="1"/>
    <xf numFmtId="166" fontId="11" fillId="0" borderId="3" xfId="0" applyNumberFormat="1" applyFont="1" applyFill="1" applyBorder="1"/>
    <xf numFmtId="166" fontId="11" fillId="0" borderId="7" xfId="0" applyNumberFormat="1" applyFont="1" applyFill="1" applyBorder="1"/>
    <xf numFmtId="5" fontId="17" fillId="0" borderId="0" xfId="0" quotePrefix="1" applyNumberFormat="1" applyFont="1" applyFill="1" applyAlignment="1">
      <alignment horizontal="left"/>
    </xf>
    <xf numFmtId="0" fontId="18" fillId="2" borderId="0" xfId="8" applyFont="1" applyFill="1" applyAlignment="1">
      <alignment horizontal="centerContinuous"/>
    </xf>
    <xf numFmtId="167" fontId="18" fillId="2" borderId="0" xfId="8" applyNumberFormat="1" applyFont="1" applyFill="1" applyAlignment="1">
      <alignment horizontal="centerContinuous"/>
    </xf>
    <xf numFmtId="0" fontId="11" fillId="2" borderId="0" xfId="8" applyFont="1" applyFill="1" applyAlignment="1">
      <alignment horizontal="centerContinuous"/>
    </xf>
    <xf numFmtId="10" fontId="11" fillId="2" borderId="0" xfId="0" quotePrefix="1" applyNumberFormat="1" applyFont="1" applyFill="1" applyAlignment="1">
      <alignment horizontal="right"/>
    </xf>
    <xf numFmtId="0" fontId="11" fillId="0" borderId="0" xfId="8" applyFont="1" applyBorder="1" applyAlignment="1"/>
    <xf numFmtId="16" fontId="11" fillId="2" borderId="0" xfId="0" quotePrefix="1" applyNumberFormat="1" applyFont="1" applyFill="1" applyAlignment="1">
      <alignment horizontal="left"/>
    </xf>
    <xf numFmtId="0" fontId="11" fillId="0" borderId="16" xfId="8" applyFont="1" applyFill="1" applyBorder="1" applyAlignment="1">
      <alignment horizontal="right"/>
    </xf>
    <xf numFmtId="0" fontId="11" fillId="0" borderId="0" xfId="8" applyFont="1" applyFill="1" applyBorder="1" applyAlignment="1">
      <alignment vertical="center"/>
    </xf>
    <xf numFmtId="0" fontId="11" fillId="0" borderId="5" xfId="8" applyFont="1" applyBorder="1" applyAlignment="1">
      <alignment vertical="center"/>
    </xf>
    <xf numFmtId="165" fontId="11" fillId="0" borderId="5" xfId="8" applyNumberFormat="1" applyFont="1" applyBorder="1" applyAlignment="1">
      <alignment horizontal="right"/>
    </xf>
    <xf numFmtId="165" fontId="11" fillId="2" borderId="5" xfId="8" applyNumberFormat="1" applyFont="1" applyFill="1" applyBorder="1" applyAlignment="1">
      <alignment horizontal="right"/>
    </xf>
    <xf numFmtId="165" fontId="19" fillId="3" borderId="5" xfId="8" applyNumberFormat="1" applyFont="1" applyFill="1" applyBorder="1" applyAlignment="1">
      <alignment horizontal="right"/>
    </xf>
    <xf numFmtId="0" fontId="18" fillId="2" borderId="0" xfId="8" applyFont="1" applyFill="1" applyAlignment="1">
      <alignment horizontal="center"/>
    </xf>
    <xf numFmtId="16" fontId="11" fillId="2" borderId="0" xfId="0" quotePrefix="1" applyNumberFormat="1" applyFont="1" applyFill="1" applyAlignment="1">
      <alignment horizontal="right"/>
    </xf>
    <xf numFmtId="0" fontId="18" fillId="2" borderId="0" xfId="8" applyFont="1" applyFill="1"/>
    <xf numFmtId="10" fontId="11" fillId="2" borderId="2" xfId="0" quotePrefix="1" applyNumberFormat="1" applyFont="1" applyFill="1" applyBorder="1" applyAlignment="1">
      <alignment horizontal="right"/>
    </xf>
    <xf numFmtId="10" fontId="11" fillId="2" borderId="4" xfId="9" applyFont="1" applyBorder="1"/>
    <xf numFmtId="166" fontId="11" fillId="0" borderId="0" xfId="8" applyNumberFormat="1" applyFont="1" applyFill="1" applyBorder="1" applyAlignment="1">
      <alignment horizontal="right"/>
    </xf>
    <xf numFmtId="5" fontId="20" fillId="0" borderId="0" xfId="0" applyNumberFormat="1" applyFont="1" applyFill="1" applyAlignment="1">
      <alignment horizontal="centerContinuous"/>
    </xf>
    <xf numFmtId="5" fontId="5" fillId="2" borderId="0" xfId="0" applyNumberFormat="1" applyFont="1" applyFill="1" applyAlignment="1"/>
    <xf numFmtId="10" fontId="5" fillId="2" borderId="0" xfId="0" applyNumberFormat="1" applyFont="1" applyFill="1" applyAlignment="1"/>
    <xf numFmtId="10" fontId="17" fillId="2" borderId="0" xfId="0" applyNumberFormat="1" applyFont="1" applyFill="1" applyAlignment="1">
      <alignment horizontal="center"/>
    </xf>
    <xf numFmtId="5" fontId="20" fillId="2" borderId="0" xfId="0" applyNumberFormat="1" applyFont="1" applyFill="1" applyAlignment="1">
      <alignment horizontal="centerContinuous"/>
    </xf>
    <xf numFmtId="10" fontId="11" fillId="2" borderId="6" xfId="0" applyNumberFormat="1" applyFont="1" applyFill="1" applyBorder="1"/>
    <xf numFmtId="0" fontId="11" fillId="2" borderId="2" xfId="0" applyFont="1" applyFill="1" applyBorder="1" applyAlignment="1">
      <alignment horizontal="right"/>
    </xf>
    <xf numFmtId="10" fontId="11" fillId="2" borderId="0" xfId="8" applyNumberFormat="1" applyFont="1" applyFill="1"/>
    <xf numFmtId="5" fontId="5" fillId="2" borderId="14" xfId="0" applyNumberFormat="1" applyFont="1" applyFill="1" applyBorder="1"/>
    <xf numFmtId="10" fontId="5" fillId="2" borderId="18" xfId="0" applyNumberFormat="1" applyFont="1" applyFill="1" applyBorder="1"/>
    <xf numFmtId="10" fontId="5" fillId="2" borderId="19" xfId="0" applyNumberFormat="1" applyFont="1" applyFill="1" applyBorder="1"/>
    <xf numFmtId="5" fontId="11" fillId="2" borderId="0" xfId="0" applyNumberFormat="1" applyFont="1" applyFill="1" applyAlignment="1">
      <alignment horizontal="centerContinuous"/>
    </xf>
    <xf numFmtId="5" fontId="9" fillId="2" borderId="2" xfId="0" applyNumberFormat="1" applyFont="1" applyFill="1" applyBorder="1"/>
    <xf numFmtId="5" fontId="9" fillId="2" borderId="4" xfId="0" applyNumberFormat="1" applyFont="1" applyFill="1" applyBorder="1"/>
    <xf numFmtId="0" fontId="9" fillId="2" borderId="0" xfId="0" applyFont="1" applyFill="1"/>
    <xf numFmtId="0" fontId="9" fillId="2" borderId="2" xfId="0" applyFont="1" applyFill="1" applyBorder="1"/>
    <xf numFmtId="5" fontId="11" fillId="2" borderId="10" xfId="0" applyNumberFormat="1" applyFont="1" applyFill="1" applyBorder="1"/>
    <xf numFmtId="5" fontId="11" fillId="2" borderId="8" xfId="0" applyNumberFormat="1" applyFont="1" applyFill="1" applyBorder="1"/>
    <xf numFmtId="5" fontId="11" fillId="2" borderId="17" xfId="0" applyNumberFormat="1" applyFont="1" applyFill="1" applyBorder="1"/>
    <xf numFmtId="5" fontId="11" fillId="2" borderId="3" xfId="0" applyNumberFormat="1" applyFont="1" applyFill="1" applyBorder="1"/>
    <xf numFmtId="5" fontId="9" fillId="2" borderId="0" xfId="0" applyNumberFormat="1" applyFont="1" applyFill="1" applyAlignment="1">
      <alignment horizontal="left" vertical="center" wrapText="1"/>
    </xf>
    <xf numFmtId="10" fontId="11" fillId="2" borderId="10" xfId="0" applyNumberFormat="1" applyFont="1" applyFill="1" applyBorder="1"/>
    <xf numFmtId="10" fontId="11" fillId="2" borderId="12" xfId="0" applyNumberFormat="1" applyFont="1" applyFill="1" applyBorder="1"/>
    <xf numFmtId="5" fontId="11" fillId="2" borderId="14" xfId="0" applyNumberFormat="1" applyFont="1" applyFill="1" applyBorder="1"/>
    <xf numFmtId="170" fontId="5" fillId="0" borderId="0" xfId="0" applyNumberFormat="1" applyFont="1" applyFill="1"/>
    <xf numFmtId="10" fontId="22" fillId="2" borderId="0" xfId="0" applyNumberFormat="1" applyFont="1" applyFill="1" applyAlignment="1">
      <alignment horizontal="centerContinuous"/>
    </xf>
    <xf numFmtId="10" fontId="17" fillId="2" borderId="0" xfId="0" applyNumberFormat="1" applyFont="1" applyFill="1" applyAlignment="1">
      <alignment horizontal="left"/>
    </xf>
    <xf numFmtId="10" fontId="9" fillId="2" borderId="0" xfId="0" applyNumberFormat="1" applyFont="1" applyFill="1" applyAlignment="1">
      <alignment horizontal="left"/>
    </xf>
    <xf numFmtId="10" fontId="9" fillId="0" borderId="0" xfId="0" applyNumberFormat="1" applyFont="1" applyFill="1" applyBorder="1"/>
    <xf numFmtId="10" fontId="11" fillId="2" borderId="0" xfId="0" applyNumberFormat="1" applyFont="1" applyFill="1" applyBorder="1" applyAlignment="1">
      <alignment horizontal="right"/>
    </xf>
    <xf numFmtId="165" fontId="11" fillId="0" borderId="0" xfId="8" applyNumberFormat="1" applyFont="1" applyBorder="1" applyAlignment="1">
      <alignment horizontal="right"/>
    </xf>
    <xf numFmtId="0" fontId="5" fillId="0" borderId="0" xfId="8" quotePrefix="1" applyFont="1" applyBorder="1" applyAlignment="1">
      <alignment horizontal="left" vertical="center"/>
    </xf>
    <xf numFmtId="5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wrapText="1"/>
    </xf>
    <xf numFmtId="5" fontId="5" fillId="2" borderId="0" xfId="0" applyNumberFormat="1" applyFont="1" applyFill="1" applyAlignment="1">
      <alignment vertical="center" wrapText="1"/>
    </xf>
    <xf numFmtId="5" fontId="5" fillId="2" borderId="0" xfId="0" applyNumberFormat="1" applyFont="1" applyFill="1" applyAlignment="1">
      <alignment horizontal="left" wrapText="1"/>
    </xf>
    <xf numFmtId="5" fontId="5" fillId="2" borderId="0" xfId="0" applyNumberFormat="1" applyFont="1" applyFill="1" applyAlignment="1">
      <alignment wrapText="1"/>
    </xf>
    <xf numFmtId="0" fontId="5" fillId="2" borderId="0" xfId="0" applyFont="1" applyFill="1" applyAlignment="1">
      <alignment vertical="center" wrapText="1"/>
    </xf>
    <xf numFmtId="10" fontId="9" fillId="2" borderId="0" xfId="8" applyNumberFormat="1" applyFont="1" applyFill="1" applyBorder="1" applyAlignment="1">
      <alignment horizontal="right"/>
    </xf>
    <xf numFmtId="10" fontId="10" fillId="2" borderId="0" xfId="8" applyNumberFormat="1" applyFill="1"/>
    <xf numFmtId="0" fontId="5" fillId="0" borderId="0" xfId="8" applyFont="1" applyBorder="1" applyAlignment="1">
      <alignment vertical="center"/>
    </xf>
    <xf numFmtId="5" fontId="5" fillId="0" borderId="5" xfId="0" applyNumberFormat="1" applyFont="1" applyFill="1" applyBorder="1"/>
    <xf numFmtId="5" fontId="5" fillId="0" borderId="0" xfId="0" applyNumberFormat="1" applyFont="1" applyFill="1" applyBorder="1" applyProtection="1"/>
    <xf numFmtId="0" fontId="5" fillId="2" borderId="0" xfId="0" applyNumberFormat="1" applyFont="1" applyFill="1"/>
    <xf numFmtId="0" fontId="9" fillId="2" borderId="0" xfId="0" applyNumberFormat="1" applyFont="1" applyFill="1" applyAlignment="1">
      <alignment wrapText="1"/>
    </xf>
    <xf numFmtId="5" fontId="9" fillId="2" borderId="0" xfId="0" applyNumberFormat="1" applyFont="1" applyFill="1" applyAlignment="1">
      <alignment horizontal="center" wrapText="1"/>
    </xf>
    <xf numFmtId="5" fontId="0" fillId="2" borderId="0" xfId="0" applyNumberFormat="1" applyFill="1" applyAlignment="1">
      <alignment wrapText="1"/>
    </xf>
    <xf numFmtId="0" fontId="5" fillId="2" borderId="0" xfId="0" applyNumberFormat="1" applyFont="1" applyFill="1" applyAlignment="1">
      <alignment horizontal="left" wrapText="1"/>
    </xf>
    <xf numFmtId="5" fontId="5" fillId="2" borderId="0" xfId="0" quotePrefix="1" applyNumberFormat="1" applyFont="1" applyFill="1" applyAlignment="1">
      <alignment horizontal="left" wrapText="1"/>
    </xf>
    <xf numFmtId="10" fontId="5" fillId="2" borderId="0" xfId="8" applyNumberFormat="1" applyFont="1" applyFill="1"/>
    <xf numFmtId="5" fontId="11" fillId="2" borderId="20" xfId="0" applyNumberFormat="1" applyFont="1" applyFill="1" applyBorder="1"/>
    <xf numFmtId="5" fontId="11" fillId="2" borderId="21" xfId="0" applyNumberFormat="1" applyFont="1" applyFill="1" applyBorder="1"/>
    <xf numFmtId="5" fontId="11" fillId="2" borderId="12" xfId="0" applyNumberFormat="1" applyFont="1" applyFill="1" applyBorder="1"/>
    <xf numFmtId="166" fontId="5" fillId="2" borderId="0" xfId="0" quotePrefix="1" applyNumberFormat="1" applyFont="1" applyFill="1" applyAlignment="1">
      <alignment horizontal="right" vertical="center" wrapText="1"/>
    </xf>
    <xf numFmtId="6" fontId="5" fillId="2" borderId="0" xfId="0" applyNumberFormat="1" applyFont="1" applyFill="1"/>
    <xf numFmtId="0" fontId="5" fillId="2" borderId="0" xfId="0" applyNumberFormat="1" applyFont="1" applyFill="1" applyAlignment="1">
      <alignment horizontal="left" vertical="center" wrapText="1"/>
    </xf>
    <xf numFmtId="0" fontId="11" fillId="0" borderId="2" xfId="0" applyNumberFormat="1" applyFont="1" applyFill="1" applyBorder="1"/>
    <xf numFmtId="0" fontId="11" fillId="2" borderId="2" xfId="0" applyNumberFormat="1" applyFont="1" applyFill="1" applyBorder="1" applyAlignment="1">
      <alignment horizontal="right"/>
    </xf>
    <xf numFmtId="0" fontId="11" fillId="2" borderId="2" xfId="0" applyNumberFormat="1" applyFont="1" applyFill="1" applyBorder="1"/>
    <xf numFmtId="0" fontId="11" fillId="0" borderId="16" xfId="8" applyNumberFormat="1" applyFont="1" applyFill="1" applyBorder="1" applyAlignment="1">
      <alignment horizontal="right"/>
    </xf>
    <xf numFmtId="10" fontId="11" fillId="0" borderId="22" xfId="0" applyNumberFormat="1" applyFont="1" applyFill="1" applyBorder="1"/>
    <xf numFmtId="10" fontId="5" fillId="0" borderId="23" xfId="0" applyNumberFormat="1" applyFont="1" applyFill="1" applyBorder="1"/>
    <xf numFmtId="10" fontId="5" fillId="0" borderId="24" xfId="0" applyNumberFormat="1" applyFont="1" applyFill="1" applyBorder="1"/>
    <xf numFmtId="10" fontId="5" fillId="0" borderId="22" xfId="0" applyNumberFormat="1" applyFont="1" applyFill="1" applyBorder="1"/>
    <xf numFmtId="10" fontId="11" fillId="2" borderId="22" xfId="0" applyNumberFormat="1" applyFont="1" applyFill="1" applyBorder="1"/>
    <xf numFmtId="10" fontId="5" fillId="2" borderId="22" xfId="0" applyNumberFormat="1" applyFont="1" applyFill="1" applyBorder="1"/>
    <xf numFmtId="10" fontId="11" fillId="2" borderId="22" xfId="8" applyNumberFormat="1" applyFont="1" applyFill="1" applyBorder="1"/>
    <xf numFmtId="10" fontId="9" fillId="2" borderId="22" xfId="8" applyNumberFormat="1" applyFont="1" applyFill="1" applyBorder="1"/>
    <xf numFmtId="38" fontId="10" fillId="2" borderId="0" xfId="8" applyNumberFormat="1" applyFill="1"/>
    <xf numFmtId="38" fontId="10" fillId="2" borderId="0" xfId="8" applyNumberFormat="1" applyFill="1" applyAlignment="1">
      <alignment horizontal="centerContinuous"/>
    </xf>
    <xf numFmtId="38" fontId="10" fillId="2" borderId="0" xfId="8" applyNumberFormat="1" applyFont="1" applyFill="1" applyAlignment="1">
      <alignment horizontal="centerContinuous"/>
    </xf>
    <xf numFmtId="38" fontId="11" fillId="2" borderId="0" xfId="8" applyNumberFormat="1" applyFont="1" applyFill="1" applyAlignment="1">
      <alignment horizontal="centerContinuous"/>
    </xf>
    <xf numFmtId="38" fontId="11" fillId="2" borderId="0" xfId="0" quotePrefix="1" applyNumberFormat="1" applyFont="1" applyFill="1" applyAlignment="1">
      <alignment horizontal="left"/>
    </xf>
    <xf numFmtId="38" fontId="11" fillId="0" borderId="0" xfId="8" applyNumberFormat="1" applyFont="1" applyFill="1" applyBorder="1" applyAlignment="1">
      <alignment horizontal="right"/>
    </xf>
    <xf numFmtId="38" fontId="5" fillId="2" borderId="0" xfId="0" applyNumberFormat="1" applyFont="1" applyFill="1" applyAlignment="1">
      <alignment horizontal="centerContinuous"/>
    </xf>
    <xf numFmtId="38" fontId="14" fillId="2" borderId="0" xfId="8" applyNumberFormat="1" applyFont="1" applyFill="1" applyAlignment="1">
      <alignment horizontal="centerContinuous"/>
    </xf>
    <xf numFmtId="38" fontId="9" fillId="2" borderId="0" xfId="8" applyNumberFormat="1" applyFont="1" applyFill="1" applyAlignment="1">
      <alignment horizontal="centerContinuous"/>
    </xf>
    <xf numFmtId="38" fontId="11" fillId="2" borderId="0" xfId="0" quotePrefix="1" applyNumberFormat="1" applyFont="1" applyFill="1" applyAlignment="1">
      <alignment horizontal="right"/>
    </xf>
    <xf numFmtId="38" fontId="11" fillId="2" borderId="0" xfId="8" applyNumberFormat="1" applyFont="1" applyFill="1" applyBorder="1" applyAlignment="1">
      <alignment horizontal="right"/>
    </xf>
    <xf numFmtId="38" fontId="9" fillId="2" borderId="0" xfId="8" applyNumberFormat="1" applyFont="1" applyFill="1"/>
    <xf numFmtId="38" fontId="9" fillId="2" borderId="0" xfId="9" applyNumberFormat="1" applyFont="1"/>
    <xf numFmtId="38" fontId="9" fillId="2" borderId="4" xfId="9" applyNumberFormat="1" applyFont="1" applyBorder="1"/>
    <xf numFmtId="6" fontId="11" fillId="0" borderId="0" xfId="8" applyNumberFormat="1" applyFont="1" applyBorder="1" applyAlignment="1">
      <alignment horizontal="right"/>
    </xf>
    <xf numFmtId="6" fontId="9" fillId="0" borderId="0" xfId="8" applyNumberFormat="1" applyFont="1" applyFill="1" applyBorder="1" applyAlignment="1">
      <alignment horizontal="right"/>
    </xf>
    <xf numFmtId="6" fontId="9" fillId="2" borderId="0" xfId="8" applyNumberFormat="1" applyFont="1" applyFill="1" applyBorder="1" applyAlignment="1">
      <alignment horizontal="right"/>
    </xf>
    <xf numFmtId="6" fontId="11" fillId="0" borderId="5" xfId="8" applyNumberFormat="1" applyFont="1" applyBorder="1" applyAlignment="1">
      <alignment horizontal="right"/>
    </xf>
    <xf numFmtId="6" fontId="11" fillId="2" borderId="5" xfId="8" applyNumberFormat="1" applyFont="1" applyFill="1" applyBorder="1" applyAlignment="1">
      <alignment horizontal="right"/>
    </xf>
    <xf numFmtId="6" fontId="9" fillId="2" borderId="5" xfId="8" applyNumberFormat="1" applyFont="1" applyFill="1" applyBorder="1" applyAlignment="1">
      <alignment horizontal="right"/>
    </xf>
    <xf numFmtId="6" fontId="10" fillId="2" borderId="0" xfId="8" applyNumberFormat="1" applyFill="1"/>
    <xf numFmtId="6" fontId="11" fillId="0" borderId="0" xfId="8" applyNumberFormat="1" applyFont="1" applyFill="1" applyBorder="1" applyAlignment="1">
      <alignment horizontal="right"/>
    </xf>
    <xf numFmtId="10" fontId="9" fillId="2" borderId="0" xfId="9" applyNumberFormat="1" applyFont="1"/>
    <xf numFmtId="10" fontId="9" fillId="2" borderId="0" xfId="9" applyNumberFormat="1" applyFont="1" applyAlignment="1">
      <alignment horizontal="center"/>
    </xf>
    <xf numFmtId="10" fontId="11" fillId="2" borderId="4" xfId="9" applyNumberFormat="1" applyFont="1" applyBorder="1"/>
    <xf numFmtId="10" fontId="9" fillId="2" borderId="4" xfId="9" applyNumberFormat="1" applyFont="1" applyBorder="1"/>
    <xf numFmtId="10" fontId="11" fillId="2" borderId="24" xfId="8" applyNumberFormat="1" applyFont="1" applyFill="1" applyBorder="1"/>
    <xf numFmtId="10" fontId="5" fillId="2" borderId="24" xfId="8" applyNumberFormat="1" applyFont="1" applyFill="1" applyBorder="1"/>
    <xf numFmtId="171" fontId="9" fillId="2" borderId="0" xfId="0" applyNumberFormat="1" applyFont="1" applyFill="1"/>
    <xf numFmtId="9" fontId="5" fillId="2" borderId="0" xfId="0" applyNumberFormat="1" applyFont="1" applyFill="1"/>
    <xf numFmtId="0" fontId="5" fillId="2" borderId="0" xfId="0" applyFont="1" applyFill="1" applyAlignment="1">
      <alignment horizontal="left" wrapText="1"/>
    </xf>
    <xf numFmtId="164" fontId="9" fillId="2" borderId="0" xfId="0" applyNumberFormat="1" applyFont="1" applyFill="1" applyAlignment="1">
      <alignment horizontal="left" wrapText="1"/>
    </xf>
    <xf numFmtId="5" fontId="5" fillId="2" borderId="25" xfId="0" applyNumberFormat="1" applyFont="1" applyFill="1" applyBorder="1"/>
    <xf numFmtId="10" fontId="5" fillId="2" borderId="25" xfId="0" applyNumberFormat="1" applyFont="1" applyFill="1" applyBorder="1"/>
    <xf numFmtId="0" fontId="11" fillId="0" borderId="2" xfId="0" applyNumberFormat="1" applyFont="1" applyFill="1" applyBorder="1" applyAlignment="1">
      <alignment horizontal="right"/>
    </xf>
    <xf numFmtId="10" fontId="5" fillId="2" borderId="0" xfId="0" quotePrefix="1" applyNumberFormat="1" applyFont="1" applyFill="1" applyAlignment="1">
      <alignment horizontal="center" vertical="center"/>
    </xf>
    <xf numFmtId="10" fontId="5" fillId="2" borderId="0" xfId="0" quotePrefix="1" applyNumberFormat="1" applyFont="1" applyFill="1" applyAlignment="1">
      <alignment horizontal="centerContinuous"/>
    </xf>
    <xf numFmtId="168" fontId="5" fillId="0" borderId="0" xfId="0" applyNumberFormat="1" applyFont="1" applyFill="1" applyBorder="1"/>
    <xf numFmtId="10" fontId="5" fillId="2" borderId="23" xfId="0" applyNumberFormat="1" applyFont="1" applyFill="1" applyBorder="1"/>
    <xf numFmtId="10" fontId="5" fillId="2" borderId="0" xfId="0" quotePrefix="1" applyNumberFormat="1" applyFont="1" applyFill="1" applyAlignment="1">
      <alignment horizontal="left"/>
    </xf>
    <xf numFmtId="10" fontId="5" fillId="0" borderId="0" xfId="0" quotePrefix="1" applyNumberFormat="1" applyFont="1" applyFill="1" applyAlignment="1">
      <alignment horizontal="left"/>
    </xf>
    <xf numFmtId="168" fontId="5" fillId="0" borderId="0" xfId="0" applyNumberFormat="1" applyFont="1" applyFill="1"/>
    <xf numFmtId="10" fontId="5" fillId="0" borderId="16" xfId="0" applyNumberFormat="1" applyFont="1" applyFill="1" applyBorder="1"/>
    <xf numFmtId="10" fontId="5" fillId="0" borderId="0" xfId="0" applyNumberFormat="1" applyFont="1" applyFill="1" applyBorder="1"/>
    <xf numFmtId="5" fontId="5" fillId="0" borderId="4" xfId="0" applyNumberFormat="1" applyFont="1" applyFill="1" applyBorder="1"/>
    <xf numFmtId="10" fontId="8" fillId="0" borderId="0" xfId="0" applyNumberFormat="1" applyFont="1" applyFill="1"/>
    <xf numFmtId="5" fontId="5" fillId="2" borderId="0" xfId="0" applyNumberFormat="1" applyFont="1" applyFill="1" applyAlignment="1">
      <alignment horizontal="left"/>
    </xf>
    <xf numFmtId="164" fontId="5" fillId="2" borderId="0" xfId="0" applyNumberFormat="1" applyFont="1" applyFill="1"/>
    <xf numFmtId="5" fontId="5" fillId="2" borderId="0" xfId="0" applyNumberFormat="1" applyFont="1" applyFill="1" applyAlignment="1">
      <alignment horizontal="center" wrapText="1"/>
    </xf>
    <xf numFmtId="10" fontId="5" fillId="2" borderId="0" xfId="0" applyNumberFormat="1" applyFont="1" applyFill="1" applyAlignment="1">
      <alignment vertical="center"/>
    </xf>
    <xf numFmtId="6" fontId="5" fillId="0" borderId="0" xfId="0" applyNumberFormat="1" applyFont="1" applyFill="1"/>
    <xf numFmtId="10" fontId="11" fillId="0" borderId="7" xfId="0" applyNumberFormat="1" applyFont="1" applyFill="1" applyBorder="1"/>
    <xf numFmtId="10" fontId="11" fillId="0" borderId="24" xfId="0" applyNumberFormat="1" applyFont="1" applyFill="1" applyBorder="1"/>
    <xf numFmtId="10" fontId="5" fillId="2" borderId="24" xfId="0" applyNumberFormat="1" applyFont="1" applyFill="1" applyBorder="1"/>
    <xf numFmtId="10" fontId="11" fillId="2" borderId="24" xfId="0" applyNumberFormat="1" applyFont="1" applyFill="1" applyBorder="1"/>
    <xf numFmtId="10" fontId="5" fillId="2" borderId="22" xfId="8" applyNumberFormat="1" applyFont="1" applyFill="1" applyBorder="1"/>
    <xf numFmtId="0" fontId="21" fillId="2" borderId="22" xfId="8" applyFont="1" applyFill="1" applyBorder="1"/>
    <xf numFmtId="10" fontId="5" fillId="2" borderId="0" xfId="0" applyNumberFormat="1" applyFont="1" applyFill="1" applyAlignment="1">
      <alignment horizontal="center" vertical="center"/>
    </xf>
    <xf numFmtId="0" fontId="11" fillId="0" borderId="2" xfId="0" applyNumberFormat="1" applyFont="1" applyFill="1" applyBorder="1" applyAlignment="1">
      <alignment horizontal="right" wrapText="1"/>
    </xf>
    <xf numFmtId="0" fontId="11" fillId="0" borderId="16" xfId="8" applyNumberFormat="1" applyFont="1" applyFill="1" applyBorder="1" applyAlignment="1">
      <alignment horizontal="right" wrapText="1"/>
    </xf>
    <xf numFmtId="0" fontId="11" fillId="2" borderId="2" xfId="0" applyNumberFormat="1" applyFont="1" applyFill="1" applyBorder="1" applyAlignment="1">
      <alignment wrapText="1"/>
    </xf>
    <xf numFmtId="38" fontId="11" fillId="2" borderId="0" xfId="8" applyNumberFormat="1" applyFont="1" applyFill="1" applyAlignment="1">
      <alignment horizontal="right"/>
    </xf>
    <xf numFmtId="0" fontId="11" fillId="0" borderId="0" xfId="8" applyFont="1" applyBorder="1" applyAlignment="1">
      <alignment horizontal="center"/>
    </xf>
  </cellXfs>
  <cellStyles count="11">
    <cellStyle name="Comma0" xfId="1"/>
    <cellStyle name="Currency" xfId="2" builtinId="4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Normal_Financial Cash flow" xfId="8"/>
    <cellStyle name="Percent" xfId="9" builtinId="5"/>
    <cellStyle name="Total" xfId="10" builtinId="25" customBuiltin="1"/>
  </cellStyles>
  <dxfs count="1">
    <dxf>
      <fill>
        <patternFill patternType="solid">
          <fgColor rgb="FFFFFFFF"/>
          <bgColor rgb="FFFFFF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58"/>
  <sheetViews>
    <sheetView showGridLines="0" zoomScale="75" zoomScaleNormal="75" workbookViewId="0">
      <pane xSplit="6" ySplit="10" topLeftCell="N69" activePane="bottomRight" state="frozen"/>
      <selection pane="topRight" activeCell="G1" sqref="G1"/>
      <selection pane="bottomLeft" activeCell="A10" sqref="A10"/>
      <selection pane="bottomRight" activeCell="U31" sqref="U31"/>
    </sheetView>
  </sheetViews>
  <sheetFormatPr defaultColWidth="13.7109375" defaultRowHeight="12.75" x14ac:dyDescent="0.2"/>
  <cols>
    <col min="1" max="1" width="32.42578125" style="2" customWidth="1"/>
    <col min="2" max="8" width="11.7109375" style="2" hidden="1" customWidth="1"/>
    <col min="9" max="9" width="12.140625" style="2" hidden="1" customWidth="1"/>
    <col min="10" max="13" width="10.7109375" style="2" hidden="1" customWidth="1"/>
    <col min="14" max="18" width="10.7109375" style="2" customWidth="1"/>
    <col min="19" max="20" width="12" style="2" customWidth="1"/>
    <col min="21" max="21" width="15.140625" style="2" customWidth="1"/>
    <col min="22" max="22" width="4.7109375" style="5" customWidth="1"/>
    <col min="23" max="23" width="33.140625" style="2" customWidth="1"/>
    <col min="24" max="28" width="13.7109375" style="2" hidden="1" customWidth="1"/>
    <col min="29" max="35" width="10.7109375" style="2" hidden="1" customWidth="1"/>
    <col min="36" max="42" width="10.7109375" style="2" customWidth="1"/>
    <col min="43" max="43" width="13.28515625" style="2" customWidth="1"/>
    <col min="44" max="47" width="12.7109375" style="2" customWidth="1"/>
    <col min="48" max="48" width="13.7109375" style="2"/>
    <col min="49" max="66" width="13.7109375" style="52"/>
  </cols>
  <sheetData>
    <row r="1" spans="1:44" x14ac:dyDescent="0.2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92" t="s">
        <v>112</v>
      </c>
      <c r="V1" s="138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4" t="s">
        <v>112</v>
      </c>
    </row>
    <row r="2" spans="1:44" x14ac:dyDescent="0.2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40" t="s">
        <v>113</v>
      </c>
      <c r="V2" s="138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324" t="s">
        <v>117</v>
      </c>
    </row>
    <row r="3" spans="1:44" ht="18.75" x14ac:dyDescent="0.3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40"/>
      <c r="V3" s="138"/>
      <c r="W3" s="9" t="str">
        <f xml:space="preserve">       A4</f>
        <v>PacifiCorp</v>
      </c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325"/>
    </row>
    <row r="4" spans="1:44" ht="18.75" x14ac:dyDescent="0.3">
      <c r="A4" s="134" t="s">
        <v>42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7"/>
      <c r="V4" s="138"/>
      <c r="W4" s="11" t="s">
        <v>39</v>
      </c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3"/>
    </row>
    <row r="5" spans="1:44" ht="15.75" x14ac:dyDescent="0.25">
      <c r="A5" s="136" t="s">
        <v>40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7"/>
      <c r="V5" s="138"/>
      <c r="W5" s="11" t="s">
        <v>40</v>
      </c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3"/>
    </row>
    <row r="6" spans="1:44" ht="14.25" x14ac:dyDescent="0.2">
      <c r="A6" s="221" t="s">
        <v>231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7"/>
      <c r="V6" s="138"/>
      <c r="W6" s="225" t="str">
        <f>A6</f>
        <v>Fiscal Years Ended December 31, 2012-2017</v>
      </c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</row>
    <row r="7" spans="1:44" ht="14.25" x14ac:dyDescent="0.2">
      <c r="A7" s="167" t="s">
        <v>226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2"/>
      <c r="N7" s="135"/>
      <c r="O7" s="135"/>
      <c r="P7" s="135"/>
      <c r="Q7" s="135"/>
      <c r="R7" s="135"/>
      <c r="S7" s="135"/>
      <c r="T7" s="135"/>
      <c r="U7" s="137"/>
      <c r="V7" s="138"/>
      <c r="W7" s="225" t="str">
        <f>A7</f>
        <v xml:space="preserve">  </v>
      </c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</row>
    <row r="8" spans="1:44" x14ac:dyDescent="0.2">
      <c r="A8" s="135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9" t="s">
        <v>247</v>
      </c>
      <c r="U8" s="168" t="s">
        <v>232</v>
      </c>
      <c r="V8" s="138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169" t="str">
        <f>T8</f>
        <v>First</v>
      </c>
      <c r="AQ8" s="223"/>
    </row>
    <row r="9" spans="1:44" x14ac:dyDescent="0.2">
      <c r="A9" s="138"/>
      <c r="B9" s="163"/>
      <c r="C9" s="163"/>
      <c r="D9" s="163"/>
      <c r="E9" s="163"/>
      <c r="F9" s="163"/>
      <c r="G9" s="163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 t="s">
        <v>248</v>
      </c>
      <c r="U9" s="168" t="s">
        <v>4</v>
      </c>
      <c r="V9" s="138"/>
      <c r="W9" s="172"/>
      <c r="X9" s="172"/>
      <c r="Y9" s="172"/>
      <c r="Z9" s="172"/>
      <c r="AA9" s="172"/>
      <c r="AB9" s="172"/>
      <c r="AC9" s="172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69" t="str">
        <f>T9</f>
        <v>Quarter</v>
      </c>
      <c r="AQ9" s="174" t="str">
        <f>U8</f>
        <v>2012-2017</v>
      </c>
      <c r="AR9" s="172"/>
    </row>
    <row r="10" spans="1:44" x14ac:dyDescent="0.2">
      <c r="A10" s="166" t="s">
        <v>0</v>
      </c>
      <c r="B10" s="166">
        <v>2000</v>
      </c>
      <c r="C10" s="166">
        <f>B10+1</f>
        <v>2001</v>
      </c>
      <c r="D10" s="166">
        <f>C10+1</f>
        <v>2002</v>
      </c>
      <c r="E10" s="166">
        <f>D10+1</f>
        <v>2003</v>
      </c>
      <c r="F10" s="166">
        <f>E10+1</f>
        <v>2004</v>
      </c>
      <c r="G10" s="166">
        <f>F10+1</f>
        <v>2005</v>
      </c>
      <c r="H10" s="170">
        <v>2006</v>
      </c>
      <c r="I10" s="170">
        <v>2007</v>
      </c>
      <c r="J10" s="166">
        <f>I10+1</f>
        <v>2008</v>
      </c>
      <c r="K10" s="166">
        <f>J10+1</f>
        <v>2009</v>
      </c>
      <c r="L10" s="166">
        <f>K10+1</f>
        <v>2010</v>
      </c>
      <c r="M10" s="166">
        <f>L10+1</f>
        <v>2011</v>
      </c>
      <c r="N10" s="166">
        <v>2012</v>
      </c>
      <c r="O10" s="166">
        <v>2013</v>
      </c>
      <c r="P10" s="166">
        <v>2014</v>
      </c>
      <c r="Q10" s="277">
        <v>2015</v>
      </c>
      <c r="R10" s="277">
        <v>2016</v>
      </c>
      <c r="S10" s="323">
        <v>2017</v>
      </c>
      <c r="T10" s="347">
        <v>2018</v>
      </c>
      <c r="U10" s="171" t="s">
        <v>23</v>
      </c>
      <c r="V10" s="138"/>
      <c r="W10" s="175" t="s">
        <v>0</v>
      </c>
      <c r="X10" s="176">
        <f>B10</f>
        <v>2000</v>
      </c>
      <c r="Y10" s="176">
        <f t="shared" ref="Y10:AD10" si="0">X10+1</f>
        <v>2001</v>
      </c>
      <c r="Z10" s="176">
        <f t="shared" si="0"/>
        <v>2002</v>
      </c>
      <c r="AA10" s="176">
        <f t="shared" si="0"/>
        <v>2003</v>
      </c>
      <c r="AB10" s="176">
        <f t="shared" si="0"/>
        <v>2004</v>
      </c>
      <c r="AC10" s="176">
        <f t="shared" si="0"/>
        <v>2005</v>
      </c>
      <c r="AD10" s="176">
        <f t="shared" si="0"/>
        <v>2006</v>
      </c>
      <c r="AE10" s="176">
        <f>I10</f>
        <v>2007</v>
      </c>
      <c r="AF10" s="176">
        <f>AE10+1</f>
        <v>2008</v>
      </c>
      <c r="AG10" s="176">
        <f>AF10+1</f>
        <v>2009</v>
      </c>
      <c r="AH10" s="227">
        <f t="shared" ref="AH10:AO10" si="1">L10</f>
        <v>2010</v>
      </c>
      <c r="AI10" s="227">
        <f t="shared" si="1"/>
        <v>2011</v>
      </c>
      <c r="AJ10" s="227">
        <f t="shared" si="1"/>
        <v>2012</v>
      </c>
      <c r="AK10" s="227">
        <f t="shared" si="1"/>
        <v>2013</v>
      </c>
      <c r="AL10" s="227">
        <f t="shared" si="1"/>
        <v>2014</v>
      </c>
      <c r="AM10" s="278">
        <f t="shared" si="1"/>
        <v>2015</v>
      </c>
      <c r="AN10" s="278">
        <f t="shared" si="1"/>
        <v>2016</v>
      </c>
      <c r="AO10" s="278">
        <f t="shared" si="1"/>
        <v>2017</v>
      </c>
      <c r="AP10" s="347">
        <f>T10</f>
        <v>2018</v>
      </c>
      <c r="AQ10" s="177" t="s">
        <v>3</v>
      </c>
      <c r="AR10" s="172"/>
    </row>
    <row r="11" spans="1:44" ht="7.5" customHeight="1" x14ac:dyDescent="0.2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7"/>
      <c r="V11" s="138"/>
      <c r="W11" s="19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3"/>
    </row>
    <row r="12" spans="1:44" x14ac:dyDescent="0.2">
      <c r="A12" s="165" t="s">
        <v>8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40"/>
      <c r="V12" s="140"/>
      <c r="W12" s="178" t="str">
        <f>A12</f>
        <v>Current Assets:</v>
      </c>
      <c r="AQ12" s="5"/>
    </row>
    <row r="13" spans="1:44" x14ac:dyDescent="0.2">
      <c r="A13" s="138" t="s">
        <v>5</v>
      </c>
      <c r="B13" s="138">
        <v>154.19999999999999</v>
      </c>
      <c r="C13" s="138">
        <v>139.4</v>
      </c>
      <c r="D13" s="138">
        <v>157.9</v>
      </c>
      <c r="E13" s="138">
        <v>152.5</v>
      </c>
      <c r="F13" s="138">
        <v>58.5</v>
      </c>
      <c r="G13" s="138">
        <v>199.3</v>
      </c>
      <c r="H13" s="138">
        <v>119.6</v>
      </c>
      <c r="I13" s="138">
        <v>228</v>
      </c>
      <c r="J13" s="138">
        <v>59</v>
      </c>
      <c r="K13" s="138">
        <v>117</v>
      </c>
      <c r="L13" s="138">
        <v>31</v>
      </c>
      <c r="M13" s="138">
        <v>47</v>
      </c>
      <c r="N13" s="138">
        <v>80</v>
      </c>
      <c r="O13" s="138">
        <v>53</v>
      </c>
      <c r="P13" s="2">
        <v>23</v>
      </c>
      <c r="Q13" s="2">
        <v>12</v>
      </c>
      <c r="R13" s="2">
        <v>17</v>
      </c>
      <c r="S13" s="2">
        <v>14</v>
      </c>
      <c r="T13" s="2">
        <v>17</v>
      </c>
      <c r="U13" s="140">
        <f>RATE(5,,-N13,S13)</f>
        <v>-0.294320323893002</v>
      </c>
      <c r="V13" s="140"/>
      <c r="W13" s="2" t="str">
        <f t="shared" ref="W13:W78" si="2">A13</f>
        <v>Cash &amp; Equivalents</v>
      </c>
      <c r="X13" s="5">
        <f t="shared" ref="X13:AG17" si="3">B13/B$38</f>
        <v>1.2531389423897407E-2</v>
      </c>
      <c r="Y13" s="5">
        <f t="shared" si="3"/>
        <v>1.2520433275251937E-2</v>
      </c>
      <c r="Z13" s="5">
        <f t="shared" si="3"/>
        <v>1.4516069721262043E-2</v>
      </c>
      <c r="AA13" s="5">
        <f t="shared" si="3"/>
        <v>1.303886865370475E-2</v>
      </c>
      <c r="AB13" s="5">
        <f t="shared" si="3"/>
        <v>5.0098055167807085E-3</v>
      </c>
      <c r="AC13" s="5">
        <f t="shared" si="3"/>
        <v>1.5917386130389993E-2</v>
      </c>
      <c r="AD13" s="5">
        <f t="shared" si="3"/>
        <v>9.3941702732635336E-3</v>
      </c>
      <c r="AE13" s="5">
        <f t="shared" si="3"/>
        <v>1.5294827933185751E-2</v>
      </c>
      <c r="AF13" s="5">
        <f t="shared" si="3"/>
        <v>3.436826469388944E-3</v>
      </c>
      <c r="AG13" s="5">
        <f t="shared" si="3"/>
        <v>6.1689338816830119E-3</v>
      </c>
      <c r="AH13" s="5">
        <f t="shared" ref="AH13:AP17" si="4">L13/L$38</f>
        <v>1.5387670008934777E-3</v>
      </c>
      <c r="AI13" s="5">
        <f t="shared" si="4"/>
        <v>2.2268549227707759E-3</v>
      </c>
      <c r="AJ13" s="5">
        <f t="shared" si="4"/>
        <v>3.6818851251840942E-3</v>
      </c>
      <c r="AK13" s="5">
        <f t="shared" si="4"/>
        <v>2.4470197146682672E-3</v>
      </c>
      <c r="AL13" s="5">
        <f t="shared" si="4"/>
        <v>1.035802747129025E-3</v>
      </c>
      <c r="AM13" s="5">
        <f t="shared" si="4"/>
        <v>5.3650467206151921E-4</v>
      </c>
      <c r="AN13" s="5">
        <f t="shared" si="4"/>
        <v>7.5913191033312498E-4</v>
      </c>
      <c r="AO13" s="5">
        <f t="shared" si="4"/>
        <v>6.3868613138686131E-4</v>
      </c>
      <c r="AP13" s="5">
        <f t="shared" si="4"/>
        <v>7.7892325315005728E-4</v>
      </c>
      <c r="AQ13" s="5">
        <f>SUM(N13:S13)/SUM(N$38:S$38)</f>
        <v>1.5044642519637416E-3</v>
      </c>
    </row>
    <row r="14" spans="1:44" x14ac:dyDescent="0.2">
      <c r="A14" s="138" t="s">
        <v>2</v>
      </c>
      <c r="B14" s="138">
        <v>561.6</v>
      </c>
      <c r="C14" s="138">
        <v>567</v>
      </c>
      <c r="D14" s="138">
        <v>249.1</v>
      </c>
      <c r="E14" s="138">
        <v>258.2</v>
      </c>
      <c r="F14" s="138">
        <v>235.1</v>
      </c>
      <c r="G14" s="138">
        <v>293</v>
      </c>
      <c r="H14" s="138">
        <v>266.8</v>
      </c>
      <c r="I14" s="138">
        <f>391+192</f>
        <v>583</v>
      </c>
      <c r="J14" s="138">
        <v>609</v>
      </c>
      <c r="K14" s="138">
        <v>619</v>
      </c>
      <c r="L14" s="138">
        <v>628</v>
      </c>
      <c r="M14" s="138">
        <v>653</v>
      </c>
      <c r="N14" s="138">
        <v>671</v>
      </c>
      <c r="O14" s="138">
        <v>700</v>
      </c>
      <c r="P14" s="2">
        <v>701</v>
      </c>
      <c r="Q14" s="2">
        <v>740</v>
      </c>
      <c r="R14" s="2">
        <v>728</v>
      </c>
      <c r="S14" s="2">
        <v>684</v>
      </c>
      <c r="T14" s="2">
        <v>630</v>
      </c>
      <c r="U14" s="140">
        <f t="shared" ref="U14:U38" si="5">RATE(5,,-N14,S14)</f>
        <v>3.8451297459266348E-3</v>
      </c>
      <c r="V14" s="140"/>
      <c r="W14" s="2" t="str">
        <f t="shared" si="2"/>
        <v>Accounts Receivable</v>
      </c>
      <c r="X14" s="5">
        <f t="shared" si="3"/>
        <v>4.5639612843455156E-2</v>
      </c>
      <c r="Y14" s="5">
        <f t="shared" si="3"/>
        <v>5.0926009089439367E-2</v>
      </c>
      <c r="Z14" s="5">
        <f t="shared" si="3"/>
        <v>2.2900272118849745E-2</v>
      </c>
      <c r="AA14" s="5">
        <f t="shared" si="3"/>
        <v>2.2076300894338138E-2</v>
      </c>
      <c r="AB14" s="5">
        <f t="shared" si="3"/>
        <v>2.0133423538378537E-2</v>
      </c>
      <c r="AC14" s="5">
        <f t="shared" si="3"/>
        <v>2.3400873739108215E-2</v>
      </c>
      <c r="AD14" s="5">
        <f t="shared" si="3"/>
        <v>2.0956225994203267E-2</v>
      </c>
      <c r="AE14" s="5">
        <f t="shared" si="3"/>
        <v>3.9109143355470583E-2</v>
      </c>
      <c r="AF14" s="5">
        <f t="shared" si="3"/>
        <v>3.5475039319624861E-2</v>
      </c>
      <c r="AG14" s="5">
        <f t="shared" si="3"/>
        <v>3.2637351049246019E-2</v>
      </c>
      <c r="AH14" s="5">
        <f t="shared" si="4"/>
        <v>3.1172441179390449E-2</v>
      </c>
      <c r="AI14" s="5">
        <f t="shared" si="4"/>
        <v>3.0939069458921633E-2</v>
      </c>
      <c r="AJ14" s="5">
        <f t="shared" si="4"/>
        <v>3.0881811487481592E-2</v>
      </c>
      <c r="AK14" s="5">
        <f t="shared" si="4"/>
        <v>3.2319128306939379E-2</v>
      </c>
      <c r="AL14" s="5">
        <f t="shared" si="4"/>
        <v>3.1569466336410716E-2</v>
      </c>
      <c r="AM14" s="5">
        <f t="shared" si="4"/>
        <v>3.3084454777127015E-2</v>
      </c>
      <c r="AN14" s="5">
        <f t="shared" si="4"/>
        <v>3.2508707689559706E-2</v>
      </c>
      <c r="AO14" s="5">
        <f t="shared" si="4"/>
        <v>3.1204379562043794E-2</v>
      </c>
      <c r="AP14" s="5">
        <f t="shared" si="4"/>
        <v>2.88659793814433E-2</v>
      </c>
      <c r="AQ14" s="5">
        <f t="shared" ref="AQ14:AQ38" si="6">SUM(N14:S14)/SUM(N$38:S$38)</f>
        <v>3.1933954775350978E-2</v>
      </c>
    </row>
    <row r="15" spans="1:44" x14ac:dyDescent="0.2">
      <c r="A15" s="138" t="s">
        <v>48</v>
      </c>
      <c r="B15" s="138">
        <v>177.4</v>
      </c>
      <c r="C15" s="138">
        <v>160.4</v>
      </c>
      <c r="D15" s="138">
        <f>93.5+59.9</f>
        <v>153.4</v>
      </c>
      <c r="E15" s="138">
        <f>99.4+71.8</f>
        <v>171.2</v>
      </c>
      <c r="F15" s="138">
        <f>56+101</f>
        <v>157</v>
      </c>
      <c r="G15" s="138">
        <f>114.7+58.5</f>
        <v>173.2</v>
      </c>
      <c r="H15" s="141">
        <f>131.2+80.9</f>
        <v>212.1</v>
      </c>
      <c r="I15" s="141">
        <f>163+129</f>
        <v>292</v>
      </c>
      <c r="J15" s="141">
        <f>155+184</f>
        <v>339</v>
      </c>
      <c r="K15" s="141">
        <f>192+187</f>
        <v>379</v>
      </c>
      <c r="L15" s="141">
        <f>186+188</f>
        <v>374</v>
      </c>
      <c r="M15" s="141">
        <f>196+237</f>
        <v>433</v>
      </c>
      <c r="N15" s="141">
        <f>202+266</f>
        <v>468</v>
      </c>
      <c r="O15" s="141">
        <f>213+241</f>
        <v>454</v>
      </c>
      <c r="P15" s="2">
        <f>218+199</f>
        <v>417</v>
      </c>
      <c r="Q15" s="2">
        <f>233+192</f>
        <v>425</v>
      </c>
      <c r="R15" s="2">
        <f>228+215</f>
        <v>443</v>
      </c>
      <c r="S15" s="2">
        <v>433</v>
      </c>
      <c r="T15" s="2">
        <v>445</v>
      </c>
      <c r="U15" s="140">
        <f t="shared" si="5"/>
        <v>-1.5425896534781042E-2</v>
      </c>
      <c r="V15" s="138"/>
      <c r="W15" s="2" t="str">
        <f t="shared" si="2"/>
        <v>Material, Supplies, Fuel</v>
      </c>
      <c r="X15" s="5">
        <f t="shared" si="3"/>
        <v>1.4416786535664075E-2</v>
      </c>
      <c r="Y15" s="5">
        <f t="shared" si="3"/>
        <v>1.4406581760045988E-2</v>
      </c>
      <c r="Z15" s="5">
        <f t="shared" si="3"/>
        <v>1.410237552401265E-2</v>
      </c>
      <c r="AA15" s="5">
        <f t="shared" si="3"/>
        <v>1.4637733203372151E-2</v>
      </c>
      <c r="AB15" s="5">
        <f t="shared" si="3"/>
        <v>1.3445119079223439E-2</v>
      </c>
      <c r="AC15" s="5">
        <f t="shared" si="3"/>
        <v>1.3832871438954071E-2</v>
      </c>
      <c r="AD15" s="5">
        <f t="shared" si="3"/>
        <v>1.6659728385946451E-2</v>
      </c>
      <c r="AE15" s="5">
        <f t="shared" si="3"/>
        <v>1.9588112967062452E-2</v>
      </c>
      <c r="AF15" s="5">
        <f t="shared" si="3"/>
        <v>1.9747189374963593E-2</v>
      </c>
      <c r="AG15" s="5">
        <f t="shared" si="3"/>
        <v>1.9983127702203944E-2</v>
      </c>
      <c r="AH15" s="18">
        <f t="shared" si="4"/>
        <v>1.8564479301101954E-2</v>
      </c>
      <c r="AI15" s="18">
        <f t="shared" si="4"/>
        <v>2.0515493224675448E-2</v>
      </c>
      <c r="AJ15" s="18">
        <f t="shared" si="4"/>
        <v>2.1539027982326951E-2</v>
      </c>
      <c r="AK15" s="18">
        <f t="shared" si="4"/>
        <v>2.0961263216214967E-2</v>
      </c>
      <c r="AL15" s="18">
        <f t="shared" si="4"/>
        <v>1.8779554154469715E-2</v>
      </c>
      <c r="AM15" s="18">
        <f t="shared" si="4"/>
        <v>1.9001207135512139E-2</v>
      </c>
      <c r="AN15" s="18">
        <f t="shared" si="4"/>
        <v>1.9782084486916138E-2</v>
      </c>
      <c r="AO15" s="18">
        <f t="shared" si="4"/>
        <v>1.9753649635036497E-2</v>
      </c>
      <c r="AP15" s="18">
        <f t="shared" si="4"/>
        <v>2.0389461626575029E-2</v>
      </c>
      <c r="AQ15" s="5">
        <f t="shared" si="6"/>
        <v>1.9958721734594363E-2</v>
      </c>
    </row>
    <row r="16" spans="1:44" x14ac:dyDescent="0.2">
      <c r="A16" s="138" t="s">
        <v>22</v>
      </c>
      <c r="B16" s="142">
        <v>68</v>
      </c>
      <c r="C16" s="142">
        <f>370.4+73.5+46.7</f>
        <v>490.59999999999997</v>
      </c>
      <c r="D16" s="142">
        <f>127+51.3+21.5</f>
        <v>199.8</v>
      </c>
      <c r="E16" s="142">
        <f>109.2+2.5+107.2+31.1+17.5</f>
        <v>267.5</v>
      </c>
      <c r="F16" s="142">
        <f>127.8+2.4+118.9+31.5+25.2</f>
        <v>305.8</v>
      </c>
      <c r="G16" s="142">
        <f>143.8+36.5+252.7+115.8</f>
        <v>548.79999999999995</v>
      </c>
      <c r="H16" s="143">
        <f>148.2+221.7+46.9</f>
        <v>416.79999999999995</v>
      </c>
      <c r="I16" s="143">
        <f>34+143+55+141</f>
        <v>373</v>
      </c>
      <c r="J16" s="143">
        <f>174+74+78+43</f>
        <v>369</v>
      </c>
      <c r="K16" s="143">
        <f>108+39+61+249</f>
        <v>457</v>
      </c>
      <c r="L16" s="143">
        <f>345+114+83+120</f>
        <v>662</v>
      </c>
      <c r="M16" s="143">
        <f>70+11+129+140</f>
        <v>350</v>
      </c>
      <c r="N16" s="143">
        <f>112+62+75</f>
        <v>249</v>
      </c>
      <c r="O16" s="143">
        <f>66+94+75</f>
        <v>235</v>
      </c>
      <c r="P16" s="2">
        <f>133+131+92</f>
        <v>356</v>
      </c>
      <c r="Q16" s="2">
        <f>17+102+81</f>
        <v>200</v>
      </c>
      <c r="R16" s="2">
        <f>17+53+96</f>
        <v>166</v>
      </c>
      <c r="S16" s="2">
        <f>59+31+73+21</f>
        <v>184</v>
      </c>
      <c r="T16" s="2">
        <f>17+34+66+28</f>
        <v>145</v>
      </c>
      <c r="U16" s="140">
        <f t="shared" si="5"/>
        <v>-5.8709457513981475E-2</v>
      </c>
      <c r="V16" s="326"/>
      <c r="W16" s="2" t="str">
        <f t="shared" si="2"/>
        <v>Other Current Assets</v>
      </c>
      <c r="X16" s="6">
        <f t="shared" si="3"/>
        <v>5.5261639482816066E-3</v>
      </c>
      <c r="Y16" s="6">
        <f t="shared" si="3"/>
        <v>4.4064021268569578E-2</v>
      </c>
      <c r="Z16" s="6">
        <f t="shared" si="3"/>
        <v>1.8368022357873062E-2</v>
      </c>
      <c r="AA16" s="6">
        <f t="shared" si="3"/>
        <v>2.2871458130268987E-2</v>
      </c>
      <c r="AB16" s="6">
        <f t="shared" si="3"/>
        <v>2.6188009009086164E-2</v>
      </c>
      <c r="AC16" s="6">
        <f t="shared" si="3"/>
        <v>4.3830715044445689E-2</v>
      </c>
      <c r="AD16" s="102">
        <f t="shared" si="3"/>
        <v>3.2738212122878266E-2</v>
      </c>
      <c r="AE16" s="102">
        <f t="shared" si="3"/>
        <v>2.5021801838062654E-2</v>
      </c>
      <c r="AF16" s="102">
        <f t="shared" si="3"/>
        <v>2.1494728257703734E-2</v>
      </c>
      <c r="AG16" s="102">
        <f t="shared" si="3"/>
        <v>2.4095750289992619E-2</v>
      </c>
      <c r="AH16" s="102">
        <f t="shared" si="4"/>
        <v>3.2860121115854263E-2</v>
      </c>
      <c r="AI16" s="102">
        <f t="shared" si="4"/>
        <v>1.6582962190846207E-2</v>
      </c>
      <c r="AJ16" s="102">
        <f t="shared" si="4"/>
        <v>1.1459867452135493E-2</v>
      </c>
      <c r="AK16" s="102">
        <f t="shared" si="4"/>
        <v>1.0849993074472505E-2</v>
      </c>
      <c r="AL16" s="102">
        <f t="shared" si="4"/>
        <v>1.6032425129475343E-2</v>
      </c>
      <c r="AM16" s="102">
        <f t="shared" si="4"/>
        <v>8.9417445343586525E-3</v>
      </c>
      <c r="AN16" s="102">
        <f t="shared" si="4"/>
        <v>7.412699830311691E-3</v>
      </c>
      <c r="AO16" s="102">
        <f t="shared" si="4"/>
        <v>8.3941605839416063E-3</v>
      </c>
      <c r="AP16" s="102">
        <f t="shared" si="4"/>
        <v>6.6437571592210766E-3</v>
      </c>
      <c r="AQ16" s="5">
        <f t="shared" si="6"/>
        <v>1.0508569398138698E-2</v>
      </c>
    </row>
    <row r="17" spans="1:43" x14ac:dyDescent="0.2">
      <c r="A17" s="163" t="s">
        <v>32</v>
      </c>
      <c r="B17" s="163">
        <f t="shared" ref="B17:L17" si="7">SUM(B12:B16)</f>
        <v>961.19999999999993</v>
      </c>
      <c r="C17" s="163">
        <f t="shared" si="7"/>
        <v>1357.3999999999999</v>
      </c>
      <c r="D17" s="163">
        <f t="shared" si="7"/>
        <v>760.2</v>
      </c>
      <c r="E17" s="163">
        <f t="shared" si="7"/>
        <v>849.4</v>
      </c>
      <c r="F17" s="163">
        <f t="shared" si="7"/>
        <v>756.40000000000009</v>
      </c>
      <c r="G17" s="163">
        <f t="shared" si="7"/>
        <v>1214.3</v>
      </c>
      <c r="H17" s="163">
        <f t="shared" si="7"/>
        <v>1015.3</v>
      </c>
      <c r="I17" s="163">
        <f t="shared" si="7"/>
        <v>1476</v>
      </c>
      <c r="J17" s="163">
        <f t="shared" si="7"/>
        <v>1376</v>
      </c>
      <c r="K17" s="163">
        <f t="shared" si="7"/>
        <v>1572</v>
      </c>
      <c r="L17" s="163">
        <f t="shared" si="7"/>
        <v>1695</v>
      </c>
      <c r="M17" s="163">
        <f t="shared" ref="M17:R17" si="8">SUM(M12:M16)</f>
        <v>1483</v>
      </c>
      <c r="N17" s="163">
        <f t="shared" si="8"/>
        <v>1468</v>
      </c>
      <c r="O17" s="163">
        <f t="shared" si="8"/>
        <v>1442</v>
      </c>
      <c r="P17" s="190">
        <f t="shared" si="8"/>
        <v>1497</v>
      </c>
      <c r="Q17" s="190">
        <f t="shared" ref="Q17" si="9">SUM(Q12:Q16)</f>
        <v>1377</v>
      </c>
      <c r="R17" s="190">
        <f t="shared" si="8"/>
        <v>1354</v>
      </c>
      <c r="S17" s="190">
        <f>SUM(S12:S16)</f>
        <v>1315</v>
      </c>
      <c r="T17" s="190">
        <f>SUM(T12:T16)</f>
        <v>1237</v>
      </c>
      <c r="U17" s="281">
        <f t="shared" si="5"/>
        <v>-2.1772338104144872E-2</v>
      </c>
      <c r="V17" s="326"/>
      <c r="W17" s="172" t="str">
        <f t="shared" si="2"/>
        <v>Total Current Assets</v>
      </c>
      <c r="X17" s="179">
        <f t="shared" si="3"/>
        <v>7.8113952751298232E-2</v>
      </c>
      <c r="Y17" s="179">
        <f t="shared" si="3"/>
        <v>0.12191704539330686</v>
      </c>
      <c r="Z17" s="179">
        <f t="shared" si="3"/>
        <v>6.9886739721997507E-2</v>
      </c>
      <c r="AA17" s="179">
        <f t="shared" si="3"/>
        <v>7.262436088168403E-2</v>
      </c>
      <c r="AB17" s="179">
        <f t="shared" si="3"/>
        <v>6.4776357143468855E-2</v>
      </c>
      <c r="AC17" s="179">
        <f t="shared" si="3"/>
        <v>9.6981846352897971E-2</v>
      </c>
      <c r="AD17" s="179">
        <f t="shared" si="3"/>
        <v>7.974833677629152E-2</v>
      </c>
      <c r="AE17" s="179">
        <f t="shared" si="3"/>
        <v>9.901388609378145E-2</v>
      </c>
      <c r="AF17" s="179">
        <f t="shared" si="3"/>
        <v>8.0153783421681127E-2</v>
      </c>
      <c r="AG17" s="179">
        <f t="shared" si="3"/>
        <v>8.2885162923125588E-2</v>
      </c>
      <c r="AH17" s="179">
        <f t="shared" si="4"/>
        <v>8.4135808597240153E-2</v>
      </c>
      <c r="AI17" s="179">
        <f t="shared" si="4"/>
        <v>7.026437979721406E-2</v>
      </c>
      <c r="AJ17" s="179">
        <f t="shared" si="4"/>
        <v>6.7562592047128125E-2</v>
      </c>
      <c r="AK17" s="179">
        <f t="shared" si="4"/>
        <v>6.6577404312295113E-2</v>
      </c>
      <c r="AL17" s="179">
        <f t="shared" si="4"/>
        <v>6.7417248367484806E-2</v>
      </c>
      <c r="AM17" s="179">
        <f t="shared" si="4"/>
        <v>6.1563911119059331E-2</v>
      </c>
      <c r="AN17" s="179">
        <f t="shared" si="4"/>
        <v>6.0462623917120657E-2</v>
      </c>
      <c r="AO17" s="179">
        <f t="shared" si="4"/>
        <v>5.9990875912408759E-2</v>
      </c>
      <c r="AP17" s="179">
        <f t="shared" si="4"/>
        <v>5.6678121420389464E-2</v>
      </c>
      <c r="AQ17" s="285">
        <f t="shared" si="6"/>
        <v>6.3905710160047785E-2</v>
      </c>
    </row>
    <row r="18" spans="1:43" ht="7.5" customHeight="1" x14ac:dyDescent="0.2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72"/>
      <c r="Q18" s="172"/>
      <c r="R18" s="172"/>
      <c r="S18" s="172"/>
      <c r="T18" s="172"/>
      <c r="U18" s="140"/>
      <c r="V18" s="326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</row>
    <row r="19" spans="1:43" x14ac:dyDescent="0.2">
      <c r="A19" s="165" t="s">
        <v>24</v>
      </c>
      <c r="B19" s="138"/>
      <c r="C19" s="138"/>
      <c r="D19" s="138"/>
      <c r="E19" s="138"/>
      <c r="F19" s="138"/>
      <c r="G19" s="245"/>
      <c r="H19" s="245"/>
      <c r="I19" s="245"/>
      <c r="J19" s="138"/>
      <c r="K19" s="138"/>
      <c r="L19" s="138"/>
      <c r="M19" s="138"/>
      <c r="N19" s="138"/>
      <c r="O19" s="138"/>
      <c r="U19" s="140"/>
      <c r="V19" s="326"/>
      <c r="W19" s="178" t="str">
        <f t="shared" si="2"/>
        <v>Plant &amp; Equipment:</v>
      </c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</row>
    <row r="20" spans="1:43" x14ac:dyDescent="0.2">
      <c r="A20" s="138" t="s">
        <v>139</v>
      </c>
      <c r="B20" s="138">
        <f>12862.7-312.4</f>
        <v>12550.300000000001</v>
      </c>
      <c r="C20" s="138">
        <f>12678.9-268.7</f>
        <v>12410.199999999999</v>
      </c>
      <c r="D20" s="138">
        <f>13098.9-364.4</f>
        <v>12734.5</v>
      </c>
      <c r="E20" s="138">
        <f>13516.8-332.5</f>
        <v>13184.3</v>
      </c>
      <c r="F20" s="138">
        <f>14158.2-345.4</f>
        <v>13812.800000000001</v>
      </c>
      <c r="G20" s="138">
        <f>14852.4-593.4</f>
        <v>14259</v>
      </c>
      <c r="H20" s="138">
        <v>15102.4</v>
      </c>
      <c r="I20" s="138">
        <f>6814+2878+4885+671+1766</f>
        <v>17014</v>
      </c>
      <c r="J20" s="138">
        <v>18879</v>
      </c>
      <c r="K20" s="138">
        <v>20330</v>
      </c>
      <c r="L20" s="138">
        <v>22034</v>
      </c>
      <c r="M20" s="138">
        <v>23055</v>
      </c>
      <c r="N20" s="138">
        <v>24024</v>
      </c>
      <c r="O20" s="138">
        <v>24868</v>
      </c>
      <c r="P20" s="2">
        <v>25813</v>
      </c>
      <c r="Q20" s="2">
        <v>26757</v>
      </c>
      <c r="R20" s="2">
        <v>27295</v>
      </c>
      <c r="S20" s="2">
        <f>27880+11</f>
        <v>27891</v>
      </c>
      <c r="T20" s="2">
        <f>27947+11</f>
        <v>27958</v>
      </c>
      <c r="U20" s="140">
        <f t="shared" si="5"/>
        <v>3.0300126853917975E-2</v>
      </c>
      <c r="V20" s="326"/>
      <c r="W20" s="2" t="str">
        <f t="shared" si="2"/>
        <v>Plant in Service</v>
      </c>
      <c r="X20" s="5">
        <f t="shared" ref="X20:AP20" si="10">B20/B$38</f>
        <v>1.0199266970605685</v>
      </c>
      <c r="Y20" s="5">
        <f t="shared" si="10"/>
        <v>1.1146419012376727</v>
      </c>
      <c r="Z20" s="5">
        <f t="shared" si="10"/>
        <v>1.1707086121938663</v>
      </c>
      <c r="AA20" s="5">
        <f t="shared" si="10"/>
        <v>1.127267908137964</v>
      </c>
      <c r="AB20" s="5">
        <f t="shared" si="10"/>
        <v>1.1828964383280098</v>
      </c>
      <c r="AC20" s="5">
        <f t="shared" si="10"/>
        <v>1.1388158998155087</v>
      </c>
      <c r="AD20" s="5">
        <f t="shared" si="10"/>
        <v>1.1862417820646756</v>
      </c>
      <c r="AE20" s="5">
        <f t="shared" si="10"/>
        <v>1.1413429932246595</v>
      </c>
      <c r="AF20" s="5">
        <f t="shared" si="10"/>
        <v>1.0997262189083707</v>
      </c>
      <c r="AG20" s="5">
        <f t="shared" si="10"/>
        <v>1.0719181693556892</v>
      </c>
      <c r="AH20" s="5">
        <f t="shared" si="10"/>
        <v>1.0937158741189319</v>
      </c>
      <c r="AI20" s="5">
        <f t="shared" si="10"/>
        <v>1.0923434094570263</v>
      </c>
      <c r="AJ20" s="5">
        <f t="shared" si="10"/>
        <v>1.1056701030927836</v>
      </c>
      <c r="AK20" s="5">
        <f t="shared" si="10"/>
        <v>1.1481601181956693</v>
      </c>
      <c r="AL20" s="5">
        <f t="shared" si="10"/>
        <v>1.1624859265931096</v>
      </c>
      <c r="AM20" s="5">
        <f t="shared" si="10"/>
        <v>1.1962712925291725</v>
      </c>
      <c r="AN20" s="5">
        <f t="shared" si="10"/>
        <v>1.2188532642672145</v>
      </c>
      <c r="AO20" s="5">
        <f t="shared" si="10"/>
        <v>1.2723996350364963</v>
      </c>
      <c r="AP20" s="5">
        <f t="shared" si="10"/>
        <v>1.281008018327606</v>
      </c>
      <c r="AQ20" s="5">
        <f t="shared" si="6"/>
        <v>1.1842779705608855</v>
      </c>
    </row>
    <row r="21" spans="1:43" x14ac:dyDescent="0.2">
      <c r="A21" s="138" t="s">
        <v>140</v>
      </c>
      <c r="B21" s="138">
        <v>312.39999999999998</v>
      </c>
      <c r="C21" s="138">
        <v>268.7</v>
      </c>
      <c r="D21" s="138">
        <v>364.4</v>
      </c>
      <c r="E21" s="138">
        <v>332.5</v>
      </c>
      <c r="F21" s="138">
        <v>345.4</v>
      </c>
      <c r="G21" s="138">
        <v>593.4</v>
      </c>
      <c r="H21" s="138">
        <v>618.29999999999995</v>
      </c>
      <c r="I21" s="138">
        <v>960</v>
      </c>
      <c r="J21" s="138">
        <v>1220</v>
      </c>
      <c r="K21" s="138">
        <v>1830</v>
      </c>
      <c r="L21" s="138">
        <v>1004</v>
      </c>
      <c r="M21" s="138">
        <v>1207</v>
      </c>
      <c r="N21" s="138">
        <v>1255</v>
      </c>
      <c r="O21" s="138">
        <v>1325</v>
      </c>
      <c r="P21" s="14">
        <v>932</v>
      </c>
      <c r="Q21" s="14">
        <v>629</v>
      </c>
      <c r="R21" s="14">
        <v>657</v>
      </c>
      <c r="S21" s="14">
        <v>678</v>
      </c>
      <c r="T21" s="14">
        <v>735</v>
      </c>
      <c r="U21" s="140">
        <f t="shared" si="5"/>
        <v>-0.11586782892067005</v>
      </c>
      <c r="V21" s="326"/>
      <c r="W21" s="2" t="str">
        <f t="shared" si="2"/>
        <v>Construction Work in Progress</v>
      </c>
      <c r="X21" s="5">
        <f t="shared" ref="X21:Z24" si="11">B21/B$38</f>
        <v>2.538784731534079E-2</v>
      </c>
      <c r="Y21" s="5">
        <f t="shared" si="11"/>
        <v>2.4133718945912448E-2</v>
      </c>
      <c r="Z21" s="5">
        <f t="shared" si="11"/>
        <v>3.3500036772817529E-2</v>
      </c>
      <c r="AA21" s="5"/>
      <c r="AB21" s="5">
        <f t="shared" ref="AB21:AP24" si="12">F21/F$38</f>
        <v>2.9579261974291563E-2</v>
      </c>
      <c r="AC21" s="5">
        <f t="shared" si="12"/>
        <v>4.7392759306439637E-2</v>
      </c>
      <c r="AD21" s="5">
        <f t="shared" si="12"/>
        <v>4.8565346822398346E-2</v>
      </c>
      <c r="AE21" s="5">
        <f t="shared" si="12"/>
        <v>6.4399275508150527E-2</v>
      </c>
      <c r="AF21" s="5">
        <f t="shared" si="12"/>
        <v>7.1066581231432405E-2</v>
      </c>
      <c r="AG21" s="5">
        <f t="shared" si="12"/>
        <v>9.6488453021195825E-2</v>
      </c>
      <c r="AH21" s="18">
        <f t="shared" si="12"/>
        <v>4.9836195770872629E-2</v>
      </c>
      <c r="AI21" s="18">
        <f t="shared" si="12"/>
        <v>5.7187529612432481E-2</v>
      </c>
      <c r="AJ21" s="18">
        <f t="shared" si="12"/>
        <v>5.7759572901325482E-2</v>
      </c>
      <c r="AK21" s="18">
        <f t="shared" si="12"/>
        <v>6.1175492866706684E-2</v>
      </c>
      <c r="AL21" s="18">
        <f t="shared" si="12"/>
        <v>4.1972528709750059E-2</v>
      </c>
      <c r="AM21" s="18">
        <f t="shared" si="12"/>
        <v>2.8121786560557964E-2</v>
      </c>
      <c r="AN21" s="18">
        <f t="shared" si="12"/>
        <v>2.9338215593462533E-2</v>
      </c>
      <c r="AO21" s="18">
        <f t="shared" si="12"/>
        <v>3.093065693430657E-2</v>
      </c>
      <c r="AP21" s="18">
        <f t="shared" si="12"/>
        <v>3.367697594501718E-2</v>
      </c>
      <c r="AQ21" s="5">
        <f t="shared" si="6"/>
        <v>4.1399227355544972E-2</v>
      </c>
    </row>
    <row r="22" spans="1:43" hidden="1" x14ac:dyDescent="0.2">
      <c r="A22" s="138" t="s">
        <v>147</v>
      </c>
      <c r="B22" s="138">
        <v>1281</v>
      </c>
      <c r="C22" s="138">
        <v>0</v>
      </c>
      <c r="D22" s="138">
        <v>0</v>
      </c>
      <c r="E22" s="138">
        <v>0</v>
      </c>
      <c r="F22" s="138">
        <v>0</v>
      </c>
      <c r="G22" s="138">
        <v>0</v>
      </c>
      <c r="H22" s="138">
        <v>0</v>
      </c>
      <c r="I22" s="138">
        <v>0</v>
      </c>
      <c r="J22" s="138"/>
      <c r="K22" s="138"/>
      <c r="L22" s="138">
        <v>0</v>
      </c>
      <c r="M22" s="138">
        <v>0</v>
      </c>
      <c r="N22" s="138">
        <v>0</v>
      </c>
      <c r="O22" s="138">
        <v>0</v>
      </c>
      <c r="P22" s="19"/>
      <c r="Q22" s="19"/>
      <c r="R22" s="19"/>
      <c r="S22" s="19"/>
      <c r="T22" s="19"/>
      <c r="U22" s="140" t="e">
        <f t="shared" si="5"/>
        <v>#NUM!</v>
      </c>
      <c r="V22" s="326"/>
      <c r="W22" s="2" t="str">
        <f t="shared" si="2"/>
        <v>Australian Electric Operations</v>
      </c>
      <c r="X22" s="5">
        <f t="shared" si="11"/>
        <v>0.10410317673159909</v>
      </c>
      <c r="Y22" s="5">
        <f t="shared" si="11"/>
        <v>0</v>
      </c>
      <c r="Z22" s="5">
        <f t="shared" si="11"/>
        <v>0</v>
      </c>
      <c r="AA22" s="5">
        <f>E22/E$38</f>
        <v>0</v>
      </c>
      <c r="AB22" s="5">
        <f t="shared" si="12"/>
        <v>0</v>
      </c>
      <c r="AC22" s="5">
        <f t="shared" si="12"/>
        <v>0</v>
      </c>
      <c r="AD22" s="5">
        <f t="shared" si="12"/>
        <v>0</v>
      </c>
      <c r="AE22" s="5">
        <f t="shared" si="12"/>
        <v>0</v>
      </c>
      <c r="AF22" s="5">
        <f t="shared" si="12"/>
        <v>0</v>
      </c>
      <c r="AG22" s="5">
        <f t="shared" si="12"/>
        <v>0</v>
      </c>
      <c r="AH22" s="18">
        <f t="shared" si="12"/>
        <v>0</v>
      </c>
      <c r="AI22" s="18">
        <f t="shared" si="12"/>
        <v>0</v>
      </c>
      <c r="AJ22" s="18">
        <f t="shared" si="12"/>
        <v>0</v>
      </c>
      <c r="AK22" s="18">
        <f t="shared" si="12"/>
        <v>0</v>
      </c>
      <c r="AL22" s="18">
        <f t="shared" si="12"/>
        <v>0</v>
      </c>
      <c r="AM22" s="18">
        <f t="shared" si="12"/>
        <v>0</v>
      </c>
      <c r="AN22" s="18">
        <f t="shared" si="12"/>
        <v>0</v>
      </c>
      <c r="AO22" s="18">
        <f t="shared" si="12"/>
        <v>0</v>
      </c>
      <c r="AP22" s="18">
        <f t="shared" si="12"/>
        <v>0</v>
      </c>
      <c r="AQ22" s="5">
        <f t="shared" si="6"/>
        <v>0</v>
      </c>
    </row>
    <row r="23" spans="1:43" ht="12.75" hidden="1" customHeight="1" x14ac:dyDescent="0.2">
      <c r="A23" s="138" t="s">
        <v>49</v>
      </c>
      <c r="B23" s="142">
        <v>49.4</v>
      </c>
      <c r="C23" s="142">
        <v>33.5</v>
      </c>
      <c r="D23" s="142">
        <v>0</v>
      </c>
      <c r="E23" s="142"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v>0</v>
      </c>
      <c r="M23" s="141">
        <v>0</v>
      </c>
      <c r="N23" s="141">
        <v>0</v>
      </c>
      <c r="O23" s="141">
        <v>0</v>
      </c>
      <c r="U23" s="140" t="e">
        <f t="shared" si="5"/>
        <v>#NUM!</v>
      </c>
      <c r="V23" s="326"/>
      <c r="W23" s="2" t="str">
        <f t="shared" si="2"/>
        <v>Other PP&amp;E</v>
      </c>
      <c r="X23" s="18">
        <f t="shared" si="11"/>
        <v>4.0145955741928141E-3</v>
      </c>
      <c r="Y23" s="18">
        <f t="shared" si="11"/>
        <v>3.008855916219081E-3</v>
      </c>
      <c r="Z23" s="18">
        <f t="shared" si="11"/>
        <v>0</v>
      </c>
      <c r="AA23" s="18">
        <f>E23/E$38</f>
        <v>0</v>
      </c>
      <c r="AB23" s="18">
        <f t="shared" si="12"/>
        <v>0</v>
      </c>
      <c r="AC23" s="18">
        <f t="shared" si="12"/>
        <v>0</v>
      </c>
      <c r="AD23" s="18">
        <f t="shared" si="12"/>
        <v>0</v>
      </c>
      <c r="AE23" s="18">
        <f t="shared" si="12"/>
        <v>0</v>
      </c>
      <c r="AF23" s="18">
        <f t="shared" si="12"/>
        <v>0</v>
      </c>
      <c r="AG23" s="18">
        <f t="shared" si="12"/>
        <v>0</v>
      </c>
      <c r="AH23" s="102">
        <f t="shared" si="12"/>
        <v>0</v>
      </c>
      <c r="AI23" s="102">
        <f t="shared" si="12"/>
        <v>0</v>
      </c>
      <c r="AJ23" s="102">
        <f t="shared" si="12"/>
        <v>0</v>
      </c>
      <c r="AK23" s="102">
        <f t="shared" si="12"/>
        <v>0</v>
      </c>
      <c r="AL23" s="102">
        <f t="shared" si="12"/>
        <v>0</v>
      </c>
      <c r="AM23" s="102">
        <f t="shared" si="12"/>
        <v>0</v>
      </c>
      <c r="AN23" s="102">
        <f t="shared" si="12"/>
        <v>0</v>
      </c>
      <c r="AO23" s="102">
        <f t="shared" si="12"/>
        <v>0</v>
      </c>
      <c r="AP23" s="102">
        <f t="shared" si="12"/>
        <v>0</v>
      </c>
      <c r="AQ23" s="5">
        <f t="shared" si="6"/>
        <v>0</v>
      </c>
    </row>
    <row r="24" spans="1:43" ht="12.75" customHeight="1" x14ac:dyDescent="0.2">
      <c r="A24" s="163" t="s">
        <v>60</v>
      </c>
      <c r="B24" s="190">
        <f t="shared" ref="B24:L24" si="13">SUM(B20:B23)</f>
        <v>14193.1</v>
      </c>
      <c r="C24" s="190">
        <f t="shared" si="13"/>
        <v>12712.4</v>
      </c>
      <c r="D24" s="190">
        <f t="shared" si="13"/>
        <v>13098.9</v>
      </c>
      <c r="E24" s="190">
        <f t="shared" si="13"/>
        <v>13516.8</v>
      </c>
      <c r="F24" s="190">
        <f t="shared" si="13"/>
        <v>14158.2</v>
      </c>
      <c r="G24" s="190">
        <f t="shared" si="13"/>
        <v>14852.4</v>
      </c>
      <c r="H24" s="190">
        <f t="shared" si="13"/>
        <v>15720.699999999999</v>
      </c>
      <c r="I24" s="190">
        <f t="shared" si="13"/>
        <v>17974</v>
      </c>
      <c r="J24" s="190">
        <f t="shared" si="13"/>
        <v>20099</v>
      </c>
      <c r="K24" s="190">
        <f t="shared" si="13"/>
        <v>22160</v>
      </c>
      <c r="L24" s="190">
        <f t="shared" si="13"/>
        <v>23038</v>
      </c>
      <c r="M24" s="190">
        <f t="shared" ref="M24:R24" si="14">SUM(M20:M23)</f>
        <v>24262</v>
      </c>
      <c r="N24" s="190">
        <f t="shared" si="14"/>
        <v>25279</v>
      </c>
      <c r="O24" s="190">
        <f t="shared" si="14"/>
        <v>26193</v>
      </c>
      <c r="P24" s="190">
        <f t="shared" si="14"/>
        <v>26745</v>
      </c>
      <c r="Q24" s="190">
        <f t="shared" ref="Q24" si="15">SUM(Q20:Q23)</f>
        <v>27386</v>
      </c>
      <c r="R24" s="190">
        <f t="shared" si="14"/>
        <v>27952</v>
      </c>
      <c r="S24" s="190">
        <f>SUM(S20:S23)</f>
        <v>28569</v>
      </c>
      <c r="T24" s="190">
        <f>SUM(T20:T23)</f>
        <v>28693</v>
      </c>
      <c r="U24" s="281">
        <f t="shared" si="5"/>
        <v>2.4771479053601986E-2</v>
      </c>
      <c r="V24" s="144"/>
      <c r="W24" s="172" t="str">
        <f t="shared" si="2"/>
        <v>Total Plant &amp; Equipment:</v>
      </c>
      <c r="X24" s="180">
        <f t="shared" si="11"/>
        <v>1.1534323166817011</v>
      </c>
      <c r="Y24" s="180">
        <f t="shared" si="11"/>
        <v>1.1417844760998042</v>
      </c>
      <c r="Z24" s="180">
        <f t="shared" si="11"/>
        <v>1.2042086489666837</v>
      </c>
      <c r="AA24" s="180">
        <f>E24/E$38</f>
        <v>1.1556969168419433</v>
      </c>
      <c r="AB24" s="180">
        <f t="shared" si="12"/>
        <v>1.2124757003023012</v>
      </c>
      <c r="AC24" s="180">
        <f t="shared" si="12"/>
        <v>1.1862086591219483</v>
      </c>
      <c r="AD24" s="180">
        <f t="shared" si="12"/>
        <v>1.2348071288870737</v>
      </c>
      <c r="AE24" s="180">
        <f t="shared" si="12"/>
        <v>1.2057422687328101</v>
      </c>
      <c r="AF24" s="180">
        <f t="shared" si="12"/>
        <v>1.1707928001398031</v>
      </c>
      <c r="AG24" s="180">
        <f t="shared" si="12"/>
        <v>1.168406622376885</v>
      </c>
      <c r="AH24" s="180">
        <f t="shared" si="12"/>
        <v>1.1435520698898045</v>
      </c>
      <c r="AI24" s="180">
        <f t="shared" si="12"/>
        <v>1.149530939069459</v>
      </c>
      <c r="AJ24" s="180">
        <f t="shared" si="12"/>
        <v>1.163429675994109</v>
      </c>
      <c r="AK24" s="180">
        <f t="shared" si="12"/>
        <v>1.2093356110623759</v>
      </c>
      <c r="AL24" s="180">
        <f t="shared" si="12"/>
        <v>1.2044584553028597</v>
      </c>
      <c r="AM24" s="180">
        <f t="shared" si="12"/>
        <v>1.2243930790897304</v>
      </c>
      <c r="AN24" s="180">
        <f t="shared" si="12"/>
        <v>1.248191479860677</v>
      </c>
      <c r="AO24" s="180">
        <f t="shared" si="12"/>
        <v>1.303330291970803</v>
      </c>
      <c r="AP24" s="180">
        <f t="shared" si="12"/>
        <v>1.3146849942726231</v>
      </c>
      <c r="AQ24" s="285">
        <f t="shared" si="6"/>
        <v>1.2256771979164305</v>
      </c>
    </row>
    <row r="25" spans="1:43" ht="7.5" customHeight="1" x14ac:dyDescent="0.2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U25" s="140"/>
      <c r="V25" s="141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5"/>
    </row>
    <row r="26" spans="1:43" ht="12.75" customHeight="1" x14ac:dyDescent="0.2">
      <c r="A26" s="138" t="s">
        <v>50</v>
      </c>
      <c r="B26" s="141">
        <v>4994.8</v>
      </c>
      <c r="C26" s="138">
        <v>4789.5</v>
      </c>
      <c r="D26" s="138">
        <v>5129.3999999999996</v>
      </c>
      <c r="E26" s="138">
        <v>4818.3</v>
      </c>
      <c r="F26" s="138">
        <v>5121.7</v>
      </c>
      <c r="G26" s="138">
        <v>5361.8</v>
      </c>
      <c r="H26" s="138">
        <v>5611.5</v>
      </c>
      <c r="I26" s="138">
        <v>6125</v>
      </c>
      <c r="J26" s="138">
        <v>6275</v>
      </c>
      <c r="K26" s="138">
        <v>6623</v>
      </c>
      <c r="L26" s="138">
        <v>6646</v>
      </c>
      <c r="M26" s="138">
        <v>6888</v>
      </c>
      <c r="N26" s="138">
        <v>7222</v>
      </c>
      <c r="O26" s="138">
        <v>7686</v>
      </c>
      <c r="P26" s="14">
        <v>8026</v>
      </c>
      <c r="Q26" s="14">
        <v>8360</v>
      </c>
      <c r="R26" s="14">
        <v>8790</v>
      </c>
      <c r="S26" s="14">
        <v>9366</v>
      </c>
      <c r="T26" s="14">
        <v>9503</v>
      </c>
      <c r="U26" s="140">
        <f t="shared" si="5"/>
        <v>5.3366091087898235E-2</v>
      </c>
      <c r="V26" s="138"/>
      <c r="W26" s="2" t="str">
        <f t="shared" si="2"/>
        <v>Accumulated Depreciation &amp; Amort.</v>
      </c>
      <c r="X26" s="5">
        <f t="shared" ref="X26:AP26" si="16">B26/B$38</f>
        <v>0.4059129954246613</v>
      </c>
      <c r="Y26" s="5">
        <f t="shared" si="16"/>
        <v>0.43017657942481458</v>
      </c>
      <c r="Z26" s="5">
        <f t="shared" si="16"/>
        <v>0.47155622563800831</v>
      </c>
      <c r="AA26" s="5">
        <f t="shared" si="16"/>
        <v>0.41196839891243014</v>
      </c>
      <c r="AB26" s="5">
        <f t="shared" si="16"/>
        <v>0.43861061393667955</v>
      </c>
      <c r="AC26" s="5">
        <f t="shared" si="16"/>
        <v>0.42822800277935302</v>
      </c>
      <c r="AD26" s="5">
        <f t="shared" si="16"/>
        <v>0.44076410107373176</v>
      </c>
      <c r="AE26" s="5">
        <f t="shared" si="16"/>
        <v>0.41088079425773127</v>
      </c>
      <c r="AF26" s="5">
        <f t="shared" si="16"/>
        <v>0.36552688297314617</v>
      </c>
      <c r="AG26" s="5">
        <f t="shared" si="16"/>
        <v>0.3492038384477486</v>
      </c>
      <c r="AH26" s="5">
        <f t="shared" si="16"/>
        <v>0.32989178993348556</v>
      </c>
      <c r="AI26" s="5">
        <f t="shared" si="16"/>
        <v>0.32635269591585331</v>
      </c>
      <c r="AJ26" s="5">
        <f t="shared" si="16"/>
        <v>0.33238217967599409</v>
      </c>
      <c r="AK26" s="5">
        <f t="shared" si="16"/>
        <v>0.35486402881019435</v>
      </c>
      <c r="AL26" s="5">
        <f t="shared" si="16"/>
        <v>0.36145012384598063</v>
      </c>
      <c r="AM26" s="5">
        <f t="shared" si="16"/>
        <v>0.37376492153619173</v>
      </c>
      <c r="AN26" s="5">
        <f t="shared" si="16"/>
        <v>0.39251585246048049</v>
      </c>
      <c r="AO26" s="5">
        <f t="shared" si="16"/>
        <v>0.4272810218978102</v>
      </c>
      <c r="AP26" s="5">
        <f t="shared" si="16"/>
        <v>0.43541809851088203</v>
      </c>
      <c r="AQ26" s="5">
        <f t="shared" si="6"/>
        <v>0.37384802643018605</v>
      </c>
    </row>
    <row r="27" spans="1:43" ht="7.5" customHeight="1" x14ac:dyDescent="0.2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4"/>
      <c r="Q27" s="14"/>
      <c r="R27" s="14"/>
      <c r="S27" s="14"/>
      <c r="T27" s="14"/>
      <c r="U27" s="140"/>
      <c r="V27" s="13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5"/>
    </row>
    <row r="28" spans="1:43" ht="12.75" customHeight="1" x14ac:dyDescent="0.2">
      <c r="A28" s="163" t="s">
        <v>51</v>
      </c>
      <c r="B28" s="163">
        <f t="shared" ref="B28:G28" si="17">B24-B26</f>
        <v>9198.2999999999993</v>
      </c>
      <c r="C28" s="163">
        <f t="shared" si="17"/>
        <v>7922.9</v>
      </c>
      <c r="D28" s="163">
        <f t="shared" si="17"/>
        <v>7969.5</v>
      </c>
      <c r="E28" s="163">
        <f t="shared" si="17"/>
        <v>8698.5</v>
      </c>
      <c r="F28" s="163">
        <f t="shared" si="17"/>
        <v>9036.5</v>
      </c>
      <c r="G28" s="163">
        <f t="shared" si="17"/>
        <v>9490.5999999999985</v>
      </c>
      <c r="H28" s="163">
        <f t="shared" ref="H28:R28" si="18">H24-H26</f>
        <v>10109.199999999999</v>
      </c>
      <c r="I28" s="163">
        <f t="shared" si="18"/>
        <v>11849</v>
      </c>
      <c r="J28" s="163">
        <f t="shared" si="18"/>
        <v>13824</v>
      </c>
      <c r="K28" s="163">
        <f t="shared" si="18"/>
        <v>15537</v>
      </c>
      <c r="L28" s="163">
        <f t="shared" si="18"/>
        <v>16392</v>
      </c>
      <c r="M28" s="163">
        <f t="shared" si="18"/>
        <v>17374</v>
      </c>
      <c r="N28" s="163">
        <f t="shared" si="18"/>
        <v>18057</v>
      </c>
      <c r="O28" s="163">
        <f t="shared" si="18"/>
        <v>18507</v>
      </c>
      <c r="P28" s="163">
        <f t="shared" si="18"/>
        <v>18719</v>
      </c>
      <c r="Q28" s="163">
        <f t="shared" ref="Q28" si="19">Q24-Q26</f>
        <v>19026</v>
      </c>
      <c r="R28" s="163">
        <f t="shared" si="18"/>
        <v>19162</v>
      </c>
      <c r="S28" s="163">
        <f>S24-S26</f>
        <v>19203</v>
      </c>
      <c r="T28" s="163">
        <f>T24-T26</f>
        <v>19190</v>
      </c>
      <c r="U28" s="164">
        <f t="shared" si="5"/>
        <v>1.2382657159493465E-2</v>
      </c>
      <c r="V28" s="141"/>
      <c r="W28" s="172" t="str">
        <f t="shared" si="2"/>
        <v>Net Plant &amp; Equipment</v>
      </c>
      <c r="X28" s="179">
        <f t="shared" ref="X28:AP28" si="20">B28/B$38</f>
        <v>0.74751932125703968</v>
      </c>
      <c r="Y28" s="179">
        <f t="shared" si="20"/>
        <v>0.71160789667498969</v>
      </c>
      <c r="Z28" s="179">
        <f t="shared" si="20"/>
        <v>0.73265242332867542</v>
      </c>
      <c r="AA28" s="179">
        <f t="shared" si="20"/>
        <v>0.74372851792951322</v>
      </c>
      <c r="AB28" s="179">
        <f t="shared" si="20"/>
        <v>0.77386508636562168</v>
      </c>
      <c r="AC28" s="179">
        <f t="shared" si="20"/>
        <v>0.75798065634259515</v>
      </c>
      <c r="AD28" s="179">
        <f t="shared" si="20"/>
        <v>0.79404302781334202</v>
      </c>
      <c r="AE28" s="179">
        <f t="shared" si="20"/>
        <v>0.79486147447507882</v>
      </c>
      <c r="AF28" s="179">
        <f t="shared" si="20"/>
        <v>0.80526591716665696</v>
      </c>
      <c r="AG28" s="179">
        <f t="shared" si="20"/>
        <v>0.81920278392913637</v>
      </c>
      <c r="AH28" s="179">
        <f t="shared" si="20"/>
        <v>0.81366027995631884</v>
      </c>
      <c r="AI28" s="179">
        <f t="shared" si="20"/>
        <v>0.82317824315360566</v>
      </c>
      <c r="AJ28" s="179">
        <f t="shared" si="20"/>
        <v>0.83104749631811492</v>
      </c>
      <c r="AK28" s="179">
        <f t="shared" si="20"/>
        <v>0.85447158225218156</v>
      </c>
      <c r="AL28" s="179">
        <f t="shared" si="20"/>
        <v>0.84300833145687903</v>
      </c>
      <c r="AM28" s="179">
        <f t="shared" si="20"/>
        <v>0.85062815755353871</v>
      </c>
      <c r="AN28" s="179">
        <f t="shared" si="20"/>
        <v>0.85567562740019643</v>
      </c>
      <c r="AO28" s="179">
        <f t="shared" si="20"/>
        <v>0.87604927007299271</v>
      </c>
      <c r="AP28" s="179">
        <f t="shared" si="20"/>
        <v>0.87926689576174111</v>
      </c>
      <c r="AQ28" s="179">
        <f t="shared" si="6"/>
        <v>0.85182917148624437</v>
      </c>
    </row>
    <row r="29" spans="1:43" ht="7.5" customHeight="1" x14ac:dyDescent="0.2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4"/>
      <c r="Q29" s="14"/>
      <c r="R29" s="14"/>
      <c r="S29" s="14"/>
      <c r="T29" s="14"/>
      <c r="U29" s="140"/>
      <c r="V29" s="326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</row>
    <row r="30" spans="1:43" x14ac:dyDescent="0.2">
      <c r="A30" s="165" t="s">
        <v>69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U30" s="140"/>
      <c r="V30" s="326"/>
      <c r="W30" s="178" t="str">
        <f t="shared" si="2"/>
        <v>Other Assets:</v>
      </c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3" x14ac:dyDescent="0.2">
      <c r="A31" s="138" t="s">
        <v>52</v>
      </c>
      <c r="B31" s="138">
        <v>789.7</v>
      </c>
      <c r="C31" s="138">
        <v>1081.8</v>
      </c>
      <c r="D31" s="138">
        <v>1158.3</v>
      </c>
      <c r="E31" s="138">
        <v>1175.2</v>
      </c>
      <c r="F31" s="138">
        <f>1032.3</f>
        <v>1032.3</v>
      </c>
      <c r="G31" s="138">
        <f>972.8</f>
        <v>972.8</v>
      </c>
      <c r="H31" s="138">
        <v>884.3</v>
      </c>
      <c r="I31" s="138">
        <v>1091</v>
      </c>
      <c r="J31" s="138">
        <v>1624</v>
      </c>
      <c r="K31" s="138">
        <v>1539</v>
      </c>
      <c r="L31" s="138">
        <v>1654</v>
      </c>
      <c r="M31" s="138">
        <v>1810</v>
      </c>
      <c r="N31" s="138">
        <v>1773</v>
      </c>
      <c r="O31" s="138">
        <v>1290</v>
      </c>
      <c r="P31" s="2">
        <v>1574</v>
      </c>
      <c r="Q31" s="2">
        <v>1583</v>
      </c>
      <c r="R31" s="2">
        <v>1490</v>
      </c>
      <c r="S31" s="2">
        <v>1030</v>
      </c>
      <c r="T31" s="2">
        <v>1068</v>
      </c>
      <c r="U31" s="140">
        <f t="shared" si="5"/>
        <v>-0.10293131232820626</v>
      </c>
      <c r="V31" s="326"/>
      <c r="W31" s="2" t="str">
        <f t="shared" si="2"/>
        <v>Regulatory Assets</v>
      </c>
      <c r="X31" s="5">
        <f t="shared" ref="X31:AG38" si="21">B31/B$38</f>
        <v>6.4176642205264492E-2</v>
      </c>
      <c r="Y31" s="5">
        <f t="shared" si="21"/>
        <v>9.7163591945247804E-2</v>
      </c>
      <c r="Z31" s="5">
        <f t="shared" si="21"/>
        <v>0.10648488637199381</v>
      </c>
      <c r="AA31" s="5">
        <f t="shared" si="21"/>
        <v>0.1004805143726808</v>
      </c>
      <c r="AB31" s="5">
        <f t="shared" si="21"/>
        <v>8.8403798888422647E-2</v>
      </c>
      <c r="AC31" s="5">
        <f t="shared" si="21"/>
        <v>7.7694095472370203E-2</v>
      </c>
      <c r="AD31" s="5">
        <f t="shared" si="21"/>
        <v>6.9458735557248685E-2</v>
      </c>
      <c r="AE31" s="5">
        <f t="shared" si="21"/>
        <v>7.3187093311866902E-2</v>
      </c>
      <c r="AF31" s="5">
        <f t="shared" si="21"/>
        <v>9.4600104852332959E-2</v>
      </c>
      <c r="AG31" s="5">
        <f t="shared" si="21"/>
        <v>8.1145207212907314E-2</v>
      </c>
      <c r="AH31" s="5">
        <f t="shared" ref="AH31:AP38" si="22">L31/L$38</f>
        <v>8.2100665144445542E-2</v>
      </c>
      <c r="AI31" s="5">
        <f t="shared" si="22"/>
        <v>8.57576044726618E-2</v>
      </c>
      <c r="AJ31" s="5">
        <f t="shared" si="22"/>
        <v>8.159977908689249E-2</v>
      </c>
      <c r="AK31" s="5">
        <f t="shared" si="22"/>
        <v>5.955953645135971E-2</v>
      </c>
      <c r="AL31" s="5">
        <f t="shared" si="22"/>
        <v>7.0884935825264575E-2</v>
      </c>
      <c r="AM31" s="5">
        <f t="shared" si="22"/>
        <v>7.0773907989448742E-2</v>
      </c>
      <c r="AN31" s="5">
        <f t="shared" si="22"/>
        <v>6.6535679199785661E-2</v>
      </c>
      <c r="AO31" s="5">
        <f t="shared" si="22"/>
        <v>4.6989051094890509E-2</v>
      </c>
      <c r="AP31" s="5">
        <f t="shared" si="22"/>
        <v>4.8934707903780066E-2</v>
      </c>
      <c r="AQ31" s="5">
        <f t="shared" si="6"/>
        <v>6.6075465136498007E-2</v>
      </c>
    </row>
    <row r="32" spans="1:43" hidden="1" x14ac:dyDescent="0.2">
      <c r="A32" s="138" t="s">
        <v>53</v>
      </c>
      <c r="B32" s="138">
        <v>382.7</v>
      </c>
      <c r="C32" s="138">
        <v>0</v>
      </c>
      <c r="D32" s="138">
        <v>0</v>
      </c>
      <c r="E32" s="138">
        <v>0</v>
      </c>
      <c r="F32" s="138">
        <v>0</v>
      </c>
      <c r="G32" s="138">
        <v>0</v>
      </c>
      <c r="H32" s="138">
        <v>0</v>
      </c>
      <c r="I32" s="138">
        <v>0</v>
      </c>
      <c r="J32" s="138">
        <v>0</v>
      </c>
      <c r="K32" s="138">
        <v>0</v>
      </c>
      <c r="L32" s="138">
        <v>0</v>
      </c>
      <c r="M32" s="138">
        <v>0</v>
      </c>
      <c r="N32" s="138">
        <v>0</v>
      </c>
      <c r="O32" s="138">
        <v>0</v>
      </c>
      <c r="U32" s="140" t="e">
        <f t="shared" si="5"/>
        <v>#NUM!</v>
      </c>
      <c r="V32" s="326"/>
      <c r="W32" s="2" t="str">
        <f t="shared" si="2"/>
        <v>Intangible Assets-net</v>
      </c>
      <c r="X32" s="5">
        <f t="shared" si="21"/>
        <v>3.1100925632461335E-2</v>
      </c>
      <c r="Y32" s="5">
        <f t="shared" si="21"/>
        <v>0</v>
      </c>
      <c r="Z32" s="5">
        <f t="shared" si="21"/>
        <v>0</v>
      </c>
      <c r="AA32" s="5">
        <f t="shared" si="21"/>
        <v>0</v>
      </c>
      <c r="AB32" s="5">
        <f t="shared" si="21"/>
        <v>0</v>
      </c>
      <c r="AC32" s="5">
        <f t="shared" si="21"/>
        <v>0</v>
      </c>
      <c r="AD32" s="5">
        <f t="shared" si="21"/>
        <v>0</v>
      </c>
      <c r="AE32" s="5">
        <f t="shared" si="21"/>
        <v>0</v>
      </c>
      <c r="AF32" s="5">
        <f t="shared" si="21"/>
        <v>0</v>
      </c>
      <c r="AG32" s="5">
        <f t="shared" si="21"/>
        <v>0</v>
      </c>
      <c r="AH32" s="5">
        <f t="shared" si="22"/>
        <v>0</v>
      </c>
      <c r="AI32" s="5">
        <f t="shared" si="22"/>
        <v>0</v>
      </c>
      <c r="AJ32" s="5">
        <f t="shared" si="22"/>
        <v>0</v>
      </c>
      <c r="AK32" s="5">
        <f t="shared" si="22"/>
        <v>0</v>
      </c>
      <c r="AL32" s="5">
        <f t="shared" si="22"/>
        <v>0</v>
      </c>
      <c r="AM32" s="5">
        <f t="shared" si="22"/>
        <v>0</v>
      </c>
      <c r="AN32" s="5">
        <f t="shared" si="22"/>
        <v>0</v>
      </c>
      <c r="AO32" s="5">
        <f t="shared" si="22"/>
        <v>0</v>
      </c>
      <c r="AP32" s="5">
        <f t="shared" si="22"/>
        <v>0</v>
      </c>
      <c r="AQ32" s="5">
        <f t="shared" si="6"/>
        <v>0</v>
      </c>
    </row>
    <row r="33" spans="1:45" x14ac:dyDescent="0.2">
      <c r="A33" s="138" t="s">
        <v>164</v>
      </c>
      <c r="B33" s="138">
        <f>196.8+288.3</f>
        <v>485.1</v>
      </c>
      <c r="C33" s="138">
        <f>189.9+278.3</f>
        <v>468.20000000000005</v>
      </c>
      <c r="D33" s="138">
        <f>468.4+155</f>
        <v>623.4</v>
      </c>
      <c r="E33" s="138">
        <f>506.9+122.3</f>
        <v>629.19999999999993</v>
      </c>
      <c r="F33" s="138">
        <f>422.2+110.3</f>
        <v>532.5</v>
      </c>
      <c r="G33" s="138">
        <f>170+360.3</f>
        <v>530.29999999999995</v>
      </c>
      <c r="H33" s="138">
        <f>94.7+345.3</f>
        <v>440</v>
      </c>
      <c r="I33" s="138">
        <v>215</v>
      </c>
      <c r="J33" s="138">
        <v>86</v>
      </c>
      <c r="K33" s="138">
        <v>43</v>
      </c>
      <c r="L33" s="138">
        <v>9</v>
      </c>
      <c r="M33" s="138">
        <v>4</v>
      </c>
      <c r="N33" s="138">
        <v>1</v>
      </c>
      <c r="O33" s="138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140">
        <f t="shared" si="5"/>
        <v>-0.99999940914518248</v>
      </c>
      <c r="V33" s="326"/>
      <c r="W33" s="2" t="str">
        <f t="shared" si="2"/>
        <v>Financial Assets/Derivatives</v>
      </c>
      <c r="X33" s="5">
        <f t="shared" si="21"/>
        <v>3.9422678401638343E-2</v>
      </c>
      <c r="Y33" s="5">
        <f t="shared" si="21"/>
        <v>4.2052129551455937E-2</v>
      </c>
      <c r="Z33" s="5">
        <f t="shared" si="21"/>
        <v>5.7310436125615941E-2</v>
      </c>
      <c r="AA33" s="5">
        <f t="shared" si="21"/>
        <v>5.3797089553514935E-2</v>
      </c>
      <c r="AB33" s="5">
        <f t="shared" si="21"/>
        <v>4.5602075857875679E-2</v>
      </c>
      <c r="AC33" s="5">
        <f t="shared" si="21"/>
        <v>4.2353185473887667E-2</v>
      </c>
      <c r="AD33" s="5">
        <f t="shared" si="21"/>
        <v>3.4560492644113337E-2</v>
      </c>
      <c r="AE33" s="5">
        <f t="shared" si="21"/>
        <v>1.4422754410679547E-2</v>
      </c>
      <c r="AF33" s="5">
        <f t="shared" si="21"/>
        <v>5.0096114638550704E-3</v>
      </c>
      <c r="AG33" s="5">
        <f t="shared" si="21"/>
        <v>2.2672150163450385E-3</v>
      </c>
      <c r="AH33" s="5">
        <f t="shared" si="22"/>
        <v>4.4673880671100964E-4</v>
      </c>
      <c r="AI33" s="5">
        <f t="shared" si="22"/>
        <v>1.895195678953852E-4</v>
      </c>
      <c r="AJ33" s="5">
        <f t="shared" si="22"/>
        <v>4.6023564064801177E-5</v>
      </c>
      <c r="AK33" s="5">
        <f t="shared" si="22"/>
        <v>0</v>
      </c>
      <c r="AL33" s="5">
        <f t="shared" si="22"/>
        <v>0</v>
      </c>
      <c r="AM33" s="5">
        <f t="shared" si="22"/>
        <v>0</v>
      </c>
      <c r="AN33" s="5">
        <f t="shared" si="22"/>
        <v>0</v>
      </c>
      <c r="AO33" s="5">
        <f t="shared" si="22"/>
        <v>0</v>
      </c>
      <c r="AP33" s="5">
        <f t="shared" si="22"/>
        <v>0</v>
      </c>
      <c r="AQ33" s="5">
        <f t="shared" si="6"/>
        <v>7.5601218691645314E-6</v>
      </c>
    </row>
    <row r="34" spans="1:45" hidden="1" x14ac:dyDescent="0.2">
      <c r="A34" s="138" t="s">
        <v>55</v>
      </c>
      <c r="B34" s="138">
        <v>116</v>
      </c>
      <c r="C34" s="138">
        <v>0</v>
      </c>
      <c r="D34" s="138">
        <v>0</v>
      </c>
      <c r="E34" s="138">
        <v>0</v>
      </c>
      <c r="F34" s="138">
        <v>0</v>
      </c>
      <c r="G34" s="138">
        <v>0</v>
      </c>
      <c r="H34" s="138">
        <v>0</v>
      </c>
      <c r="I34" s="138">
        <v>0</v>
      </c>
      <c r="J34" s="138">
        <v>0</v>
      </c>
      <c r="K34" s="138">
        <v>0</v>
      </c>
      <c r="L34" s="138">
        <v>0</v>
      </c>
      <c r="M34" s="138">
        <v>0</v>
      </c>
      <c r="N34" s="138">
        <v>0</v>
      </c>
      <c r="O34" s="138">
        <v>0</v>
      </c>
      <c r="P34" s="2">
        <v>0</v>
      </c>
      <c r="Q34" s="2">
        <v>0</v>
      </c>
      <c r="S34" s="2">
        <v>0</v>
      </c>
      <c r="T34" s="2">
        <v>0</v>
      </c>
      <c r="U34" s="140" t="e">
        <f t="shared" si="5"/>
        <v>#NUM!</v>
      </c>
      <c r="V34" s="326"/>
      <c r="W34" s="2" t="str">
        <f t="shared" si="2"/>
        <v>Investments in Affiliates</v>
      </c>
      <c r="X34" s="5">
        <f t="shared" si="21"/>
        <v>9.4269855588333291E-3</v>
      </c>
      <c r="Y34" s="5">
        <f t="shared" si="21"/>
        <v>0</v>
      </c>
      <c r="Z34" s="5">
        <f t="shared" si="21"/>
        <v>0</v>
      </c>
      <c r="AA34" s="5">
        <f t="shared" si="21"/>
        <v>0</v>
      </c>
      <c r="AB34" s="5">
        <f t="shared" si="21"/>
        <v>0</v>
      </c>
      <c r="AC34" s="5">
        <f t="shared" si="21"/>
        <v>0</v>
      </c>
      <c r="AD34" s="5">
        <f t="shared" si="21"/>
        <v>0</v>
      </c>
      <c r="AE34" s="5">
        <f t="shared" si="21"/>
        <v>0</v>
      </c>
      <c r="AF34" s="5">
        <f t="shared" si="21"/>
        <v>0</v>
      </c>
      <c r="AG34" s="5">
        <f t="shared" si="21"/>
        <v>0</v>
      </c>
      <c r="AH34" s="5">
        <f t="shared" si="22"/>
        <v>0</v>
      </c>
      <c r="AI34" s="5">
        <f t="shared" si="22"/>
        <v>0</v>
      </c>
      <c r="AJ34" s="5">
        <f t="shared" si="22"/>
        <v>0</v>
      </c>
      <c r="AK34" s="5">
        <f t="shared" si="22"/>
        <v>0</v>
      </c>
      <c r="AL34" s="5">
        <f t="shared" si="22"/>
        <v>0</v>
      </c>
      <c r="AM34" s="5">
        <f t="shared" si="22"/>
        <v>0</v>
      </c>
      <c r="AN34" s="5">
        <f t="shared" si="22"/>
        <v>0</v>
      </c>
      <c r="AO34" s="5">
        <f t="shared" si="22"/>
        <v>0</v>
      </c>
      <c r="AP34" s="5">
        <f t="shared" si="22"/>
        <v>0</v>
      </c>
      <c r="AQ34" s="5">
        <f t="shared" si="6"/>
        <v>0</v>
      </c>
    </row>
    <row r="35" spans="1:45" x14ac:dyDescent="0.2">
      <c r="A35" s="138" t="s">
        <v>54</v>
      </c>
      <c r="B35" s="142">
        <v>372.1</v>
      </c>
      <c r="C35" s="142">
        <v>303.5</v>
      </c>
      <c r="D35" s="142">
        <v>366.2</v>
      </c>
      <c r="E35" s="142">
        <v>343.5</v>
      </c>
      <c r="F35" s="142">
        <v>319.39999999999998</v>
      </c>
      <c r="G35" s="142">
        <v>312.89999999999998</v>
      </c>
      <c r="H35" s="143">
        <v>282.5</v>
      </c>
      <c r="I35" s="143">
        <v>276</v>
      </c>
      <c r="J35" s="143">
        <v>257</v>
      </c>
      <c r="K35" s="143">
        <v>275</v>
      </c>
      <c r="L35" s="143">
        <v>396</v>
      </c>
      <c r="M35" s="143">
        <v>435</v>
      </c>
      <c r="N35" s="143">
        <v>429</v>
      </c>
      <c r="O35" s="143">
        <v>420</v>
      </c>
      <c r="P35" s="2">
        <v>415</v>
      </c>
      <c r="Q35" s="2">
        <v>381</v>
      </c>
      <c r="R35" s="2">
        <v>388</v>
      </c>
      <c r="S35" s="2">
        <v>372</v>
      </c>
      <c r="T35" s="2">
        <v>330</v>
      </c>
      <c r="U35" s="140">
        <f t="shared" si="5"/>
        <v>-2.8109964313083078E-2</v>
      </c>
      <c r="V35" s="326"/>
      <c r="W35" s="2" t="str">
        <f t="shared" si="2"/>
        <v>Deferred Charges and Other</v>
      </c>
      <c r="X35" s="6">
        <f t="shared" si="21"/>
        <v>3.02394941934645E-2</v>
      </c>
      <c r="Y35" s="6">
        <f t="shared" si="21"/>
        <v>2.7259336434999733E-2</v>
      </c>
      <c r="Z35" s="6">
        <f t="shared" si="21"/>
        <v>3.3665514451717289E-2</v>
      </c>
      <c r="AA35" s="6">
        <f t="shared" si="21"/>
        <v>2.936951726260709E-2</v>
      </c>
      <c r="AB35" s="6">
        <f t="shared" si="21"/>
        <v>2.7352681744611248E-2</v>
      </c>
      <c r="AC35" s="6">
        <f t="shared" si="21"/>
        <v>2.4990216358249009E-2</v>
      </c>
      <c r="AD35" s="102">
        <f t="shared" si="21"/>
        <v>2.2189407209004582E-2</v>
      </c>
      <c r="AE35" s="102">
        <f t="shared" si="21"/>
        <v>1.8514791708593277E-2</v>
      </c>
      <c r="AF35" s="102">
        <f t="shared" si="21"/>
        <v>1.4970583095473874E-2</v>
      </c>
      <c r="AG35" s="102">
        <f t="shared" si="21"/>
        <v>1.4499630918485711E-2</v>
      </c>
      <c r="AH35" s="102">
        <f t="shared" si="22"/>
        <v>1.9656507495284425E-2</v>
      </c>
      <c r="AI35" s="102">
        <f t="shared" si="22"/>
        <v>2.0610253008623139E-2</v>
      </c>
      <c r="AJ35" s="102">
        <f t="shared" si="22"/>
        <v>1.9744108983799705E-2</v>
      </c>
      <c r="AK35" s="102">
        <f t="shared" si="22"/>
        <v>1.9391476984163627E-2</v>
      </c>
      <c r="AL35" s="102">
        <f t="shared" si="22"/>
        <v>1.8689484350371537E-2</v>
      </c>
      <c r="AM35" s="102">
        <f t="shared" si="22"/>
        <v>1.7034023337953234E-2</v>
      </c>
      <c r="AN35" s="102">
        <f t="shared" si="22"/>
        <v>1.7326069482897204E-2</v>
      </c>
      <c r="AO35" s="102">
        <f t="shared" si="22"/>
        <v>1.6970802919708029E-2</v>
      </c>
      <c r="AP35" s="102">
        <f t="shared" si="22"/>
        <v>1.5120274914089347E-2</v>
      </c>
      <c r="AQ35" s="5">
        <f t="shared" si="6"/>
        <v>1.8182093095340697E-2</v>
      </c>
    </row>
    <row r="36" spans="1:45" x14ac:dyDescent="0.2">
      <c r="A36" s="163" t="s">
        <v>70</v>
      </c>
      <c r="B36" s="185">
        <f t="shared" ref="B36:L36" si="23">SUM(B31:B35)</f>
        <v>2145.6</v>
      </c>
      <c r="C36" s="185">
        <f t="shared" si="23"/>
        <v>1853.5</v>
      </c>
      <c r="D36" s="185">
        <f t="shared" si="23"/>
        <v>2147.8999999999996</v>
      </c>
      <c r="E36" s="185">
        <f t="shared" si="23"/>
        <v>2147.9</v>
      </c>
      <c r="F36" s="185">
        <f t="shared" si="23"/>
        <v>1884.1999999999998</v>
      </c>
      <c r="G36" s="185">
        <f t="shared" si="23"/>
        <v>1816</v>
      </c>
      <c r="H36" s="186">
        <f t="shared" si="23"/>
        <v>1606.8</v>
      </c>
      <c r="I36" s="186">
        <f t="shared" si="23"/>
        <v>1582</v>
      </c>
      <c r="J36" s="186">
        <f>SUM(J31:J35)</f>
        <v>1967</v>
      </c>
      <c r="K36" s="186">
        <f>SUM(K31:K35)</f>
        <v>1857</v>
      </c>
      <c r="L36" s="186">
        <f t="shared" si="23"/>
        <v>2059</v>
      </c>
      <c r="M36" s="186">
        <f t="shared" ref="M36:R36" si="24">SUM(M31:M35)</f>
        <v>2249</v>
      </c>
      <c r="N36" s="186">
        <f t="shared" si="24"/>
        <v>2203</v>
      </c>
      <c r="O36" s="186">
        <f t="shared" si="24"/>
        <v>1710</v>
      </c>
      <c r="P36" s="186">
        <f t="shared" si="24"/>
        <v>1989</v>
      </c>
      <c r="Q36" s="186">
        <f t="shared" ref="Q36" si="25">SUM(Q31:Q35)</f>
        <v>1964</v>
      </c>
      <c r="R36" s="186">
        <f t="shared" si="24"/>
        <v>1878</v>
      </c>
      <c r="S36" s="186">
        <f>SUM(S31:S35)</f>
        <v>1402</v>
      </c>
      <c r="T36" s="186">
        <f>SUM(T31:T35)</f>
        <v>1398</v>
      </c>
      <c r="U36" s="341">
        <f t="shared" si="5"/>
        <v>-8.641974794597089E-2</v>
      </c>
      <c r="V36" s="326"/>
      <c r="W36" s="172" t="str">
        <f t="shared" si="2"/>
        <v>Total Other Assets</v>
      </c>
      <c r="X36" s="181">
        <f t="shared" si="21"/>
        <v>0.17436672599166197</v>
      </c>
      <c r="Y36" s="181">
        <f t="shared" si="21"/>
        <v>0.16647505793170347</v>
      </c>
      <c r="Z36" s="181">
        <f t="shared" si="21"/>
        <v>0.19746083694932701</v>
      </c>
      <c r="AA36" s="181">
        <f t="shared" si="21"/>
        <v>0.18364712118880283</v>
      </c>
      <c r="AB36" s="181">
        <f t="shared" si="21"/>
        <v>0.16135855649090955</v>
      </c>
      <c r="AC36" s="181">
        <f t="shared" si="21"/>
        <v>0.14503749730450688</v>
      </c>
      <c r="AD36" s="182">
        <f t="shared" si="21"/>
        <v>0.12620863541036659</v>
      </c>
      <c r="AE36" s="182">
        <f t="shared" si="21"/>
        <v>0.10612463943113973</v>
      </c>
      <c r="AF36" s="182">
        <f t="shared" si="21"/>
        <v>0.11458029941166191</v>
      </c>
      <c r="AG36" s="182">
        <f t="shared" si="21"/>
        <v>9.7912053147738057E-2</v>
      </c>
      <c r="AH36" s="182">
        <f t="shared" si="22"/>
        <v>0.10220391144644098</v>
      </c>
      <c r="AI36" s="182">
        <f t="shared" si="22"/>
        <v>0.10655737704918032</v>
      </c>
      <c r="AJ36" s="182">
        <f t="shared" si="22"/>
        <v>0.101389911634757</v>
      </c>
      <c r="AK36" s="182">
        <f t="shared" si="22"/>
        <v>7.895101343552334E-2</v>
      </c>
      <c r="AL36" s="182">
        <f t="shared" si="22"/>
        <v>8.9574420175636119E-2</v>
      </c>
      <c r="AM36" s="182">
        <f t="shared" si="22"/>
        <v>8.7807931327401972E-2</v>
      </c>
      <c r="AN36" s="182">
        <f t="shared" si="22"/>
        <v>8.3861748682682868E-2</v>
      </c>
      <c r="AO36" s="182">
        <f t="shared" si="22"/>
        <v>6.3959854014598541E-2</v>
      </c>
      <c r="AP36" s="182">
        <f t="shared" si="22"/>
        <v>6.4054982817869421E-2</v>
      </c>
      <c r="AQ36" s="343">
        <f t="shared" si="6"/>
        <v>8.4265118353707869E-2</v>
      </c>
    </row>
    <row r="37" spans="1:45" x14ac:dyDescent="0.2">
      <c r="A37" s="138" t="s">
        <v>36</v>
      </c>
      <c r="B37" s="142">
        <f t="shared" ref="B37:L37" si="26">B28+B36</f>
        <v>11343.9</v>
      </c>
      <c r="C37" s="142">
        <f t="shared" si="26"/>
        <v>9776.4</v>
      </c>
      <c r="D37" s="142">
        <f t="shared" si="26"/>
        <v>10117.4</v>
      </c>
      <c r="E37" s="142">
        <f t="shared" si="26"/>
        <v>10846.4</v>
      </c>
      <c r="F37" s="142">
        <f t="shared" si="26"/>
        <v>10920.7</v>
      </c>
      <c r="G37" s="142">
        <f t="shared" si="26"/>
        <v>11306.599999999999</v>
      </c>
      <c r="H37" s="141">
        <f t="shared" si="26"/>
        <v>11715.999999999998</v>
      </c>
      <c r="I37" s="141">
        <f t="shared" si="26"/>
        <v>13431</v>
      </c>
      <c r="J37" s="141">
        <f>J28+J36</f>
        <v>15791</v>
      </c>
      <c r="K37" s="141">
        <f>K28+K36</f>
        <v>17394</v>
      </c>
      <c r="L37" s="141">
        <f t="shared" si="26"/>
        <v>18451</v>
      </c>
      <c r="M37" s="141">
        <f t="shared" ref="M37:R37" si="27">M28+M36</f>
        <v>19623</v>
      </c>
      <c r="N37" s="141">
        <f t="shared" si="27"/>
        <v>20260</v>
      </c>
      <c r="O37" s="141">
        <f t="shared" si="27"/>
        <v>20217</v>
      </c>
      <c r="P37" s="141">
        <f t="shared" si="27"/>
        <v>20708</v>
      </c>
      <c r="Q37" s="141">
        <f t="shared" ref="Q37" si="28">Q28+Q36</f>
        <v>20990</v>
      </c>
      <c r="R37" s="141">
        <f t="shared" si="27"/>
        <v>21040</v>
      </c>
      <c r="S37" s="141">
        <f>S28+S36</f>
        <v>20605</v>
      </c>
      <c r="T37" s="141">
        <f>T28+T36</f>
        <v>20588</v>
      </c>
      <c r="U37" s="283">
        <f t="shared" si="5"/>
        <v>3.3827618625365276E-3</v>
      </c>
      <c r="V37" s="144"/>
      <c r="W37" s="2" t="str">
        <f t="shared" si="2"/>
        <v>Total Non-Current Assets</v>
      </c>
      <c r="X37" s="6">
        <f t="shared" si="21"/>
        <v>0.92188604724870171</v>
      </c>
      <c r="Y37" s="6">
        <f t="shared" si="21"/>
        <v>0.87808295460669317</v>
      </c>
      <c r="Z37" s="6">
        <f t="shared" si="21"/>
        <v>0.93011326027800245</v>
      </c>
      <c r="AA37" s="6">
        <f t="shared" si="21"/>
        <v>0.927375639118316</v>
      </c>
      <c r="AB37" s="6">
        <f t="shared" si="21"/>
        <v>0.93522364285653137</v>
      </c>
      <c r="AC37" s="6">
        <f t="shared" si="21"/>
        <v>0.90301815364710214</v>
      </c>
      <c r="AD37" s="97">
        <f t="shared" si="21"/>
        <v>0.92025166322370855</v>
      </c>
      <c r="AE37" s="97">
        <f t="shared" si="21"/>
        <v>0.90098611390621852</v>
      </c>
      <c r="AF37" s="97">
        <f t="shared" si="21"/>
        <v>0.91984621657831889</v>
      </c>
      <c r="AG37" s="97">
        <f t="shared" si="21"/>
        <v>0.91711483707687436</v>
      </c>
      <c r="AH37" s="97">
        <f t="shared" si="22"/>
        <v>0.91586419140275988</v>
      </c>
      <c r="AI37" s="97">
        <f t="shared" si="22"/>
        <v>0.92973562020278588</v>
      </c>
      <c r="AJ37" s="97">
        <f t="shared" si="22"/>
        <v>0.93243740795287189</v>
      </c>
      <c r="AK37" s="97">
        <f t="shared" si="22"/>
        <v>0.93342259568770491</v>
      </c>
      <c r="AL37" s="97">
        <f t="shared" si="22"/>
        <v>0.93258275163251525</v>
      </c>
      <c r="AM37" s="97">
        <f t="shared" si="22"/>
        <v>0.93843608888094066</v>
      </c>
      <c r="AN37" s="97">
        <f t="shared" si="22"/>
        <v>0.93953737608287935</v>
      </c>
      <c r="AO37" s="97">
        <f t="shared" si="22"/>
        <v>0.94000912408759119</v>
      </c>
      <c r="AP37" s="97">
        <f t="shared" si="22"/>
        <v>0.94332187857961058</v>
      </c>
      <c r="AQ37" s="342">
        <f t="shared" si="6"/>
        <v>0.93609428983995224</v>
      </c>
    </row>
    <row r="38" spans="1:45" ht="13.5" thickBot="1" x14ac:dyDescent="0.25">
      <c r="A38" s="163" t="s">
        <v>31</v>
      </c>
      <c r="B38" s="187">
        <f t="shared" ref="B38:G38" si="29">B17+B28+B36</f>
        <v>12305.1</v>
      </c>
      <c r="C38" s="187">
        <f t="shared" si="29"/>
        <v>11133.8</v>
      </c>
      <c r="D38" s="187">
        <f t="shared" si="29"/>
        <v>10877.6</v>
      </c>
      <c r="E38" s="187">
        <f t="shared" si="29"/>
        <v>11695.8</v>
      </c>
      <c r="F38" s="187">
        <f t="shared" si="29"/>
        <v>11677.099999999999</v>
      </c>
      <c r="G38" s="187">
        <f t="shared" si="29"/>
        <v>12520.899999999998</v>
      </c>
      <c r="H38" s="188">
        <f t="shared" ref="H38:R38" si="30">H17+H28+H36</f>
        <v>12731.299999999997</v>
      </c>
      <c r="I38" s="188">
        <f t="shared" si="30"/>
        <v>14907</v>
      </c>
      <c r="J38" s="188">
        <f t="shared" si="30"/>
        <v>17167</v>
      </c>
      <c r="K38" s="188">
        <f t="shared" si="30"/>
        <v>18966</v>
      </c>
      <c r="L38" s="188">
        <f t="shared" si="30"/>
        <v>20146</v>
      </c>
      <c r="M38" s="188">
        <f t="shared" si="30"/>
        <v>21106</v>
      </c>
      <c r="N38" s="188">
        <f t="shared" si="30"/>
        <v>21728</v>
      </c>
      <c r="O38" s="188">
        <f t="shared" si="30"/>
        <v>21659</v>
      </c>
      <c r="P38" s="188">
        <f t="shared" si="30"/>
        <v>22205</v>
      </c>
      <c r="Q38" s="188">
        <f t="shared" ref="Q38" si="31">Q17+Q28+Q36</f>
        <v>22367</v>
      </c>
      <c r="R38" s="188">
        <f t="shared" si="30"/>
        <v>22394</v>
      </c>
      <c r="S38" s="188">
        <f>S17+S28+S36</f>
        <v>21920</v>
      </c>
      <c r="T38" s="188">
        <f>T17+T28+T36</f>
        <v>21825</v>
      </c>
      <c r="U38" s="340">
        <f t="shared" si="5"/>
        <v>1.761091043298302E-3</v>
      </c>
      <c r="V38" s="141"/>
      <c r="W38" s="172" t="str">
        <f t="shared" si="2"/>
        <v>Total Assets</v>
      </c>
      <c r="X38" s="183">
        <f t="shared" si="21"/>
        <v>1</v>
      </c>
      <c r="Y38" s="183">
        <f t="shared" si="21"/>
        <v>1</v>
      </c>
      <c r="Z38" s="183">
        <f t="shared" si="21"/>
        <v>1</v>
      </c>
      <c r="AA38" s="183">
        <f t="shared" si="21"/>
        <v>1</v>
      </c>
      <c r="AB38" s="183">
        <f t="shared" si="21"/>
        <v>1</v>
      </c>
      <c r="AC38" s="183">
        <f t="shared" si="21"/>
        <v>1</v>
      </c>
      <c r="AD38" s="184">
        <f t="shared" si="21"/>
        <v>1</v>
      </c>
      <c r="AE38" s="184">
        <f t="shared" si="21"/>
        <v>1</v>
      </c>
      <c r="AF38" s="184">
        <f t="shared" si="21"/>
        <v>1</v>
      </c>
      <c r="AG38" s="184">
        <f t="shared" si="21"/>
        <v>1</v>
      </c>
      <c r="AH38" s="184">
        <f t="shared" si="22"/>
        <v>1</v>
      </c>
      <c r="AI38" s="184">
        <f t="shared" si="22"/>
        <v>1</v>
      </c>
      <c r="AJ38" s="184">
        <f t="shared" si="22"/>
        <v>1</v>
      </c>
      <c r="AK38" s="184">
        <f t="shared" si="22"/>
        <v>1</v>
      </c>
      <c r="AL38" s="184">
        <f t="shared" si="22"/>
        <v>1</v>
      </c>
      <c r="AM38" s="184">
        <f t="shared" si="22"/>
        <v>1</v>
      </c>
      <c r="AN38" s="184">
        <f t="shared" si="22"/>
        <v>1</v>
      </c>
      <c r="AO38" s="184">
        <f t="shared" si="22"/>
        <v>1</v>
      </c>
      <c r="AP38" s="184">
        <f t="shared" si="22"/>
        <v>1</v>
      </c>
      <c r="AQ38" s="184">
        <f t="shared" si="6"/>
        <v>1</v>
      </c>
    </row>
    <row r="39" spans="1:45" ht="13.5" thickTop="1" x14ac:dyDescent="0.2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282"/>
      <c r="V39" s="326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322"/>
      <c r="AP39" s="322"/>
      <c r="AQ39" s="327"/>
    </row>
    <row r="40" spans="1:45" ht="7.5" customHeight="1" x14ac:dyDescent="0.2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73"/>
      <c r="Q40" s="173"/>
      <c r="R40" s="173"/>
      <c r="S40" s="173"/>
      <c r="T40" s="173"/>
      <c r="U40" s="140"/>
      <c r="V40" s="326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</row>
    <row r="41" spans="1:45" x14ac:dyDescent="0.2">
      <c r="A41" s="165" t="s">
        <v>9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9"/>
      <c r="Q41" s="19"/>
      <c r="R41" s="19"/>
      <c r="S41" s="19"/>
      <c r="T41" s="19"/>
      <c r="U41" s="140"/>
      <c r="V41" s="141"/>
      <c r="W41" s="178" t="str">
        <f t="shared" si="2"/>
        <v>Current Liabilities:</v>
      </c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</row>
    <row r="42" spans="1:45" x14ac:dyDescent="0.2">
      <c r="A42" s="138" t="s">
        <v>56</v>
      </c>
      <c r="B42" s="138">
        <v>186.9</v>
      </c>
      <c r="C42" s="138">
        <v>51.2</v>
      </c>
      <c r="D42" s="138">
        <v>144.5</v>
      </c>
      <c r="E42" s="138">
        <v>136.69999999999999</v>
      </c>
      <c r="F42" s="138">
        <v>240</v>
      </c>
      <c r="G42" s="138">
        <v>269.89999999999998</v>
      </c>
      <c r="H42" s="138">
        <v>216.9</v>
      </c>
      <c r="I42" s="138">
        <v>414</v>
      </c>
      <c r="J42" s="138">
        <v>144</v>
      </c>
      <c r="K42" s="138">
        <v>16</v>
      </c>
      <c r="L42" s="138">
        <v>588</v>
      </c>
      <c r="M42" s="138">
        <v>19</v>
      </c>
      <c r="N42" s="138">
        <v>267</v>
      </c>
      <c r="O42" s="138">
        <v>238</v>
      </c>
      <c r="P42" s="2">
        <v>134</v>
      </c>
      <c r="Q42" s="2">
        <v>68</v>
      </c>
      <c r="R42" s="2">
        <v>58</v>
      </c>
      <c r="S42" s="2">
        <v>588</v>
      </c>
      <c r="T42" s="2">
        <v>851</v>
      </c>
      <c r="U42" s="140">
        <f>RATE(5,,-N42,S42)</f>
        <v>0.17104399914049609</v>
      </c>
      <c r="V42" s="141"/>
      <c r="W42" s="2" t="str">
        <f t="shared" si="2"/>
        <v>Current Maturities LTD</v>
      </c>
      <c r="X42" s="5">
        <f t="shared" ref="X42:AG45" si="32">B42/B$38</f>
        <v>1.5188824146085769E-2</v>
      </c>
      <c r="Y42" s="5">
        <f t="shared" si="32"/>
        <v>4.5986096391169235E-3</v>
      </c>
      <c r="Z42" s="5">
        <f t="shared" si="32"/>
        <v>1.3284180333897182E-2</v>
      </c>
      <c r="AA42" s="5">
        <f t="shared" si="32"/>
        <v>1.1687956360402879E-2</v>
      </c>
      <c r="AB42" s="5">
        <f t="shared" si="32"/>
        <v>2.0553048273972137E-2</v>
      </c>
      <c r="AC42" s="5">
        <f t="shared" si="32"/>
        <v>2.1555958437492515E-2</v>
      </c>
      <c r="AD42" s="5">
        <f t="shared" si="32"/>
        <v>1.7036751942064051E-2</v>
      </c>
      <c r="AE42" s="5">
        <f t="shared" si="32"/>
        <v>2.7772187562889919E-2</v>
      </c>
      <c r="AF42" s="5">
        <f t="shared" si="32"/>
        <v>8.3881866371526767E-3</v>
      </c>
      <c r="AG42" s="5">
        <f t="shared" si="32"/>
        <v>8.4361488980280502E-4</v>
      </c>
      <c r="AH42" s="5">
        <f t="shared" ref="AH42:AP45" si="33">L42/L$38</f>
        <v>2.9186935371785964E-2</v>
      </c>
      <c r="AI42" s="5">
        <f t="shared" si="33"/>
        <v>9.0021794750307972E-4</v>
      </c>
      <c r="AJ42" s="5">
        <f t="shared" si="33"/>
        <v>1.2288291605301914E-2</v>
      </c>
      <c r="AK42" s="5">
        <f t="shared" si="33"/>
        <v>1.0988503624359389E-2</v>
      </c>
      <c r="AL42" s="5">
        <f t="shared" si="33"/>
        <v>6.0346768745777974E-3</v>
      </c>
      <c r="AM42" s="5">
        <f t="shared" si="33"/>
        <v>3.0401931416819423E-3</v>
      </c>
      <c r="AN42" s="5">
        <f t="shared" si="33"/>
        <v>2.5899794587836028E-3</v>
      </c>
      <c r="AO42" s="5">
        <f t="shared" si="33"/>
        <v>2.6824817518248174E-2</v>
      </c>
      <c r="AP42" s="5">
        <f t="shared" si="33"/>
        <v>3.8991981672394045E-2</v>
      </c>
      <c r="AQ42" s="5">
        <f t="shared" ref="AQ42:AQ64" si="34">SUM(N42:S42)/SUM(N$38:S$38)</f>
        <v>1.022884488897961E-2</v>
      </c>
    </row>
    <row r="43" spans="1:45" x14ac:dyDescent="0.2">
      <c r="A43" s="138" t="s">
        <v>167</v>
      </c>
      <c r="B43" s="138">
        <v>109</v>
      </c>
      <c r="C43" s="138">
        <v>240.5</v>
      </c>
      <c r="D43" s="138">
        <v>177.5</v>
      </c>
      <c r="E43" s="138">
        <v>25</v>
      </c>
      <c r="F43" s="138">
        <v>124.9</v>
      </c>
      <c r="G43" s="138">
        <v>468.8</v>
      </c>
      <c r="H43" s="138">
        <v>184.4</v>
      </c>
      <c r="I43" s="138">
        <v>0</v>
      </c>
      <c r="J43" s="138">
        <v>85</v>
      </c>
      <c r="K43" s="138">
        <v>0</v>
      </c>
      <c r="L43" s="138">
        <v>36</v>
      </c>
      <c r="M43" s="138">
        <v>688</v>
      </c>
      <c r="N43" s="138">
        <v>0</v>
      </c>
      <c r="O43" s="138">
        <v>0</v>
      </c>
      <c r="P43" s="2">
        <v>20</v>
      </c>
      <c r="Q43" s="2">
        <v>20</v>
      </c>
      <c r="R43" s="2">
        <v>270</v>
      </c>
      <c r="S43" s="2">
        <v>80</v>
      </c>
      <c r="T43" s="2">
        <v>124</v>
      </c>
      <c r="U43" s="140"/>
      <c r="V43" s="141"/>
      <c r="W43" s="2" t="str">
        <f t="shared" si="2"/>
        <v>Short-term Debt</v>
      </c>
      <c r="X43" s="5">
        <f t="shared" si="32"/>
        <v>8.8581157406278695E-3</v>
      </c>
      <c r="Y43" s="5">
        <f t="shared" si="32"/>
        <v>2.1600890980617581E-2</v>
      </c>
      <c r="Z43" s="5">
        <f t="shared" si="32"/>
        <v>1.6317937780392734E-2</v>
      </c>
      <c r="AA43" s="5">
        <f t="shared" si="32"/>
        <v>2.1375194514270082E-3</v>
      </c>
      <c r="AB43" s="5">
        <f t="shared" si="32"/>
        <v>1.0696148872579666E-2</v>
      </c>
      <c r="AC43" s="5">
        <f t="shared" si="32"/>
        <v>3.7441397982573142E-2</v>
      </c>
      <c r="AD43" s="5">
        <f t="shared" si="32"/>
        <v>1.4483988280851134E-2</v>
      </c>
      <c r="AE43" s="5">
        <f t="shared" si="32"/>
        <v>0</v>
      </c>
      <c r="AF43" s="5">
        <f t="shared" si="32"/>
        <v>4.9513601677637327E-3</v>
      </c>
      <c r="AG43" s="5">
        <f t="shared" si="32"/>
        <v>0</v>
      </c>
      <c r="AH43" s="5">
        <f t="shared" si="33"/>
        <v>1.7869552268440386E-3</v>
      </c>
      <c r="AI43" s="5">
        <f t="shared" si="33"/>
        <v>3.2597365678006252E-2</v>
      </c>
      <c r="AJ43" s="5">
        <f t="shared" si="33"/>
        <v>0</v>
      </c>
      <c r="AK43" s="5">
        <f t="shared" si="33"/>
        <v>0</v>
      </c>
      <c r="AL43" s="5">
        <f t="shared" si="33"/>
        <v>9.0069804098176086E-4</v>
      </c>
      <c r="AM43" s="5">
        <f t="shared" si="33"/>
        <v>8.9417445343586532E-4</v>
      </c>
      <c r="AN43" s="5">
        <f t="shared" si="33"/>
        <v>1.205680092882022E-2</v>
      </c>
      <c r="AO43" s="5">
        <f t="shared" si="33"/>
        <v>3.6496350364963502E-3</v>
      </c>
      <c r="AP43" s="5">
        <f t="shared" si="33"/>
        <v>5.6815578465063002E-3</v>
      </c>
      <c r="AQ43" s="5">
        <f t="shared" si="34"/>
        <v>2.9484475289741669E-3</v>
      </c>
      <c r="AS43" s="5">
        <f>AVERAGE(AD43:AH43)</f>
        <v>4.2444607350917811E-3</v>
      </c>
    </row>
    <row r="44" spans="1:45" x14ac:dyDescent="0.2">
      <c r="A44" s="138" t="s">
        <v>1</v>
      </c>
      <c r="B44" s="138">
        <v>437.4</v>
      </c>
      <c r="C44" s="138">
        <v>609.9</v>
      </c>
      <c r="D44" s="138">
        <v>292.7</v>
      </c>
      <c r="E44" s="138">
        <v>243.4</v>
      </c>
      <c r="F44" s="138">
        <v>262.60000000000002</v>
      </c>
      <c r="G44" s="138">
        <v>350.4</v>
      </c>
      <c r="H44" s="138">
        <v>361.3</v>
      </c>
      <c r="I44" s="138">
        <v>451</v>
      </c>
      <c r="J44" s="138">
        <v>757</v>
      </c>
      <c r="K44" s="138">
        <v>553</v>
      </c>
      <c r="L44" s="138">
        <v>479</v>
      </c>
      <c r="M44" s="138">
        <v>582</v>
      </c>
      <c r="N44" s="138">
        <v>467</v>
      </c>
      <c r="O44" s="138">
        <v>504</v>
      </c>
      <c r="P44" s="2">
        <v>465</v>
      </c>
      <c r="Q44" s="2">
        <v>473</v>
      </c>
      <c r="R44" s="2">
        <v>408</v>
      </c>
      <c r="S44" s="2">
        <v>453</v>
      </c>
      <c r="T44" s="2">
        <f>376+10</f>
        <v>386</v>
      </c>
      <c r="U44" s="140">
        <f t="shared" ref="U44:U64" si="35">RATE(5,,-N44,S44)</f>
        <v>-6.0689355964284016E-3</v>
      </c>
      <c r="V44" s="326"/>
      <c r="W44" s="2" t="str">
        <f t="shared" si="2"/>
        <v>Accounts Payable</v>
      </c>
      <c r="X44" s="5">
        <f t="shared" si="32"/>
        <v>3.5546236926152566E-2</v>
      </c>
      <c r="Y44" s="5">
        <f t="shared" si="32"/>
        <v>5.4779140994090071E-2</v>
      </c>
      <c r="Z44" s="5">
        <f t="shared" si="32"/>
        <v>2.6908509229977198E-2</v>
      </c>
      <c r="AA44" s="5">
        <f t="shared" si="32"/>
        <v>2.0810889379093353E-2</v>
      </c>
      <c r="AB44" s="5">
        <f t="shared" si="32"/>
        <v>2.248846031977118E-2</v>
      </c>
      <c r="AC44" s="5">
        <f t="shared" si="32"/>
        <v>2.7985208731001767E-2</v>
      </c>
      <c r="AD44" s="5">
        <f t="shared" si="32"/>
        <v>2.8378877255268518E-2</v>
      </c>
      <c r="AE44" s="5">
        <f t="shared" si="32"/>
        <v>3.0254242973099886E-2</v>
      </c>
      <c r="AF44" s="5">
        <f t="shared" si="32"/>
        <v>4.4096231141142889E-2</v>
      </c>
      <c r="AG44" s="5">
        <f t="shared" si="32"/>
        <v>2.9157439628809449E-2</v>
      </c>
      <c r="AH44" s="5">
        <f t="shared" si="33"/>
        <v>2.3776432046063736E-2</v>
      </c>
      <c r="AI44" s="5">
        <f t="shared" si="33"/>
        <v>2.7575097128778547E-2</v>
      </c>
      <c r="AJ44" s="5">
        <f t="shared" si="33"/>
        <v>2.149300441826215E-2</v>
      </c>
      <c r="AK44" s="5">
        <f t="shared" si="33"/>
        <v>2.3269772380996354E-2</v>
      </c>
      <c r="AL44" s="5">
        <f t="shared" si="33"/>
        <v>2.0941229452825939E-2</v>
      </c>
      <c r="AM44" s="5">
        <f t="shared" si="33"/>
        <v>2.1147225823758217E-2</v>
      </c>
      <c r="AN44" s="5">
        <f t="shared" si="33"/>
        <v>1.8219165847995E-2</v>
      </c>
      <c r="AO44" s="5">
        <f t="shared" si="33"/>
        <v>2.0666058394160584E-2</v>
      </c>
      <c r="AP44" s="5">
        <f t="shared" si="33"/>
        <v>1.7686139747995419E-2</v>
      </c>
      <c r="AQ44" s="5">
        <f t="shared" si="34"/>
        <v>2.094153757758575E-2</v>
      </c>
    </row>
    <row r="45" spans="1:45" x14ac:dyDescent="0.2">
      <c r="A45" s="138" t="s">
        <v>168</v>
      </c>
      <c r="B45" s="138">
        <f>153.8+97.3+4.2+4.6</f>
        <v>259.90000000000003</v>
      </c>
      <c r="C45" s="138">
        <f>61.9+84.1+377.5+18.7</f>
        <v>542.20000000000005</v>
      </c>
      <c r="D45" s="138">
        <f>91.8+115.9+100.8+151.7</f>
        <v>460.2</v>
      </c>
      <c r="E45" s="138">
        <f>141.3+63.1+67.9+91.7+39.6</f>
        <v>403.6</v>
      </c>
      <c r="F45" s="138">
        <f>131.5+54.2+66.1+76.9+3.7+2.6</f>
        <v>335</v>
      </c>
      <c r="G45" s="138">
        <f>134.3+39.8+64.8+136.7+2+3.7+3.9</f>
        <v>385.2</v>
      </c>
      <c r="H45" s="138">
        <f>118+47+63+97.9+16.9+3.7+3.8</f>
        <v>350.29999999999995</v>
      </c>
      <c r="I45" s="138">
        <f>80+28+74</f>
        <v>182</v>
      </c>
      <c r="J45" s="138">
        <f>77+89+73</f>
        <v>239</v>
      </c>
      <c r="K45" s="138">
        <f>76+111+67</f>
        <v>254</v>
      </c>
      <c r="L45" s="138">
        <f>81+110+63</f>
        <v>254</v>
      </c>
      <c r="M45" s="138">
        <f>72+105+66</f>
        <v>243</v>
      </c>
      <c r="N45" s="138">
        <f>77+113+54</f>
        <v>244</v>
      </c>
      <c r="O45" s="138">
        <f>79+110+58</f>
        <v>247</v>
      </c>
      <c r="P45" s="2">
        <f>76+110+59</f>
        <v>245</v>
      </c>
      <c r="Q45" s="2">
        <f>70+115+62</f>
        <v>247</v>
      </c>
      <c r="R45" s="2">
        <f>67+115+63</f>
        <v>245</v>
      </c>
      <c r="S45" s="2">
        <f>70+115+66</f>
        <v>251</v>
      </c>
      <c r="T45" s="2">
        <f>112+106+96</f>
        <v>314</v>
      </c>
      <c r="U45" s="140">
        <f t="shared" si="35"/>
        <v>5.6729734824784231E-3</v>
      </c>
      <c r="V45" s="326"/>
      <c r="W45" s="2" t="str">
        <f>A45</f>
        <v>Accrued Expenses</v>
      </c>
      <c r="X45" s="5">
        <f t="shared" si="32"/>
        <v>2.1121323678799851E-2</v>
      </c>
      <c r="Y45" s="5">
        <f t="shared" si="32"/>
        <v>4.8698557545492113E-2</v>
      </c>
      <c r="Z45" s="5">
        <f t="shared" si="32"/>
        <v>4.2307126572037945E-2</v>
      </c>
      <c r="AA45" s="5">
        <f t="shared" si="32"/>
        <v>3.4508114023837619E-2</v>
      </c>
      <c r="AB45" s="5">
        <f t="shared" si="32"/>
        <v>2.868862988241944E-2</v>
      </c>
      <c r="AC45" s="5">
        <f t="shared" si="32"/>
        <v>3.0764561652916328E-2</v>
      </c>
      <c r="AD45" s="5">
        <f t="shared" si="32"/>
        <v>2.7514864939165679E-2</v>
      </c>
      <c r="AE45" s="5">
        <f t="shared" si="32"/>
        <v>1.2209029315086871E-2</v>
      </c>
      <c r="AF45" s="5">
        <f t="shared" si="32"/>
        <v>1.3922059765829789E-2</v>
      </c>
      <c r="AG45" s="5">
        <f t="shared" si="32"/>
        <v>1.3392386375619529E-2</v>
      </c>
      <c r="AH45" s="5">
        <f t="shared" si="33"/>
        <v>1.2607961878288493E-2</v>
      </c>
      <c r="AI45" s="5">
        <f t="shared" si="33"/>
        <v>1.1513313749644651E-2</v>
      </c>
      <c r="AJ45" s="5">
        <f t="shared" si="33"/>
        <v>1.1229749631811487E-2</v>
      </c>
      <c r="AK45" s="5">
        <f t="shared" si="33"/>
        <v>1.1404035274020037E-2</v>
      </c>
      <c r="AL45" s="5">
        <f t="shared" si="33"/>
        <v>1.1033551002026571E-2</v>
      </c>
      <c r="AM45" s="5">
        <f t="shared" si="33"/>
        <v>1.1043054499932937E-2</v>
      </c>
      <c r="AN45" s="5">
        <f t="shared" si="33"/>
        <v>1.0940430472447978E-2</v>
      </c>
      <c r="AO45" s="5">
        <f t="shared" si="33"/>
        <v>1.1450729927007299E-2</v>
      </c>
      <c r="AP45" s="5">
        <f t="shared" si="33"/>
        <v>1.4387170675830469E-2</v>
      </c>
      <c r="AQ45" s="5">
        <f t="shared" si="34"/>
        <v>1.1181420244494341E-2</v>
      </c>
    </row>
    <row r="46" spans="1:45" x14ac:dyDescent="0.2">
      <c r="A46" s="138" t="s">
        <v>165</v>
      </c>
      <c r="B46" s="138"/>
      <c r="C46" s="138"/>
      <c r="D46" s="138"/>
      <c r="E46" s="138"/>
      <c r="F46" s="138"/>
      <c r="G46" s="138"/>
      <c r="H46" s="138"/>
      <c r="I46" s="138">
        <v>117</v>
      </c>
      <c r="J46" s="138">
        <v>130</v>
      </c>
      <c r="K46" s="138">
        <v>85</v>
      </c>
      <c r="L46" s="138">
        <v>84</v>
      </c>
      <c r="M46" s="138">
        <v>90</v>
      </c>
      <c r="N46" s="138">
        <v>49</v>
      </c>
      <c r="O46" s="138">
        <v>27</v>
      </c>
      <c r="P46" s="138">
        <v>0</v>
      </c>
      <c r="Q46" s="138">
        <v>0</v>
      </c>
      <c r="R46" s="138">
        <v>0</v>
      </c>
      <c r="S46" s="138">
        <v>0</v>
      </c>
      <c r="T46" s="138">
        <v>0</v>
      </c>
      <c r="U46" s="140">
        <f t="shared" si="35"/>
        <v>-0.99999940914518248</v>
      </c>
      <c r="V46" s="326"/>
      <c r="W46" s="2" t="str">
        <f t="shared" si="2"/>
        <v>Derivative Contacts</v>
      </c>
      <c r="X46" s="5"/>
      <c r="Y46" s="5"/>
      <c r="Z46" s="5"/>
      <c r="AA46" s="5"/>
      <c r="AB46" s="5">
        <f t="shared" ref="AB46:AP48" si="36">F46/F$38</f>
        <v>0</v>
      </c>
      <c r="AC46" s="5">
        <f t="shared" si="36"/>
        <v>0</v>
      </c>
      <c r="AD46" s="5">
        <f t="shared" si="36"/>
        <v>0</v>
      </c>
      <c r="AE46" s="5">
        <f t="shared" si="36"/>
        <v>7.8486617025558467E-3</v>
      </c>
      <c r="AF46" s="5">
        <f t="shared" si="36"/>
        <v>7.5726684918739438E-3</v>
      </c>
      <c r="AG46" s="5">
        <f t="shared" si="36"/>
        <v>4.4817041020774016E-3</v>
      </c>
      <c r="AH46" s="5">
        <f t="shared" si="36"/>
        <v>4.1695621959694229E-3</v>
      </c>
      <c r="AI46" s="5">
        <f t="shared" si="36"/>
        <v>4.2641902776461666E-3</v>
      </c>
      <c r="AJ46" s="5">
        <f t="shared" si="36"/>
        <v>2.2551546391752575E-3</v>
      </c>
      <c r="AK46" s="5">
        <f t="shared" si="36"/>
        <v>1.2465949489819475E-3</v>
      </c>
      <c r="AL46" s="5">
        <f t="shared" si="36"/>
        <v>0</v>
      </c>
      <c r="AM46" s="5">
        <f t="shared" si="36"/>
        <v>0</v>
      </c>
      <c r="AN46" s="5">
        <f t="shared" si="36"/>
        <v>0</v>
      </c>
      <c r="AO46" s="5">
        <f t="shared" si="36"/>
        <v>0</v>
      </c>
      <c r="AP46" s="5">
        <f t="shared" si="36"/>
        <v>0</v>
      </c>
      <c r="AQ46" s="5">
        <f t="shared" si="34"/>
        <v>5.7456926205650435E-4</v>
      </c>
    </row>
    <row r="47" spans="1:45" x14ac:dyDescent="0.2">
      <c r="A47" s="138" t="s">
        <v>61</v>
      </c>
      <c r="B47" s="142">
        <v>103</v>
      </c>
      <c r="C47" s="142">
        <v>157.4</v>
      </c>
      <c r="D47" s="142">
        <v>142</v>
      </c>
      <c r="E47" s="142">
        <v>127.3</v>
      </c>
      <c r="F47" s="142">
        <v>111.8</v>
      </c>
      <c r="G47" s="142">
        <v>123.4</v>
      </c>
      <c r="H47" s="143">
        <v>103.2</v>
      </c>
      <c r="I47" s="143">
        <v>149</v>
      </c>
      <c r="J47" s="143">
        <v>111</v>
      </c>
      <c r="K47" s="143">
        <v>105</v>
      </c>
      <c r="L47" s="143">
        <v>121</v>
      </c>
      <c r="M47" s="143">
        <v>192</v>
      </c>
      <c r="N47" s="143">
        <f>48+62+147</f>
        <v>257</v>
      </c>
      <c r="O47" s="143">
        <f>22+55+208-O46</f>
        <v>258</v>
      </c>
      <c r="P47" s="2">
        <f>34+222</f>
        <v>256</v>
      </c>
      <c r="Q47" s="2">
        <f>34+229</f>
        <v>263</v>
      </c>
      <c r="R47" s="2">
        <f>54+164</f>
        <v>218</v>
      </c>
      <c r="S47" s="2">
        <f>75+170</f>
        <v>245</v>
      </c>
      <c r="T47" s="2">
        <f>80+178</f>
        <v>258</v>
      </c>
      <c r="U47" s="140">
        <f t="shared" si="35"/>
        <v>-9.5179893239519808E-3</v>
      </c>
      <c r="V47" s="326"/>
      <c r="W47" s="2" t="str">
        <f t="shared" si="2"/>
        <v xml:space="preserve">Other </v>
      </c>
      <c r="X47" s="6">
        <f t="shared" ref="X47:AA48" si="37">B47/B$38</f>
        <v>8.3705130393089047E-3</v>
      </c>
      <c r="Y47" s="6">
        <f t="shared" si="37"/>
        <v>1.4137131976503981E-2</v>
      </c>
      <c r="Z47" s="6">
        <f t="shared" si="37"/>
        <v>1.3054350224314186E-2</v>
      </c>
      <c r="AA47" s="6">
        <f t="shared" si="37"/>
        <v>1.0884249046666326E-2</v>
      </c>
      <c r="AB47" s="6">
        <f t="shared" si="36"/>
        <v>9.5742949876253536E-3</v>
      </c>
      <c r="AC47" s="6">
        <f t="shared" si="36"/>
        <v>9.8555215679384089E-3</v>
      </c>
      <c r="AD47" s="102">
        <f t="shared" si="36"/>
        <v>8.1060064565284008E-3</v>
      </c>
      <c r="AE47" s="102">
        <f t="shared" si="36"/>
        <v>9.9953042194941971E-3</v>
      </c>
      <c r="AF47" s="102">
        <f t="shared" si="36"/>
        <v>6.4658938661385215E-3</v>
      </c>
      <c r="AG47" s="102">
        <f t="shared" si="36"/>
        <v>5.5362227143309082E-3</v>
      </c>
      <c r="AH47" s="102">
        <f t="shared" si="36"/>
        <v>6.0061550680035741E-3</v>
      </c>
      <c r="AI47" s="102">
        <f t="shared" si="36"/>
        <v>9.0969392589784898E-3</v>
      </c>
      <c r="AJ47" s="102">
        <f t="shared" si="36"/>
        <v>1.1828055964653902E-2</v>
      </c>
      <c r="AK47" s="102">
        <f t="shared" si="36"/>
        <v>1.1911907290271943E-2</v>
      </c>
      <c r="AL47" s="102">
        <f t="shared" si="36"/>
        <v>1.1528934924566539E-2</v>
      </c>
      <c r="AM47" s="102">
        <f t="shared" si="36"/>
        <v>1.1758394062681629E-2</v>
      </c>
      <c r="AN47" s="102">
        <f t="shared" si="36"/>
        <v>9.7347503795659554E-3</v>
      </c>
      <c r="AO47" s="102">
        <f t="shared" si="36"/>
        <v>1.1177007299270073E-2</v>
      </c>
      <c r="AP47" s="102">
        <f t="shared" si="36"/>
        <v>1.1821305841924399E-2</v>
      </c>
      <c r="AQ47" s="5">
        <f t="shared" si="34"/>
        <v>1.1317502438139303E-2</v>
      </c>
    </row>
    <row r="48" spans="1:45" x14ac:dyDescent="0.2">
      <c r="A48" s="163" t="s">
        <v>33</v>
      </c>
      <c r="B48" s="163">
        <f t="shared" ref="B48:L48" si="38">SUM(B41:B47)</f>
        <v>1096.2</v>
      </c>
      <c r="C48" s="163">
        <f t="shared" si="38"/>
        <v>1601.2</v>
      </c>
      <c r="D48" s="163">
        <f t="shared" si="38"/>
        <v>1216.9000000000001</v>
      </c>
      <c r="E48" s="163">
        <f t="shared" si="38"/>
        <v>936</v>
      </c>
      <c r="F48" s="163">
        <f t="shared" si="38"/>
        <v>1074.3</v>
      </c>
      <c r="G48" s="163">
        <f t="shared" si="38"/>
        <v>1597.7</v>
      </c>
      <c r="H48" s="163">
        <f t="shared" si="38"/>
        <v>1216.1000000000001</v>
      </c>
      <c r="I48" s="163">
        <f t="shared" si="38"/>
        <v>1313</v>
      </c>
      <c r="J48" s="163">
        <f t="shared" si="38"/>
        <v>1466</v>
      </c>
      <c r="K48" s="163">
        <f t="shared" si="38"/>
        <v>1013</v>
      </c>
      <c r="L48" s="163">
        <f t="shared" si="38"/>
        <v>1562</v>
      </c>
      <c r="M48" s="163">
        <f t="shared" ref="M48:R48" si="39">SUM(M41:M47)</f>
        <v>1814</v>
      </c>
      <c r="N48" s="163">
        <f t="shared" si="39"/>
        <v>1284</v>
      </c>
      <c r="O48" s="163">
        <f t="shared" si="39"/>
        <v>1274</v>
      </c>
      <c r="P48" s="190">
        <f t="shared" si="39"/>
        <v>1120</v>
      </c>
      <c r="Q48" s="190">
        <f t="shared" ref="Q48" si="40">SUM(Q41:Q47)</f>
        <v>1071</v>
      </c>
      <c r="R48" s="190">
        <f t="shared" si="39"/>
        <v>1199</v>
      </c>
      <c r="S48" s="190">
        <f>SUM(S41:S47)</f>
        <v>1617</v>
      </c>
      <c r="T48" s="190">
        <f>SUM(T41:T47)</f>
        <v>1933</v>
      </c>
      <c r="U48" s="281">
        <f t="shared" si="35"/>
        <v>4.7198470515167748E-2</v>
      </c>
      <c r="V48" s="326"/>
      <c r="W48" s="172" t="str">
        <f t="shared" si="2"/>
        <v>Total Current Liabilities</v>
      </c>
      <c r="X48" s="179">
        <f t="shared" si="37"/>
        <v>8.9085013530974963E-2</v>
      </c>
      <c r="Y48" s="179">
        <f t="shared" si="37"/>
        <v>0.14381433113582068</v>
      </c>
      <c r="Z48" s="179">
        <f t="shared" si="37"/>
        <v>0.11187210414061925</v>
      </c>
      <c r="AA48" s="179">
        <f t="shared" si="37"/>
        <v>8.0028728261427179E-2</v>
      </c>
      <c r="AB48" s="179">
        <f t="shared" si="36"/>
        <v>9.2000582336367764E-2</v>
      </c>
      <c r="AC48" s="179">
        <f t="shared" si="36"/>
        <v>0.12760264837192217</v>
      </c>
      <c r="AD48" s="179">
        <f t="shared" si="36"/>
        <v>9.552048887387779E-2</v>
      </c>
      <c r="AE48" s="179">
        <f t="shared" si="36"/>
        <v>8.8079425773126718E-2</v>
      </c>
      <c r="AF48" s="179">
        <f t="shared" si="36"/>
        <v>8.5396400069901554E-2</v>
      </c>
      <c r="AG48" s="179">
        <f t="shared" si="36"/>
        <v>5.341136771064009E-2</v>
      </c>
      <c r="AH48" s="179">
        <f t="shared" si="36"/>
        <v>7.7534001786955228E-2</v>
      </c>
      <c r="AI48" s="179">
        <f t="shared" si="36"/>
        <v>8.5947124040557182E-2</v>
      </c>
      <c r="AJ48" s="179">
        <f t="shared" si="36"/>
        <v>5.9094256259204711E-2</v>
      </c>
      <c r="AK48" s="179">
        <f t="shared" si="36"/>
        <v>5.8820813518629667E-2</v>
      </c>
      <c r="AL48" s="179">
        <f t="shared" si="36"/>
        <v>5.043909029497861E-2</v>
      </c>
      <c r="AM48" s="179">
        <f t="shared" si="36"/>
        <v>4.7883041981490591E-2</v>
      </c>
      <c r="AN48" s="179">
        <f t="shared" si="36"/>
        <v>5.3541127087612751E-2</v>
      </c>
      <c r="AO48" s="179">
        <f t="shared" si="36"/>
        <v>7.3768248175182488E-2</v>
      </c>
      <c r="AP48" s="179">
        <f t="shared" si="36"/>
        <v>8.8568155784650632E-2</v>
      </c>
      <c r="AQ48" s="285">
        <f t="shared" si="34"/>
        <v>5.7192321940229676E-2</v>
      </c>
      <c r="AR48" s="172"/>
    </row>
    <row r="49" spans="1:43" ht="7.5" customHeight="1" x14ac:dyDescent="0.2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U49" s="140"/>
      <c r="V49" s="326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0" spans="1:43" x14ac:dyDescent="0.2">
      <c r="A50" s="163" t="s">
        <v>57</v>
      </c>
      <c r="B50" s="163">
        <f>4221.5+340.9</f>
        <v>4562.3999999999996</v>
      </c>
      <c r="C50" s="163">
        <v>2906.9</v>
      </c>
      <c r="D50" s="163">
        <v>3553.8</v>
      </c>
      <c r="E50" s="163">
        <v>3417.6</v>
      </c>
      <c r="F50" s="163">
        <v>3520.2</v>
      </c>
      <c r="G50" s="163">
        <v>3629</v>
      </c>
      <c r="H50" s="163">
        <v>3721</v>
      </c>
      <c r="I50" s="163">
        <v>4753</v>
      </c>
      <c r="J50" s="163">
        <v>5424</v>
      </c>
      <c r="K50" s="163">
        <v>6400</v>
      </c>
      <c r="L50" s="163">
        <v>5813</v>
      </c>
      <c r="M50" s="163">
        <v>6194</v>
      </c>
      <c r="N50" s="163">
        <v>6594</v>
      </c>
      <c r="O50" s="163">
        <v>6639</v>
      </c>
      <c r="P50" s="172">
        <v>6885</v>
      </c>
      <c r="Q50" s="172">
        <v>7078</v>
      </c>
      <c r="R50" s="172">
        <v>7021</v>
      </c>
      <c r="S50" s="172">
        <v>6437</v>
      </c>
      <c r="T50" s="172">
        <v>6087</v>
      </c>
      <c r="U50" s="164">
        <f t="shared" si="35"/>
        <v>-4.8079151111846685E-3</v>
      </c>
      <c r="V50" s="326"/>
      <c r="W50" s="172" t="str">
        <f t="shared" si="2"/>
        <v>Long-Term Debt</v>
      </c>
      <c r="X50" s="179">
        <f t="shared" ref="X50:AG51" si="41">B50/B$38</f>
        <v>0.37077309408294118</v>
      </c>
      <c r="Y50" s="179">
        <f t="shared" si="41"/>
        <v>0.26108785859275363</v>
      </c>
      <c r="Z50" s="179">
        <f t="shared" si="41"/>
        <v>0.32670809737442086</v>
      </c>
      <c r="AA50" s="179">
        <f t="shared" si="41"/>
        <v>0.29220745908787771</v>
      </c>
      <c r="AB50" s="179">
        <f t="shared" si="41"/>
        <v>0.30146183555848627</v>
      </c>
      <c r="AC50" s="179">
        <f t="shared" si="41"/>
        <v>0.28983539521919355</v>
      </c>
      <c r="AD50" s="179">
        <f t="shared" si="41"/>
        <v>0.2922718025653312</v>
      </c>
      <c r="AE50" s="179">
        <f t="shared" si="41"/>
        <v>0.31884349634399944</v>
      </c>
      <c r="AF50" s="179">
        <f t="shared" si="41"/>
        <v>0.31595502999941749</v>
      </c>
      <c r="AG50" s="179">
        <f t="shared" si="41"/>
        <v>0.33744595592112203</v>
      </c>
      <c r="AH50" s="179">
        <f t="shared" ref="AH50:AP51" si="42">L50/L$38</f>
        <v>0.28854363149012213</v>
      </c>
      <c r="AI50" s="179">
        <f t="shared" si="42"/>
        <v>0.293471050886004</v>
      </c>
      <c r="AJ50" s="179">
        <f t="shared" si="42"/>
        <v>0.30347938144329895</v>
      </c>
      <c r="AK50" s="179">
        <f t="shared" si="42"/>
        <v>0.30652384689967221</v>
      </c>
      <c r="AL50" s="179">
        <f t="shared" si="42"/>
        <v>0.31006530060797116</v>
      </c>
      <c r="AM50" s="179">
        <f t="shared" si="42"/>
        <v>0.31644833907095277</v>
      </c>
      <c r="AN50" s="179">
        <f t="shared" si="42"/>
        <v>0.31352147896758059</v>
      </c>
      <c r="AO50" s="179">
        <f t="shared" si="42"/>
        <v>0.29365875912408756</v>
      </c>
      <c r="AP50" s="179">
        <f t="shared" si="42"/>
        <v>0.27890034364261168</v>
      </c>
      <c r="AQ50" s="5">
        <f t="shared" si="34"/>
        <v>0.30734919446901482</v>
      </c>
    </row>
    <row r="51" spans="1:43" x14ac:dyDescent="0.2">
      <c r="A51" s="138" t="s">
        <v>11</v>
      </c>
      <c r="B51" s="138">
        <v>1642.2</v>
      </c>
      <c r="C51" s="138">
        <v>1645</v>
      </c>
      <c r="D51" s="138">
        <v>1434.8</v>
      </c>
      <c r="E51" s="138">
        <v>1511.1</v>
      </c>
      <c r="F51" s="138">
        <v>1564.6</v>
      </c>
      <c r="G51" s="138">
        <v>1629</v>
      </c>
      <c r="H51" s="138">
        <v>1621.2</v>
      </c>
      <c r="I51" s="138">
        <v>1701</v>
      </c>
      <c r="J51" s="138">
        <v>2025</v>
      </c>
      <c r="K51" s="138">
        <v>2625</v>
      </c>
      <c r="L51" s="138">
        <v>3448</v>
      </c>
      <c r="M51" s="138">
        <v>3863</v>
      </c>
      <c r="N51" s="138">
        <v>4168</v>
      </c>
      <c r="O51" s="138">
        <v>4359</v>
      </c>
      <c r="P51" s="2">
        <v>4581</v>
      </c>
      <c r="Q51" s="2">
        <v>4750</v>
      </c>
      <c r="R51" s="2">
        <v>4880</v>
      </c>
      <c r="S51" s="2">
        <v>2582</v>
      </c>
      <c r="T51" s="2">
        <v>2565</v>
      </c>
      <c r="U51" s="140">
        <f t="shared" si="35"/>
        <v>-9.1331013514870912E-2</v>
      </c>
      <c r="V51" s="326"/>
      <c r="W51" s="2" t="str">
        <f t="shared" si="2"/>
        <v>Deferred Income Taxes</v>
      </c>
      <c r="X51" s="5">
        <f t="shared" si="41"/>
        <v>0.13345685935100079</v>
      </c>
      <c r="Y51" s="5">
        <f t="shared" si="41"/>
        <v>0.14774829797553396</v>
      </c>
      <c r="Z51" s="5">
        <f t="shared" si="41"/>
        <v>0.13190409649187321</v>
      </c>
      <c r="AA51" s="5">
        <f t="shared" si="41"/>
        <v>0.12920022572205406</v>
      </c>
      <c r="AB51" s="5">
        <f t="shared" si="41"/>
        <v>0.13398874720607001</v>
      </c>
      <c r="AC51" s="5">
        <f t="shared" si="41"/>
        <v>0.13010246867237982</v>
      </c>
      <c r="AD51" s="5">
        <f t="shared" si="41"/>
        <v>0.12733970607871942</v>
      </c>
      <c r="AE51" s="5">
        <f t="shared" si="41"/>
        <v>0.11410746629100423</v>
      </c>
      <c r="AF51" s="5">
        <f t="shared" si="41"/>
        <v>0.11795887458495952</v>
      </c>
      <c r="AG51" s="5">
        <f t="shared" si="41"/>
        <v>0.13840556785827271</v>
      </c>
      <c r="AH51" s="5">
        <f t="shared" si="42"/>
        <v>0.1711506006155068</v>
      </c>
      <c r="AI51" s="5">
        <f t="shared" si="42"/>
        <v>0.18302852269496825</v>
      </c>
      <c r="AJ51" s="5">
        <f t="shared" si="42"/>
        <v>0.19182621502209132</v>
      </c>
      <c r="AK51" s="5">
        <f t="shared" si="42"/>
        <v>0.20125582898564107</v>
      </c>
      <c r="AL51" s="5">
        <f t="shared" si="42"/>
        <v>0.20630488628687232</v>
      </c>
      <c r="AM51" s="5">
        <f t="shared" si="42"/>
        <v>0.21236643269101801</v>
      </c>
      <c r="AN51" s="5">
        <f t="shared" si="42"/>
        <v>0.21791551308386176</v>
      </c>
      <c r="AO51" s="5">
        <f t="shared" si="42"/>
        <v>0.11779197080291971</v>
      </c>
      <c r="AP51" s="5">
        <f t="shared" si="42"/>
        <v>0.11752577319587629</v>
      </c>
      <c r="AQ51" s="5">
        <f t="shared" si="34"/>
        <v>0.19142228572724593</v>
      </c>
    </row>
    <row r="52" spans="1:43" x14ac:dyDescent="0.2">
      <c r="A52" s="138" t="s">
        <v>166</v>
      </c>
      <c r="B52" s="138"/>
      <c r="C52" s="138"/>
      <c r="D52" s="138"/>
      <c r="E52" s="138"/>
      <c r="F52" s="138"/>
      <c r="G52" s="138"/>
      <c r="H52" s="138"/>
      <c r="I52" s="138">
        <v>497</v>
      </c>
      <c r="J52" s="138">
        <v>490</v>
      </c>
      <c r="K52" s="138">
        <v>410</v>
      </c>
      <c r="L52" s="138">
        <v>399</v>
      </c>
      <c r="M52" s="138">
        <v>66</v>
      </c>
      <c r="N52" s="138">
        <v>26</v>
      </c>
      <c r="O52" s="138">
        <v>26</v>
      </c>
      <c r="P52" s="138">
        <v>0</v>
      </c>
      <c r="Q52" s="138">
        <v>0</v>
      </c>
      <c r="R52" s="138">
        <v>0</v>
      </c>
      <c r="S52" s="138">
        <v>0</v>
      </c>
      <c r="T52" s="138">
        <v>0</v>
      </c>
      <c r="U52" s="140">
        <f t="shared" si="35"/>
        <v>-0.99999940914518248</v>
      </c>
      <c r="V52" s="326"/>
      <c r="W52" s="2" t="str">
        <f t="shared" si="2"/>
        <v>Derivative Contracts</v>
      </c>
      <c r="X52" s="5"/>
      <c r="Y52" s="5"/>
      <c r="Z52" s="5"/>
      <c r="AA52" s="5"/>
      <c r="AB52" s="5">
        <f t="shared" ref="AB52:AP54" si="43">F52/F$38</f>
        <v>0</v>
      </c>
      <c r="AC52" s="5">
        <f t="shared" si="43"/>
        <v>0</v>
      </c>
      <c r="AD52" s="5">
        <f t="shared" si="43"/>
        <v>0</v>
      </c>
      <c r="AE52" s="5">
        <f t="shared" si="43"/>
        <v>3.3340041591198764E-2</v>
      </c>
      <c r="AF52" s="5">
        <f t="shared" si="43"/>
        <v>2.8543135084755637E-2</v>
      </c>
      <c r="AG52" s="5">
        <f t="shared" si="43"/>
        <v>2.1617631551196878E-2</v>
      </c>
      <c r="AH52" s="5">
        <f t="shared" si="43"/>
        <v>1.9805420430854759E-2</v>
      </c>
      <c r="AI52" s="5">
        <f t="shared" si="43"/>
        <v>3.1270728702738559E-3</v>
      </c>
      <c r="AJ52" s="5">
        <f t="shared" si="43"/>
        <v>1.1966126656848307E-3</v>
      </c>
      <c r="AK52" s="5">
        <f t="shared" si="43"/>
        <v>1.2004247656863198E-3</v>
      </c>
      <c r="AL52" s="5">
        <f t="shared" si="43"/>
        <v>0</v>
      </c>
      <c r="AM52" s="5">
        <f t="shared" si="43"/>
        <v>0</v>
      </c>
      <c r="AN52" s="5">
        <f t="shared" si="43"/>
        <v>0</v>
      </c>
      <c r="AO52" s="5">
        <f t="shared" si="43"/>
        <v>0</v>
      </c>
      <c r="AP52" s="5">
        <f t="shared" si="43"/>
        <v>0</v>
      </c>
      <c r="AQ52" s="5">
        <f t="shared" si="34"/>
        <v>3.9312633719655561E-4</v>
      </c>
    </row>
    <row r="53" spans="1:43" ht="12.75" customHeight="1" x14ac:dyDescent="0.2">
      <c r="A53" s="138" t="s">
        <v>170</v>
      </c>
      <c r="B53" s="141">
        <f>115.2+101.6+691.1</f>
        <v>907.90000000000009</v>
      </c>
      <c r="C53" s="141">
        <f>107.2+256+645.4</f>
        <v>1008.5999999999999</v>
      </c>
      <c r="D53" s="141">
        <f>99.3+219.7+560.5+443.7</f>
        <v>1323.2</v>
      </c>
      <c r="E53" s="141">
        <f>801.9+91.4+643.5+650.1</f>
        <v>2186.9</v>
      </c>
      <c r="F53" s="141">
        <f>3706.3-1564.6</f>
        <v>2141.7000000000003</v>
      </c>
      <c r="G53" s="141">
        <f>3868.3-1629</f>
        <v>2239.3000000000002</v>
      </c>
      <c r="H53" s="141">
        <f>3701.1-H51</f>
        <v>2079.8999999999996</v>
      </c>
      <c r="I53" s="141">
        <f>799+764</f>
        <v>1563</v>
      </c>
      <c r="J53" s="141">
        <f>821+874</f>
        <v>1695</v>
      </c>
      <c r="K53" s="141">
        <f>838+948</f>
        <v>1786</v>
      </c>
      <c r="L53" s="143">
        <f>825+788</f>
        <v>1613</v>
      </c>
      <c r="M53" s="143">
        <f>826+1031</f>
        <v>1857</v>
      </c>
      <c r="N53" s="143">
        <f>1187-26+851</f>
        <v>2012</v>
      </c>
      <c r="O53" s="143">
        <f>879+721-O52</f>
        <v>1574</v>
      </c>
      <c r="P53" s="2">
        <f>910+953</f>
        <v>1863</v>
      </c>
      <c r="Q53" s="2">
        <f>938+1027</f>
        <v>1965</v>
      </c>
      <c r="R53" s="2">
        <f>978+926</f>
        <v>1904</v>
      </c>
      <c r="S53" s="2">
        <f>2996+733</f>
        <v>3729</v>
      </c>
      <c r="T53" s="2">
        <f>3055+732</f>
        <v>3787</v>
      </c>
      <c r="U53" s="140">
        <f t="shared" si="35"/>
        <v>0.13133931996684536</v>
      </c>
      <c r="V53" s="144"/>
      <c r="W53" s="2" t="str">
        <f t="shared" si="2"/>
        <v>Other Long-term Liabilities</v>
      </c>
      <c r="X53" s="6">
        <f t="shared" ref="X53:AA54" si="44">B53/B$38</f>
        <v>7.378241542124811E-2</v>
      </c>
      <c r="Y53" s="6">
        <f t="shared" si="44"/>
        <v>9.0589017226822832E-2</v>
      </c>
      <c r="Z53" s="6">
        <f t="shared" si="44"/>
        <v>0.12164448040008825</v>
      </c>
      <c r="AA53" s="6">
        <f t="shared" si="44"/>
        <v>0.18698165153302898</v>
      </c>
      <c r="AB53" s="6">
        <f t="shared" si="43"/>
        <v>0.18341026453485887</v>
      </c>
      <c r="AC53" s="6">
        <f t="shared" si="43"/>
        <v>0.17884497120814002</v>
      </c>
      <c r="AD53" s="102">
        <f t="shared" si="43"/>
        <v>0.16336901966020753</v>
      </c>
      <c r="AE53" s="102">
        <f t="shared" si="43"/>
        <v>0.10485007043670759</v>
      </c>
      <c r="AF53" s="102">
        <f t="shared" si="43"/>
        <v>9.8735946874817959E-2</v>
      </c>
      <c r="AG53" s="102">
        <f t="shared" si="43"/>
        <v>9.4168512074238112E-2</v>
      </c>
      <c r="AH53" s="102">
        <f t="shared" si="43"/>
        <v>8.0065521691650945E-2</v>
      </c>
      <c r="AI53" s="102">
        <f t="shared" si="43"/>
        <v>8.7984459395432577E-2</v>
      </c>
      <c r="AJ53" s="102">
        <f t="shared" si="43"/>
        <v>9.2599410898379975E-2</v>
      </c>
      <c r="AK53" s="102">
        <f t="shared" si="43"/>
        <v>7.267186850731798E-2</v>
      </c>
      <c r="AL53" s="102">
        <f t="shared" si="43"/>
        <v>8.3900022517451031E-2</v>
      </c>
      <c r="AM53" s="102">
        <f t="shared" si="43"/>
        <v>8.7852640050073774E-2</v>
      </c>
      <c r="AN53" s="102">
        <f t="shared" si="43"/>
        <v>8.5022773957309991E-2</v>
      </c>
      <c r="AO53" s="102">
        <f t="shared" si="43"/>
        <v>0.17011861313868612</v>
      </c>
      <c r="AP53" s="102">
        <f t="shared" si="43"/>
        <v>0.17351660939289806</v>
      </c>
      <c r="AQ53" s="5">
        <f t="shared" si="34"/>
        <v>9.8636910026989641E-2</v>
      </c>
    </row>
    <row r="54" spans="1:43" x14ac:dyDescent="0.2">
      <c r="A54" s="189" t="s">
        <v>58</v>
      </c>
      <c r="B54" s="190">
        <f t="shared" ref="B54:L54" si="45">SUM(B50:B53)</f>
        <v>7112.5</v>
      </c>
      <c r="C54" s="190">
        <f t="shared" si="45"/>
        <v>5560.5</v>
      </c>
      <c r="D54" s="190">
        <f t="shared" si="45"/>
        <v>6311.8</v>
      </c>
      <c r="E54" s="190">
        <f t="shared" si="45"/>
        <v>7115.6</v>
      </c>
      <c r="F54" s="190">
        <f t="shared" si="45"/>
        <v>7226.5</v>
      </c>
      <c r="G54" s="190">
        <f t="shared" si="45"/>
        <v>7497.3</v>
      </c>
      <c r="H54" s="190">
        <f t="shared" si="45"/>
        <v>7422.0999999999995</v>
      </c>
      <c r="I54" s="190">
        <f t="shared" si="45"/>
        <v>8514</v>
      </c>
      <c r="J54" s="190">
        <f t="shared" si="45"/>
        <v>9634</v>
      </c>
      <c r="K54" s="190">
        <f t="shared" si="45"/>
        <v>11221</v>
      </c>
      <c r="L54" s="190">
        <f t="shared" si="45"/>
        <v>11273</v>
      </c>
      <c r="M54" s="190">
        <f t="shared" ref="M54:R54" si="46">SUM(M50:M53)</f>
        <v>11980</v>
      </c>
      <c r="N54" s="190">
        <f t="shared" si="46"/>
        <v>12800</v>
      </c>
      <c r="O54" s="190">
        <f t="shared" si="46"/>
        <v>12598</v>
      </c>
      <c r="P54" s="190">
        <f t="shared" si="46"/>
        <v>13329</v>
      </c>
      <c r="Q54" s="190">
        <f t="shared" ref="Q54" si="47">SUM(Q50:Q53)</f>
        <v>13793</v>
      </c>
      <c r="R54" s="190">
        <f t="shared" si="46"/>
        <v>13805</v>
      </c>
      <c r="S54" s="190">
        <f>SUM(S50:S53)</f>
        <v>12748</v>
      </c>
      <c r="T54" s="190">
        <f>SUM(T50:T53)</f>
        <v>12439</v>
      </c>
      <c r="U54" s="281">
        <f t="shared" si="35"/>
        <v>-8.1382353994187168E-4</v>
      </c>
      <c r="V54" s="141"/>
      <c r="W54" s="172" t="str">
        <f t="shared" si="2"/>
        <v>Total LTD &amp; Deferrals</v>
      </c>
      <c r="X54" s="179">
        <f t="shared" si="44"/>
        <v>0.57801236885519014</v>
      </c>
      <c r="Y54" s="179">
        <f t="shared" si="44"/>
        <v>0.49942517379511042</v>
      </c>
      <c r="Z54" s="179">
        <f t="shared" si="44"/>
        <v>0.58025667426638228</v>
      </c>
      <c r="AA54" s="179">
        <f t="shared" si="44"/>
        <v>0.60838933634296077</v>
      </c>
      <c r="AB54" s="179">
        <f t="shared" si="43"/>
        <v>0.61886084729941515</v>
      </c>
      <c r="AC54" s="179">
        <f t="shared" si="43"/>
        <v>0.59878283509971342</v>
      </c>
      <c r="AD54" s="179">
        <f t="shared" si="43"/>
        <v>0.58298052830425806</v>
      </c>
      <c r="AE54" s="179">
        <f t="shared" si="43"/>
        <v>0.57114107466291009</v>
      </c>
      <c r="AF54" s="179">
        <f t="shared" si="43"/>
        <v>0.56119298654395056</v>
      </c>
      <c r="AG54" s="179">
        <f t="shared" si="43"/>
        <v>0.5916376674048297</v>
      </c>
      <c r="AH54" s="179">
        <f t="shared" si="43"/>
        <v>0.55956517422813457</v>
      </c>
      <c r="AI54" s="179">
        <f t="shared" si="43"/>
        <v>0.56761110584667862</v>
      </c>
      <c r="AJ54" s="179">
        <f t="shared" si="43"/>
        <v>0.5891016200294551</v>
      </c>
      <c r="AK54" s="179">
        <f t="shared" si="43"/>
        <v>0.58165196915831752</v>
      </c>
      <c r="AL54" s="179">
        <f t="shared" si="43"/>
        <v>0.60027020941229448</v>
      </c>
      <c r="AM54" s="179">
        <f t="shared" si="43"/>
        <v>0.61666741181204454</v>
      </c>
      <c r="AN54" s="179">
        <f t="shared" si="43"/>
        <v>0.6164597660087523</v>
      </c>
      <c r="AO54" s="179">
        <f t="shared" si="43"/>
        <v>0.58156934306569341</v>
      </c>
      <c r="AP54" s="179">
        <f t="shared" si="43"/>
        <v>0.56994272623138598</v>
      </c>
      <c r="AQ54" s="285">
        <f t="shared" si="34"/>
        <v>0.597801516560447</v>
      </c>
    </row>
    <row r="55" spans="1:43" ht="7.5" customHeight="1" x14ac:dyDescent="0.2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U55" s="140"/>
      <c r="V55" s="326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</row>
    <row r="56" spans="1:43" x14ac:dyDescent="0.2">
      <c r="A56" s="163" t="s">
        <v>34</v>
      </c>
      <c r="B56" s="163">
        <f t="shared" ref="B56:G56" si="48">B54+B48</f>
        <v>8208.7000000000007</v>
      </c>
      <c r="C56" s="163">
        <f t="shared" si="48"/>
        <v>7161.7</v>
      </c>
      <c r="D56" s="163">
        <f t="shared" si="48"/>
        <v>7528.7000000000007</v>
      </c>
      <c r="E56" s="163">
        <f t="shared" si="48"/>
        <v>8051.6</v>
      </c>
      <c r="F56" s="163">
        <f t="shared" si="48"/>
        <v>8300.7999999999993</v>
      </c>
      <c r="G56" s="163">
        <f t="shared" si="48"/>
        <v>9095</v>
      </c>
      <c r="H56" s="163">
        <f t="shared" ref="H56:R56" si="49">H54+H48</f>
        <v>8638.1999999999989</v>
      </c>
      <c r="I56" s="163">
        <f t="shared" si="49"/>
        <v>9827</v>
      </c>
      <c r="J56" s="163">
        <f t="shared" si="49"/>
        <v>11100</v>
      </c>
      <c r="K56" s="163">
        <f t="shared" si="49"/>
        <v>12234</v>
      </c>
      <c r="L56" s="163">
        <f t="shared" si="49"/>
        <v>12835</v>
      </c>
      <c r="M56" s="163">
        <f t="shared" si="49"/>
        <v>13794</v>
      </c>
      <c r="N56" s="163">
        <f t="shared" si="49"/>
        <v>14084</v>
      </c>
      <c r="O56" s="163">
        <f t="shared" si="49"/>
        <v>13872</v>
      </c>
      <c r="P56" s="163">
        <f t="shared" si="49"/>
        <v>14449</v>
      </c>
      <c r="Q56" s="163">
        <f t="shared" ref="Q56" si="50">Q54+Q48</f>
        <v>14864</v>
      </c>
      <c r="R56" s="163">
        <f t="shared" si="49"/>
        <v>15004</v>
      </c>
      <c r="S56" s="163">
        <f>S54+S48</f>
        <v>14365</v>
      </c>
      <c r="T56" s="163">
        <f>T54+T48</f>
        <v>14372</v>
      </c>
      <c r="U56" s="164">
        <f t="shared" si="35"/>
        <v>3.9588739483144867E-3</v>
      </c>
      <c r="V56" s="326"/>
      <c r="W56" s="172" t="str">
        <f t="shared" si="2"/>
        <v>Total Liabilities</v>
      </c>
      <c r="X56" s="179">
        <f t="shared" ref="X56:AP56" si="51">B56/B$38</f>
        <v>0.66709738238616512</v>
      </c>
      <c r="Y56" s="179">
        <f t="shared" si="51"/>
        <v>0.64323950493093107</v>
      </c>
      <c r="Z56" s="179">
        <f t="shared" si="51"/>
        <v>0.6921287784070016</v>
      </c>
      <c r="AA56" s="179">
        <f t="shared" si="51"/>
        <v>0.68841806460438792</v>
      </c>
      <c r="AB56" s="179">
        <f t="shared" si="51"/>
        <v>0.71086142963578292</v>
      </c>
      <c r="AC56" s="179">
        <f t="shared" si="51"/>
        <v>0.72638548347163556</v>
      </c>
      <c r="AD56" s="179">
        <f t="shared" si="51"/>
        <v>0.67850101717813582</v>
      </c>
      <c r="AE56" s="179">
        <f t="shared" si="51"/>
        <v>0.65922050043603675</v>
      </c>
      <c r="AF56" s="179">
        <f t="shared" si="51"/>
        <v>0.64658938661385212</v>
      </c>
      <c r="AG56" s="179">
        <f t="shared" si="51"/>
        <v>0.64504903511546974</v>
      </c>
      <c r="AH56" s="179">
        <f t="shared" si="51"/>
        <v>0.63709917601508981</v>
      </c>
      <c r="AI56" s="179">
        <f t="shared" si="51"/>
        <v>0.65355822988723589</v>
      </c>
      <c r="AJ56" s="179">
        <f t="shared" si="51"/>
        <v>0.64819587628865982</v>
      </c>
      <c r="AK56" s="179">
        <f t="shared" si="51"/>
        <v>0.64047278267694718</v>
      </c>
      <c r="AL56" s="179">
        <f t="shared" si="51"/>
        <v>0.65070929970727309</v>
      </c>
      <c r="AM56" s="179">
        <f t="shared" si="51"/>
        <v>0.66455045379353517</v>
      </c>
      <c r="AN56" s="179">
        <f t="shared" si="51"/>
        <v>0.67000089309636512</v>
      </c>
      <c r="AO56" s="179">
        <f t="shared" si="51"/>
        <v>0.65533759124087587</v>
      </c>
      <c r="AP56" s="179">
        <f t="shared" si="51"/>
        <v>0.65851088201603669</v>
      </c>
      <c r="AQ56" s="179">
        <f t="shared" si="34"/>
        <v>0.65499383850067661</v>
      </c>
    </row>
    <row r="57" spans="1:43" ht="7.5" customHeight="1" x14ac:dyDescent="0.2">
      <c r="A57" s="138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U57" s="140"/>
      <c r="V57" s="141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</row>
    <row r="58" spans="1:43" x14ac:dyDescent="0.2">
      <c r="A58" s="138" t="s">
        <v>59</v>
      </c>
      <c r="B58" s="138">
        <f>175+41.5</f>
        <v>216.5</v>
      </c>
      <c r="C58" s="138">
        <f>341.2+175+41.5</f>
        <v>557.70000000000005</v>
      </c>
      <c r="D58" s="138">
        <f>341.5+74.2+41.3</f>
        <v>457</v>
      </c>
      <c r="E58" s="138">
        <f>341.8+66.7+41.3</f>
        <v>449.8</v>
      </c>
      <c r="F58" s="138">
        <f>56.3+41.3</f>
        <v>97.6</v>
      </c>
      <c r="G58" s="138">
        <f>48.8+41.3</f>
        <v>90.1</v>
      </c>
      <c r="H58" s="138">
        <f>41.3+41.3</f>
        <v>82.6</v>
      </c>
      <c r="I58" s="138">
        <v>41</v>
      </c>
      <c r="J58" s="138">
        <v>41</v>
      </c>
      <c r="K58" s="138">
        <v>41</v>
      </c>
      <c r="L58" s="138">
        <v>41</v>
      </c>
      <c r="M58" s="138">
        <v>41</v>
      </c>
      <c r="N58" s="138">
        <v>41</v>
      </c>
      <c r="O58" s="138">
        <v>2</v>
      </c>
      <c r="P58" s="2">
        <v>2</v>
      </c>
      <c r="Q58" s="2">
        <v>2</v>
      </c>
      <c r="R58" s="2">
        <v>2</v>
      </c>
      <c r="S58" s="2">
        <v>2</v>
      </c>
      <c r="T58" s="2">
        <v>2</v>
      </c>
      <c r="U58" s="140">
        <f t="shared" si="35"/>
        <v>-0.45342567414997265</v>
      </c>
      <c r="V58" s="141"/>
      <c r="W58" s="2" t="str">
        <f t="shared" si="2"/>
        <v>Preferred Stock</v>
      </c>
      <c r="X58" s="5">
        <f t="shared" ref="X58:AP58" si="52">B58/B$38</f>
        <v>1.7594330805925998E-2</v>
      </c>
      <c r="Y58" s="5">
        <f t="shared" si="52"/>
        <v>5.0090714760459149E-2</v>
      </c>
      <c r="Z58" s="5">
        <f t="shared" si="52"/>
        <v>4.2012944031771714E-2</v>
      </c>
      <c r="AA58" s="5">
        <f t="shared" si="52"/>
        <v>3.8458249970074729E-2</v>
      </c>
      <c r="AB58" s="5">
        <f t="shared" si="52"/>
        <v>8.3582396314153349E-3</v>
      </c>
      <c r="AC58" s="5">
        <f t="shared" si="52"/>
        <v>7.1959683409339595E-3</v>
      </c>
      <c r="AD58" s="5">
        <f t="shared" si="52"/>
        <v>6.4879470281903667E-3</v>
      </c>
      <c r="AE58" s="5">
        <f t="shared" si="52"/>
        <v>2.7503857248272622E-3</v>
      </c>
      <c r="AF58" s="5">
        <f t="shared" si="52"/>
        <v>2.3883031397448594E-3</v>
      </c>
      <c r="AG58" s="5">
        <f t="shared" si="52"/>
        <v>2.1617631551196881E-3</v>
      </c>
      <c r="AH58" s="5">
        <f t="shared" si="52"/>
        <v>2.0351434527945992E-3</v>
      </c>
      <c r="AI58" s="5">
        <f t="shared" si="52"/>
        <v>1.9425755709276983E-3</v>
      </c>
      <c r="AJ58" s="5">
        <f t="shared" si="52"/>
        <v>1.8869661266568483E-3</v>
      </c>
      <c r="AK58" s="5">
        <f t="shared" si="52"/>
        <v>9.2340366591255372E-5</v>
      </c>
      <c r="AL58" s="5">
        <f t="shared" si="52"/>
        <v>9.0069804098176086E-5</v>
      </c>
      <c r="AM58" s="5">
        <f t="shared" si="52"/>
        <v>8.941744534358654E-5</v>
      </c>
      <c r="AN58" s="5">
        <f t="shared" si="52"/>
        <v>8.9309636509779408E-5</v>
      </c>
      <c r="AO58" s="5">
        <f t="shared" si="52"/>
        <v>9.1240875912408753E-5</v>
      </c>
      <c r="AP58" s="5">
        <f t="shared" si="52"/>
        <v>9.1638029782359676E-5</v>
      </c>
      <c r="AQ58" s="5">
        <f t="shared" si="34"/>
        <v>3.8556621532739106E-4</v>
      </c>
    </row>
    <row r="59" spans="1:43" ht="7.5" customHeight="1" x14ac:dyDescent="0.2">
      <c r="A59" s="138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U59" s="140"/>
      <c r="V59" s="141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</row>
    <row r="60" spans="1:43" x14ac:dyDescent="0.2">
      <c r="A60" s="165" t="s">
        <v>62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U60" s="140"/>
      <c r="V60" s="141"/>
      <c r="W60" s="172" t="str">
        <f t="shared" si="2"/>
        <v>Common Equity:</v>
      </c>
      <c r="AQ60" s="5"/>
    </row>
    <row r="61" spans="1:43" x14ac:dyDescent="0.2">
      <c r="A61" s="145" t="s">
        <v>6</v>
      </c>
      <c r="B61" s="138">
        <v>3284.9</v>
      </c>
      <c r="C61" s="138">
        <f>3284.9+0.9</f>
        <v>3285.8</v>
      </c>
      <c r="D61" s="138">
        <f>2742.1+0.7-24</f>
        <v>2718.7999999999997</v>
      </c>
      <c r="E61" s="138">
        <f>2892.1-1.7-1.9</f>
        <v>2888.5</v>
      </c>
      <c r="F61" s="138">
        <f>2892.1+4.5-8</f>
        <v>2888.6</v>
      </c>
      <c r="G61" s="138">
        <f>2894.1+4.3-9</f>
        <v>2889.4</v>
      </c>
      <c r="H61" s="138">
        <f>3381.9+2.7-4.1</f>
        <v>3380.5</v>
      </c>
      <c r="I61" s="138">
        <f>3804-4</f>
        <v>3800</v>
      </c>
      <c r="J61" s="138">
        <f>4254-2+80</f>
        <v>4332</v>
      </c>
      <c r="K61" s="138">
        <f>4379-6+84</f>
        <v>4457</v>
      </c>
      <c r="L61" s="138">
        <f>4479-7</f>
        <v>4472</v>
      </c>
      <c r="M61" s="138">
        <v>4479</v>
      </c>
      <c r="N61" s="138">
        <v>4479</v>
      </c>
      <c r="O61" s="138">
        <v>4479</v>
      </c>
      <c r="P61" s="19">
        <v>4479</v>
      </c>
      <c r="Q61" s="19">
        <v>4479</v>
      </c>
      <c r="R61" s="19">
        <v>4479</v>
      </c>
      <c r="S61" s="19">
        <v>4479</v>
      </c>
      <c r="T61" s="19">
        <v>4479</v>
      </c>
      <c r="U61" s="140">
        <f t="shared" si="35"/>
        <v>2.4717049773802689E-16</v>
      </c>
      <c r="V61" s="326"/>
      <c r="W61" s="2" t="str">
        <f t="shared" si="2"/>
        <v>Common Stock</v>
      </c>
      <c r="X61" s="5">
        <f t="shared" ref="X61:AG64" si="53">B61/B$38</f>
        <v>0.26695435226044484</v>
      </c>
      <c r="Y61" s="5">
        <f t="shared" si="53"/>
        <v>0.29511936625410917</v>
      </c>
      <c r="Z61" s="5">
        <f t="shared" si="53"/>
        <v>0.24994484077370005</v>
      </c>
      <c r="AA61" s="5">
        <f t="shared" si="53"/>
        <v>0.24696899741787651</v>
      </c>
      <c r="AB61" s="5">
        <f t="shared" si="53"/>
        <v>0.24737306351748295</v>
      </c>
      <c r="AC61" s="5">
        <f t="shared" si="53"/>
        <v>0.23076615898218183</v>
      </c>
      <c r="AD61" s="5">
        <f t="shared" si="53"/>
        <v>0.26552669405323892</v>
      </c>
      <c r="AE61" s="5">
        <f t="shared" si="53"/>
        <v>0.25491379888642918</v>
      </c>
      <c r="AF61" s="5">
        <f t="shared" si="53"/>
        <v>0.25234461466767638</v>
      </c>
      <c r="AG61" s="5">
        <f t="shared" si="53"/>
        <v>0.23499947274069388</v>
      </c>
      <c r="AH61" s="5">
        <f t="shared" ref="AH61:AP64" si="54">L61/L$38</f>
        <v>0.22197954929018168</v>
      </c>
      <c r="AI61" s="5">
        <f t="shared" si="54"/>
        <v>0.21221453615085759</v>
      </c>
      <c r="AJ61" s="5">
        <f t="shared" si="54"/>
        <v>0.20613954344624447</v>
      </c>
      <c r="AK61" s="5">
        <f t="shared" si="54"/>
        <v>0.2067962509811164</v>
      </c>
      <c r="AL61" s="5">
        <f t="shared" si="54"/>
        <v>0.20171132627786534</v>
      </c>
      <c r="AM61" s="5">
        <f t="shared" si="54"/>
        <v>0.20025036884696204</v>
      </c>
      <c r="AN61" s="5">
        <f t="shared" si="54"/>
        <v>0.20000893096365097</v>
      </c>
      <c r="AO61" s="5">
        <f t="shared" si="54"/>
        <v>0.20433394160583943</v>
      </c>
      <c r="AP61" s="5">
        <f t="shared" si="54"/>
        <v>0.2052233676975945</v>
      </c>
      <c r="AQ61" s="5">
        <f t="shared" si="34"/>
        <v>0.20317071511192761</v>
      </c>
    </row>
    <row r="62" spans="1:43" x14ac:dyDescent="0.2">
      <c r="A62" s="145" t="s">
        <v>27</v>
      </c>
      <c r="B62" s="142">
        <f>622.2-27.2</f>
        <v>595</v>
      </c>
      <c r="C62" s="142">
        <v>128.6</v>
      </c>
      <c r="D62" s="142">
        <v>173.1</v>
      </c>
      <c r="E62" s="142">
        <v>305.89999999999998</v>
      </c>
      <c r="F62" s="142">
        <v>390.1</v>
      </c>
      <c r="G62" s="142">
        <v>446.4</v>
      </c>
      <c r="H62" s="143">
        <v>630</v>
      </c>
      <c r="I62" s="143">
        <v>1239</v>
      </c>
      <c r="J62" s="143">
        <v>1694</v>
      </c>
      <c r="K62" s="143">
        <v>2234</v>
      </c>
      <c r="L62" s="143">
        <v>2798</v>
      </c>
      <c r="M62" s="143">
        <v>2792</v>
      </c>
      <c r="N62" s="143">
        <f>3136-12</f>
        <v>3124</v>
      </c>
      <c r="O62" s="143">
        <f>3315-9</f>
        <v>3306</v>
      </c>
      <c r="P62" s="19">
        <f>3288-13</f>
        <v>3275</v>
      </c>
      <c r="Q62" s="19">
        <f>3033-11</f>
        <v>3022</v>
      </c>
      <c r="R62" s="19">
        <f>2921-12</f>
        <v>2909</v>
      </c>
      <c r="S62" s="19">
        <f>3089-15</f>
        <v>3074</v>
      </c>
      <c r="T62" s="19">
        <f>2987-15</f>
        <v>2972</v>
      </c>
      <c r="U62" s="140">
        <f t="shared" si="35"/>
        <v>-3.2217164701411E-3</v>
      </c>
      <c r="V62" s="326"/>
      <c r="W62" s="2" t="str">
        <f t="shared" si="2"/>
        <v>Retained Earnings</v>
      </c>
      <c r="X62" s="6">
        <f t="shared" si="53"/>
        <v>4.8353934547464061E-2</v>
      </c>
      <c r="Y62" s="6">
        <f t="shared" si="53"/>
        <v>1.155041405450071E-2</v>
      </c>
      <c r="Z62" s="6">
        <f t="shared" si="53"/>
        <v>1.5913436787526658E-2</v>
      </c>
      <c r="AA62" s="6">
        <f t="shared" si="53"/>
        <v>2.6154688007660871E-2</v>
      </c>
      <c r="AB62" s="6">
        <f t="shared" si="53"/>
        <v>3.3407267215318878E-2</v>
      </c>
      <c r="AC62" s="6">
        <f t="shared" si="53"/>
        <v>3.5652389205248831E-2</v>
      </c>
      <c r="AD62" s="102">
        <f t="shared" si="53"/>
        <v>4.9484341740434999E-2</v>
      </c>
      <c r="AE62" s="102">
        <f t="shared" si="53"/>
        <v>8.3115314952706784E-2</v>
      </c>
      <c r="AF62" s="102">
        <f t="shared" si="53"/>
        <v>9.8677695578726632E-2</v>
      </c>
      <c r="AG62" s="102">
        <f t="shared" si="53"/>
        <v>0.11778972898871665</v>
      </c>
      <c r="AH62" s="102">
        <f t="shared" si="54"/>
        <v>0.13888613124193389</v>
      </c>
      <c r="AI62" s="102">
        <f t="shared" si="54"/>
        <v>0.13228465839097886</v>
      </c>
      <c r="AJ62" s="102">
        <f t="shared" si="54"/>
        <v>0.14377761413843887</v>
      </c>
      <c r="AK62" s="102">
        <f t="shared" si="54"/>
        <v>0.15263862597534511</v>
      </c>
      <c r="AL62" s="102">
        <f t="shared" si="54"/>
        <v>0.14748930421076334</v>
      </c>
      <c r="AM62" s="102">
        <f t="shared" si="54"/>
        <v>0.13510975991415924</v>
      </c>
      <c r="AN62" s="102">
        <f t="shared" si="54"/>
        <v>0.12990086630347414</v>
      </c>
      <c r="AO62" s="102">
        <f t="shared" si="54"/>
        <v>0.14023722627737226</v>
      </c>
      <c r="AP62" s="102">
        <f t="shared" si="54"/>
        <v>0.13617411225658649</v>
      </c>
      <c r="AQ62" s="5">
        <f t="shared" si="34"/>
        <v>0.14144988017206839</v>
      </c>
    </row>
    <row r="63" spans="1:43" x14ac:dyDescent="0.2">
      <c r="A63" s="163" t="s">
        <v>63</v>
      </c>
      <c r="B63" s="185">
        <f t="shared" ref="B63:L63" si="55">SUM(B60:B62)</f>
        <v>3879.9</v>
      </c>
      <c r="C63" s="185">
        <f t="shared" si="55"/>
        <v>3414.4</v>
      </c>
      <c r="D63" s="185">
        <f t="shared" si="55"/>
        <v>2891.8999999999996</v>
      </c>
      <c r="E63" s="185">
        <f t="shared" si="55"/>
        <v>3194.4</v>
      </c>
      <c r="F63" s="185">
        <f t="shared" si="55"/>
        <v>3278.7</v>
      </c>
      <c r="G63" s="185">
        <f t="shared" si="55"/>
        <v>3335.8</v>
      </c>
      <c r="H63" s="189">
        <f t="shared" si="55"/>
        <v>4010.5</v>
      </c>
      <c r="I63" s="189">
        <f t="shared" si="55"/>
        <v>5039</v>
      </c>
      <c r="J63" s="189">
        <f>SUM(J60:J62)</f>
        <v>6026</v>
      </c>
      <c r="K63" s="189">
        <f>SUM(K60:K62)</f>
        <v>6691</v>
      </c>
      <c r="L63" s="189">
        <f t="shared" si="55"/>
        <v>7270</v>
      </c>
      <c r="M63" s="189">
        <f t="shared" ref="M63:R63" si="56">SUM(M60:M62)</f>
        <v>7271</v>
      </c>
      <c r="N63" s="189">
        <f t="shared" si="56"/>
        <v>7603</v>
      </c>
      <c r="O63" s="189">
        <f t="shared" si="56"/>
        <v>7785</v>
      </c>
      <c r="P63" s="186">
        <f t="shared" si="56"/>
        <v>7754</v>
      </c>
      <c r="Q63" s="186">
        <f t="shared" ref="Q63" si="57">SUM(Q60:Q62)</f>
        <v>7501</v>
      </c>
      <c r="R63" s="186">
        <f t="shared" si="56"/>
        <v>7388</v>
      </c>
      <c r="S63" s="186">
        <f>SUM(S60:S62)</f>
        <v>7553</v>
      </c>
      <c r="T63" s="186">
        <f>SUM(T60:T62)</f>
        <v>7451</v>
      </c>
      <c r="U63" s="281">
        <f t="shared" si="35"/>
        <v>-1.3187438750672665E-3</v>
      </c>
      <c r="V63" s="326"/>
      <c r="W63" s="172" t="str">
        <f t="shared" si="2"/>
        <v>Total Common Equity</v>
      </c>
      <c r="X63" s="181">
        <f t="shared" si="53"/>
        <v>0.3153082868079089</v>
      </c>
      <c r="Y63" s="181">
        <f t="shared" si="53"/>
        <v>0.30666978030860986</v>
      </c>
      <c r="Z63" s="181">
        <f t="shared" si="53"/>
        <v>0.26585827756122671</v>
      </c>
      <c r="AA63" s="181">
        <f t="shared" si="53"/>
        <v>0.27312368542553739</v>
      </c>
      <c r="AB63" s="181">
        <f t="shared" si="53"/>
        <v>0.28078033073280184</v>
      </c>
      <c r="AC63" s="181">
        <f t="shared" si="53"/>
        <v>0.26641854818743066</v>
      </c>
      <c r="AD63" s="182">
        <f t="shared" si="53"/>
        <v>0.3150110357936739</v>
      </c>
      <c r="AE63" s="182">
        <f t="shared" si="53"/>
        <v>0.33802911383913598</v>
      </c>
      <c r="AF63" s="182">
        <f t="shared" si="53"/>
        <v>0.35102231024640296</v>
      </c>
      <c r="AG63" s="182">
        <f t="shared" si="53"/>
        <v>0.35278920172941053</v>
      </c>
      <c r="AH63" s="182">
        <f t="shared" si="54"/>
        <v>0.36086568053211554</v>
      </c>
      <c r="AI63" s="182">
        <f t="shared" si="54"/>
        <v>0.34449919454183642</v>
      </c>
      <c r="AJ63" s="182">
        <f t="shared" si="54"/>
        <v>0.34991715758468334</v>
      </c>
      <c r="AK63" s="182">
        <f t="shared" si="54"/>
        <v>0.35943487695646154</v>
      </c>
      <c r="AL63" s="182">
        <f t="shared" si="54"/>
        <v>0.3492006304886287</v>
      </c>
      <c r="AM63" s="182">
        <f t="shared" si="54"/>
        <v>0.33536012876112131</v>
      </c>
      <c r="AN63" s="182">
        <f t="shared" si="54"/>
        <v>0.3299097972671251</v>
      </c>
      <c r="AO63" s="182">
        <f t="shared" si="54"/>
        <v>0.34457116788321168</v>
      </c>
      <c r="AP63" s="182">
        <f t="shared" si="54"/>
        <v>0.34139747995418096</v>
      </c>
      <c r="AQ63" s="343">
        <f t="shared" si="34"/>
        <v>0.34462059528399597</v>
      </c>
    </row>
    <row r="64" spans="1:43" ht="13.5" thickBot="1" x14ac:dyDescent="0.25">
      <c r="A64" s="163" t="s">
        <v>35</v>
      </c>
      <c r="B64" s="187">
        <f t="shared" ref="B64:L64" si="58">B63+B56+B58</f>
        <v>12305.1</v>
      </c>
      <c r="C64" s="187">
        <f t="shared" si="58"/>
        <v>11133.800000000001</v>
      </c>
      <c r="D64" s="187">
        <f t="shared" si="58"/>
        <v>10877.6</v>
      </c>
      <c r="E64" s="187">
        <f t="shared" si="58"/>
        <v>11695.8</v>
      </c>
      <c r="F64" s="187">
        <f t="shared" si="58"/>
        <v>11677.1</v>
      </c>
      <c r="G64" s="187">
        <f t="shared" si="58"/>
        <v>12520.9</v>
      </c>
      <c r="H64" s="188">
        <f t="shared" si="58"/>
        <v>12731.3</v>
      </c>
      <c r="I64" s="188">
        <f t="shared" si="58"/>
        <v>14907</v>
      </c>
      <c r="J64" s="188">
        <f>J63+J56+J58</f>
        <v>17167</v>
      </c>
      <c r="K64" s="188">
        <f>K63+K56+K58</f>
        <v>18966</v>
      </c>
      <c r="L64" s="188">
        <f t="shared" si="58"/>
        <v>20146</v>
      </c>
      <c r="M64" s="188">
        <f t="shared" ref="M64:R64" si="59">M63+M56+M58</f>
        <v>21106</v>
      </c>
      <c r="N64" s="188">
        <f t="shared" si="59"/>
        <v>21728</v>
      </c>
      <c r="O64" s="188">
        <f t="shared" si="59"/>
        <v>21659</v>
      </c>
      <c r="P64" s="188">
        <f t="shared" si="59"/>
        <v>22205</v>
      </c>
      <c r="Q64" s="188">
        <f t="shared" ref="Q64" si="60">Q63+Q56+Q58</f>
        <v>22367</v>
      </c>
      <c r="R64" s="188">
        <f t="shared" si="59"/>
        <v>22394</v>
      </c>
      <c r="S64" s="188">
        <f>S63+S56+S58</f>
        <v>21920</v>
      </c>
      <c r="T64" s="188">
        <f>T63+T56+T58</f>
        <v>21825</v>
      </c>
      <c r="U64" s="340">
        <f t="shared" si="35"/>
        <v>1.761091043298302E-3</v>
      </c>
      <c r="V64" s="326"/>
      <c r="W64" s="172" t="str">
        <f t="shared" si="2"/>
        <v>Total Liabilities &amp; Equity</v>
      </c>
      <c r="X64" s="183">
        <f t="shared" si="53"/>
        <v>1</v>
      </c>
      <c r="Y64" s="183">
        <f t="shared" si="53"/>
        <v>1.0000000000000002</v>
      </c>
      <c r="Z64" s="183">
        <f t="shared" si="53"/>
        <v>1</v>
      </c>
      <c r="AA64" s="183">
        <f t="shared" si="53"/>
        <v>1</v>
      </c>
      <c r="AB64" s="183">
        <f t="shared" si="53"/>
        <v>1.0000000000000002</v>
      </c>
      <c r="AC64" s="183">
        <f t="shared" si="53"/>
        <v>1.0000000000000002</v>
      </c>
      <c r="AD64" s="184">
        <f t="shared" si="53"/>
        <v>1.0000000000000002</v>
      </c>
      <c r="AE64" s="184">
        <f t="shared" si="53"/>
        <v>1</v>
      </c>
      <c r="AF64" s="184">
        <f t="shared" si="53"/>
        <v>1</v>
      </c>
      <c r="AG64" s="184">
        <f t="shared" si="53"/>
        <v>1</v>
      </c>
      <c r="AH64" s="184">
        <f t="shared" si="54"/>
        <v>1</v>
      </c>
      <c r="AI64" s="184">
        <f t="shared" si="54"/>
        <v>1</v>
      </c>
      <c r="AJ64" s="184">
        <f t="shared" si="54"/>
        <v>1</v>
      </c>
      <c r="AK64" s="184">
        <f t="shared" si="54"/>
        <v>1</v>
      </c>
      <c r="AL64" s="184">
        <f t="shared" si="54"/>
        <v>1</v>
      </c>
      <c r="AM64" s="184">
        <f t="shared" si="54"/>
        <v>1</v>
      </c>
      <c r="AN64" s="184">
        <f t="shared" si="54"/>
        <v>1</v>
      </c>
      <c r="AO64" s="184">
        <f t="shared" si="54"/>
        <v>1</v>
      </c>
      <c r="AP64" s="184">
        <f t="shared" si="54"/>
        <v>1</v>
      </c>
      <c r="AQ64" s="184">
        <f t="shared" si="34"/>
        <v>1</v>
      </c>
    </row>
    <row r="65" spans="1:45" ht="13.5" thickTop="1" x14ac:dyDescent="0.2">
      <c r="A65" s="163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S65" s="321"/>
      <c r="T65" s="321"/>
      <c r="U65" s="191"/>
      <c r="V65" s="141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226"/>
    </row>
    <row r="66" spans="1:45" x14ac:dyDescent="0.2">
      <c r="A66" s="138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U66" s="140"/>
      <c r="V66" s="138"/>
      <c r="AQ66" s="193" t="s">
        <v>112</v>
      </c>
    </row>
    <row r="67" spans="1:45" x14ac:dyDescent="0.2">
      <c r="A67" s="138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U67" s="192" t="s">
        <v>112</v>
      </c>
      <c r="V67" s="138"/>
      <c r="AQ67" s="328" t="s">
        <v>119</v>
      </c>
    </row>
    <row r="68" spans="1:45" x14ac:dyDescent="0.2">
      <c r="A68" s="138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U68" s="329" t="s">
        <v>118</v>
      </c>
      <c r="V68" s="138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3"/>
    </row>
    <row r="69" spans="1:45" ht="18.75" x14ac:dyDescent="0.3">
      <c r="A69" s="134" t="str">
        <f>A4</f>
        <v>PacifiCorp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2"/>
      <c r="Q69" s="12"/>
      <c r="R69" s="12"/>
      <c r="S69" s="12"/>
      <c r="T69" s="12"/>
      <c r="U69" s="137"/>
      <c r="V69" s="138"/>
      <c r="W69" s="9" t="str">
        <f t="shared" si="2"/>
        <v>PacifiCorp</v>
      </c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3"/>
    </row>
    <row r="70" spans="1:45" ht="15.75" x14ac:dyDescent="0.25">
      <c r="A70" s="136" t="s">
        <v>14</v>
      </c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2"/>
      <c r="Q70" s="12"/>
      <c r="R70" s="12"/>
      <c r="S70" s="12"/>
      <c r="T70" s="12"/>
      <c r="U70" s="137"/>
      <c r="V70" s="138"/>
      <c r="W70" s="11" t="str">
        <f t="shared" si="2"/>
        <v>Historical Income Statements</v>
      </c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3"/>
    </row>
    <row r="71" spans="1:45" ht="15.75" x14ac:dyDescent="0.25">
      <c r="A71" s="221" t="str">
        <f>A6</f>
        <v>Fiscal Years Ended December 31, 2012-2017</v>
      </c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2"/>
      <c r="Q71" s="12"/>
      <c r="R71" s="12"/>
      <c r="S71" s="12"/>
      <c r="T71" s="12"/>
      <c r="U71" s="137"/>
      <c r="V71" s="138"/>
      <c r="W71" s="11" t="str">
        <f t="shared" si="2"/>
        <v>Fiscal Years Ended December 31, 2012-2017</v>
      </c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3"/>
    </row>
    <row r="72" spans="1:45" ht="15.75" x14ac:dyDescent="0.25">
      <c r="A72" s="221" t="str">
        <f>A7</f>
        <v xml:space="preserve">  </v>
      </c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2"/>
      <c r="Q72" s="12"/>
      <c r="R72" s="12"/>
      <c r="S72" s="12"/>
      <c r="T72" s="12"/>
      <c r="U72" s="137"/>
      <c r="V72" s="138"/>
      <c r="W72" s="11" t="str">
        <f t="shared" si="2"/>
        <v xml:space="preserve">  </v>
      </c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3"/>
    </row>
    <row r="73" spans="1:45" x14ac:dyDescent="0.2">
      <c r="A73" s="163"/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9"/>
      <c r="Q73" s="169"/>
      <c r="R73" s="169"/>
      <c r="S73" s="169"/>
      <c r="T73" s="169" t="str">
        <f>T8</f>
        <v>First</v>
      </c>
      <c r="U73" s="168" t="str">
        <f>U8</f>
        <v>2012-2017</v>
      </c>
      <c r="V73" s="138"/>
      <c r="AL73" s="173"/>
      <c r="AM73" s="173"/>
      <c r="AN73" s="173"/>
      <c r="AO73" s="173"/>
      <c r="AP73" s="169" t="str">
        <f>AP8</f>
        <v>First</v>
      </c>
      <c r="AQ73" s="5"/>
    </row>
    <row r="74" spans="1:45" ht="12.75" customHeight="1" x14ac:dyDescent="0.2">
      <c r="A74" s="163"/>
      <c r="B74" s="163"/>
      <c r="C74" s="163"/>
      <c r="D74" s="163"/>
      <c r="E74" s="163"/>
      <c r="F74" s="163"/>
      <c r="G74" s="163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 t="str">
        <f>T9</f>
        <v>Quarter</v>
      </c>
      <c r="U74" s="168" t="s">
        <v>4</v>
      </c>
      <c r="V74" s="138"/>
      <c r="X74" s="172"/>
      <c r="Y74" s="172"/>
      <c r="Z74" s="172"/>
      <c r="AA74" s="172"/>
      <c r="AB74" s="172"/>
      <c r="AC74" s="172"/>
      <c r="AD74" s="173"/>
      <c r="AE74" s="173"/>
      <c r="AF74" s="173"/>
      <c r="AG74" s="173"/>
      <c r="AH74" s="173"/>
      <c r="AI74" s="173"/>
      <c r="AJ74" s="173"/>
      <c r="AK74" s="173"/>
      <c r="AL74" s="173"/>
      <c r="AM74" s="173"/>
      <c r="AN74" s="173"/>
      <c r="AO74" s="173"/>
      <c r="AP74" s="169" t="str">
        <f>AP9</f>
        <v>Quarter</v>
      </c>
      <c r="AQ74" s="174" t="str">
        <f>U8</f>
        <v>2012-2017</v>
      </c>
    </row>
    <row r="75" spans="1:45" x14ac:dyDescent="0.2">
      <c r="A75" s="185" t="s">
        <v>0</v>
      </c>
      <c r="B75" s="166">
        <f>B10</f>
        <v>2000</v>
      </c>
      <c r="C75" s="166">
        <f t="shared" ref="C75:H75" si="61">B75+1</f>
        <v>2001</v>
      </c>
      <c r="D75" s="166">
        <f t="shared" si="61"/>
        <v>2002</v>
      </c>
      <c r="E75" s="166">
        <f t="shared" si="61"/>
        <v>2003</v>
      </c>
      <c r="F75" s="166">
        <f t="shared" si="61"/>
        <v>2004</v>
      </c>
      <c r="G75" s="166">
        <f>F75+1</f>
        <v>2005</v>
      </c>
      <c r="H75" s="166">
        <f t="shared" si="61"/>
        <v>2006</v>
      </c>
      <c r="I75" s="166">
        <f>AE10</f>
        <v>2007</v>
      </c>
      <c r="J75" s="166">
        <f t="shared" ref="J75:O75" si="62">J10</f>
        <v>2008</v>
      </c>
      <c r="K75" s="166">
        <f t="shared" si="62"/>
        <v>2009</v>
      </c>
      <c r="L75" s="166">
        <f t="shared" si="62"/>
        <v>2010</v>
      </c>
      <c r="M75" s="166">
        <f t="shared" si="62"/>
        <v>2011</v>
      </c>
      <c r="N75" s="166">
        <f t="shared" si="62"/>
        <v>2012</v>
      </c>
      <c r="O75" s="166">
        <f t="shared" si="62"/>
        <v>2013</v>
      </c>
      <c r="P75" s="166">
        <f>AL10</f>
        <v>2014</v>
      </c>
      <c r="Q75" s="277">
        <f>Q10</f>
        <v>2015</v>
      </c>
      <c r="R75" s="277">
        <f>R10</f>
        <v>2016</v>
      </c>
      <c r="S75" s="323">
        <f>S10</f>
        <v>2017</v>
      </c>
      <c r="T75" s="323">
        <f>T10</f>
        <v>2018</v>
      </c>
      <c r="U75" s="171" t="s">
        <v>23</v>
      </c>
      <c r="V75" s="141"/>
      <c r="W75" s="172" t="str">
        <f t="shared" si="2"/>
        <v>Account Name</v>
      </c>
      <c r="X75" s="176">
        <f t="shared" ref="X75:AL75" si="63">B75</f>
        <v>2000</v>
      </c>
      <c r="Y75" s="176">
        <f t="shared" si="63"/>
        <v>2001</v>
      </c>
      <c r="Z75" s="176">
        <f t="shared" si="63"/>
        <v>2002</v>
      </c>
      <c r="AA75" s="176">
        <f t="shared" si="63"/>
        <v>2003</v>
      </c>
      <c r="AB75" s="176">
        <f t="shared" si="63"/>
        <v>2004</v>
      </c>
      <c r="AC75" s="176">
        <f t="shared" si="63"/>
        <v>2005</v>
      </c>
      <c r="AD75" s="176">
        <f t="shared" si="63"/>
        <v>2006</v>
      </c>
      <c r="AE75" s="176">
        <f t="shared" si="63"/>
        <v>2007</v>
      </c>
      <c r="AF75" s="176">
        <f t="shared" si="63"/>
        <v>2008</v>
      </c>
      <c r="AG75" s="176">
        <f t="shared" si="63"/>
        <v>2009</v>
      </c>
      <c r="AH75" s="176">
        <f t="shared" si="63"/>
        <v>2010</v>
      </c>
      <c r="AI75" s="176">
        <f t="shared" si="63"/>
        <v>2011</v>
      </c>
      <c r="AJ75" s="176">
        <f t="shared" si="63"/>
        <v>2012</v>
      </c>
      <c r="AK75" s="176">
        <f t="shared" si="63"/>
        <v>2013</v>
      </c>
      <c r="AL75" s="176">
        <f t="shared" si="63"/>
        <v>2014</v>
      </c>
      <c r="AM75" s="279">
        <f>AM10</f>
        <v>2015</v>
      </c>
      <c r="AN75" s="279">
        <f>AN10</f>
        <v>2016</v>
      </c>
      <c r="AO75" s="278">
        <f>S75</f>
        <v>2017</v>
      </c>
      <c r="AP75" s="323">
        <f>AP10</f>
        <v>2018</v>
      </c>
      <c r="AQ75" s="177" t="s">
        <v>3</v>
      </c>
    </row>
    <row r="76" spans="1:45" x14ac:dyDescent="0.2">
      <c r="A76" s="163" t="s">
        <v>148</v>
      </c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4"/>
      <c r="V76" s="326"/>
      <c r="W76" s="195" t="str">
        <f t="shared" si="2"/>
        <v>Operating Sales and Revenues:</v>
      </c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</row>
    <row r="77" spans="1:45" x14ac:dyDescent="0.2">
      <c r="A77" s="138" t="s">
        <v>44</v>
      </c>
      <c r="B77" s="147">
        <v>3986.9</v>
      </c>
      <c r="C77" s="148">
        <v>5055.7</v>
      </c>
      <c r="D77" s="148">
        <v>3353.7</v>
      </c>
      <c r="E77" s="148">
        <v>3082.4</v>
      </c>
      <c r="F77" s="148">
        <v>3194.5</v>
      </c>
      <c r="G77" s="148">
        <v>3048.8</v>
      </c>
      <c r="H77" s="148">
        <v>3896.7</v>
      </c>
      <c r="I77" s="142">
        <v>4258</v>
      </c>
      <c r="J77" s="141">
        <v>4498</v>
      </c>
      <c r="K77" s="141">
        <v>4457</v>
      </c>
      <c r="L77" s="143">
        <v>4432</v>
      </c>
      <c r="M77" s="143">
        <v>4586</v>
      </c>
      <c r="N77" s="143">
        <v>4882</v>
      </c>
      <c r="O77" s="143">
        <v>5147</v>
      </c>
      <c r="P77" s="143">
        <v>5252</v>
      </c>
      <c r="Q77" s="143">
        <v>5232</v>
      </c>
      <c r="R77" s="143">
        <v>5201</v>
      </c>
      <c r="S77" s="143">
        <v>5237</v>
      </c>
      <c r="T77" s="143">
        <v>1184</v>
      </c>
      <c r="U77" s="140">
        <f>RATE(5,,-N77,S77)</f>
        <v>1.4137774944354501E-2</v>
      </c>
      <c r="V77" s="326"/>
      <c r="W77" s="2" t="str">
        <f t="shared" si="2"/>
        <v>Revenues</v>
      </c>
      <c r="X77" s="6">
        <f t="shared" ref="X77:AG78" si="64">B77/B$78</f>
        <v>1</v>
      </c>
      <c r="Y77" s="6">
        <f t="shared" si="64"/>
        <v>1</v>
      </c>
      <c r="Z77" s="6">
        <f t="shared" si="64"/>
        <v>1</v>
      </c>
      <c r="AA77" s="6">
        <f t="shared" si="64"/>
        <v>1</v>
      </c>
      <c r="AB77" s="6">
        <f t="shared" si="64"/>
        <v>1</v>
      </c>
      <c r="AC77" s="5">
        <f t="shared" si="64"/>
        <v>1</v>
      </c>
      <c r="AD77" s="5">
        <f t="shared" si="64"/>
        <v>1</v>
      </c>
      <c r="AE77" s="5">
        <f t="shared" si="64"/>
        <v>1</v>
      </c>
      <c r="AF77" s="5">
        <f t="shared" si="64"/>
        <v>1</v>
      </c>
      <c r="AG77" s="5">
        <f t="shared" si="64"/>
        <v>1</v>
      </c>
      <c r="AH77" s="5">
        <f t="shared" ref="AH77:AP78" si="65">L77/L$78</f>
        <v>1</v>
      </c>
      <c r="AI77" s="5">
        <f t="shared" si="65"/>
        <v>1</v>
      </c>
      <c r="AJ77" s="5">
        <f t="shared" si="65"/>
        <v>1</v>
      </c>
      <c r="AK77" s="5">
        <f t="shared" si="65"/>
        <v>1</v>
      </c>
      <c r="AL77" s="5">
        <f t="shared" si="65"/>
        <v>1</v>
      </c>
      <c r="AM77" s="5">
        <f t="shared" si="65"/>
        <v>1</v>
      </c>
      <c r="AN77" s="5">
        <f t="shared" si="65"/>
        <v>1</v>
      </c>
      <c r="AO77" s="5">
        <f t="shared" si="65"/>
        <v>1</v>
      </c>
      <c r="AP77" s="5">
        <f t="shared" si="65"/>
        <v>1</v>
      </c>
      <c r="AQ77" s="5">
        <f>SUM(N77:S77)/SUM(N$78:S$78)</f>
        <v>1</v>
      </c>
      <c r="AS77" s="5"/>
    </row>
    <row r="78" spans="1:45" x14ac:dyDescent="0.2">
      <c r="A78" s="163" t="s">
        <v>45</v>
      </c>
      <c r="B78" s="197">
        <f t="shared" ref="B78:L78" si="66">SUM(B76:B77)</f>
        <v>3986.9</v>
      </c>
      <c r="C78" s="197">
        <f t="shared" si="66"/>
        <v>5055.7</v>
      </c>
      <c r="D78" s="197">
        <f t="shared" si="66"/>
        <v>3353.7</v>
      </c>
      <c r="E78" s="197">
        <f t="shared" si="66"/>
        <v>3082.4</v>
      </c>
      <c r="F78" s="197">
        <f t="shared" si="66"/>
        <v>3194.5</v>
      </c>
      <c r="G78" s="197">
        <f t="shared" si="66"/>
        <v>3048.8</v>
      </c>
      <c r="H78" s="197">
        <f t="shared" si="66"/>
        <v>3896.7</v>
      </c>
      <c r="I78" s="163">
        <f t="shared" si="66"/>
        <v>4258</v>
      </c>
      <c r="J78" s="190">
        <f t="shared" si="66"/>
        <v>4498</v>
      </c>
      <c r="K78" s="190">
        <f t="shared" si="66"/>
        <v>4457</v>
      </c>
      <c r="L78" s="163">
        <f t="shared" si="66"/>
        <v>4432</v>
      </c>
      <c r="M78" s="163">
        <f t="shared" ref="M78:R78" si="67">SUM(M76:M77)</f>
        <v>4586</v>
      </c>
      <c r="N78" s="163">
        <f t="shared" si="67"/>
        <v>4882</v>
      </c>
      <c r="O78" s="163">
        <f t="shared" si="67"/>
        <v>5147</v>
      </c>
      <c r="P78" s="163">
        <f t="shared" si="67"/>
        <v>5252</v>
      </c>
      <c r="Q78" s="163">
        <f t="shared" ref="Q78" si="68">SUM(Q76:Q77)</f>
        <v>5232</v>
      </c>
      <c r="R78" s="163">
        <f t="shared" si="67"/>
        <v>5201</v>
      </c>
      <c r="S78" s="163">
        <f>SUM(S76:S77)</f>
        <v>5237</v>
      </c>
      <c r="T78" s="163">
        <f>SUM(T76:T77)</f>
        <v>1184</v>
      </c>
      <c r="U78" s="281">
        <f>RATE(5,,-N78,S78)</f>
        <v>1.4137774944354501E-2</v>
      </c>
      <c r="V78" s="326"/>
      <c r="W78" s="172" t="str">
        <f t="shared" si="2"/>
        <v>Total Revenues</v>
      </c>
      <c r="X78" s="179">
        <f t="shared" si="64"/>
        <v>1</v>
      </c>
      <c r="Y78" s="179">
        <f t="shared" si="64"/>
        <v>1</v>
      </c>
      <c r="Z78" s="179">
        <f t="shared" si="64"/>
        <v>1</v>
      </c>
      <c r="AA78" s="179">
        <f t="shared" si="64"/>
        <v>1</v>
      </c>
      <c r="AB78" s="179">
        <f t="shared" si="64"/>
        <v>1</v>
      </c>
      <c r="AC78" s="180">
        <f t="shared" si="64"/>
        <v>1</v>
      </c>
      <c r="AD78" s="180">
        <f t="shared" si="64"/>
        <v>1</v>
      </c>
      <c r="AE78" s="180">
        <f t="shared" si="64"/>
        <v>1</v>
      </c>
      <c r="AF78" s="180">
        <f t="shared" si="64"/>
        <v>1</v>
      </c>
      <c r="AG78" s="180">
        <f t="shared" si="64"/>
        <v>1</v>
      </c>
      <c r="AH78" s="180">
        <f t="shared" si="65"/>
        <v>1</v>
      </c>
      <c r="AI78" s="180">
        <f t="shared" si="65"/>
        <v>1</v>
      </c>
      <c r="AJ78" s="180">
        <f t="shared" si="65"/>
        <v>1</v>
      </c>
      <c r="AK78" s="180">
        <f t="shared" si="65"/>
        <v>1</v>
      </c>
      <c r="AL78" s="180">
        <f t="shared" si="65"/>
        <v>1</v>
      </c>
      <c r="AM78" s="180">
        <f t="shared" si="65"/>
        <v>1</v>
      </c>
      <c r="AN78" s="180">
        <f t="shared" si="65"/>
        <v>1</v>
      </c>
      <c r="AO78" s="180">
        <f t="shared" si="65"/>
        <v>1</v>
      </c>
      <c r="AP78" s="180">
        <f t="shared" si="65"/>
        <v>1</v>
      </c>
      <c r="AQ78" s="285">
        <f>SUM(M78:R78)/SUM(M$78:R$78)</f>
        <v>1</v>
      </c>
      <c r="AR78" s="172"/>
    </row>
    <row r="79" spans="1:45" ht="7.5" customHeight="1" x14ac:dyDescent="0.2">
      <c r="A79" s="138"/>
      <c r="B79" s="150"/>
      <c r="C79" s="150"/>
      <c r="D79" s="150"/>
      <c r="E79" s="150"/>
      <c r="F79" s="150"/>
      <c r="G79" s="150"/>
      <c r="H79" s="150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40"/>
      <c r="V79" s="326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</row>
    <row r="80" spans="1:45" x14ac:dyDescent="0.2">
      <c r="A80" s="163" t="s">
        <v>21</v>
      </c>
      <c r="B80" s="150"/>
      <c r="C80" s="150"/>
      <c r="D80" s="150"/>
      <c r="E80" s="150"/>
      <c r="F80" s="150"/>
      <c r="G80" s="150"/>
      <c r="H80" s="150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40"/>
      <c r="V80" s="326"/>
      <c r="W80" s="172" t="str">
        <f t="shared" ref="W80:W99" si="69">A80</f>
        <v>Operating Expenses:</v>
      </c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</row>
    <row r="81" spans="1:66" x14ac:dyDescent="0.2">
      <c r="A81" s="151" t="s">
        <v>169</v>
      </c>
      <c r="B81" s="150">
        <f>1217.8+512.3</f>
        <v>1730.1</v>
      </c>
      <c r="C81" s="150">
        <f>2636+491</f>
        <v>3127</v>
      </c>
      <c r="D81" s="150">
        <f>974.4+490.9</f>
        <v>1465.3</v>
      </c>
      <c r="E81" s="150">
        <f>698.5+482.2</f>
        <v>1180.7</v>
      </c>
      <c r="F81" s="150">
        <f>672.8+483.9</f>
        <v>1156.6999999999998</v>
      </c>
      <c r="G81" s="150">
        <f>448+500</f>
        <v>948</v>
      </c>
      <c r="H81" s="152">
        <f>1545.1</f>
        <v>1545.1</v>
      </c>
      <c r="I81" s="139">
        <v>1768</v>
      </c>
      <c r="J81" s="139">
        <v>1957</v>
      </c>
      <c r="K81" s="139">
        <v>1677</v>
      </c>
      <c r="L81" s="139">
        <v>1618</v>
      </c>
      <c r="M81" s="139">
        <v>1636</v>
      </c>
      <c r="N81" s="139">
        <v>1818</v>
      </c>
      <c r="O81" s="139">
        <v>1924</v>
      </c>
      <c r="P81" s="139">
        <v>1997</v>
      </c>
      <c r="Q81" s="139">
        <v>1868</v>
      </c>
      <c r="R81" s="139">
        <v>1751</v>
      </c>
      <c r="S81" s="139">
        <v>1770</v>
      </c>
      <c r="T81" s="139">
        <v>433</v>
      </c>
      <c r="U81" s="140">
        <f t="shared" ref="U81:U98" si="70">RATE(5,,-N81,S81)</f>
        <v>-5.3371961211078831E-3</v>
      </c>
      <c r="V81" s="326"/>
      <c r="W81" s="2" t="str">
        <f t="shared" si="69"/>
        <v>Energy Costs</v>
      </c>
      <c r="X81" s="5">
        <f t="shared" ref="X81:AG87" si="71">B81/B$78</f>
        <v>0.43394617371892946</v>
      </c>
      <c r="Y81" s="5">
        <f t="shared" si="71"/>
        <v>0.61850980081887774</v>
      </c>
      <c r="Z81" s="5">
        <f t="shared" si="71"/>
        <v>0.43692041625667177</v>
      </c>
      <c r="AA81" s="5">
        <f t="shared" si="71"/>
        <v>0.38304567869192835</v>
      </c>
      <c r="AB81" s="5">
        <f t="shared" si="71"/>
        <v>0.36209109406792922</v>
      </c>
      <c r="AC81" s="5">
        <f t="shared" si="71"/>
        <v>0.31094200997113619</v>
      </c>
      <c r="AD81" s="5">
        <f t="shared" si="71"/>
        <v>0.39651499987168631</v>
      </c>
      <c r="AE81" s="5">
        <f t="shared" si="71"/>
        <v>0.41521841240018786</v>
      </c>
      <c r="AF81" s="5">
        <f t="shared" si="71"/>
        <v>0.43508225878168072</v>
      </c>
      <c r="AG81" s="5">
        <f t="shared" si="71"/>
        <v>0.37626205968140003</v>
      </c>
      <c r="AH81" s="5">
        <f t="shared" ref="AH81:AP87" si="72">L81/L$78</f>
        <v>0.36507220216606501</v>
      </c>
      <c r="AI81" s="5">
        <f t="shared" si="72"/>
        <v>0.35673789795028349</v>
      </c>
      <c r="AJ81" s="5">
        <f t="shared" si="72"/>
        <v>0.37238836542400655</v>
      </c>
      <c r="AK81" s="5">
        <f t="shared" si="72"/>
        <v>0.37380998639984458</v>
      </c>
      <c r="AL81" s="5">
        <f t="shared" si="72"/>
        <v>0.38023610053313023</v>
      </c>
      <c r="AM81" s="5">
        <f t="shared" si="72"/>
        <v>0.35703363914373087</v>
      </c>
      <c r="AN81" s="5">
        <f t="shared" si="72"/>
        <v>0.33666602576427612</v>
      </c>
      <c r="AO81" s="5">
        <f t="shared" si="72"/>
        <v>0.33797975940423908</v>
      </c>
      <c r="AP81" s="5">
        <f t="shared" si="72"/>
        <v>0.36570945945945948</v>
      </c>
      <c r="AQ81" s="5">
        <f t="shared" ref="AQ81:AQ99" si="73">SUM(N81:S81)/SUM(N$78:S$78)</f>
        <v>0.35953604083874513</v>
      </c>
    </row>
    <row r="82" spans="1:66" x14ac:dyDescent="0.2">
      <c r="A82" s="151" t="s">
        <v>156</v>
      </c>
      <c r="B82" s="150">
        <f>726+283</f>
        <v>1009</v>
      </c>
      <c r="C82" s="150">
        <f>705.2+200.8</f>
        <v>906</v>
      </c>
      <c r="D82" s="150">
        <v>813.4</v>
      </c>
      <c r="E82" s="150">
        <v>885.1</v>
      </c>
      <c r="F82" s="150">
        <v>895.8</v>
      </c>
      <c r="G82" s="150">
        <v>913.1</v>
      </c>
      <c r="H82" s="150">
        <v>1014.5</v>
      </c>
      <c r="I82" s="139">
        <v>998</v>
      </c>
      <c r="J82" s="139">
        <v>985</v>
      </c>
      <c r="K82" s="139">
        <v>1035</v>
      </c>
      <c r="L82" s="138">
        <v>1081</v>
      </c>
      <c r="M82" s="138">
        <v>1103</v>
      </c>
      <c r="N82" s="138">
        <v>1242</v>
      </c>
      <c r="O82" s="138">
        <v>1114</v>
      </c>
      <c r="P82" s="138">
        <v>1057</v>
      </c>
      <c r="Q82" s="138">
        <v>1082</v>
      </c>
      <c r="R82" s="138">
        <v>1064</v>
      </c>
      <c r="S82" s="138">
        <v>1012</v>
      </c>
      <c r="T82" s="138">
        <v>250</v>
      </c>
      <c r="U82" s="140">
        <f t="shared" si="70"/>
        <v>-4.013140349446518E-2</v>
      </c>
      <c r="V82" s="326"/>
      <c r="W82" s="2" t="str">
        <f t="shared" si="69"/>
        <v>Other operations and maintenance</v>
      </c>
      <c r="X82" s="5">
        <f t="shared" si="71"/>
        <v>0.25307883317866009</v>
      </c>
      <c r="Y82" s="5">
        <f t="shared" si="71"/>
        <v>0.17920367110390253</v>
      </c>
      <c r="Z82" s="5">
        <f t="shared" si="71"/>
        <v>0.24253809225631393</v>
      </c>
      <c r="AA82" s="5">
        <f t="shared" si="71"/>
        <v>0.28714637944458865</v>
      </c>
      <c r="AB82" s="5">
        <f t="shared" si="71"/>
        <v>0.28041947096572234</v>
      </c>
      <c r="AC82" s="5">
        <f t="shared" si="71"/>
        <v>0.29949488323274731</v>
      </c>
      <c r="AD82" s="5">
        <f t="shared" si="71"/>
        <v>0.26034850001283139</v>
      </c>
      <c r="AE82" s="5">
        <f t="shared" si="71"/>
        <v>0.2343823391263504</v>
      </c>
      <c r="AF82" s="5">
        <f t="shared" si="71"/>
        <v>0.21898621609604269</v>
      </c>
      <c r="AG82" s="5">
        <f t="shared" si="71"/>
        <v>0.23221898137760827</v>
      </c>
      <c r="AH82" s="5">
        <f t="shared" si="72"/>
        <v>0.24390794223826714</v>
      </c>
      <c r="AI82" s="5">
        <f t="shared" si="72"/>
        <v>0.24051460968163976</v>
      </c>
      <c r="AJ82" s="5">
        <f t="shared" si="72"/>
        <v>0.25440393281442031</v>
      </c>
      <c r="AK82" s="5">
        <f t="shared" si="72"/>
        <v>0.21643675927724887</v>
      </c>
      <c r="AL82" s="5">
        <f t="shared" si="72"/>
        <v>0.20125666412795126</v>
      </c>
      <c r="AM82" s="5">
        <f t="shared" si="72"/>
        <v>0.20680428134556575</v>
      </c>
      <c r="AN82" s="5">
        <f t="shared" si="72"/>
        <v>0.20457604306864063</v>
      </c>
      <c r="AO82" s="5">
        <f t="shared" si="72"/>
        <v>0.19324040481191521</v>
      </c>
      <c r="AP82" s="5">
        <f t="shared" si="72"/>
        <v>0.21114864864864866</v>
      </c>
      <c r="AQ82" s="5">
        <f t="shared" si="73"/>
        <v>0.21230331814804046</v>
      </c>
    </row>
    <row r="83" spans="1:66" x14ac:dyDescent="0.2">
      <c r="A83" s="151" t="s">
        <v>157</v>
      </c>
      <c r="B83" s="150">
        <v>441.3</v>
      </c>
      <c r="C83" s="150">
        <v>429</v>
      </c>
      <c r="D83" s="150">
        <v>403</v>
      </c>
      <c r="E83" s="150">
        <v>434.3</v>
      </c>
      <c r="F83" s="150">
        <v>428.8</v>
      </c>
      <c r="G83" s="150">
        <v>436.9</v>
      </c>
      <c r="H83" s="150">
        <v>448.3</v>
      </c>
      <c r="I83" s="139">
        <v>497</v>
      </c>
      <c r="J83" s="139">
        <v>490</v>
      </c>
      <c r="K83" s="139">
        <v>549</v>
      </c>
      <c r="L83" s="138">
        <v>561</v>
      </c>
      <c r="M83" s="138">
        <v>611</v>
      </c>
      <c r="N83" s="138">
        <v>640</v>
      </c>
      <c r="O83" s="138">
        <v>675</v>
      </c>
      <c r="P83" s="138">
        <v>726</v>
      </c>
      <c r="Q83" s="138">
        <v>757</v>
      </c>
      <c r="R83" s="138">
        <v>770</v>
      </c>
      <c r="S83" s="138">
        <v>796</v>
      </c>
      <c r="T83" s="138">
        <v>202</v>
      </c>
      <c r="U83" s="140">
        <f t="shared" si="70"/>
        <v>4.4591815463761515E-2</v>
      </c>
      <c r="V83" s="144"/>
      <c r="W83" s="2" t="str">
        <f t="shared" si="69"/>
        <v>Depreciation and amortization</v>
      </c>
      <c r="X83" s="5">
        <f t="shared" si="71"/>
        <v>0.110687501567634</v>
      </c>
      <c r="Y83" s="5">
        <f t="shared" si="71"/>
        <v>8.48547184366161E-2</v>
      </c>
      <c r="Z83" s="5">
        <f t="shared" si="71"/>
        <v>0.1201657870411784</v>
      </c>
      <c r="AA83" s="5">
        <f t="shared" si="71"/>
        <v>0.14089670386711653</v>
      </c>
      <c r="AB83" s="5">
        <f t="shared" si="71"/>
        <v>0.13423070903114728</v>
      </c>
      <c r="AC83" s="5">
        <f t="shared" si="71"/>
        <v>0.14330228286538965</v>
      </c>
      <c r="AD83" s="5">
        <f t="shared" si="71"/>
        <v>0.11504606461878</v>
      </c>
      <c r="AE83" s="5">
        <f t="shared" si="71"/>
        <v>0.11672146547674965</v>
      </c>
      <c r="AF83" s="5">
        <f t="shared" si="71"/>
        <v>0.10893730546909737</v>
      </c>
      <c r="AG83" s="5">
        <f t="shared" si="71"/>
        <v>0.12317702490464438</v>
      </c>
      <c r="AH83" s="5">
        <f t="shared" si="72"/>
        <v>0.12657942238267147</v>
      </c>
      <c r="AI83" s="5">
        <f t="shared" si="72"/>
        <v>0.13323157435673791</v>
      </c>
      <c r="AJ83" s="5">
        <f t="shared" si="72"/>
        <v>0.13109381401065137</v>
      </c>
      <c r="AK83" s="5">
        <f t="shared" si="72"/>
        <v>0.13114435593549639</v>
      </c>
      <c r="AL83" s="5">
        <f t="shared" si="72"/>
        <v>0.13823305407463823</v>
      </c>
      <c r="AM83" s="5">
        <f t="shared" si="72"/>
        <v>0.14468654434250763</v>
      </c>
      <c r="AN83" s="5">
        <f t="shared" si="72"/>
        <v>0.1480484522207268</v>
      </c>
      <c r="AO83" s="5">
        <f t="shared" si="72"/>
        <v>0.1519954172236013</v>
      </c>
      <c r="AP83" s="5">
        <f t="shared" si="72"/>
        <v>0.17060810810810811</v>
      </c>
      <c r="AQ83" s="5">
        <f t="shared" si="73"/>
        <v>0.14099705986882491</v>
      </c>
    </row>
    <row r="84" spans="1:66" x14ac:dyDescent="0.2">
      <c r="A84" s="151" t="s">
        <v>159</v>
      </c>
      <c r="B84" s="150">
        <v>101.4</v>
      </c>
      <c r="C84" s="150">
        <v>100.3</v>
      </c>
      <c r="D84" s="150">
        <v>90.8</v>
      </c>
      <c r="E84" s="150">
        <v>93.4</v>
      </c>
      <c r="F84" s="150">
        <v>95.3</v>
      </c>
      <c r="G84" s="150">
        <v>94.4</v>
      </c>
      <c r="H84" s="150">
        <v>96.8</v>
      </c>
      <c r="I84" s="139">
        <v>101</v>
      </c>
      <c r="J84" s="139">
        <v>112</v>
      </c>
      <c r="K84" s="139">
        <v>136</v>
      </c>
      <c r="L84" s="138">
        <v>136</v>
      </c>
      <c r="M84" s="138">
        <v>152</v>
      </c>
      <c r="N84" s="138">
        <v>161</v>
      </c>
      <c r="O84" s="138">
        <v>170</v>
      </c>
      <c r="P84" s="138">
        <v>172</v>
      </c>
      <c r="Q84" s="138">
        <v>185</v>
      </c>
      <c r="R84" s="138">
        <v>190</v>
      </c>
      <c r="S84" s="138">
        <v>197</v>
      </c>
      <c r="T84" s="138">
        <v>52</v>
      </c>
      <c r="U84" s="140">
        <f t="shared" si="70"/>
        <v>4.1185401033750881E-2</v>
      </c>
      <c r="V84" s="141"/>
      <c r="W84" s="2" t="str">
        <f t="shared" si="69"/>
        <v>Taxes, other than income taxes</v>
      </c>
      <c r="X84" s="5">
        <f t="shared" si="71"/>
        <v>2.5433294037974365E-2</v>
      </c>
      <c r="Y84" s="5">
        <f t="shared" si="71"/>
        <v>1.983899361117155E-2</v>
      </c>
      <c r="Z84" s="5">
        <f t="shared" si="71"/>
        <v>2.7074574350717119E-2</v>
      </c>
      <c r="AA84" s="5">
        <f t="shared" si="71"/>
        <v>3.0301064105891513E-2</v>
      </c>
      <c r="AB84" s="5">
        <f t="shared" si="71"/>
        <v>2.9832524651745185E-2</v>
      </c>
      <c r="AC84" s="5">
        <f t="shared" si="71"/>
        <v>3.0963001836788243E-2</v>
      </c>
      <c r="AD84" s="5">
        <f t="shared" si="71"/>
        <v>2.4841532578848771E-2</v>
      </c>
      <c r="AE84" s="5">
        <f t="shared" si="71"/>
        <v>2.3720056364490372E-2</v>
      </c>
      <c r="AF84" s="5">
        <f t="shared" si="71"/>
        <v>2.4899955535793685E-2</v>
      </c>
      <c r="AG84" s="5">
        <f t="shared" si="71"/>
        <v>3.0513798519183306E-2</v>
      </c>
      <c r="AH84" s="5">
        <f t="shared" si="72"/>
        <v>3.0685920577617327E-2</v>
      </c>
      <c r="AI84" s="5">
        <f t="shared" si="72"/>
        <v>3.3144352376798955E-2</v>
      </c>
      <c r="AJ84" s="5">
        <f t="shared" si="72"/>
        <v>3.2978287587054483E-2</v>
      </c>
      <c r="AK84" s="5">
        <f t="shared" si="72"/>
        <v>3.3028948902273168E-2</v>
      </c>
      <c r="AL84" s="5">
        <f t="shared" si="72"/>
        <v>3.2749428789032753E-2</v>
      </c>
      <c r="AM84" s="5">
        <f t="shared" si="72"/>
        <v>3.5359327217125383E-2</v>
      </c>
      <c r="AN84" s="5">
        <f t="shared" si="72"/>
        <v>3.6531436262257258E-2</v>
      </c>
      <c r="AO84" s="5">
        <f t="shared" si="72"/>
        <v>3.7616956272675195E-2</v>
      </c>
      <c r="AP84" s="5">
        <f t="shared" si="72"/>
        <v>4.3918918918918921E-2</v>
      </c>
      <c r="AQ84" s="5">
        <f t="shared" si="73"/>
        <v>3.4732318826532257E-2</v>
      </c>
    </row>
    <row r="85" spans="1:66" s="21" customFormat="1" hidden="1" x14ac:dyDescent="0.2">
      <c r="A85" s="151" t="s">
        <v>158</v>
      </c>
      <c r="B85" s="148">
        <v>0</v>
      </c>
      <c r="C85" s="148">
        <v>-30.6</v>
      </c>
      <c r="D85" s="148">
        <v>-32.4</v>
      </c>
      <c r="E85" s="148">
        <v>0</v>
      </c>
      <c r="F85" s="148">
        <v>0</v>
      </c>
      <c r="G85" s="148">
        <v>0</v>
      </c>
      <c r="H85" s="149">
        <v>0</v>
      </c>
      <c r="I85" s="143">
        <v>0</v>
      </c>
      <c r="J85" s="143">
        <v>0</v>
      </c>
      <c r="K85" s="143">
        <v>0</v>
      </c>
      <c r="L85" s="143">
        <v>0</v>
      </c>
      <c r="M85" s="143">
        <v>0</v>
      </c>
      <c r="N85" s="143">
        <v>0</v>
      </c>
      <c r="O85" s="143">
        <v>0</v>
      </c>
      <c r="P85" s="143">
        <v>0</v>
      </c>
      <c r="Q85" s="143">
        <v>0</v>
      </c>
      <c r="R85" s="143">
        <v>0</v>
      </c>
      <c r="S85" s="143">
        <v>0</v>
      </c>
      <c r="T85" s="143">
        <v>0</v>
      </c>
      <c r="U85" s="140" t="e">
        <f t="shared" si="70"/>
        <v>#NUM!</v>
      </c>
      <c r="V85" s="326"/>
      <c r="W85" s="2" t="str">
        <f t="shared" si="69"/>
        <v>Other Operating Expenses</v>
      </c>
      <c r="X85" s="6">
        <f t="shared" si="71"/>
        <v>0</v>
      </c>
      <c r="Y85" s="6">
        <f t="shared" si="71"/>
        <v>-6.0525743220523377E-3</v>
      </c>
      <c r="Z85" s="6">
        <f t="shared" si="71"/>
        <v>-9.6609714643528053E-3</v>
      </c>
      <c r="AA85" s="6">
        <f t="shared" si="71"/>
        <v>0</v>
      </c>
      <c r="AB85" s="18">
        <f t="shared" si="71"/>
        <v>0</v>
      </c>
      <c r="AC85" s="18">
        <f t="shared" si="71"/>
        <v>0</v>
      </c>
      <c r="AD85" s="18">
        <f t="shared" si="71"/>
        <v>0</v>
      </c>
      <c r="AE85" s="18">
        <f t="shared" si="71"/>
        <v>0</v>
      </c>
      <c r="AF85" s="18">
        <f t="shared" si="71"/>
        <v>0</v>
      </c>
      <c r="AG85" s="18">
        <f t="shared" si="71"/>
        <v>0</v>
      </c>
      <c r="AH85" s="18">
        <f t="shared" si="72"/>
        <v>0</v>
      </c>
      <c r="AI85" s="18">
        <f t="shared" si="72"/>
        <v>0</v>
      </c>
      <c r="AJ85" s="18">
        <f t="shared" si="72"/>
        <v>0</v>
      </c>
      <c r="AK85" s="18">
        <f t="shared" si="72"/>
        <v>0</v>
      </c>
      <c r="AL85" s="18">
        <f t="shared" si="72"/>
        <v>0</v>
      </c>
      <c r="AM85" s="18">
        <f t="shared" si="72"/>
        <v>0</v>
      </c>
      <c r="AN85" s="18">
        <f t="shared" si="72"/>
        <v>0</v>
      </c>
      <c r="AO85" s="18">
        <f t="shared" si="72"/>
        <v>0</v>
      </c>
      <c r="AP85" s="18">
        <f t="shared" si="72"/>
        <v>0</v>
      </c>
      <c r="AQ85" s="5">
        <f t="shared" si="73"/>
        <v>0</v>
      </c>
      <c r="AR85" s="2"/>
      <c r="AS85" s="19"/>
      <c r="AT85" s="19"/>
      <c r="AU85" s="19"/>
      <c r="AV85" s="19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  <c r="BH85" s="110"/>
      <c r="BI85" s="110"/>
      <c r="BJ85" s="110"/>
      <c r="BK85" s="110"/>
      <c r="BL85" s="110"/>
      <c r="BM85" s="110"/>
      <c r="BN85" s="110"/>
    </row>
    <row r="86" spans="1:66" s="21" customFormat="1" ht="12.75" customHeight="1" x14ac:dyDescent="0.2">
      <c r="A86" s="138" t="s">
        <v>37</v>
      </c>
      <c r="B86" s="148">
        <f t="shared" ref="B86:L86" si="74">SUM(B80:B85)</f>
        <v>3281.8</v>
      </c>
      <c r="C86" s="148">
        <f t="shared" si="74"/>
        <v>4531.7</v>
      </c>
      <c r="D86" s="148">
        <f t="shared" si="74"/>
        <v>2740.1</v>
      </c>
      <c r="E86" s="148">
        <f t="shared" si="74"/>
        <v>2593.5000000000005</v>
      </c>
      <c r="F86" s="153">
        <f t="shared" si="74"/>
        <v>2576.6000000000004</v>
      </c>
      <c r="G86" s="153">
        <f t="shared" si="74"/>
        <v>2392.4</v>
      </c>
      <c r="H86" s="153">
        <f t="shared" si="74"/>
        <v>3104.7000000000003</v>
      </c>
      <c r="I86" s="262">
        <f t="shared" si="74"/>
        <v>3364</v>
      </c>
      <c r="J86" s="262">
        <f>SUM(J80:J85)</f>
        <v>3544</v>
      </c>
      <c r="K86" s="262">
        <f>SUM(K80:K85)</f>
        <v>3397</v>
      </c>
      <c r="L86" s="262">
        <f t="shared" si="74"/>
        <v>3396</v>
      </c>
      <c r="M86" s="262">
        <f t="shared" ref="M86:R86" si="75">SUM(M80:M85)</f>
        <v>3502</v>
      </c>
      <c r="N86" s="262">
        <f t="shared" si="75"/>
        <v>3861</v>
      </c>
      <c r="O86" s="262">
        <f t="shared" si="75"/>
        <v>3883</v>
      </c>
      <c r="P86" s="262">
        <f t="shared" si="75"/>
        <v>3952</v>
      </c>
      <c r="Q86" s="262">
        <f t="shared" ref="Q86" si="76">SUM(Q80:Q85)</f>
        <v>3892</v>
      </c>
      <c r="R86" s="262">
        <f t="shared" si="75"/>
        <v>3775</v>
      </c>
      <c r="S86" s="262">
        <f>SUM(S80:S85)</f>
        <v>3775</v>
      </c>
      <c r="T86" s="262">
        <f>SUM(T80:T85)</f>
        <v>937</v>
      </c>
      <c r="U86" s="283">
        <f t="shared" si="70"/>
        <v>-4.495033874476446E-3</v>
      </c>
      <c r="V86" s="326"/>
      <c r="W86" s="2" t="str">
        <f t="shared" si="69"/>
        <v>Total Operating Expenses</v>
      </c>
      <c r="X86" s="6">
        <f t="shared" si="71"/>
        <v>0.82314580250319802</v>
      </c>
      <c r="Y86" s="6">
        <f t="shared" si="71"/>
        <v>0.89635460964851554</v>
      </c>
      <c r="Z86" s="6">
        <f t="shared" si="71"/>
        <v>0.81703789844052843</v>
      </c>
      <c r="AA86" s="6">
        <f t="shared" si="71"/>
        <v>0.84138982610952517</v>
      </c>
      <c r="AB86" s="97">
        <f t="shared" si="71"/>
        <v>0.80657379871654422</v>
      </c>
      <c r="AC86" s="97">
        <f t="shared" si="71"/>
        <v>0.78470217790606134</v>
      </c>
      <c r="AD86" s="97">
        <f t="shared" si="71"/>
        <v>0.79675109708214653</v>
      </c>
      <c r="AE86" s="97">
        <f t="shared" si="71"/>
        <v>0.79004227336777832</v>
      </c>
      <c r="AF86" s="97">
        <f t="shared" si="71"/>
        <v>0.78790573588261448</v>
      </c>
      <c r="AG86" s="97">
        <f t="shared" si="71"/>
        <v>0.76217186448283603</v>
      </c>
      <c r="AH86" s="97">
        <f t="shared" si="72"/>
        <v>0.76624548736462095</v>
      </c>
      <c r="AI86" s="97">
        <f t="shared" si="72"/>
        <v>0.76362843436546013</v>
      </c>
      <c r="AJ86" s="97">
        <f t="shared" si="72"/>
        <v>0.79086439983613277</v>
      </c>
      <c r="AK86" s="97">
        <f t="shared" si="72"/>
        <v>0.75442005051486305</v>
      </c>
      <c r="AL86" s="97">
        <f t="shared" si="72"/>
        <v>0.75247524752475248</v>
      </c>
      <c r="AM86" s="97">
        <f t="shared" si="72"/>
        <v>0.74388379204892963</v>
      </c>
      <c r="AN86" s="97">
        <f t="shared" si="72"/>
        <v>0.72582195731590082</v>
      </c>
      <c r="AO86" s="97">
        <f t="shared" si="72"/>
        <v>0.72083253771243083</v>
      </c>
      <c r="AP86" s="97">
        <f t="shared" si="72"/>
        <v>0.79138513513513509</v>
      </c>
      <c r="AQ86" s="342">
        <f t="shared" si="73"/>
        <v>0.74756873768214271</v>
      </c>
      <c r="AR86" s="2"/>
      <c r="AS86" s="19"/>
      <c r="AT86" s="19"/>
      <c r="AU86" s="19"/>
      <c r="AV86" s="19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  <c r="BI86" s="110"/>
      <c r="BJ86" s="110"/>
      <c r="BK86" s="110"/>
      <c r="BL86" s="110"/>
      <c r="BM86" s="110"/>
      <c r="BN86" s="110"/>
    </row>
    <row r="87" spans="1:66" s="21" customFormat="1" x14ac:dyDescent="0.2">
      <c r="A87" s="163" t="s">
        <v>13</v>
      </c>
      <c r="B87" s="197">
        <f t="shared" ref="B87:L87" si="77">B78-B86</f>
        <v>705.09999999999991</v>
      </c>
      <c r="C87" s="197">
        <f t="shared" si="77"/>
        <v>524</v>
      </c>
      <c r="D87" s="197">
        <f t="shared" si="77"/>
        <v>613.59999999999991</v>
      </c>
      <c r="E87" s="197">
        <f t="shared" si="77"/>
        <v>488.89999999999964</v>
      </c>
      <c r="F87" s="197">
        <f t="shared" si="77"/>
        <v>617.89999999999964</v>
      </c>
      <c r="G87" s="197">
        <f t="shared" si="77"/>
        <v>656.40000000000009</v>
      </c>
      <c r="H87" s="197">
        <f t="shared" si="77"/>
        <v>791.99999999999955</v>
      </c>
      <c r="I87" s="163">
        <f t="shared" si="77"/>
        <v>894</v>
      </c>
      <c r="J87" s="163">
        <f t="shared" si="77"/>
        <v>954</v>
      </c>
      <c r="K87" s="163">
        <f t="shared" si="77"/>
        <v>1060</v>
      </c>
      <c r="L87" s="163">
        <f t="shared" si="77"/>
        <v>1036</v>
      </c>
      <c r="M87" s="163">
        <f t="shared" ref="M87:R87" si="78">M78-M86</f>
        <v>1084</v>
      </c>
      <c r="N87" s="163">
        <f t="shared" si="78"/>
        <v>1021</v>
      </c>
      <c r="O87" s="163">
        <f t="shared" si="78"/>
        <v>1264</v>
      </c>
      <c r="P87" s="163">
        <f t="shared" si="78"/>
        <v>1300</v>
      </c>
      <c r="Q87" s="163">
        <f t="shared" ref="Q87" si="79">Q78-Q86</f>
        <v>1340</v>
      </c>
      <c r="R87" s="163">
        <f t="shared" si="78"/>
        <v>1426</v>
      </c>
      <c r="S87" s="163">
        <f>S78-S86</f>
        <v>1462</v>
      </c>
      <c r="T87" s="163">
        <f>T78-T86</f>
        <v>247</v>
      </c>
      <c r="U87" s="281">
        <f t="shared" si="70"/>
        <v>7.4445338704957884E-2</v>
      </c>
      <c r="V87" s="141"/>
      <c r="W87" s="172" t="str">
        <f t="shared" si="69"/>
        <v>Earnings From Operations</v>
      </c>
      <c r="X87" s="179">
        <f t="shared" si="71"/>
        <v>0.17685419749680201</v>
      </c>
      <c r="Y87" s="179">
        <f t="shared" si="71"/>
        <v>0.10364539035148447</v>
      </c>
      <c r="Z87" s="179">
        <f t="shared" si="71"/>
        <v>0.18296210155947162</v>
      </c>
      <c r="AA87" s="179">
        <f t="shared" si="71"/>
        <v>0.15861017389047483</v>
      </c>
      <c r="AB87" s="179">
        <f t="shared" si="71"/>
        <v>0.19342620128345583</v>
      </c>
      <c r="AC87" s="179">
        <f t="shared" si="71"/>
        <v>0.21529782209393861</v>
      </c>
      <c r="AD87" s="179">
        <f t="shared" si="71"/>
        <v>0.20324890291785347</v>
      </c>
      <c r="AE87" s="179">
        <f t="shared" si="71"/>
        <v>0.2099577266322217</v>
      </c>
      <c r="AF87" s="179">
        <f t="shared" si="71"/>
        <v>0.21209426411738549</v>
      </c>
      <c r="AG87" s="179">
        <f t="shared" si="71"/>
        <v>0.237828135517164</v>
      </c>
      <c r="AH87" s="179">
        <f t="shared" si="72"/>
        <v>0.23375451263537905</v>
      </c>
      <c r="AI87" s="179">
        <f t="shared" si="72"/>
        <v>0.2363715656345399</v>
      </c>
      <c r="AJ87" s="179">
        <f t="shared" si="72"/>
        <v>0.20913560016386726</v>
      </c>
      <c r="AK87" s="179">
        <f t="shared" si="72"/>
        <v>0.24557994948513698</v>
      </c>
      <c r="AL87" s="179">
        <f t="shared" si="72"/>
        <v>0.24752475247524752</v>
      </c>
      <c r="AM87" s="179">
        <f t="shared" si="72"/>
        <v>0.25611620795107032</v>
      </c>
      <c r="AN87" s="179">
        <f t="shared" si="72"/>
        <v>0.27417804268409923</v>
      </c>
      <c r="AO87" s="179">
        <f t="shared" si="72"/>
        <v>0.27916746228756922</v>
      </c>
      <c r="AP87" s="179">
        <f t="shared" si="72"/>
        <v>0.20861486486486486</v>
      </c>
      <c r="AQ87" s="285">
        <f t="shared" si="73"/>
        <v>0.25243126231785729</v>
      </c>
      <c r="AR87" s="103"/>
      <c r="AS87" s="19"/>
      <c r="AT87" s="19"/>
      <c r="AU87" s="19"/>
      <c r="AV87" s="19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  <c r="BH87" s="110"/>
      <c r="BI87" s="110"/>
      <c r="BJ87" s="110"/>
      <c r="BK87" s="110"/>
      <c r="BL87" s="110"/>
      <c r="BM87" s="110"/>
      <c r="BN87" s="110"/>
    </row>
    <row r="88" spans="1:66" s="21" customFormat="1" ht="7.5" customHeight="1" x14ac:dyDescent="0.2">
      <c r="A88" s="138"/>
      <c r="B88" s="150"/>
      <c r="C88" s="150"/>
      <c r="D88" s="150"/>
      <c r="E88" s="150"/>
      <c r="F88" s="150"/>
      <c r="G88" s="150"/>
      <c r="H88" s="150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40"/>
      <c r="V88" s="141"/>
      <c r="W88" s="2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19"/>
      <c r="AS88" s="19"/>
      <c r="AT88" s="19"/>
      <c r="AU88" s="19"/>
      <c r="AV88" s="19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  <c r="BH88" s="110"/>
      <c r="BI88" s="110"/>
      <c r="BJ88" s="110"/>
      <c r="BK88" s="110"/>
      <c r="BL88" s="110"/>
      <c r="BM88" s="110"/>
      <c r="BN88" s="110"/>
    </row>
    <row r="89" spans="1:66" x14ac:dyDescent="0.2">
      <c r="A89" s="198" t="s">
        <v>160</v>
      </c>
      <c r="B89" s="197">
        <f>341.4-20.2</f>
        <v>321.2</v>
      </c>
      <c r="C89" s="197">
        <f>290.4-12.9</f>
        <v>277.5</v>
      </c>
      <c r="D89" s="197">
        <f>227.7-6.9</f>
        <v>220.79999999999998</v>
      </c>
      <c r="E89" s="197">
        <f>270.3-18</f>
        <v>252.3</v>
      </c>
      <c r="F89" s="197">
        <f>256.5-19.9</f>
        <v>236.6</v>
      </c>
      <c r="G89" s="197">
        <f>267.4-14.8</f>
        <v>252.59999999999997</v>
      </c>
      <c r="H89" s="197">
        <f>279.9-32.4</f>
        <v>247.49999999999997</v>
      </c>
      <c r="I89" s="163">
        <f>314-29</f>
        <v>285</v>
      </c>
      <c r="J89" s="163">
        <f>343-34</f>
        <v>309</v>
      </c>
      <c r="K89" s="163">
        <f>394-35</f>
        <v>359</v>
      </c>
      <c r="L89" s="163">
        <f>387-45</f>
        <v>342</v>
      </c>
      <c r="M89" s="163">
        <f>392-25</f>
        <v>367</v>
      </c>
      <c r="N89" s="163">
        <f>380-29</f>
        <v>351</v>
      </c>
      <c r="O89" s="163">
        <f>379-29</f>
        <v>350</v>
      </c>
      <c r="P89" s="163">
        <f>379-25</f>
        <v>354</v>
      </c>
      <c r="Q89" s="163">
        <f>379-18</f>
        <v>361</v>
      </c>
      <c r="R89" s="163">
        <f>380-15</f>
        <v>365</v>
      </c>
      <c r="S89" s="163">
        <v>381</v>
      </c>
      <c r="T89" s="163">
        <v>96</v>
      </c>
      <c r="U89" s="164">
        <f t="shared" si="70"/>
        <v>1.6537892010191617E-2</v>
      </c>
      <c r="V89" s="141"/>
      <c r="W89" s="172" t="str">
        <f t="shared" si="69"/>
        <v>Interest expense (net)</v>
      </c>
      <c r="X89" s="107">
        <f t="shared" ref="X89:AG93" si="80">B89/B$78</f>
        <v>8.0563846597607153E-2</v>
      </c>
      <c r="Y89" s="107">
        <f t="shared" si="80"/>
        <v>5.4888541646062862E-2</v>
      </c>
      <c r="Z89" s="107">
        <f t="shared" si="80"/>
        <v>6.5837731460774665E-2</v>
      </c>
      <c r="AA89" s="107">
        <f t="shared" si="80"/>
        <v>8.185180378925512E-2</v>
      </c>
      <c r="AB89" s="107">
        <f t="shared" si="80"/>
        <v>7.4064798873063081E-2</v>
      </c>
      <c r="AC89" s="179">
        <f t="shared" si="80"/>
        <v>8.285226974547362E-2</v>
      </c>
      <c r="AD89" s="179">
        <f t="shared" si="80"/>
        <v>6.3515282161829237E-2</v>
      </c>
      <c r="AE89" s="179">
        <f t="shared" si="80"/>
        <v>6.693283231564115E-2</v>
      </c>
      <c r="AF89" s="179">
        <f t="shared" si="80"/>
        <v>6.8697198755002228E-2</v>
      </c>
      <c r="AG89" s="179">
        <f t="shared" si="80"/>
        <v>8.0547453444020645E-2</v>
      </c>
      <c r="AH89" s="179">
        <f t="shared" ref="AH89:AP93" si="81">L89/L$78</f>
        <v>7.7166064981949459E-2</v>
      </c>
      <c r="AI89" s="179">
        <f t="shared" si="81"/>
        <v>8.0026166593981679E-2</v>
      </c>
      <c r="AJ89" s="179">
        <f t="shared" si="81"/>
        <v>7.1896763621466617E-2</v>
      </c>
      <c r="AK89" s="179">
        <f t="shared" si="81"/>
        <v>6.8000777151738884E-2</v>
      </c>
      <c r="AL89" s="179">
        <f t="shared" si="81"/>
        <v>6.7402894135567409E-2</v>
      </c>
      <c r="AM89" s="179">
        <f t="shared" si="81"/>
        <v>6.899847094801223E-2</v>
      </c>
      <c r="AN89" s="179">
        <f t="shared" si="81"/>
        <v>7.0178811766967886E-2</v>
      </c>
      <c r="AO89" s="179">
        <f t="shared" si="81"/>
        <v>7.2751575329387058E-2</v>
      </c>
      <c r="AP89" s="179">
        <f t="shared" si="81"/>
        <v>8.1081081081081086E-2</v>
      </c>
      <c r="AQ89" s="5">
        <f t="shared" si="73"/>
        <v>6.9852347258569994E-2</v>
      </c>
      <c r="AR89" s="103"/>
    </row>
    <row r="90" spans="1:66" ht="12.75" customHeight="1" x14ac:dyDescent="0.2">
      <c r="A90" s="151" t="s">
        <v>161</v>
      </c>
      <c r="B90" s="150">
        <v>-17.100000000000001</v>
      </c>
      <c r="C90" s="150">
        <v>-32.6</v>
      </c>
      <c r="D90" s="150">
        <v>-47.5</v>
      </c>
      <c r="E90" s="150">
        <v>-21.6</v>
      </c>
      <c r="F90" s="150">
        <v>-13.8</v>
      </c>
      <c r="G90" s="150">
        <v>-9.1</v>
      </c>
      <c r="H90" s="150">
        <v>-9.5</v>
      </c>
      <c r="I90" s="138">
        <v>-15</v>
      </c>
      <c r="J90" s="138">
        <v>-11</v>
      </c>
      <c r="K90" s="138">
        <v>-19</v>
      </c>
      <c r="L90" s="138">
        <v>-5</v>
      </c>
      <c r="M90" s="138">
        <v>-4</v>
      </c>
      <c r="N90" s="138">
        <v>-6</v>
      </c>
      <c r="O90" s="138">
        <v>-8</v>
      </c>
      <c r="P90" s="138">
        <v>-10</v>
      </c>
      <c r="Q90" s="138">
        <v>-11</v>
      </c>
      <c r="R90" s="138">
        <v>-15</v>
      </c>
      <c r="S90" s="138">
        <v>-11</v>
      </c>
      <c r="T90" s="138">
        <f>-4-7</f>
        <v>-11</v>
      </c>
      <c r="U90" s="140">
        <f t="shared" si="70"/>
        <v>0.12888132073019756</v>
      </c>
      <c r="V90" s="141"/>
      <c r="W90" s="2" t="str">
        <f t="shared" si="69"/>
        <v>Interest income</v>
      </c>
      <c r="X90" s="18">
        <f t="shared" si="80"/>
        <v>-4.2890466277057367E-3</v>
      </c>
      <c r="Y90" s="18">
        <f t="shared" si="80"/>
        <v>-6.4481674149969347E-3</v>
      </c>
      <c r="Z90" s="18">
        <f t="shared" si="80"/>
        <v>-1.4163461251751797E-2</v>
      </c>
      <c r="AA90" s="18">
        <f t="shared" si="80"/>
        <v>-7.007526602647288E-3</v>
      </c>
      <c r="AB90" s="18">
        <f t="shared" si="80"/>
        <v>-4.3199248708718115E-3</v>
      </c>
      <c r="AC90" s="5">
        <f t="shared" si="80"/>
        <v>-2.9847808974022565E-3</v>
      </c>
      <c r="AD90" s="5">
        <f t="shared" si="80"/>
        <v>-2.4379603254035469E-3</v>
      </c>
      <c r="AE90" s="5">
        <f t="shared" si="80"/>
        <v>-3.5227806481916393E-3</v>
      </c>
      <c r="AF90" s="5">
        <f t="shared" si="80"/>
        <v>-2.4455313472654511E-3</v>
      </c>
      <c r="AG90" s="5">
        <f t="shared" si="80"/>
        <v>-4.2629571460623735E-3</v>
      </c>
      <c r="AH90" s="5">
        <f t="shared" si="81"/>
        <v>-1.1281588447653429E-3</v>
      </c>
      <c r="AI90" s="5">
        <f t="shared" si="81"/>
        <v>-8.7221979938944616E-4</v>
      </c>
      <c r="AJ90" s="5">
        <f t="shared" si="81"/>
        <v>-1.2290045063498567E-3</v>
      </c>
      <c r="AK90" s="5">
        <f t="shared" si="81"/>
        <v>-1.5543034777540316E-3</v>
      </c>
      <c r="AL90" s="5">
        <f t="shared" si="81"/>
        <v>-1.904036557501904E-3</v>
      </c>
      <c r="AM90" s="5">
        <f t="shared" si="81"/>
        <v>-2.102446483180428E-3</v>
      </c>
      <c r="AN90" s="5">
        <f t="shared" si="81"/>
        <v>-2.8840607575466256E-3</v>
      </c>
      <c r="AO90" s="5">
        <f t="shared" si="81"/>
        <v>-2.1004391827382091E-3</v>
      </c>
      <c r="AP90" s="5">
        <f t="shared" si="81"/>
        <v>-9.2905405405405411E-3</v>
      </c>
      <c r="AQ90" s="5">
        <f t="shared" si="73"/>
        <v>-1.970857161319505E-3</v>
      </c>
      <c r="AR90" s="19"/>
    </row>
    <row r="91" spans="1:66" ht="12.75" hidden="1" customHeight="1" x14ac:dyDescent="0.2">
      <c r="A91" s="151" t="s">
        <v>162</v>
      </c>
      <c r="B91" s="150">
        <v>0</v>
      </c>
      <c r="C91" s="150">
        <v>184.2</v>
      </c>
      <c r="D91" s="150">
        <v>-27.4</v>
      </c>
      <c r="E91" s="150">
        <v>0</v>
      </c>
      <c r="F91" s="150">
        <v>0</v>
      </c>
      <c r="G91" s="150">
        <v>0</v>
      </c>
      <c r="H91" s="154">
        <v>0</v>
      </c>
      <c r="I91" s="141">
        <v>0</v>
      </c>
      <c r="J91" s="141">
        <v>0</v>
      </c>
      <c r="K91" s="141">
        <v>0</v>
      </c>
      <c r="L91" s="141">
        <v>0</v>
      </c>
      <c r="M91" s="141">
        <v>0</v>
      </c>
      <c r="N91" s="141">
        <v>0</v>
      </c>
      <c r="O91" s="141">
        <v>0</v>
      </c>
      <c r="P91" s="141">
        <v>0</v>
      </c>
      <c r="Q91" s="141">
        <v>0</v>
      </c>
      <c r="R91" s="141"/>
      <c r="S91" s="141">
        <v>0</v>
      </c>
      <c r="T91" s="141">
        <v>0</v>
      </c>
      <c r="U91" s="140" t="e">
        <f t="shared" si="70"/>
        <v>#NUM!</v>
      </c>
      <c r="V91" s="326"/>
      <c r="W91" s="2" t="str">
        <f t="shared" si="69"/>
        <v>Loss (Gain) on Sale of Assets</v>
      </c>
      <c r="X91" s="18">
        <f t="shared" si="80"/>
        <v>0</v>
      </c>
      <c r="Y91" s="18">
        <f t="shared" si="80"/>
        <v>3.6434123860197398E-2</v>
      </c>
      <c r="Z91" s="18">
        <f t="shared" si="80"/>
        <v>-8.1700808062736673E-3</v>
      </c>
      <c r="AA91" s="18">
        <f t="shared" si="80"/>
        <v>0</v>
      </c>
      <c r="AB91" s="18">
        <f t="shared" si="80"/>
        <v>0</v>
      </c>
      <c r="AC91" s="18">
        <f t="shared" si="80"/>
        <v>0</v>
      </c>
      <c r="AD91" s="18">
        <f t="shared" si="80"/>
        <v>0</v>
      </c>
      <c r="AE91" s="18">
        <f t="shared" si="80"/>
        <v>0</v>
      </c>
      <c r="AF91" s="18">
        <f t="shared" si="80"/>
        <v>0</v>
      </c>
      <c r="AG91" s="18">
        <f t="shared" si="80"/>
        <v>0</v>
      </c>
      <c r="AH91" s="18">
        <f t="shared" si="81"/>
        <v>0</v>
      </c>
      <c r="AI91" s="18">
        <f t="shared" si="81"/>
        <v>0</v>
      </c>
      <c r="AJ91" s="18">
        <f t="shared" si="81"/>
        <v>0</v>
      </c>
      <c r="AK91" s="18">
        <f t="shared" si="81"/>
        <v>0</v>
      </c>
      <c r="AL91" s="18">
        <f t="shared" si="81"/>
        <v>0</v>
      </c>
      <c r="AM91" s="18">
        <f t="shared" si="81"/>
        <v>0</v>
      </c>
      <c r="AN91" s="18">
        <f t="shared" si="81"/>
        <v>0</v>
      </c>
      <c r="AO91" s="18">
        <f t="shared" si="81"/>
        <v>0</v>
      </c>
      <c r="AP91" s="18">
        <f t="shared" si="81"/>
        <v>0</v>
      </c>
      <c r="AQ91" s="5">
        <f t="shared" si="73"/>
        <v>0</v>
      </c>
    </row>
    <row r="92" spans="1:66" x14ac:dyDescent="0.2">
      <c r="A92" s="196" t="s">
        <v>163</v>
      </c>
      <c r="B92" s="148">
        <f>2.6-13.7</f>
        <v>-11.1</v>
      </c>
      <c r="C92" s="148">
        <v>2.7</v>
      </c>
      <c r="D92" s="148">
        <f>-1.8</f>
        <v>-1.8</v>
      </c>
      <c r="E92" s="148">
        <v>19</v>
      </c>
      <c r="F92" s="148">
        <v>1.6</v>
      </c>
      <c r="G92" s="148">
        <v>-7.3</v>
      </c>
      <c r="H92" s="149">
        <v>-6.1</v>
      </c>
      <c r="I92" s="143">
        <v>-41</v>
      </c>
      <c r="J92" s="143">
        <v>-47</v>
      </c>
      <c r="K92" s="143">
        <v>-64</v>
      </c>
      <c r="L92" s="143">
        <f>-79+1</f>
        <v>-78</v>
      </c>
      <c r="M92" s="143">
        <v>-47</v>
      </c>
      <c r="N92" s="143">
        <v>-58</v>
      </c>
      <c r="O92" s="143">
        <v>-57</v>
      </c>
      <c r="P92" s="143">
        <f>-51</f>
        <v>-51</v>
      </c>
      <c r="Q92" s="143">
        <v>-33</v>
      </c>
      <c r="R92" s="143">
        <v>-27</v>
      </c>
      <c r="S92" s="143">
        <f>-20-16</f>
        <v>-36</v>
      </c>
      <c r="T92" s="143">
        <v>-11</v>
      </c>
      <c r="U92" s="140">
        <f t="shared" si="70"/>
        <v>-9.0976938026039553E-2</v>
      </c>
      <c r="V92" s="326"/>
      <c r="W92" s="2" t="str">
        <f t="shared" si="69"/>
        <v>Other (Income) Expense</v>
      </c>
      <c r="X92" s="6">
        <f t="shared" si="80"/>
        <v>-2.7841179864054777E-3</v>
      </c>
      <c r="Y92" s="6">
        <f t="shared" si="80"/>
        <v>5.3405067547520626E-4</v>
      </c>
      <c r="Z92" s="6">
        <f t="shared" si="80"/>
        <v>-5.3672063690848914E-4</v>
      </c>
      <c r="AA92" s="6">
        <f t="shared" si="80"/>
        <v>6.1640280301064106E-3</v>
      </c>
      <c r="AB92" s="102">
        <f t="shared" si="80"/>
        <v>5.008608545938332E-4</v>
      </c>
      <c r="AC92" s="102">
        <f t="shared" si="80"/>
        <v>-2.394384675938074E-3</v>
      </c>
      <c r="AD92" s="102">
        <f t="shared" si="80"/>
        <v>-1.565427156311751E-3</v>
      </c>
      <c r="AE92" s="102">
        <f t="shared" si="80"/>
        <v>-9.6289337717238143E-3</v>
      </c>
      <c r="AF92" s="102">
        <f t="shared" si="80"/>
        <v>-1.0449088483770564E-2</v>
      </c>
      <c r="AG92" s="102">
        <f t="shared" si="80"/>
        <v>-1.4359434597262733E-2</v>
      </c>
      <c r="AH92" s="102">
        <f t="shared" si="81"/>
        <v>-1.759927797833935E-2</v>
      </c>
      <c r="AI92" s="102">
        <f t="shared" si="81"/>
        <v>-1.0248582642825993E-2</v>
      </c>
      <c r="AJ92" s="102">
        <f t="shared" si="81"/>
        <v>-1.1880376894715281E-2</v>
      </c>
      <c r="AK92" s="102">
        <f t="shared" si="81"/>
        <v>-1.1074412278997475E-2</v>
      </c>
      <c r="AL92" s="102">
        <f t="shared" si="81"/>
        <v>-9.7105864432597104E-3</v>
      </c>
      <c r="AM92" s="102">
        <f t="shared" si="81"/>
        <v>-6.3073394495412848E-3</v>
      </c>
      <c r="AN92" s="102">
        <f t="shared" si="81"/>
        <v>-5.1913093635839258E-3</v>
      </c>
      <c r="AO92" s="102">
        <f t="shared" si="81"/>
        <v>-6.8741645980523198E-3</v>
      </c>
      <c r="AP92" s="102">
        <f t="shared" si="81"/>
        <v>-9.2905405405405411E-3</v>
      </c>
      <c r="AQ92" s="5">
        <f t="shared" si="73"/>
        <v>-8.464993053536235E-3</v>
      </c>
    </row>
    <row r="93" spans="1:66" x14ac:dyDescent="0.2">
      <c r="A93" s="138" t="s">
        <v>200</v>
      </c>
      <c r="B93" s="150">
        <f t="shared" ref="B93:L93" si="82">SUM(B89:B92)</f>
        <v>292.99999999999994</v>
      </c>
      <c r="C93" s="150">
        <f t="shared" si="82"/>
        <v>431.8</v>
      </c>
      <c r="D93" s="150">
        <f t="shared" si="82"/>
        <v>144.09999999999997</v>
      </c>
      <c r="E93" s="150">
        <f t="shared" si="82"/>
        <v>249.70000000000002</v>
      </c>
      <c r="F93" s="150">
        <f t="shared" si="82"/>
        <v>224.39999999999998</v>
      </c>
      <c r="G93" s="150">
        <f t="shared" si="82"/>
        <v>236.19999999999996</v>
      </c>
      <c r="H93" s="150">
        <f t="shared" si="82"/>
        <v>231.89999999999998</v>
      </c>
      <c r="I93" s="138">
        <f t="shared" si="82"/>
        <v>229</v>
      </c>
      <c r="J93" s="138">
        <f>SUM(J89:J92)</f>
        <v>251</v>
      </c>
      <c r="K93" s="138">
        <f>SUM(K89:K92)</f>
        <v>276</v>
      </c>
      <c r="L93" s="138">
        <f t="shared" si="82"/>
        <v>259</v>
      </c>
      <c r="M93" s="138">
        <f t="shared" ref="M93:R93" si="83">SUM(M89:M92)</f>
        <v>316</v>
      </c>
      <c r="N93" s="138">
        <f t="shared" si="83"/>
        <v>287</v>
      </c>
      <c r="O93" s="138">
        <f t="shared" si="83"/>
        <v>285</v>
      </c>
      <c r="P93" s="138">
        <f t="shared" si="83"/>
        <v>293</v>
      </c>
      <c r="Q93" s="138">
        <f t="shared" ref="Q93" si="84">SUM(Q89:Q92)</f>
        <v>317</v>
      </c>
      <c r="R93" s="138">
        <f t="shared" si="83"/>
        <v>323</v>
      </c>
      <c r="S93" s="138">
        <f>SUM(S89:S92)</f>
        <v>334</v>
      </c>
      <c r="T93" s="138">
        <f>SUM(T89:T92)</f>
        <v>74</v>
      </c>
      <c r="U93" s="284">
        <f t="shared" si="70"/>
        <v>3.0796449568491598E-2</v>
      </c>
      <c r="V93" s="326"/>
      <c r="W93" s="2" t="str">
        <f t="shared" si="69"/>
        <v>Total Other (Income)/Expense</v>
      </c>
      <c r="X93" s="18">
        <f t="shared" si="80"/>
        <v>7.349068198349594E-2</v>
      </c>
      <c r="Y93" s="18">
        <f t="shared" si="80"/>
        <v>8.5408548766738535E-2</v>
      </c>
      <c r="Z93" s="18">
        <f t="shared" si="80"/>
        <v>4.2967468765840705E-2</v>
      </c>
      <c r="AA93" s="18">
        <f t="shared" si="80"/>
        <v>8.1008305216714246E-2</v>
      </c>
      <c r="AB93" s="18">
        <f t="shared" si="80"/>
        <v>7.0245734856785091E-2</v>
      </c>
      <c r="AC93" s="5">
        <f t="shared" si="80"/>
        <v>7.7473104172133281E-2</v>
      </c>
      <c r="AD93" s="5">
        <f t="shared" si="80"/>
        <v>5.951189468011394E-2</v>
      </c>
      <c r="AE93" s="5">
        <f t="shared" si="80"/>
        <v>5.3781117895725691E-2</v>
      </c>
      <c r="AF93" s="5">
        <f t="shared" si="80"/>
        <v>5.5802578923966208E-2</v>
      </c>
      <c r="AG93" s="5">
        <f t="shared" si="80"/>
        <v>6.1925061700695533E-2</v>
      </c>
      <c r="AH93" s="5">
        <f t="shared" si="81"/>
        <v>5.8438628158844763E-2</v>
      </c>
      <c r="AI93" s="5">
        <f t="shared" si="81"/>
        <v>6.8905364151766249E-2</v>
      </c>
      <c r="AJ93" s="5">
        <f t="shared" si="81"/>
        <v>5.8787382220401474E-2</v>
      </c>
      <c r="AK93" s="5">
        <f t="shared" si="81"/>
        <v>5.5372061394987369E-2</v>
      </c>
      <c r="AL93" s="5">
        <f t="shared" si="81"/>
        <v>5.5788271134805785E-2</v>
      </c>
      <c r="AM93" s="5">
        <f t="shared" si="81"/>
        <v>6.0588685015290522E-2</v>
      </c>
      <c r="AN93" s="5">
        <f t="shared" si="81"/>
        <v>6.2103441645837337E-2</v>
      </c>
      <c r="AO93" s="5">
        <f t="shared" si="81"/>
        <v>6.3776971548596531E-2</v>
      </c>
      <c r="AP93" s="5">
        <f t="shared" si="81"/>
        <v>6.25E-2</v>
      </c>
      <c r="AQ93" s="286">
        <f t="shared" si="73"/>
        <v>5.941649704371426E-2</v>
      </c>
    </row>
    <row r="94" spans="1:66" ht="7.5" customHeight="1" x14ac:dyDescent="0.2">
      <c r="A94" s="138"/>
      <c r="B94" s="154"/>
      <c r="C94" s="154"/>
      <c r="D94" s="154"/>
      <c r="E94" s="154"/>
      <c r="F94" s="154"/>
      <c r="G94" s="154"/>
      <c r="H94" s="154"/>
      <c r="I94" s="141"/>
      <c r="J94" s="141"/>
      <c r="K94" s="141"/>
      <c r="L94" s="263"/>
      <c r="M94" s="263"/>
      <c r="N94" s="263"/>
      <c r="O94" s="263"/>
      <c r="P94" s="263"/>
      <c r="Q94" s="263"/>
      <c r="R94" s="263"/>
      <c r="S94" s="263"/>
      <c r="T94" s="263"/>
      <c r="U94" s="140"/>
      <c r="V94" s="326"/>
      <c r="X94" s="18"/>
      <c r="Y94" s="18"/>
      <c r="Z94" s="18"/>
      <c r="AA94" s="18"/>
      <c r="AB94" s="18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</row>
    <row r="95" spans="1:66" x14ac:dyDescent="0.2">
      <c r="A95" s="163" t="s">
        <v>12</v>
      </c>
      <c r="B95" s="199">
        <f t="shared" ref="B95:G95" si="85">B87-B93</f>
        <v>412.09999999999997</v>
      </c>
      <c r="C95" s="199">
        <f t="shared" si="85"/>
        <v>92.199999999999989</v>
      </c>
      <c r="D95" s="199">
        <f t="shared" si="85"/>
        <v>469.49999999999994</v>
      </c>
      <c r="E95" s="199">
        <f t="shared" si="85"/>
        <v>239.19999999999962</v>
      </c>
      <c r="F95" s="199">
        <f t="shared" si="85"/>
        <v>393.49999999999966</v>
      </c>
      <c r="G95" s="199">
        <f t="shared" si="85"/>
        <v>420.20000000000016</v>
      </c>
      <c r="H95" s="199">
        <f t="shared" ref="H95:P95" si="86">H87-H93</f>
        <v>560.09999999999957</v>
      </c>
      <c r="I95" s="189">
        <f t="shared" si="86"/>
        <v>665</v>
      </c>
      <c r="J95" s="189">
        <f t="shared" si="86"/>
        <v>703</v>
      </c>
      <c r="K95" s="189">
        <f t="shared" si="86"/>
        <v>784</v>
      </c>
      <c r="L95" s="189">
        <f t="shared" si="86"/>
        <v>777</v>
      </c>
      <c r="M95" s="189">
        <f>M87-M93</f>
        <v>768</v>
      </c>
      <c r="N95" s="189">
        <f>N87-N93</f>
        <v>734</v>
      </c>
      <c r="O95" s="189">
        <f>O87-O93</f>
        <v>979</v>
      </c>
      <c r="P95" s="189">
        <f t="shared" si="86"/>
        <v>1007</v>
      </c>
      <c r="Q95" s="189">
        <f>Q87-Q93</f>
        <v>1023</v>
      </c>
      <c r="R95" s="189">
        <f>R87-R93</f>
        <v>1103</v>
      </c>
      <c r="S95" s="189">
        <f>S87-S93</f>
        <v>1128</v>
      </c>
      <c r="T95" s="189">
        <f>T87-T93</f>
        <v>173</v>
      </c>
      <c r="U95" s="164">
        <f t="shared" si="70"/>
        <v>8.9739286232583274E-2</v>
      </c>
      <c r="V95" s="141"/>
      <c r="W95" s="172" t="str">
        <f t="shared" si="69"/>
        <v>Earnings Before Taxes</v>
      </c>
      <c r="X95" s="179">
        <f t="shared" ref="X95:AP95" si="87">B95/B$78</f>
        <v>0.10336351551330607</v>
      </c>
      <c r="Y95" s="179">
        <f t="shared" si="87"/>
        <v>1.8236841584745929E-2</v>
      </c>
      <c r="Z95" s="179">
        <f t="shared" si="87"/>
        <v>0.13999463279363092</v>
      </c>
      <c r="AA95" s="179">
        <f t="shared" si="87"/>
        <v>7.760186867376058E-2</v>
      </c>
      <c r="AB95" s="179">
        <f t="shared" si="87"/>
        <v>0.12318046642667073</v>
      </c>
      <c r="AC95" s="179">
        <f t="shared" si="87"/>
        <v>0.13782471792180534</v>
      </c>
      <c r="AD95" s="179">
        <f t="shared" si="87"/>
        <v>0.14373700823773952</v>
      </c>
      <c r="AE95" s="179">
        <f t="shared" si="87"/>
        <v>0.156176608736496</v>
      </c>
      <c r="AF95" s="179">
        <f t="shared" si="87"/>
        <v>0.15629168519341929</v>
      </c>
      <c r="AG95" s="179">
        <f t="shared" si="87"/>
        <v>0.17590307381646847</v>
      </c>
      <c r="AH95" s="179">
        <f t="shared" si="87"/>
        <v>0.17531588447653429</v>
      </c>
      <c r="AI95" s="179">
        <f t="shared" si="87"/>
        <v>0.16746620148277366</v>
      </c>
      <c r="AJ95" s="179">
        <f t="shared" si="87"/>
        <v>0.15034821794346578</v>
      </c>
      <c r="AK95" s="179">
        <f t="shared" si="87"/>
        <v>0.1902078880901496</v>
      </c>
      <c r="AL95" s="179">
        <f t="shared" si="87"/>
        <v>0.19173648134044174</v>
      </c>
      <c r="AM95" s="179">
        <f t="shared" si="87"/>
        <v>0.19552752293577982</v>
      </c>
      <c r="AN95" s="179">
        <f t="shared" si="87"/>
        <v>0.21207460103826187</v>
      </c>
      <c r="AO95" s="179">
        <f t="shared" si="87"/>
        <v>0.21539049073897271</v>
      </c>
      <c r="AP95" s="179">
        <f t="shared" si="87"/>
        <v>0.14611486486486486</v>
      </c>
      <c r="AQ95" s="179">
        <f t="shared" si="73"/>
        <v>0.19301476527414299</v>
      </c>
    </row>
    <row r="96" spans="1:66" ht="7.5" customHeight="1" x14ac:dyDescent="0.2">
      <c r="A96" s="138"/>
      <c r="B96" s="154"/>
      <c r="C96" s="154"/>
      <c r="D96" s="154"/>
      <c r="E96" s="154"/>
      <c r="F96" s="154"/>
      <c r="G96" s="154"/>
      <c r="H96" s="154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0"/>
      <c r="V96" s="141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</row>
    <row r="97" spans="1:45" x14ac:dyDescent="0.2">
      <c r="A97" s="138" t="s">
        <v>43</v>
      </c>
      <c r="B97" s="150">
        <f>195.5+-1.1</f>
        <v>194.4</v>
      </c>
      <c r="C97" s="150">
        <v>0</v>
      </c>
      <c r="D97" s="150">
        <f>-146.7+112.8</f>
        <v>-33.899999999999991</v>
      </c>
      <c r="E97" s="150">
        <v>1.9</v>
      </c>
      <c r="F97" s="150">
        <v>0.9</v>
      </c>
      <c r="G97" s="150">
        <v>0</v>
      </c>
      <c r="H97" s="150">
        <v>0</v>
      </c>
      <c r="I97" s="138">
        <v>0</v>
      </c>
      <c r="J97" s="138">
        <v>0</v>
      </c>
      <c r="K97" s="138">
        <v>0</v>
      </c>
      <c r="L97" s="138">
        <v>0</v>
      </c>
      <c r="M97" s="138">
        <v>0</v>
      </c>
      <c r="N97" s="138">
        <v>0</v>
      </c>
      <c r="O97" s="138">
        <v>0</v>
      </c>
      <c r="P97" s="138">
        <v>0</v>
      </c>
      <c r="Q97" s="138">
        <v>0</v>
      </c>
      <c r="R97" s="138">
        <v>0</v>
      </c>
      <c r="S97" s="138">
        <v>0</v>
      </c>
      <c r="T97" s="138">
        <v>0</v>
      </c>
      <c r="U97" s="140"/>
      <c r="V97" s="326"/>
      <c r="W97" s="2" t="str">
        <f t="shared" si="69"/>
        <v>Extraordinary Items</v>
      </c>
      <c r="X97" s="5">
        <f t="shared" ref="X97:AG99" si="88">B97/B$78</f>
        <v>4.8759687978128373E-2</v>
      </c>
      <c r="Y97" s="5">
        <f t="shared" si="88"/>
        <v>0</v>
      </c>
      <c r="Z97" s="5">
        <f t="shared" si="88"/>
        <v>-1.0108238661776544E-2</v>
      </c>
      <c r="AA97" s="5">
        <f t="shared" si="88"/>
        <v>6.16402803010641E-4</v>
      </c>
      <c r="AB97" s="5">
        <f t="shared" si="88"/>
        <v>2.8173423070903115E-4</v>
      </c>
      <c r="AC97" s="5">
        <f t="shared" si="88"/>
        <v>0</v>
      </c>
      <c r="AD97" s="5">
        <f t="shared" si="88"/>
        <v>0</v>
      </c>
      <c r="AE97" s="5">
        <f t="shared" si="88"/>
        <v>0</v>
      </c>
      <c r="AF97" s="5">
        <f t="shared" si="88"/>
        <v>0</v>
      </c>
      <c r="AG97" s="5">
        <f t="shared" si="88"/>
        <v>0</v>
      </c>
      <c r="AH97" s="5">
        <f t="shared" ref="AH97:AP99" si="89">L97/L$78</f>
        <v>0</v>
      </c>
      <c r="AI97" s="5">
        <f t="shared" si="89"/>
        <v>0</v>
      </c>
      <c r="AJ97" s="5">
        <f t="shared" si="89"/>
        <v>0</v>
      </c>
      <c r="AK97" s="5">
        <f t="shared" si="89"/>
        <v>0</v>
      </c>
      <c r="AL97" s="5">
        <f t="shared" si="89"/>
        <v>0</v>
      </c>
      <c r="AM97" s="5">
        <f t="shared" si="89"/>
        <v>0</v>
      </c>
      <c r="AN97" s="5">
        <f t="shared" si="89"/>
        <v>0</v>
      </c>
      <c r="AO97" s="5">
        <f t="shared" si="89"/>
        <v>0</v>
      </c>
      <c r="AP97" s="5">
        <f t="shared" si="89"/>
        <v>0</v>
      </c>
      <c r="AQ97" s="5">
        <f t="shared" si="73"/>
        <v>0</v>
      </c>
    </row>
    <row r="98" spans="1:45" x14ac:dyDescent="0.2">
      <c r="A98" s="138" t="s">
        <v>15</v>
      </c>
      <c r="B98" s="148">
        <v>134</v>
      </c>
      <c r="C98" s="148">
        <v>180.4</v>
      </c>
      <c r="D98" s="148">
        <v>176.1</v>
      </c>
      <c r="E98" s="148">
        <v>97.2</v>
      </c>
      <c r="F98" s="148">
        <v>144.5</v>
      </c>
      <c r="G98" s="148">
        <v>168.5</v>
      </c>
      <c r="H98" s="149">
        <v>199.4</v>
      </c>
      <c r="I98" s="143">
        <v>220</v>
      </c>
      <c r="J98" s="141">
        <v>238</v>
      </c>
      <c r="K98" s="141">
        <v>234</v>
      </c>
      <c r="L98" s="141">
        <v>211</v>
      </c>
      <c r="M98" s="141">
        <v>213</v>
      </c>
      <c r="N98" s="141">
        <v>197</v>
      </c>
      <c r="O98" s="141">
        <v>297</v>
      </c>
      <c r="P98" s="141">
        <v>309</v>
      </c>
      <c r="Q98" s="141">
        <v>328</v>
      </c>
      <c r="R98" s="141">
        <v>340</v>
      </c>
      <c r="S98" s="141">
        <v>360</v>
      </c>
      <c r="T98" s="141">
        <v>25</v>
      </c>
      <c r="U98" s="140">
        <f t="shared" si="70"/>
        <v>0.12815105773594029</v>
      </c>
      <c r="V98" s="326"/>
      <c r="W98" s="2" t="str">
        <f t="shared" si="69"/>
        <v>Income Taxes</v>
      </c>
      <c r="X98" s="6">
        <f t="shared" si="88"/>
        <v>3.3610072989039105E-2</v>
      </c>
      <c r="Y98" s="6">
        <f t="shared" si="88"/>
        <v>3.5682496983602666E-2</v>
      </c>
      <c r="Z98" s="6">
        <f t="shared" si="88"/>
        <v>5.2509168977547191E-2</v>
      </c>
      <c r="AA98" s="6">
        <f t="shared" si="88"/>
        <v>3.1533869711912799E-2</v>
      </c>
      <c r="AB98" s="18">
        <f t="shared" si="88"/>
        <v>4.5233995930505554E-2</v>
      </c>
      <c r="AC98" s="5">
        <f t="shared" si="88"/>
        <v>5.5267646287063758E-2</v>
      </c>
      <c r="AD98" s="5">
        <f t="shared" si="88"/>
        <v>5.1171504093207074E-2</v>
      </c>
      <c r="AE98" s="5">
        <f t="shared" si="88"/>
        <v>5.1667449506810709E-2</v>
      </c>
      <c r="AF98" s="5">
        <f t="shared" si="88"/>
        <v>5.2912405513561585E-2</v>
      </c>
      <c r="AG98" s="5">
        <f t="shared" si="88"/>
        <v>5.2501682746241868E-2</v>
      </c>
      <c r="AH98" s="5">
        <f t="shared" si="89"/>
        <v>4.7608303249097469E-2</v>
      </c>
      <c r="AI98" s="5">
        <f t="shared" si="89"/>
        <v>4.6445704317488005E-2</v>
      </c>
      <c r="AJ98" s="5">
        <f t="shared" si="89"/>
        <v>4.0352314625153624E-2</v>
      </c>
      <c r="AK98" s="5">
        <f t="shared" si="89"/>
        <v>5.7703516611618419E-2</v>
      </c>
      <c r="AL98" s="5">
        <f t="shared" si="89"/>
        <v>5.8834729626808836E-2</v>
      </c>
      <c r="AM98" s="5">
        <f t="shared" si="89"/>
        <v>6.2691131498470942E-2</v>
      </c>
      <c r="AN98" s="5">
        <f t="shared" si="89"/>
        <v>6.537204383772352E-2</v>
      </c>
      <c r="AO98" s="5">
        <f t="shared" si="89"/>
        <v>6.8741645980523194E-2</v>
      </c>
      <c r="AP98" s="5">
        <f t="shared" si="89"/>
        <v>2.1114864864864864E-2</v>
      </c>
      <c r="AQ98" s="5">
        <f t="shared" si="73"/>
        <v>5.9158023973377272E-2</v>
      </c>
      <c r="AS98" s="5">
        <f>AH98/AH95</f>
        <v>0.27155727155727155</v>
      </c>
    </row>
    <row r="99" spans="1:45" ht="13.5" thickBot="1" x14ac:dyDescent="0.25">
      <c r="A99" s="163" t="s">
        <v>17</v>
      </c>
      <c r="B99" s="200">
        <f t="shared" ref="B99:L99" si="90">B95-B97-B98</f>
        <v>83.69999999999996</v>
      </c>
      <c r="C99" s="200">
        <f t="shared" si="90"/>
        <v>-88.200000000000017</v>
      </c>
      <c r="D99" s="200">
        <f t="shared" si="90"/>
        <v>327.29999999999995</v>
      </c>
      <c r="E99" s="200">
        <f t="shared" si="90"/>
        <v>140.09999999999962</v>
      </c>
      <c r="F99" s="200">
        <f t="shared" si="90"/>
        <v>248.09999999999968</v>
      </c>
      <c r="G99" s="200">
        <f t="shared" si="90"/>
        <v>251.70000000000016</v>
      </c>
      <c r="H99" s="201">
        <f t="shared" si="90"/>
        <v>360.69999999999959</v>
      </c>
      <c r="I99" s="188">
        <f t="shared" si="90"/>
        <v>445</v>
      </c>
      <c r="J99" s="188">
        <f t="shared" si="90"/>
        <v>465</v>
      </c>
      <c r="K99" s="188">
        <f t="shared" si="90"/>
        <v>550</v>
      </c>
      <c r="L99" s="188">
        <f t="shared" si="90"/>
        <v>566</v>
      </c>
      <c r="M99" s="188">
        <f t="shared" ref="M99:R99" si="91">M95-M97-M98</f>
        <v>555</v>
      </c>
      <c r="N99" s="188">
        <f t="shared" si="91"/>
        <v>537</v>
      </c>
      <c r="O99" s="188">
        <f t="shared" si="91"/>
        <v>682</v>
      </c>
      <c r="P99" s="188">
        <f t="shared" si="91"/>
        <v>698</v>
      </c>
      <c r="Q99" s="188">
        <f t="shared" ref="Q99" si="92">Q95-Q97-Q98</f>
        <v>695</v>
      </c>
      <c r="R99" s="188">
        <f t="shared" si="91"/>
        <v>763</v>
      </c>
      <c r="S99" s="188">
        <f>S95-S97-S98</f>
        <v>768</v>
      </c>
      <c r="T99" s="188">
        <f>T95-T97-T98</f>
        <v>148</v>
      </c>
      <c r="U99" s="281">
        <f>RATE(5,,-N99,S99)</f>
        <v>7.4180803399568618E-2</v>
      </c>
      <c r="V99" s="330"/>
      <c r="W99" s="2" t="str">
        <f t="shared" si="69"/>
        <v>Net Income</v>
      </c>
      <c r="X99" s="7">
        <f t="shared" si="88"/>
        <v>2.0993754546138593E-2</v>
      </c>
      <c r="Y99" s="7">
        <f t="shared" si="88"/>
        <v>-1.744565539885674E-2</v>
      </c>
      <c r="Z99" s="7">
        <f t="shared" si="88"/>
        <v>9.759370247786027E-2</v>
      </c>
      <c r="AA99" s="7">
        <f t="shared" si="88"/>
        <v>4.5451596158837149E-2</v>
      </c>
      <c r="AB99" s="184">
        <f t="shared" si="88"/>
        <v>7.7664736265456155E-2</v>
      </c>
      <c r="AC99" s="184">
        <f t="shared" si="88"/>
        <v>8.2557071634741588E-2</v>
      </c>
      <c r="AD99" s="184">
        <f t="shared" si="88"/>
        <v>9.2565504144532448E-2</v>
      </c>
      <c r="AE99" s="184">
        <f t="shared" si="88"/>
        <v>0.1045091592296853</v>
      </c>
      <c r="AF99" s="184">
        <f t="shared" si="88"/>
        <v>0.10337927967985772</v>
      </c>
      <c r="AG99" s="184">
        <f t="shared" si="88"/>
        <v>0.12340139107022662</v>
      </c>
      <c r="AH99" s="184">
        <f t="shared" si="89"/>
        <v>0.12770758122743683</v>
      </c>
      <c r="AI99" s="184">
        <f t="shared" si="89"/>
        <v>0.12102049716528565</v>
      </c>
      <c r="AJ99" s="184">
        <f t="shared" si="89"/>
        <v>0.10999590331831216</v>
      </c>
      <c r="AK99" s="184">
        <f t="shared" si="89"/>
        <v>0.1325043714785312</v>
      </c>
      <c r="AL99" s="184">
        <f t="shared" si="89"/>
        <v>0.13290175171363292</v>
      </c>
      <c r="AM99" s="184">
        <f t="shared" si="89"/>
        <v>0.13283639143730888</v>
      </c>
      <c r="AN99" s="184">
        <f t="shared" si="89"/>
        <v>0.14670255720053835</v>
      </c>
      <c r="AO99" s="184">
        <f t="shared" si="89"/>
        <v>0.1466488447584495</v>
      </c>
      <c r="AP99" s="184">
        <f t="shared" si="89"/>
        <v>0.125</v>
      </c>
      <c r="AQ99" s="184">
        <f t="shared" si="73"/>
        <v>0.13385674130076572</v>
      </c>
    </row>
    <row r="100" spans="1:45" ht="13.5" thickTop="1" x14ac:dyDescent="0.2">
      <c r="A100" s="163"/>
      <c r="B100" s="197"/>
      <c r="C100" s="197"/>
      <c r="D100" s="197"/>
      <c r="E100" s="197"/>
      <c r="F100" s="197"/>
      <c r="G100" s="197"/>
      <c r="H100" s="197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46"/>
      <c r="V100" s="138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226"/>
    </row>
    <row r="101" spans="1:45" x14ac:dyDescent="0.2">
      <c r="A101" s="138" t="s">
        <v>46</v>
      </c>
      <c r="B101" s="150">
        <v>18.899999999999999</v>
      </c>
      <c r="C101" s="150">
        <v>17.899999999999999</v>
      </c>
      <c r="D101" s="150">
        <v>12.7</v>
      </c>
      <c r="E101" s="150">
        <v>7.3</v>
      </c>
      <c r="F101" s="150">
        <v>3.3</v>
      </c>
      <c r="G101" s="150">
        <v>2.1</v>
      </c>
      <c r="H101" s="150">
        <v>2.1</v>
      </c>
      <c r="I101" s="138">
        <v>2</v>
      </c>
      <c r="J101" s="138">
        <v>2</v>
      </c>
      <c r="K101" s="138">
        <v>2</v>
      </c>
      <c r="L101" s="138">
        <v>2</v>
      </c>
      <c r="M101" s="138">
        <v>2</v>
      </c>
      <c r="N101" s="138">
        <v>2</v>
      </c>
      <c r="O101" s="138">
        <v>2</v>
      </c>
      <c r="P101" s="139">
        <v>0.1</v>
      </c>
      <c r="Q101" s="139">
        <v>0.1</v>
      </c>
      <c r="R101" s="139">
        <v>0.1</v>
      </c>
      <c r="S101" s="139">
        <v>0.1</v>
      </c>
      <c r="T101" s="139">
        <v>0.1</v>
      </c>
      <c r="U101" s="140"/>
      <c r="V101" s="138"/>
      <c r="W101" s="2" t="s">
        <v>234</v>
      </c>
      <c r="X101" s="5">
        <f t="shared" ref="X101:AA102" si="93">B101/B$99</f>
        <v>0.2258064516129033</v>
      </c>
      <c r="Y101" s="5">
        <f t="shared" si="93"/>
        <v>-0.20294784580498862</v>
      </c>
      <c r="Z101" s="5">
        <f t="shared" si="93"/>
        <v>3.8802322028719832E-2</v>
      </c>
      <c r="AA101" s="5">
        <f t="shared" si="93"/>
        <v>5.2105638829407705E-2</v>
      </c>
      <c r="AB101" s="5">
        <f t="shared" ref="AB101:AI102" si="94">F101/F$78</f>
        <v>1.0330255125997809E-3</v>
      </c>
      <c r="AC101" s="5">
        <f t="shared" si="94"/>
        <v>6.887955917082131E-4</v>
      </c>
      <c r="AD101" s="5">
        <f t="shared" si="94"/>
        <v>5.3891754561552084E-4</v>
      </c>
      <c r="AE101" s="5">
        <f t="shared" si="94"/>
        <v>4.6970408642555192E-4</v>
      </c>
      <c r="AF101" s="5">
        <f t="shared" si="94"/>
        <v>4.4464206313917296E-4</v>
      </c>
      <c r="AG101" s="5">
        <f t="shared" si="94"/>
        <v>4.4873233116446041E-4</v>
      </c>
      <c r="AH101" s="5">
        <f t="shared" si="94"/>
        <v>4.512635379061372E-4</v>
      </c>
      <c r="AI101" s="5">
        <f t="shared" si="94"/>
        <v>4.3610989969472308E-4</v>
      </c>
      <c r="AJ101" s="5">
        <f t="shared" ref="AJ101:AP101" si="95">N101/N99</f>
        <v>3.7243947858472998E-3</v>
      </c>
      <c r="AK101" s="5">
        <f t="shared" si="95"/>
        <v>2.9325513196480938E-3</v>
      </c>
      <c r="AL101" s="5">
        <f t="shared" si="95"/>
        <v>1.4326647564469916E-4</v>
      </c>
      <c r="AM101" s="5">
        <f t="shared" si="95"/>
        <v>1.4388489208633093E-4</v>
      </c>
      <c r="AN101" s="5">
        <f t="shared" si="95"/>
        <v>1.310615989515072E-4</v>
      </c>
      <c r="AO101" s="5">
        <f t="shared" si="95"/>
        <v>1.3020833333333333E-4</v>
      </c>
      <c r="AP101" s="5">
        <f t="shared" si="95"/>
        <v>6.7567567567567571E-4</v>
      </c>
      <c r="AQ101" s="5">
        <f>SUM(N101:S101)/SUM(N$99:S$99)</f>
        <v>1.0620323437122855E-3</v>
      </c>
    </row>
    <row r="102" spans="1:45" x14ac:dyDescent="0.2">
      <c r="A102" s="138" t="s">
        <v>47</v>
      </c>
      <c r="B102" s="150">
        <f>269.5-B101</f>
        <v>250.6</v>
      </c>
      <c r="C102" s="150">
        <f>347.7-C101</f>
        <v>329.8</v>
      </c>
      <c r="D102" s="150">
        <f>310.3-D101</f>
        <v>297.60000000000002</v>
      </c>
      <c r="E102" s="150">
        <f>7.3-E101</f>
        <v>0</v>
      </c>
      <c r="F102" s="150">
        <v>160.6</v>
      </c>
      <c r="G102" s="150">
        <f>195.4-G101</f>
        <v>193.3</v>
      </c>
      <c r="H102" s="150">
        <v>175</v>
      </c>
      <c r="I102" s="138">
        <v>0</v>
      </c>
      <c r="J102" s="138">
        <v>0</v>
      </c>
      <c r="K102" s="138">
        <v>0</v>
      </c>
      <c r="L102" s="138">
        <v>0</v>
      </c>
      <c r="M102" s="138">
        <v>550</v>
      </c>
      <c r="N102" s="138">
        <v>200</v>
      </c>
      <c r="O102" s="138">
        <v>500</v>
      </c>
      <c r="P102" s="138">
        <v>725</v>
      </c>
      <c r="Q102" s="138">
        <v>950</v>
      </c>
      <c r="R102" s="138">
        <v>875</v>
      </c>
      <c r="S102" s="138">
        <v>600</v>
      </c>
      <c r="T102" s="138">
        <v>250</v>
      </c>
      <c r="U102" s="140"/>
      <c r="V102" s="138"/>
      <c r="W102" s="2" t="s">
        <v>233</v>
      </c>
      <c r="X102" s="5">
        <f t="shared" si="93"/>
        <v>2.9940262843488665</v>
      </c>
      <c r="Y102" s="5">
        <f t="shared" si="93"/>
        <v>-3.73922902494331</v>
      </c>
      <c r="Z102" s="5">
        <f t="shared" si="93"/>
        <v>0.90925756186984441</v>
      </c>
      <c r="AA102" s="5">
        <f t="shared" si="93"/>
        <v>0</v>
      </c>
      <c r="AB102" s="5">
        <f t="shared" si="94"/>
        <v>5.0273908279855999E-2</v>
      </c>
      <c r="AC102" s="5">
        <f t="shared" si="94"/>
        <v>6.3401994227236941E-2</v>
      </c>
      <c r="AD102" s="5">
        <f t="shared" si="94"/>
        <v>4.4909795467960069E-2</v>
      </c>
      <c r="AE102" s="5">
        <f t="shared" si="94"/>
        <v>0</v>
      </c>
      <c r="AF102" s="5">
        <f t="shared" si="94"/>
        <v>0</v>
      </c>
      <c r="AG102" s="5">
        <f t="shared" si="94"/>
        <v>0</v>
      </c>
      <c r="AH102" s="5">
        <f t="shared" si="94"/>
        <v>0</v>
      </c>
      <c r="AI102" s="5">
        <f t="shared" si="94"/>
        <v>0.11993022241604885</v>
      </c>
      <c r="AJ102" s="5">
        <f t="shared" ref="AJ102:AP102" si="96">N102/N99</f>
        <v>0.37243947858472998</v>
      </c>
      <c r="AK102" s="5">
        <f t="shared" si="96"/>
        <v>0.73313782991202348</v>
      </c>
      <c r="AL102" s="5">
        <f t="shared" si="96"/>
        <v>1.0386819484240688</v>
      </c>
      <c r="AM102" s="5">
        <f t="shared" si="96"/>
        <v>1.3669064748201438</v>
      </c>
      <c r="AN102" s="5">
        <f t="shared" si="96"/>
        <v>1.1467889908256881</v>
      </c>
      <c r="AO102" s="5">
        <f t="shared" si="96"/>
        <v>0.78125</v>
      </c>
      <c r="AP102" s="5">
        <f t="shared" si="96"/>
        <v>1.6891891891891893</v>
      </c>
      <c r="AQ102" s="5">
        <f>SUM(N102:S102)/SUM(N$99:S$99)</f>
        <v>0.92927830074825002</v>
      </c>
    </row>
    <row r="103" spans="1:45" x14ac:dyDescent="0.2">
      <c r="A103" s="139"/>
      <c r="B103" s="150" t="s">
        <v>150</v>
      </c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38"/>
      <c r="Q103" s="138"/>
      <c r="R103" s="138"/>
      <c r="S103" s="138"/>
      <c r="T103" s="138"/>
      <c r="U103" s="140"/>
      <c r="V103" s="138"/>
      <c r="W103" s="14"/>
      <c r="X103" s="155" t="s">
        <v>149</v>
      </c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</row>
    <row r="104" spans="1:45" x14ac:dyDescent="0.2">
      <c r="A104" s="138"/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40"/>
      <c r="V104" s="138"/>
      <c r="X104" s="138"/>
      <c r="Y104" s="138"/>
      <c r="Z104" s="138"/>
      <c r="AA104" s="138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1"/>
      <c r="AL104" s="161"/>
      <c r="AM104" s="161"/>
      <c r="AN104" s="161"/>
      <c r="AO104" s="161"/>
      <c r="AP104" s="161"/>
      <c r="AQ104" s="161"/>
    </row>
    <row r="105" spans="1:45" x14ac:dyDescent="0.2">
      <c r="A105" s="138"/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40"/>
      <c r="V105" s="138"/>
      <c r="Y105" s="138"/>
      <c r="Z105" s="138"/>
      <c r="AA105" s="138"/>
      <c r="AB105" s="161"/>
      <c r="AC105" s="161"/>
      <c r="AD105" s="161"/>
      <c r="AE105" s="161"/>
      <c r="AF105" s="161"/>
      <c r="AG105" s="161"/>
      <c r="AH105" s="161"/>
      <c r="AI105" s="161"/>
      <c r="AJ105" s="161"/>
      <c r="AK105" s="161"/>
      <c r="AL105" s="161"/>
      <c r="AM105" s="161"/>
      <c r="AN105" s="161"/>
      <c r="AO105" s="161"/>
      <c r="AP105" s="161"/>
      <c r="AQ105" s="161"/>
    </row>
    <row r="106" spans="1:45" x14ac:dyDescent="0.2">
      <c r="A106" s="138"/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92" t="s">
        <v>112</v>
      </c>
      <c r="V106" s="138"/>
      <c r="W106" s="83"/>
      <c r="X106" s="138"/>
      <c r="Y106" s="138"/>
      <c r="Z106" s="138"/>
      <c r="AA106" s="138"/>
      <c r="AB106" s="161"/>
      <c r="AC106" s="161"/>
      <c r="AD106" s="161"/>
      <c r="AE106" s="161"/>
      <c r="AF106" s="161"/>
      <c r="AG106" s="161"/>
      <c r="AH106" s="161"/>
      <c r="AI106" s="161"/>
      <c r="AJ106" s="161"/>
      <c r="AK106" s="161"/>
      <c r="AL106" s="161"/>
      <c r="AM106" s="161"/>
      <c r="AN106" s="161"/>
      <c r="AO106" s="161"/>
      <c r="AP106" s="161"/>
      <c r="AQ106" s="161"/>
    </row>
    <row r="107" spans="1:45" x14ac:dyDescent="0.2">
      <c r="A107" s="138"/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329" t="s">
        <v>116</v>
      </c>
      <c r="V107" s="138"/>
      <c r="X107" s="138"/>
      <c r="Y107" s="138"/>
      <c r="Z107" s="138"/>
      <c r="AA107" s="138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61"/>
      <c r="AL107" s="161"/>
      <c r="AM107" s="161"/>
      <c r="AN107" s="161"/>
      <c r="AO107" s="161"/>
      <c r="AP107" s="161"/>
      <c r="AQ107" s="161"/>
    </row>
    <row r="108" spans="1:45" ht="18.75" x14ac:dyDescent="0.3">
      <c r="A108" s="134" t="str">
        <f>A4</f>
        <v>PacifiCorp</v>
      </c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8"/>
      <c r="X108" s="138"/>
      <c r="Y108" s="138"/>
      <c r="Z108" s="138"/>
      <c r="AA108" s="138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  <c r="AQ108" s="161"/>
    </row>
    <row r="109" spans="1:45" ht="15.75" x14ac:dyDescent="0.25">
      <c r="A109" s="136" t="s">
        <v>41</v>
      </c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7"/>
      <c r="V109" s="138"/>
      <c r="X109" s="138"/>
      <c r="Y109" s="138"/>
      <c r="Z109" s="138"/>
      <c r="AA109" s="138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  <c r="AP109" s="161"/>
      <c r="AQ109" s="161"/>
    </row>
    <row r="110" spans="1:45" ht="14.25" x14ac:dyDescent="0.2">
      <c r="A110" s="221" t="str">
        <f>A6</f>
        <v>Fiscal Years Ended December 31, 2012-2017</v>
      </c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7"/>
      <c r="V110" s="138"/>
      <c r="X110" s="138"/>
      <c r="Y110" s="138"/>
      <c r="Z110" s="138"/>
      <c r="AA110" s="138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  <c r="AP110" s="161"/>
      <c r="AQ110" s="161"/>
    </row>
    <row r="111" spans="1:45" ht="14.25" x14ac:dyDescent="0.2">
      <c r="A111" s="221" t="str">
        <f>A7</f>
        <v xml:space="preserve">  </v>
      </c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7"/>
      <c r="V111" s="138"/>
      <c r="X111" s="138"/>
      <c r="Y111" s="138"/>
      <c r="Z111" s="138"/>
      <c r="AA111" s="138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161"/>
      <c r="AM111" s="161"/>
      <c r="AN111" s="161"/>
      <c r="AO111" s="161"/>
      <c r="AP111" s="161"/>
      <c r="AQ111" s="161"/>
    </row>
    <row r="112" spans="1:45" x14ac:dyDescent="0.2">
      <c r="A112" s="138"/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69" t="str">
        <f>T8</f>
        <v>First</v>
      </c>
      <c r="U112" s="140"/>
      <c r="V112" s="138"/>
      <c r="X112" s="138"/>
      <c r="Y112" s="138"/>
      <c r="Z112" s="138"/>
      <c r="AA112" s="138"/>
      <c r="AB112" s="161"/>
      <c r="AC112" s="161"/>
      <c r="AD112" s="161"/>
      <c r="AE112" s="161"/>
      <c r="AF112" s="161"/>
      <c r="AG112" s="161"/>
      <c r="AH112" s="161"/>
      <c r="AI112" s="161"/>
      <c r="AJ112" s="161"/>
      <c r="AK112" s="161"/>
      <c r="AL112" s="161"/>
      <c r="AM112" s="161"/>
      <c r="AN112" s="161"/>
      <c r="AO112" s="161"/>
      <c r="AP112" s="161"/>
      <c r="AQ112" s="161"/>
    </row>
    <row r="113" spans="1:43" x14ac:dyDescent="0.2">
      <c r="A113" s="163"/>
      <c r="B113" s="163"/>
      <c r="C113" s="163"/>
      <c r="D113" s="163"/>
      <c r="E113" s="163"/>
      <c r="F113" s="163"/>
      <c r="G113" s="163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 t="str">
        <f>T9</f>
        <v>Quarter</v>
      </c>
      <c r="U113" s="168" t="str">
        <f>U8</f>
        <v>2012-2017</v>
      </c>
      <c r="V113" s="138"/>
      <c r="X113" s="138"/>
      <c r="Y113" s="138"/>
      <c r="Z113" s="138"/>
      <c r="AA113" s="138"/>
      <c r="AB113" s="161"/>
      <c r="AC113" s="161"/>
      <c r="AD113" s="161"/>
      <c r="AE113" s="161"/>
      <c r="AF113" s="161"/>
      <c r="AG113" s="161"/>
      <c r="AH113" s="161"/>
      <c r="AI113" s="161"/>
      <c r="AJ113" s="161"/>
      <c r="AK113" s="161"/>
      <c r="AL113" s="161"/>
      <c r="AM113" s="161"/>
      <c r="AN113" s="161"/>
      <c r="AO113" s="161"/>
      <c r="AP113" s="161"/>
      <c r="AQ113" s="161"/>
    </row>
    <row r="114" spans="1:43" x14ac:dyDescent="0.2">
      <c r="A114" s="185" t="s">
        <v>26</v>
      </c>
      <c r="B114" s="166">
        <f t="shared" ref="B114:H114" si="97">X10</f>
        <v>2000</v>
      </c>
      <c r="C114" s="166">
        <f t="shared" si="97"/>
        <v>2001</v>
      </c>
      <c r="D114" s="166">
        <f t="shared" si="97"/>
        <v>2002</v>
      </c>
      <c r="E114" s="166">
        <f t="shared" si="97"/>
        <v>2003</v>
      </c>
      <c r="F114" s="166">
        <f t="shared" si="97"/>
        <v>2004</v>
      </c>
      <c r="G114" s="166">
        <f t="shared" si="97"/>
        <v>2005</v>
      </c>
      <c r="H114" s="166">
        <f t="shared" si="97"/>
        <v>2006</v>
      </c>
      <c r="I114" s="166">
        <f>AE75</f>
        <v>2007</v>
      </c>
      <c r="J114" s="166">
        <f t="shared" ref="J114:O114" si="98">J10</f>
        <v>2008</v>
      </c>
      <c r="K114" s="166">
        <f t="shared" si="98"/>
        <v>2009</v>
      </c>
      <c r="L114" s="166">
        <f t="shared" si="98"/>
        <v>2010</v>
      </c>
      <c r="M114" s="166">
        <f t="shared" si="98"/>
        <v>2011</v>
      </c>
      <c r="N114" s="166">
        <f t="shared" si="98"/>
        <v>2012</v>
      </c>
      <c r="O114" s="166">
        <f t="shared" si="98"/>
        <v>2013</v>
      </c>
      <c r="P114" s="166">
        <f>P75</f>
        <v>2014</v>
      </c>
      <c r="Q114" s="277">
        <f>Q10</f>
        <v>2015</v>
      </c>
      <c r="R114" s="277">
        <f>R10</f>
        <v>2016</v>
      </c>
      <c r="S114" s="323">
        <f>S10</f>
        <v>2017</v>
      </c>
      <c r="T114" s="347">
        <f>T10</f>
        <v>2018</v>
      </c>
      <c r="U114" s="171" t="s">
        <v>3</v>
      </c>
      <c r="V114" s="138"/>
      <c r="X114" s="138"/>
      <c r="Y114" s="138"/>
      <c r="Z114" s="138"/>
      <c r="AA114" s="138"/>
      <c r="AB114" s="161"/>
      <c r="AC114" s="161"/>
      <c r="AD114" s="161"/>
      <c r="AE114" s="161"/>
      <c r="AF114" s="161"/>
      <c r="AG114" s="161"/>
      <c r="AH114" s="161"/>
      <c r="AI114" s="161"/>
      <c r="AJ114" s="161"/>
      <c r="AK114" s="161"/>
      <c r="AL114" s="161"/>
      <c r="AM114" s="161"/>
      <c r="AN114" s="161"/>
      <c r="AO114" s="161"/>
      <c r="AP114" s="161"/>
      <c r="AQ114" s="161"/>
    </row>
    <row r="115" spans="1:43" ht="7.5" customHeight="1" x14ac:dyDescent="0.2">
      <c r="A115" s="141"/>
      <c r="B115" s="156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7"/>
      <c r="V115" s="138"/>
      <c r="X115" s="138"/>
      <c r="Y115" s="138"/>
      <c r="Z115" s="138"/>
      <c r="AA115" s="138"/>
      <c r="AB115" s="161"/>
      <c r="AC115" s="161"/>
      <c r="AD115" s="161"/>
      <c r="AE115" s="161"/>
      <c r="AF115" s="161"/>
      <c r="AG115" s="161"/>
      <c r="AH115" s="161"/>
      <c r="AI115" s="161"/>
      <c r="AJ115" s="161"/>
      <c r="AK115" s="161"/>
      <c r="AL115" s="161"/>
      <c r="AM115" s="161"/>
      <c r="AN115" s="161"/>
      <c r="AO115" s="161"/>
      <c r="AP115" s="161"/>
      <c r="AQ115" s="161"/>
    </row>
    <row r="116" spans="1:43" ht="12.75" customHeight="1" x14ac:dyDescent="0.2">
      <c r="A116" s="165" t="s">
        <v>29</v>
      </c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40"/>
      <c r="V116" s="138"/>
      <c r="X116" s="138"/>
      <c r="Y116" s="138"/>
      <c r="Z116" s="138"/>
      <c r="AA116" s="138"/>
      <c r="AB116" s="161"/>
      <c r="AC116" s="161"/>
      <c r="AD116" s="161"/>
      <c r="AE116" s="161"/>
      <c r="AF116" s="161"/>
      <c r="AG116" s="161"/>
      <c r="AH116" s="161"/>
      <c r="AI116" s="161"/>
      <c r="AJ116" s="161"/>
      <c r="AK116" s="161"/>
      <c r="AL116" s="161"/>
      <c r="AM116" s="161"/>
      <c r="AN116" s="161"/>
      <c r="AO116" s="161"/>
      <c r="AP116" s="161"/>
      <c r="AQ116" s="161"/>
    </row>
    <row r="117" spans="1:43" ht="12.75" customHeight="1" x14ac:dyDescent="0.2">
      <c r="A117" s="138" t="s">
        <v>7</v>
      </c>
      <c r="B117" s="158">
        <f t="shared" ref="B117:L117" si="99">B17/B48</f>
        <v>0.87684729064039402</v>
      </c>
      <c r="C117" s="158">
        <f t="shared" si="99"/>
        <v>0.84773919560329747</v>
      </c>
      <c r="D117" s="158">
        <f t="shared" si="99"/>
        <v>0.62470211192374059</v>
      </c>
      <c r="E117" s="158">
        <f t="shared" si="99"/>
        <v>0.90747863247863247</v>
      </c>
      <c r="F117" s="158">
        <f t="shared" si="99"/>
        <v>0.70408638183002892</v>
      </c>
      <c r="G117" s="158">
        <f t="shared" si="99"/>
        <v>0.76003004318708134</v>
      </c>
      <c r="H117" s="158">
        <f t="shared" si="99"/>
        <v>0.83488199983553968</v>
      </c>
      <c r="I117" s="158">
        <f t="shared" si="99"/>
        <v>1.1241431835491242</v>
      </c>
      <c r="J117" s="158">
        <f t="shared" si="99"/>
        <v>0.93860845839017737</v>
      </c>
      <c r="K117" s="158">
        <f t="shared" si="99"/>
        <v>1.5518262586377098</v>
      </c>
      <c r="L117" s="158">
        <f t="shared" si="99"/>
        <v>1.0851472471190782</v>
      </c>
      <c r="M117" s="158">
        <f t="shared" ref="M117:S117" si="100">M17/M48</f>
        <v>0.81753031973539136</v>
      </c>
      <c r="N117" s="158">
        <f t="shared" si="100"/>
        <v>1.1433021806853583</v>
      </c>
      <c r="O117" s="158">
        <f t="shared" si="100"/>
        <v>1.1318681318681318</v>
      </c>
      <c r="P117" s="158">
        <f t="shared" si="100"/>
        <v>1.3366071428571429</v>
      </c>
      <c r="Q117" s="158">
        <f t="shared" ref="Q117" si="101">Q17/Q48</f>
        <v>1.2857142857142858</v>
      </c>
      <c r="R117" s="158">
        <f t="shared" si="100"/>
        <v>1.1292743953294413</v>
      </c>
      <c r="S117" s="158">
        <f t="shared" si="100"/>
        <v>0.81323438466295606</v>
      </c>
      <c r="T117" s="158">
        <f t="shared" ref="T117" si="102">T17/T48</f>
        <v>0.63993792033109154</v>
      </c>
      <c r="U117" s="158">
        <f>AVERAGE(N117:S117)</f>
        <v>1.1400000868528859</v>
      </c>
      <c r="V117" s="138"/>
      <c r="X117" s="138"/>
      <c r="Y117" s="138"/>
      <c r="Z117" s="138"/>
      <c r="AA117" s="138"/>
      <c r="AB117" s="161"/>
      <c r="AC117" s="161"/>
      <c r="AD117" s="161"/>
      <c r="AE117" s="161"/>
      <c r="AF117" s="161"/>
      <c r="AG117" s="161"/>
      <c r="AH117" s="161"/>
      <c r="AI117" s="161"/>
      <c r="AJ117" s="161"/>
      <c r="AK117" s="161"/>
      <c r="AL117" s="161"/>
      <c r="AM117" s="161"/>
      <c r="AN117" s="161"/>
      <c r="AO117" s="161"/>
      <c r="AP117" s="161"/>
      <c r="AQ117" s="161"/>
    </row>
    <row r="118" spans="1:43" ht="12.75" customHeight="1" x14ac:dyDescent="0.2">
      <c r="A118" s="138" t="s">
        <v>25</v>
      </c>
      <c r="B118" s="158">
        <f t="shared" ref="B118:L118" si="103">(B13+B14)/B48</f>
        <v>0.65298303229337706</v>
      </c>
      <c r="C118" s="158">
        <f t="shared" si="103"/>
        <v>0.44116912315763174</v>
      </c>
      <c r="D118" s="158">
        <f t="shared" si="103"/>
        <v>0.33445640562083984</v>
      </c>
      <c r="E118" s="158">
        <f t="shared" si="103"/>
        <v>0.43878205128205128</v>
      </c>
      <c r="F118" s="158">
        <f t="shared" si="103"/>
        <v>0.27329423810853581</v>
      </c>
      <c r="G118" s="158">
        <f t="shared" si="103"/>
        <v>0.30813043750391189</v>
      </c>
      <c r="H118" s="158">
        <f t="shared" si="103"/>
        <v>0.31773702820491728</v>
      </c>
      <c r="I118" s="158">
        <f t="shared" si="103"/>
        <v>0.61766945925361771</v>
      </c>
      <c r="J118" s="158">
        <f t="shared" si="103"/>
        <v>0.45566166439290584</v>
      </c>
      <c r="K118" s="158">
        <f t="shared" si="103"/>
        <v>0.72655478775913129</v>
      </c>
      <c r="L118" s="158">
        <f t="shared" si="103"/>
        <v>0.42189500640204863</v>
      </c>
      <c r="M118" s="158">
        <f t="shared" ref="M118:S118" si="104">(M13+M14)/M48</f>
        <v>0.38588754134509373</v>
      </c>
      <c r="N118" s="158">
        <f t="shared" si="104"/>
        <v>0.58489096573208721</v>
      </c>
      <c r="O118" s="158">
        <f t="shared" si="104"/>
        <v>0.59105180533751966</v>
      </c>
      <c r="P118" s="158">
        <f t="shared" si="104"/>
        <v>0.64642857142857146</v>
      </c>
      <c r="Q118" s="158">
        <f t="shared" ref="Q118" si="105">(Q13+Q14)/Q48</f>
        <v>0.70214752567693739</v>
      </c>
      <c r="R118" s="158">
        <f t="shared" si="104"/>
        <v>0.6213511259382819</v>
      </c>
      <c r="S118" s="158">
        <f t="shared" si="104"/>
        <v>0.43166357452071735</v>
      </c>
      <c r="T118" s="158">
        <f t="shared" ref="T118" si="106">(T13+T14)/T48</f>
        <v>0.33471288153129852</v>
      </c>
      <c r="U118" s="158">
        <f>AVERAGE(N118:S118)</f>
        <v>0.59625559477235246</v>
      </c>
      <c r="V118" s="138"/>
      <c r="X118" s="138"/>
      <c r="Y118" s="138"/>
      <c r="Z118" s="138"/>
      <c r="AA118" s="138"/>
      <c r="AB118" s="161"/>
      <c r="AC118" s="161"/>
      <c r="AD118" s="161"/>
      <c r="AE118" s="161"/>
      <c r="AF118" s="161"/>
      <c r="AG118" s="161"/>
      <c r="AH118" s="161"/>
      <c r="AI118" s="161"/>
      <c r="AJ118" s="161"/>
      <c r="AK118" s="161"/>
      <c r="AL118" s="161"/>
      <c r="AM118" s="161"/>
      <c r="AN118" s="161"/>
      <c r="AO118" s="161"/>
      <c r="AP118" s="161"/>
      <c r="AQ118" s="161"/>
    </row>
    <row r="119" spans="1:43" ht="12.75" customHeight="1" x14ac:dyDescent="0.2">
      <c r="A119" s="138" t="s">
        <v>201</v>
      </c>
      <c r="B119" s="158"/>
      <c r="C119" s="158"/>
      <c r="D119" s="158"/>
      <c r="E119" s="158"/>
      <c r="F119" s="158"/>
      <c r="G119" s="158"/>
      <c r="H119" s="158">
        <f>((H78/365)/((G13+H13)/2))^-1</f>
        <v>14.935522365078143</v>
      </c>
      <c r="I119" s="158">
        <f>((I78/365)/((H13+I13)/2))^-1</f>
        <v>14.898309065288869</v>
      </c>
      <c r="J119" s="158">
        <f>((J78/365)/((I13+J13)/2))^-1</f>
        <v>11.644619831036016</v>
      </c>
      <c r="K119" s="158">
        <f>((K78/365)/((J13+K13)/2))^-1</f>
        <v>7.2066412385012342</v>
      </c>
      <c r="L119" s="158">
        <f t="shared" ref="L119:P119" si="107">365*((K13+L13)/2)/L78</f>
        <v>6.0943140794223822</v>
      </c>
      <c r="M119" s="158">
        <f t="shared" si="107"/>
        <v>3.1040122110771913</v>
      </c>
      <c r="N119" s="158">
        <f t="shared" si="107"/>
        <v>4.7475419909873002</v>
      </c>
      <c r="O119" s="158">
        <f t="shared" si="107"/>
        <v>4.7158538954730913</v>
      </c>
      <c r="P119" s="158">
        <f t="shared" si="107"/>
        <v>2.6408987052551409</v>
      </c>
      <c r="Q119" s="158">
        <f>365*((O13+Q13)/2)/Q78</f>
        <v>2.2672974006116209</v>
      </c>
      <c r="R119" s="158">
        <f>365*((Q13+R13)/2)/R78</f>
        <v>1.0175927706210344</v>
      </c>
      <c r="S119" s="158">
        <f>365*((R13+S13)/2)/(S78*1)</f>
        <v>1.0802940614855834</v>
      </c>
      <c r="T119" s="158">
        <f>365*((S13+T13)/2)/(T78*4)</f>
        <v>1.1945734797297298</v>
      </c>
      <c r="U119" s="158">
        <f>AVERAGE(N119:S119)</f>
        <v>2.7449131374056286</v>
      </c>
      <c r="V119" s="138"/>
      <c r="X119" s="138"/>
      <c r="Y119" s="138"/>
      <c r="Z119" s="138"/>
      <c r="AA119" s="138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1"/>
      <c r="AL119" s="161"/>
      <c r="AM119" s="161"/>
      <c r="AN119" s="161"/>
      <c r="AO119" s="161"/>
      <c r="AP119" s="161"/>
      <c r="AQ119" s="161"/>
    </row>
    <row r="120" spans="1:43" ht="12.75" customHeight="1" x14ac:dyDescent="0.2">
      <c r="A120" s="138" t="s">
        <v>10</v>
      </c>
      <c r="B120" s="158">
        <f>365*(B14/B78)</f>
        <v>51.414382101382024</v>
      </c>
      <c r="C120" s="158">
        <f t="shared" ref="C120:M120" si="108">365*(((B14+C14)/2)/((B78+C78)/2))</f>
        <v>45.555371242784148</v>
      </c>
      <c r="D120" s="158">
        <f t="shared" si="108"/>
        <v>35.42184935905059</v>
      </c>
      <c r="E120" s="158">
        <f t="shared" si="108"/>
        <v>28.769674181569581</v>
      </c>
      <c r="F120" s="158">
        <f t="shared" si="108"/>
        <v>28.685258646784238</v>
      </c>
      <c r="G120" s="158">
        <f t="shared" si="108"/>
        <v>30.87413707494434</v>
      </c>
      <c r="H120" s="158">
        <f t="shared" si="108"/>
        <v>29.41861637031171</v>
      </c>
      <c r="I120" s="158">
        <f t="shared" si="108"/>
        <v>38.03659239457</v>
      </c>
      <c r="J120" s="158">
        <f t="shared" si="108"/>
        <v>49.689355870260393</v>
      </c>
      <c r="K120" s="158">
        <f>365*(((J14+K14)/2)/((J78+K78)/2))</f>
        <v>50.052484645449468</v>
      </c>
      <c r="L120" s="158">
        <f>365*(((K14+L14)/2)/((K78+L78)/2))</f>
        <v>51.204297446281927</v>
      </c>
      <c r="M120" s="158">
        <f t="shared" si="108"/>
        <v>51.847970725216236</v>
      </c>
      <c r="N120" s="158">
        <f>365*(((M14+N14)/2)/((M78+N78)/2))</f>
        <v>51.041402619349384</v>
      </c>
      <c r="O120" s="158">
        <f>365*(((N14+O14)/2)/((N78+O78)/2))</f>
        <v>49.896799282081957</v>
      </c>
      <c r="P120" s="158">
        <f>365*(((O14+P14)/2)/((O78+P78)/2))</f>
        <v>49.174439849985575</v>
      </c>
      <c r="Q120" s="158">
        <f>365*(((O14+Q14)/2)/((O78+Q78)/2))</f>
        <v>50.64071683206474</v>
      </c>
      <c r="R120" s="158">
        <f>365*(((Q14+R14)/2)/((Q78+R78)/2))</f>
        <v>51.358190357519412</v>
      </c>
      <c r="S120" s="158">
        <f>365*(((R14+S14)/2)/((R78+S78*1)/2))</f>
        <v>49.375359264226866</v>
      </c>
      <c r="T120" s="158">
        <f>365*(((S14+T14)/2)/((S78+T78*4)/2))</f>
        <v>48.090845282262109</v>
      </c>
      <c r="U120" s="158">
        <f>AVERAGE(N120:S120)</f>
        <v>50.247818034204663</v>
      </c>
      <c r="V120" s="138"/>
      <c r="X120" s="138"/>
      <c r="Y120" s="138"/>
      <c r="Z120" s="138"/>
      <c r="AA120" s="138"/>
      <c r="AB120" s="161"/>
      <c r="AC120" s="161"/>
      <c r="AD120" s="161"/>
      <c r="AE120" s="161"/>
      <c r="AF120" s="161"/>
      <c r="AG120" s="161"/>
      <c r="AH120" s="161"/>
      <c r="AI120" s="161"/>
      <c r="AJ120" s="161"/>
      <c r="AK120" s="161"/>
      <c r="AL120" s="161"/>
      <c r="AM120" s="161"/>
      <c r="AN120" s="161"/>
      <c r="AO120" s="161"/>
      <c r="AP120" s="161"/>
      <c r="AQ120" s="161"/>
    </row>
    <row r="121" spans="1:43" ht="7.5" customHeight="1" x14ac:dyDescent="0.2">
      <c r="A121" s="138"/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38"/>
      <c r="X121" s="138"/>
      <c r="Y121" s="138"/>
      <c r="Z121" s="138"/>
      <c r="AA121" s="138"/>
      <c r="AB121" s="161"/>
      <c r="AC121" s="161"/>
      <c r="AD121" s="161"/>
      <c r="AE121" s="161"/>
      <c r="AF121" s="161"/>
      <c r="AG121" s="161"/>
      <c r="AH121" s="161"/>
      <c r="AI121" s="161"/>
      <c r="AJ121" s="161"/>
      <c r="AK121" s="161"/>
      <c r="AL121" s="161"/>
      <c r="AM121" s="161"/>
      <c r="AN121" s="161"/>
      <c r="AO121" s="161"/>
      <c r="AP121" s="161"/>
      <c r="AQ121" s="161"/>
    </row>
    <row r="122" spans="1:43" x14ac:dyDescent="0.2">
      <c r="A122" s="165" t="s">
        <v>16</v>
      </c>
      <c r="B122" s="158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38"/>
      <c r="X122" s="138"/>
      <c r="Y122" s="138"/>
      <c r="Z122" s="138"/>
      <c r="AA122" s="138"/>
      <c r="AB122" s="161"/>
      <c r="AC122" s="161"/>
      <c r="AD122" s="161"/>
      <c r="AE122" s="161"/>
      <c r="AF122" s="161"/>
      <c r="AG122" s="161"/>
      <c r="AH122" s="161"/>
      <c r="AI122" s="161"/>
      <c r="AJ122" s="161"/>
      <c r="AK122" s="161"/>
      <c r="AL122" s="161"/>
      <c r="AM122" s="161"/>
      <c r="AN122" s="161"/>
      <c r="AO122" s="161"/>
      <c r="AP122" s="161"/>
      <c r="AQ122" s="161"/>
    </row>
    <row r="123" spans="1:43" x14ac:dyDescent="0.2">
      <c r="A123" s="138" t="s">
        <v>20</v>
      </c>
      <c r="B123" s="158">
        <f t="shared" ref="B123:L123" si="109">B63/B56</f>
        <v>0.47265705897401533</v>
      </c>
      <c r="C123" s="158">
        <f t="shared" si="109"/>
        <v>0.47675831157406762</v>
      </c>
      <c r="D123" s="158">
        <f t="shared" si="109"/>
        <v>0.38411677978933939</v>
      </c>
      <c r="E123" s="158">
        <f t="shared" si="109"/>
        <v>0.39674102041830195</v>
      </c>
      <c r="F123" s="158">
        <f t="shared" si="109"/>
        <v>0.39498602544333078</v>
      </c>
      <c r="G123" s="158">
        <f t="shared" si="109"/>
        <v>0.36677295217152284</v>
      </c>
      <c r="H123" s="158">
        <f t="shared" si="109"/>
        <v>0.46427496469171825</v>
      </c>
      <c r="I123" s="158">
        <f t="shared" si="109"/>
        <v>0.51277093721379874</v>
      </c>
      <c r="J123" s="158">
        <f>J63/J56</f>
        <v>0.54288288288288289</v>
      </c>
      <c r="K123" s="158">
        <f>K63/K56</f>
        <v>0.54691842406408375</v>
      </c>
      <c r="L123" s="158">
        <f t="shared" si="109"/>
        <v>0.56641994546162833</v>
      </c>
      <c r="M123" s="158">
        <f t="shared" ref="M123:S123" si="110">M63/M56</f>
        <v>0.52711323763955342</v>
      </c>
      <c r="N123" s="158">
        <f t="shared" si="110"/>
        <v>0.53983243396762282</v>
      </c>
      <c r="O123" s="158">
        <f t="shared" si="110"/>
        <v>0.56120242214532867</v>
      </c>
      <c r="P123" s="158">
        <f t="shared" si="110"/>
        <v>0.53664613468060074</v>
      </c>
      <c r="Q123" s="158">
        <f t="shared" ref="Q123" si="111">Q63/Q56</f>
        <v>0.50464208826695367</v>
      </c>
      <c r="R123" s="158">
        <f t="shared" si="110"/>
        <v>0.4924020261263663</v>
      </c>
      <c r="S123" s="158">
        <f t="shared" si="110"/>
        <v>0.52579185520361993</v>
      </c>
      <c r="T123" s="158">
        <f t="shared" ref="T123" si="112">T63/T56</f>
        <v>0.51843863067074869</v>
      </c>
      <c r="U123" s="158">
        <f t="shared" ref="U123:U127" si="113">AVERAGE(N123:S123)</f>
        <v>0.52675282673174861</v>
      </c>
      <c r="V123" s="138"/>
      <c r="X123" s="138"/>
      <c r="Y123" s="138"/>
      <c r="Z123" s="138"/>
      <c r="AA123" s="138"/>
      <c r="AB123" s="161"/>
      <c r="AC123" s="161"/>
      <c r="AD123" s="161"/>
      <c r="AE123" s="161"/>
      <c r="AF123" s="161"/>
      <c r="AG123" s="161"/>
      <c r="AH123" s="161"/>
      <c r="AI123" s="161"/>
      <c r="AJ123" s="161"/>
      <c r="AK123" s="161"/>
      <c r="AL123" s="161"/>
      <c r="AM123" s="161"/>
      <c r="AN123" s="161"/>
      <c r="AO123" s="161"/>
      <c r="AP123" s="161"/>
      <c r="AQ123" s="161"/>
    </row>
    <row r="124" spans="1:43" x14ac:dyDescent="0.2">
      <c r="A124" s="138" t="s">
        <v>19</v>
      </c>
      <c r="B124" s="158">
        <f t="shared" ref="B124:L124" si="114">B63/B54</f>
        <v>0.54550439367311077</v>
      </c>
      <c r="C124" s="158">
        <f t="shared" si="114"/>
        <v>0.61404549950544018</v>
      </c>
      <c r="D124" s="158">
        <f t="shared" si="114"/>
        <v>0.45817357964447536</v>
      </c>
      <c r="E124" s="158">
        <f t="shared" si="114"/>
        <v>0.44892911349710496</v>
      </c>
      <c r="F124" s="158">
        <f t="shared" si="114"/>
        <v>0.45370511312530271</v>
      </c>
      <c r="G124" s="158">
        <f t="shared" si="114"/>
        <v>0.44493350939671616</v>
      </c>
      <c r="H124" s="158">
        <f t="shared" si="114"/>
        <v>0.54034572425593841</v>
      </c>
      <c r="I124" s="158">
        <f t="shared" si="114"/>
        <v>0.59184871975569653</v>
      </c>
      <c r="J124" s="158">
        <f>J63/J54</f>
        <v>0.62549304546398177</v>
      </c>
      <c r="K124" s="158">
        <f>K63/K54</f>
        <v>0.59629266553783089</v>
      </c>
      <c r="L124" s="158">
        <f t="shared" si="114"/>
        <v>0.64490375232857267</v>
      </c>
      <c r="M124" s="158">
        <f t="shared" ref="M124:S124" si="115">M63/M54</f>
        <v>0.60692821368948247</v>
      </c>
      <c r="N124" s="158">
        <f t="shared" si="115"/>
        <v>0.59398437500000001</v>
      </c>
      <c r="O124" s="158">
        <f t="shared" si="115"/>
        <v>0.61795523098904592</v>
      </c>
      <c r="P124" s="158">
        <f t="shared" si="115"/>
        <v>0.58173906519618879</v>
      </c>
      <c r="Q124" s="158">
        <f t="shared" ref="Q124" si="116">Q63/Q54</f>
        <v>0.54382657869934026</v>
      </c>
      <c r="R124" s="158">
        <f t="shared" si="115"/>
        <v>0.53516841724013042</v>
      </c>
      <c r="S124" s="158">
        <f t="shared" si="115"/>
        <v>0.59248509570128649</v>
      </c>
      <c r="T124" s="158">
        <f t="shared" ref="T124" si="117">T63/T54</f>
        <v>0.59900313530026528</v>
      </c>
      <c r="U124" s="158">
        <f t="shared" si="113"/>
        <v>0.57752646047099865</v>
      </c>
      <c r="V124" s="138"/>
      <c r="X124" s="138"/>
      <c r="Y124" s="138"/>
      <c r="Z124" s="138"/>
      <c r="AA124" s="138"/>
      <c r="AB124" s="161"/>
      <c r="AC124" s="161"/>
      <c r="AD124" s="161"/>
      <c r="AE124" s="161"/>
      <c r="AF124" s="161"/>
      <c r="AG124" s="161"/>
      <c r="AH124" s="161"/>
      <c r="AI124" s="161"/>
      <c r="AJ124" s="161"/>
      <c r="AK124" s="161"/>
      <c r="AL124" s="161"/>
      <c r="AM124" s="161"/>
      <c r="AN124" s="161"/>
      <c r="AO124" s="161"/>
      <c r="AP124" s="161"/>
      <c r="AQ124" s="161"/>
    </row>
    <row r="125" spans="1:43" x14ac:dyDescent="0.2">
      <c r="A125" s="138" t="s">
        <v>18</v>
      </c>
      <c r="B125" s="158">
        <f t="shared" ref="B125:L125" si="118">B63/B28</f>
        <v>0.42180620332017876</v>
      </c>
      <c r="C125" s="158">
        <f t="shared" si="118"/>
        <v>0.43095331254969776</v>
      </c>
      <c r="D125" s="158">
        <f t="shared" si="118"/>
        <v>0.3628709454796411</v>
      </c>
      <c r="E125" s="158">
        <f t="shared" si="118"/>
        <v>0.36723573029832729</v>
      </c>
      <c r="F125" s="158">
        <f t="shared" si="118"/>
        <v>0.36282852874453603</v>
      </c>
      <c r="G125" s="158">
        <f t="shared" si="118"/>
        <v>0.35148462689397936</v>
      </c>
      <c r="H125" s="158">
        <f t="shared" si="118"/>
        <v>0.39671784117437586</v>
      </c>
      <c r="I125" s="158">
        <f t="shared" si="118"/>
        <v>0.42526795510169635</v>
      </c>
      <c r="J125" s="158">
        <f t="shared" si="118"/>
        <v>0.43590856481481483</v>
      </c>
      <c r="K125" s="158">
        <f t="shared" si="118"/>
        <v>0.43064941751946967</v>
      </c>
      <c r="L125" s="158">
        <f t="shared" si="118"/>
        <v>0.44350902879453391</v>
      </c>
      <c r="M125" s="158">
        <f t="shared" ref="M125:S125" si="119">M63/M28</f>
        <v>0.41849890641187981</v>
      </c>
      <c r="N125" s="158">
        <f t="shared" si="119"/>
        <v>0.42105554632552472</v>
      </c>
      <c r="O125" s="158">
        <f t="shared" si="119"/>
        <v>0.42065164532339117</v>
      </c>
      <c r="P125" s="158">
        <f t="shared" si="119"/>
        <v>0.41423152946204389</v>
      </c>
      <c r="Q125" s="158">
        <f t="shared" ref="Q125" si="120">Q63/Q28</f>
        <v>0.3942499737201724</v>
      </c>
      <c r="R125" s="158">
        <f t="shared" si="119"/>
        <v>0.38555474376369897</v>
      </c>
      <c r="S125" s="158">
        <f t="shared" si="119"/>
        <v>0.39332395979794826</v>
      </c>
      <c r="T125" s="158">
        <f t="shared" ref="T125" si="121">T63/T28</f>
        <v>0.38827514330380408</v>
      </c>
      <c r="U125" s="158">
        <f t="shared" si="113"/>
        <v>0.40484456639879657</v>
      </c>
      <c r="V125" s="138"/>
      <c r="X125" s="138"/>
      <c r="Y125" s="138"/>
      <c r="Z125" s="138"/>
      <c r="AA125" s="138"/>
      <c r="AB125" s="161"/>
      <c r="AC125" s="161"/>
      <c r="AD125" s="161"/>
      <c r="AE125" s="161"/>
      <c r="AF125" s="161"/>
      <c r="AG125" s="161"/>
      <c r="AH125" s="161"/>
      <c r="AI125" s="161"/>
      <c r="AJ125" s="161"/>
      <c r="AK125" s="161"/>
      <c r="AL125" s="161"/>
      <c r="AM125" s="161"/>
      <c r="AN125" s="161"/>
      <c r="AO125" s="161"/>
      <c r="AP125" s="161"/>
      <c r="AQ125" s="161"/>
    </row>
    <row r="126" spans="1:43" x14ac:dyDescent="0.2">
      <c r="A126" s="138" t="s">
        <v>30</v>
      </c>
      <c r="B126" s="158">
        <f t="shared" ref="B126:I126" si="122">(B95+B89)/B89</f>
        <v>2.2830012453300124</v>
      </c>
      <c r="C126" s="158">
        <f t="shared" si="122"/>
        <v>1.3322522522522522</v>
      </c>
      <c r="D126" s="158">
        <f t="shared" si="122"/>
        <v>3.1263586956521738</v>
      </c>
      <c r="E126" s="158">
        <f t="shared" si="122"/>
        <v>1.9480776852952819</v>
      </c>
      <c r="F126" s="158">
        <f t="shared" si="122"/>
        <v>2.6631445477599311</v>
      </c>
      <c r="G126" s="158">
        <f t="shared" si="122"/>
        <v>2.6634996041171823</v>
      </c>
      <c r="H126" s="158">
        <f t="shared" si="122"/>
        <v>3.2630303030303018</v>
      </c>
      <c r="I126" s="158">
        <f t="shared" si="122"/>
        <v>3.3333333333333335</v>
      </c>
      <c r="J126" s="158">
        <f>(J95+J89)/J89</f>
        <v>3.2750809061488675</v>
      </c>
      <c r="K126" s="158">
        <f>(K95+K89)/K89</f>
        <v>3.1838440111420612</v>
      </c>
      <c r="L126" s="158">
        <f t="shared" ref="L126:S126" si="123">((L95+L89)/L89)</f>
        <v>3.2719298245614037</v>
      </c>
      <c r="M126" s="158">
        <f t="shared" si="123"/>
        <v>3.092643051771117</v>
      </c>
      <c r="N126" s="158">
        <f t="shared" si="123"/>
        <v>3.091168091168091</v>
      </c>
      <c r="O126" s="158">
        <f t="shared" si="123"/>
        <v>3.7971428571428572</v>
      </c>
      <c r="P126" s="158">
        <f t="shared" si="123"/>
        <v>3.8446327683615817</v>
      </c>
      <c r="Q126" s="158">
        <f t="shared" ref="Q126" si="124">((Q95+Q89)/Q89)</f>
        <v>3.8337950138504153</v>
      </c>
      <c r="R126" s="158">
        <f t="shared" si="123"/>
        <v>4.021917808219178</v>
      </c>
      <c r="S126" s="158">
        <f t="shared" si="123"/>
        <v>3.9606299212598426</v>
      </c>
      <c r="T126" s="158">
        <f t="shared" ref="T126" si="125">((T95+T89)/T89)</f>
        <v>2.8020833333333335</v>
      </c>
      <c r="U126" s="158">
        <f t="shared" si="113"/>
        <v>3.7582144100003276</v>
      </c>
      <c r="V126" s="138"/>
      <c r="X126" s="138"/>
      <c r="Y126" s="138"/>
      <c r="Z126" s="138"/>
      <c r="AA126" s="138"/>
      <c r="AB126" s="161"/>
      <c r="AC126" s="161"/>
      <c r="AD126" s="161"/>
      <c r="AE126" s="161"/>
      <c r="AF126" s="161"/>
      <c r="AG126" s="161"/>
      <c r="AH126" s="161"/>
      <c r="AI126" s="161"/>
      <c r="AJ126" s="161"/>
      <c r="AK126" s="161"/>
      <c r="AL126" s="161"/>
      <c r="AM126" s="161"/>
      <c r="AN126" s="161"/>
      <c r="AO126" s="161"/>
      <c r="AP126" s="161"/>
      <c r="AQ126" s="161"/>
    </row>
    <row r="127" spans="1:43" x14ac:dyDescent="0.2">
      <c r="A127" s="138" t="s">
        <v>203</v>
      </c>
      <c r="B127" s="158"/>
      <c r="C127" s="158"/>
      <c r="D127" s="158"/>
      <c r="E127" s="158"/>
      <c r="F127" s="158"/>
      <c r="G127" s="158"/>
      <c r="H127" s="158"/>
      <c r="I127" s="158">
        <f t="shared" ref="I127:S127" si="126">(I95+I89+I83)/I89</f>
        <v>5.0771929824561406</v>
      </c>
      <c r="J127" s="158">
        <f t="shared" si="126"/>
        <v>4.8608414239482203</v>
      </c>
      <c r="K127" s="158">
        <f t="shared" si="126"/>
        <v>4.7130919220055709</v>
      </c>
      <c r="L127" s="158">
        <f t="shared" si="126"/>
        <v>4.9122807017543861</v>
      </c>
      <c r="M127" s="158">
        <f t="shared" si="126"/>
        <v>4.7574931880108995</v>
      </c>
      <c r="N127" s="158">
        <f t="shared" si="126"/>
        <v>4.9145299145299148</v>
      </c>
      <c r="O127" s="158">
        <f t="shared" si="126"/>
        <v>5.725714285714286</v>
      </c>
      <c r="P127" s="158">
        <f t="shared" si="126"/>
        <v>5.8954802259887007</v>
      </c>
      <c r="Q127" s="158">
        <f>(Q95+Q89+Q83)/Q89</f>
        <v>5.9307479224376731</v>
      </c>
      <c r="R127" s="158">
        <f>(R95+R89+R83)/R89</f>
        <v>6.1315068493150688</v>
      </c>
      <c r="S127" s="158">
        <f t="shared" si="126"/>
        <v>6.0498687664041997</v>
      </c>
      <c r="T127" s="158">
        <f t="shared" ref="T127" si="127">(T95+T89+T83)/T89</f>
        <v>4.90625</v>
      </c>
      <c r="U127" s="158">
        <f t="shared" si="113"/>
        <v>5.7746413273983075</v>
      </c>
      <c r="V127" s="138"/>
      <c r="X127" s="138"/>
      <c r="Y127" s="138"/>
      <c r="Z127" s="138"/>
      <c r="AA127" s="138"/>
      <c r="AB127" s="161"/>
      <c r="AC127" s="161"/>
      <c r="AD127" s="161"/>
      <c r="AE127" s="161"/>
      <c r="AF127" s="161"/>
      <c r="AG127" s="161"/>
      <c r="AH127" s="161"/>
      <c r="AI127" s="161"/>
      <c r="AJ127" s="161"/>
      <c r="AK127" s="161"/>
      <c r="AL127" s="161"/>
      <c r="AM127" s="161"/>
      <c r="AN127" s="161"/>
      <c r="AO127" s="161"/>
      <c r="AP127" s="161"/>
      <c r="AQ127" s="161"/>
    </row>
    <row r="128" spans="1:43" x14ac:dyDescent="0.2">
      <c r="A128" s="138"/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38"/>
      <c r="X128" s="138"/>
      <c r="Y128" s="138"/>
      <c r="Z128" s="138"/>
      <c r="AA128" s="138"/>
      <c r="AB128" s="161"/>
      <c r="AC128" s="161"/>
      <c r="AD128" s="161"/>
      <c r="AE128" s="161"/>
      <c r="AF128" s="161"/>
      <c r="AG128" s="161"/>
      <c r="AH128" s="161"/>
      <c r="AI128" s="161"/>
      <c r="AJ128" s="161"/>
      <c r="AK128" s="161"/>
      <c r="AL128" s="161"/>
      <c r="AM128" s="161"/>
      <c r="AN128" s="161"/>
      <c r="AO128" s="161"/>
      <c r="AP128" s="161"/>
      <c r="AQ128" s="161"/>
    </row>
    <row r="129" spans="1:43" x14ac:dyDescent="0.2">
      <c r="A129" s="165" t="s">
        <v>66</v>
      </c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38"/>
      <c r="X129" s="138"/>
      <c r="Y129" s="138"/>
      <c r="Z129" s="138"/>
      <c r="AA129" s="138"/>
      <c r="AB129" s="161"/>
      <c r="AC129" s="161"/>
      <c r="AD129" s="161"/>
      <c r="AE129" s="161"/>
      <c r="AF129" s="161"/>
      <c r="AG129" s="161"/>
      <c r="AH129" s="161"/>
      <c r="AI129" s="161"/>
      <c r="AJ129" s="161"/>
      <c r="AK129" s="161"/>
      <c r="AL129" s="161"/>
      <c r="AM129" s="161"/>
      <c r="AN129" s="161"/>
      <c r="AO129" s="161"/>
      <c r="AP129" s="161"/>
      <c r="AQ129" s="161"/>
    </row>
    <row r="130" spans="1:43" x14ac:dyDescent="0.2">
      <c r="A130" s="138" t="s">
        <v>28</v>
      </c>
      <c r="B130" s="140">
        <f>(B99+(B89*(1-(B98/B95))))/((B38)/1)</f>
        <v>2.4417305749913163E-2</v>
      </c>
      <c r="C130" s="140">
        <f t="shared" ref="C130:K130" si="128">(C99+(C89*(1-(C98/C95))))/((B38+C38)/2)</f>
        <v>-3.0177265524137634E-2</v>
      </c>
      <c r="D130" s="140">
        <f t="shared" si="128"/>
        <v>4.2276489838652002E-2</v>
      </c>
      <c r="E130" s="140">
        <f t="shared" si="128"/>
        <v>2.5683038962038707E-2</v>
      </c>
      <c r="F130" s="140">
        <f t="shared" si="128"/>
        <v>3.4040824318727507E-2</v>
      </c>
      <c r="G130" s="140">
        <f>(G99+(G89*(1-(G98/G95))))/((F38+G38)/2)</f>
        <v>3.3309159453546809E-2</v>
      </c>
      <c r="H130" s="140">
        <f t="shared" si="128"/>
        <v>4.1191504558362284E-2</v>
      </c>
      <c r="I130" s="140">
        <f t="shared" si="128"/>
        <v>4.6002415902156493E-2</v>
      </c>
      <c r="J130" s="140">
        <f t="shared" si="128"/>
        <v>4.174024666110402E-2</v>
      </c>
      <c r="K130" s="140">
        <f t="shared" si="128"/>
        <v>4.4383222527657175E-2</v>
      </c>
      <c r="L130" s="140">
        <f t="shared" ref="L130:P130" si="129">((L99+(L89*(1-(L98/L95))))/((K38+L38)/2))</f>
        <v>4.1681704496185981E-2</v>
      </c>
      <c r="M130" s="140">
        <f t="shared" si="129"/>
        <v>3.9766064372636481E-2</v>
      </c>
      <c r="N130" s="140">
        <f t="shared" si="129"/>
        <v>3.7063747393619804E-2</v>
      </c>
      <c r="O130" s="140">
        <f t="shared" si="129"/>
        <v>4.2677310010791301E-2</v>
      </c>
      <c r="P130" s="140">
        <f t="shared" si="129"/>
        <v>4.3013604748522151E-2</v>
      </c>
      <c r="Q130" s="140">
        <f>((Q99+(Q89*(1-(Q98/Q95))))/((O38+Q38)/2))</f>
        <v>4.2713585356275965E-2</v>
      </c>
      <c r="R130" s="140">
        <f>((R99+(R89*(1-(R98/R95))))/((Q38+R38)/2))</f>
        <v>4.5373815029649864E-2</v>
      </c>
      <c r="S130" s="140">
        <f>((S99+(S89*(1-(S98/S95))))/((R38+S38)/2))*1</f>
        <v>4.6369285341839997E-2</v>
      </c>
      <c r="T130" s="140">
        <f>((T99+(T89*(1-(T98/T95))))/((S38+T38)/2))*4</f>
        <v>4.2085206104479654E-2</v>
      </c>
      <c r="U130" s="140">
        <f t="shared" ref="U130:U132" si="130">AVERAGE(N130:S130)</f>
        <v>4.2868557980116517E-2</v>
      </c>
      <c r="V130" s="138"/>
      <c r="X130" s="138"/>
      <c r="Y130" s="138"/>
      <c r="Z130" s="138"/>
      <c r="AA130" s="138"/>
      <c r="AB130" s="161"/>
      <c r="AC130" s="161"/>
      <c r="AD130" s="161"/>
      <c r="AE130" s="161"/>
      <c r="AF130" s="161"/>
      <c r="AG130" s="161"/>
      <c r="AH130" s="161"/>
      <c r="AI130" s="161"/>
      <c r="AJ130" s="161"/>
      <c r="AK130" s="161"/>
      <c r="AL130" s="161"/>
      <c r="AM130" s="161"/>
      <c r="AN130" s="161"/>
      <c r="AO130" s="161"/>
      <c r="AP130" s="161"/>
      <c r="AQ130" s="161"/>
    </row>
    <row r="131" spans="1:43" x14ac:dyDescent="0.2">
      <c r="A131" s="138" t="s">
        <v>65</v>
      </c>
      <c r="B131" s="140" t="e">
        <f t="shared" ref="B131:L131" si="131">((B99+(B89*(1-(B98/B95))))/((A42+B42+A43+B43+A50+B50+A58+B58+A63+B63)/2))</f>
        <v>#VALUE!</v>
      </c>
      <c r="C131" s="140">
        <f t="shared" si="131"/>
        <v>-4.386383648738696E-2</v>
      </c>
      <c r="D131" s="140">
        <f t="shared" si="131"/>
        <v>6.464320049699937E-2</v>
      </c>
      <c r="E131" s="140">
        <f t="shared" si="131"/>
        <v>4.0126348728954792E-2</v>
      </c>
      <c r="F131" s="140">
        <f t="shared" si="131"/>
        <v>5.4928427722606712E-2</v>
      </c>
      <c r="G131" s="140">
        <f t="shared" si="131"/>
        <v>5.3538029920752281E-2</v>
      </c>
      <c r="H131" s="140">
        <f t="shared" si="131"/>
        <v>6.4974458829950399E-2</v>
      </c>
      <c r="I131" s="140">
        <f t="shared" si="131"/>
        <v>6.8865833880133218E-2</v>
      </c>
      <c r="J131" s="140">
        <f t="shared" si="131"/>
        <v>6.0944902417637836E-2</v>
      </c>
      <c r="K131" s="140">
        <f t="shared" si="131"/>
        <v>6.4488458243197544E-2</v>
      </c>
      <c r="L131" s="140">
        <f t="shared" si="131"/>
        <v>6.0613281761407872E-2</v>
      </c>
      <c r="M131" s="140">
        <f>((M99+(M89*(1-(M98/M95))))/((L42+M42+L43+M43+L50+M50+L58+M58+L63+M63)/2))</f>
        <v>5.8668491380851902E-2</v>
      </c>
      <c r="N131" s="140">
        <f t="shared" ref="N131:R131" si="132">((N99+(N89*(1-(N98/N95))))/((M42+N42+M43+N43+M50+N50+M58+N58+M63+N63)/2))</f>
        <v>5.5282002780775497E-2</v>
      </c>
      <c r="O131" s="140">
        <f t="shared" si="132"/>
        <v>6.3479737030347358E-2</v>
      </c>
      <c r="P131" s="140">
        <f t="shared" si="132"/>
        <v>6.4046598957506223E-2</v>
      </c>
      <c r="Q131" s="140">
        <f t="shared" si="132"/>
        <v>6.382393120063147E-2</v>
      </c>
      <c r="R131" s="140">
        <f t="shared" si="132"/>
        <v>6.9062069319306238E-2</v>
      </c>
      <c r="S131" s="140">
        <f>((S99+(S89*(1-(S98/S95))))/((R42+S42+R43+S43+R50+S50+R58+S58+R63+S63)/2))*1</f>
        <v>6.9893823281006087E-2</v>
      </c>
      <c r="T131" s="140">
        <f>((T99+(T89*(1-(T98/T95))))/((S42+T42+S43+T43+S50+T50+S58+T58+S63+T63)/2))*4</f>
        <v>6.3102565245602829E-2</v>
      </c>
      <c r="U131" s="140">
        <f t="shared" si="130"/>
        <v>6.4264693761595479E-2</v>
      </c>
      <c r="V131" s="138"/>
      <c r="X131" s="138"/>
      <c r="Y131" s="138"/>
      <c r="Z131" s="138"/>
      <c r="AA131" s="138"/>
      <c r="AB131" s="161"/>
      <c r="AC131" s="161"/>
      <c r="AD131" s="161"/>
      <c r="AE131" s="161"/>
      <c r="AF131" s="161"/>
      <c r="AG131" s="161"/>
      <c r="AH131" s="161"/>
      <c r="AI131" s="161"/>
      <c r="AJ131" s="161"/>
      <c r="AK131" s="161"/>
      <c r="AL131" s="161"/>
      <c r="AM131" s="161"/>
      <c r="AN131" s="161"/>
      <c r="AO131" s="161"/>
      <c r="AP131" s="161"/>
      <c r="AQ131" s="161"/>
    </row>
    <row r="132" spans="1:43" x14ac:dyDescent="0.2">
      <c r="A132" s="138" t="s">
        <v>64</v>
      </c>
      <c r="B132" s="140">
        <f>(B99-B101)/((B63)/1)</f>
        <v>1.6701461377870552E-2</v>
      </c>
      <c r="C132" s="140">
        <f t="shared" ref="C132:K132" si="133">(C99-C101)/((C63+B63)/2)</f>
        <v>-2.9091208203665883E-2</v>
      </c>
      <c r="D132" s="140">
        <f t="shared" si="133"/>
        <v>9.9773242630385492E-2</v>
      </c>
      <c r="E132" s="140">
        <f t="shared" si="133"/>
        <v>4.3638992491332872E-2</v>
      </c>
      <c r="F132" s="140">
        <f t="shared" si="133"/>
        <v>7.563609398896963E-2</v>
      </c>
      <c r="G132" s="140">
        <f>(G99-G101)/((G63+F63)/2)</f>
        <v>7.5470557109380956E-2</v>
      </c>
      <c r="H132" s="140">
        <f t="shared" si="133"/>
        <v>9.7627377046948682E-2</v>
      </c>
      <c r="I132" s="140">
        <f t="shared" si="133"/>
        <v>9.7905961655340074E-2</v>
      </c>
      <c r="J132" s="140">
        <f t="shared" si="133"/>
        <v>8.3687302304563935E-2</v>
      </c>
      <c r="K132" s="140">
        <f t="shared" si="133"/>
        <v>8.6183848391916326E-2</v>
      </c>
      <c r="L132" s="140">
        <f t="shared" ref="L132" si="134">((L99-L101)/((L63+K63)/2))</f>
        <v>8.0796504548384787E-2</v>
      </c>
      <c r="M132" s="140">
        <f>((M99-M101)/((M63+L63)/2))</f>
        <v>7.6060793618045533E-2</v>
      </c>
      <c r="N132" s="140">
        <f t="shared" ref="N132:R132" si="135">((N99-N101)/((N63+M63)/2))</f>
        <v>7.1937609251042089E-2</v>
      </c>
      <c r="O132" s="140">
        <f t="shared" si="135"/>
        <v>8.8380556277618927E-2</v>
      </c>
      <c r="P132" s="140">
        <f t="shared" si="135"/>
        <v>8.9825600102966724E-2</v>
      </c>
      <c r="Q132" s="140">
        <f t="shared" si="135"/>
        <v>9.1104555883316937E-2</v>
      </c>
      <c r="R132" s="140">
        <f t="shared" si="135"/>
        <v>0.10247833971388273</v>
      </c>
      <c r="S132" s="140">
        <f>((S99-S101)/((S63+R63)/2))*1</f>
        <v>0.10279097784619504</v>
      </c>
      <c r="T132" s="140">
        <f>((T99-T101)/((T63+S63)/2))*4</f>
        <v>7.8858970941082379E-2</v>
      </c>
      <c r="U132" s="140">
        <f t="shared" si="130"/>
        <v>9.108627317917041E-2</v>
      </c>
      <c r="V132" s="138"/>
      <c r="X132" s="138"/>
      <c r="Y132" s="138"/>
      <c r="Z132" s="138"/>
      <c r="AA132" s="138"/>
      <c r="AB132" s="161"/>
      <c r="AC132" s="161"/>
      <c r="AD132" s="161"/>
      <c r="AE132" s="161"/>
      <c r="AF132" s="161"/>
      <c r="AG132" s="161"/>
      <c r="AH132" s="161"/>
      <c r="AI132" s="161"/>
      <c r="AJ132" s="161"/>
      <c r="AK132" s="161"/>
      <c r="AL132" s="161"/>
      <c r="AM132" s="161"/>
      <c r="AN132" s="161"/>
      <c r="AO132" s="161"/>
      <c r="AP132" s="161"/>
      <c r="AQ132" s="161"/>
    </row>
    <row r="133" spans="1:43" x14ac:dyDescent="0.2">
      <c r="A133" s="138"/>
      <c r="B133" s="158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38"/>
      <c r="X133" s="138"/>
      <c r="Y133" s="138"/>
      <c r="Z133" s="138"/>
      <c r="AA133" s="138"/>
      <c r="AB133" s="161"/>
      <c r="AC133" s="161"/>
      <c r="AD133" s="161"/>
      <c r="AE133" s="161"/>
      <c r="AF133" s="161"/>
      <c r="AG133" s="161"/>
      <c r="AH133" s="161"/>
      <c r="AI133" s="161"/>
      <c r="AJ133" s="161"/>
      <c r="AK133" s="161"/>
      <c r="AL133" s="161"/>
      <c r="AM133" s="161"/>
      <c r="AN133" s="161"/>
      <c r="AO133" s="161"/>
      <c r="AP133" s="161"/>
      <c r="AQ133" s="161"/>
    </row>
    <row r="134" spans="1:43" x14ac:dyDescent="0.2">
      <c r="A134" s="202" t="s">
        <v>151</v>
      </c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38"/>
      <c r="X134" s="138"/>
      <c r="Y134" s="138"/>
      <c r="Z134" s="138"/>
      <c r="AA134" s="138"/>
      <c r="AB134" s="161"/>
      <c r="AC134" s="161"/>
      <c r="AD134" s="161"/>
      <c r="AE134" s="161"/>
      <c r="AF134" s="161"/>
      <c r="AG134" s="161"/>
      <c r="AH134" s="161"/>
      <c r="AI134" s="161"/>
      <c r="AJ134" s="161"/>
      <c r="AK134" s="161"/>
      <c r="AL134" s="161"/>
      <c r="AM134" s="161"/>
      <c r="AN134" s="161"/>
      <c r="AO134" s="161"/>
      <c r="AP134" s="161"/>
      <c r="AQ134" s="161"/>
    </row>
    <row r="135" spans="1:43" x14ac:dyDescent="0.2">
      <c r="A135" s="138" t="s">
        <v>189</v>
      </c>
      <c r="B135" s="158">
        <f>B78/(B28)</f>
        <v>0.43343878760205695</v>
      </c>
      <c r="C135" s="158">
        <f t="shared" ref="C135:K135" si="136">C78/((B28+C28)/2)</f>
        <v>0.59057776324089439</v>
      </c>
      <c r="D135" s="158">
        <f t="shared" si="136"/>
        <v>0.42205079157333064</v>
      </c>
      <c r="E135" s="158">
        <f t="shared" si="136"/>
        <v>0.36985841132709385</v>
      </c>
      <c r="F135" s="158">
        <f t="shared" si="136"/>
        <v>0.36024809698336624</v>
      </c>
      <c r="G135" s="158">
        <f>G78/((F28+G28)/2)</f>
        <v>0.32911788677127024</v>
      </c>
      <c r="H135" s="158">
        <f t="shared" si="136"/>
        <v>0.39762650639292246</v>
      </c>
      <c r="I135" s="158">
        <f t="shared" si="136"/>
        <v>0.38782778187647443</v>
      </c>
      <c r="J135" s="158">
        <f t="shared" si="136"/>
        <v>0.35040704241810461</v>
      </c>
      <c r="K135" s="158">
        <f t="shared" si="136"/>
        <v>0.30360001362351419</v>
      </c>
      <c r="L135" s="158">
        <f t="shared" ref="L135:P135" si="137">L78/((K28+L28)/2)</f>
        <v>0.27761596041216446</v>
      </c>
      <c r="M135" s="158">
        <f t="shared" si="137"/>
        <v>0.27163418823668778</v>
      </c>
      <c r="N135" s="158">
        <f t="shared" si="137"/>
        <v>0.27557788377409614</v>
      </c>
      <c r="O135" s="158">
        <f t="shared" si="137"/>
        <v>0.28153374904277434</v>
      </c>
      <c r="P135" s="158">
        <f t="shared" si="137"/>
        <v>0.28216837694084779</v>
      </c>
      <c r="Q135" s="158">
        <f>Q78/((O28+Q28)/2)</f>
        <v>0.27879466069858527</v>
      </c>
      <c r="R135" s="158">
        <f>R78/((Q28+R28)/2)</f>
        <v>0.27238923221954542</v>
      </c>
      <c r="S135" s="158">
        <f>S78*1/((R28+S28)/2)</f>
        <v>0.27300925322559627</v>
      </c>
      <c r="T135" s="158">
        <f>T78*4/((S28+T28)/2)</f>
        <v>0.24671164014273436</v>
      </c>
      <c r="U135" s="158">
        <f t="shared" ref="U135:U136" si="138">AVERAGE(N135:S135)</f>
        <v>0.27724552598357416</v>
      </c>
      <c r="V135" s="138"/>
      <c r="X135" s="138"/>
      <c r="Y135" s="138"/>
      <c r="Z135" s="138"/>
      <c r="AA135" s="138"/>
      <c r="AB135" s="161"/>
      <c r="AC135" s="161"/>
      <c r="AD135" s="161"/>
      <c r="AE135" s="161"/>
      <c r="AF135" s="161"/>
      <c r="AG135" s="161"/>
      <c r="AH135" s="161"/>
      <c r="AI135" s="161"/>
      <c r="AJ135" s="161"/>
      <c r="AK135" s="161"/>
      <c r="AL135" s="161"/>
      <c r="AM135" s="161"/>
      <c r="AN135" s="161"/>
      <c r="AO135" s="161"/>
      <c r="AP135" s="161"/>
      <c r="AQ135" s="161"/>
    </row>
    <row r="136" spans="1:43" x14ac:dyDescent="0.2">
      <c r="A136" s="138" t="s">
        <v>190</v>
      </c>
      <c r="B136" s="158">
        <f>B78/B38</f>
        <v>0.3240038683147638</v>
      </c>
      <c r="C136" s="158">
        <f t="shared" ref="C136:K136" si="139">C78/((B38+C38)/2)</f>
        <v>0.43139396473383984</v>
      </c>
      <c r="D136" s="158">
        <f t="shared" si="139"/>
        <v>0.30472391578909108</v>
      </c>
      <c r="E136" s="158">
        <f t="shared" si="139"/>
        <v>0.27310019757767989</v>
      </c>
      <c r="F136" s="158">
        <f t="shared" si="139"/>
        <v>0.27335076092397609</v>
      </c>
      <c r="G136" s="158">
        <f>G78/((F38+G38)/2)</f>
        <v>0.25198776758409791</v>
      </c>
      <c r="H136" s="158">
        <f t="shared" si="139"/>
        <v>0.30862261505928196</v>
      </c>
      <c r="I136" s="158">
        <f t="shared" si="139"/>
        <v>0.30812314795048906</v>
      </c>
      <c r="J136" s="158">
        <f t="shared" si="139"/>
        <v>0.28047639832886451</v>
      </c>
      <c r="K136" s="158">
        <f t="shared" si="139"/>
        <v>0.24669969280159412</v>
      </c>
      <c r="L136" s="158">
        <f t="shared" ref="L136:P136" si="140">L78/((K38+L38)/2)</f>
        <v>0.22663121292697894</v>
      </c>
      <c r="M136" s="158">
        <f t="shared" si="140"/>
        <v>0.22234073499466692</v>
      </c>
      <c r="N136" s="158">
        <f t="shared" si="140"/>
        <v>0.22794975953681654</v>
      </c>
      <c r="O136" s="158">
        <f t="shared" si="140"/>
        <v>0.23726000875838385</v>
      </c>
      <c r="P136" s="158">
        <f t="shared" si="140"/>
        <v>0.23946744482947291</v>
      </c>
      <c r="Q136" s="158">
        <f>Q78/((O38+Q38)/2)</f>
        <v>0.23767773588334165</v>
      </c>
      <c r="R136" s="158">
        <f>R78/((Q38+R38)/2)</f>
        <v>0.23238980362369027</v>
      </c>
      <c r="S136" s="158">
        <f>S78*1/((R38+S38)/2)</f>
        <v>0.23635871282213297</v>
      </c>
      <c r="T136" s="158">
        <f>T78*4/((S38+T38)/2)</f>
        <v>0.21652760315464625</v>
      </c>
      <c r="U136" s="158">
        <f t="shared" si="138"/>
        <v>0.23518391090897303</v>
      </c>
      <c r="V136" s="138"/>
      <c r="X136" s="138"/>
      <c r="Y136" s="138"/>
      <c r="Z136" s="138"/>
      <c r="AA136" s="138"/>
      <c r="AB136" s="161"/>
      <c r="AC136" s="161"/>
      <c r="AD136" s="161"/>
      <c r="AE136" s="161"/>
      <c r="AF136" s="161"/>
      <c r="AG136" s="161"/>
      <c r="AH136" s="161"/>
      <c r="AI136" s="161"/>
      <c r="AJ136" s="161"/>
      <c r="AK136" s="161"/>
      <c r="AL136" s="161"/>
      <c r="AM136" s="161"/>
      <c r="AN136" s="161"/>
      <c r="AO136" s="161"/>
      <c r="AP136" s="161"/>
      <c r="AQ136" s="161"/>
    </row>
    <row r="137" spans="1:43" x14ac:dyDescent="0.2">
      <c r="A137" s="138"/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58"/>
      <c r="V137" s="138"/>
      <c r="X137" s="138"/>
      <c r="Y137" s="138"/>
      <c r="Z137" s="138"/>
      <c r="AA137" s="138"/>
      <c r="AB137" s="161"/>
      <c r="AC137" s="161"/>
      <c r="AD137" s="161"/>
      <c r="AE137" s="161"/>
      <c r="AF137" s="161"/>
      <c r="AG137" s="161"/>
      <c r="AH137" s="161"/>
      <c r="AI137" s="161"/>
      <c r="AJ137" s="161"/>
      <c r="AK137" s="161"/>
      <c r="AL137" s="161"/>
      <c r="AM137" s="161"/>
      <c r="AN137" s="161"/>
      <c r="AO137" s="161"/>
      <c r="AP137" s="161"/>
      <c r="AQ137" s="161"/>
    </row>
    <row r="138" spans="1:43" x14ac:dyDescent="0.2">
      <c r="A138" s="165" t="s">
        <v>152</v>
      </c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38"/>
      <c r="U138" s="140"/>
      <c r="V138" s="138"/>
      <c r="X138" s="138"/>
      <c r="Y138" s="138"/>
      <c r="Z138" s="138"/>
      <c r="AA138" s="138"/>
      <c r="AB138" s="161"/>
      <c r="AC138" s="161"/>
      <c r="AD138" s="161"/>
      <c r="AE138" s="161"/>
      <c r="AF138" s="161"/>
      <c r="AG138" s="161"/>
      <c r="AH138" s="161"/>
      <c r="AI138" s="161"/>
      <c r="AJ138" s="161"/>
      <c r="AK138" s="161"/>
      <c r="AL138" s="161"/>
      <c r="AM138" s="161"/>
      <c r="AN138" s="161"/>
      <c r="AO138" s="161"/>
      <c r="AP138" s="161"/>
      <c r="AQ138" s="161"/>
    </row>
    <row r="139" spans="1:43" x14ac:dyDescent="0.2">
      <c r="A139" s="138" t="s">
        <v>146</v>
      </c>
      <c r="B139" s="140">
        <f t="shared" ref="B139:K139" si="141">B63/B$144</f>
        <v>0.43861989441197424</v>
      </c>
      <c r="C139" s="140">
        <f t="shared" si="141"/>
        <v>0.49268419381836021</v>
      </c>
      <c r="D139" s="140">
        <f t="shared" si="141"/>
        <v>0.4103615620388239</v>
      </c>
      <c r="E139" s="140">
        <f t="shared" si="141"/>
        <v>0.44375911648260058</v>
      </c>
      <c r="F139" s="140">
        <f t="shared" si="141"/>
        <v>0.45942688993203951</v>
      </c>
      <c r="G139" s="140">
        <f t="shared" si="141"/>
        <v>0.45541175185670602</v>
      </c>
      <c r="H139" s="140">
        <f t="shared" si="141"/>
        <v>0.49937741252645995</v>
      </c>
      <c r="I139" s="140">
        <f t="shared" si="141"/>
        <v>0.49175368400507463</v>
      </c>
      <c r="J139" s="140">
        <f t="shared" si="141"/>
        <v>0.51792006875805763</v>
      </c>
      <c r="K139" s="140">
        <f t="shared" si="141"/>
        <v>0.50889869181624581</v>
      </c>
      <c r="L139" s="140">
        <f t="shared" ref="L139:R139" si="142">L63/L$144</f>
        <v>0.53019253208868145</v>
      </c>
      <c r="M139" s="140">
        <f t="shared" si="142"/>
        <v>0.5375970425138632</v>
      </c>
      <c r="N139" s="140">
        <f t="shared" si="142"/>
        <v>0.52416408135125814</v>
      </c>
      <c r="O139" s="140">
        <f t="shared" si="142"/>
        <v>0.53089198036006546</v>
      </c>
      <c r="P139" s="140">
        <f t="shared" si="142"/>
        <v>0.52480541455160745</v>
      </c>
      <c r="Q139" s="140">
        <f t="shared" ref="Q139" si="143">Q63/Q$144</f>
        <v>0.51204860400027308</v>
      </c>
      <c r="R139" s="140">
        <f t="shared" si="142"/>
        <v>0.51060888796737858</v>
      </c>
      <c r="S139" s="140">
        <f>S63/S$144</f>
        <v>0.51803840877914953</v>
      </c>
      <c r="T139" s="140">
        <f>T63/T$144</f>
        <v>0.51775415190049334</v>
      </c>
      <c r="U139" s="140">
        <f t="shared" ref="U139:U141" si="144">AVERAGE(N139:S139)</f>
        <v>0.52009289616828869</v>
      </c>
      <c r="V139" s="138"/>
      <c r="X139" s="138"/>
      <c r="Y139" s="138"/>
      <c r="Z139" s="138"/>
      <c r="AA139" s="138"/>
      <c r="AB139" s="161"/>
      <c r="AC139" s="161"/>
      <c r="AD139" s="161"/>
      <c r="AE139" s="161"/>
      <c r="AF139" s="161"/>
      <c r="AG139" s="161"/>
      <c r="AH139" s="161"/>
      <c r="AI139" s="161"/>
      <c r="AJ139" s="161"/>
      <c r="AK139" s="161"/>
      <c r="AL139" s="161"/>
      <c r="AM139" s="161"/>
      <c r="AN139" s="161"/>
      <c r="AO139" s="161"/>
      <c r="AP139" s="161"/>
      <c r="AQ139" s="161"/>
    </row>
    <row r="140" spans="1:43" x14ac:dyDescent="0.2">
      <c r="A140" s="138" t="s">
        <v>59</v>
      </c>
      <c r="B140" s="140">
        <f t="shared" ref="B140:K140" si="145">B58/B$144</f>
        <v>2.4475168726047686E-2</v>
      </c>
      <c r="C140" s="140">
        <f t="shared" si="145"/>
        <v>8.0473867998037574E-2</v>
      </c>
      <c r="D140" s="140">
        <f t="shared" si="145"/>
        <v>6.4848450448405037E-2</v>
      </c>
      <c r="E140" s="140">
        <f t="shared" si="145"/>
        <v>6.2485239980551506E-2</v>
      </c>
      <c r="F140" s="140">
        <f t="shared" si="145"/>
        <v>1.3676171792895677E-2</v>
      </c>
      <c r="G140" s="140">
        <f t="shared" si="145"/>
        <v>1.2300677151594582E-2</v>
      </c>
      <c r="H140" s="140">
        <f t="shared" si="145"/>
        <v>1.0285145062881335E-2</v>
      </c>
      <c r="I140" s="140">
        <f t="shared" si="145"/>
        <v>4.0011710744608181E-3</v>
      </c>
      <c r="J140" s="140">
        <f t="shared" si="145"/>
        <v>3.5238504512247527E-3</v>
      </c>
      <c r="K140" s="140">
        <f t="shared" si="145"/>
        <v>3.1183449954365681E-3</v>
      </c>
      <c r="L140" s="140">
        <f t="shared" ref="L140:R140" si="146">L58/L$144</f>
        <v>2.9900816802800466E-3</v>
      </c>
      <c r="M140" s="140">
        <f t="shared" si="146"/>
        <v>3.0314232902033272E-3</v>
      </c>
      <c r="N140" s="140">
        <f t="shared" si="146"/>
        <v>2.8266115132712859E-3</v>
      </c>
      <c r="O140" s="140">
        <f t="shared" si="146"/>
        <v>1.3638843426077467E-4</v>
      </c>
      <c r="P140" s="140">
        <f t="shared" si="146"/>
        <v>1.3536379018612522E-4</v>
      </c>
      <c r="Q140" s="140">
        <f t="shared" ref="Q140" si="147">Q58/Q$144</f>
        <v>1.3652809065465221E-4</v>
      </c>
      <c r="R140" s="140">
        <f t="shared" si="146"/>
        <v>1.3822655332089293E-4</v>
      </c>
      <c r="S140" s="140">
        <f>S58/S$144</f>
        <v>1.3717421124828533E-4</v>
      </c>
      <c r="T140" s="140">
        <f>T58/T$144</f>
        <v>1.389757487318463E-4</v>
      </c>
      <c r="U140" s="140">
        <f t="shared" si="144"/>
        <v>5.8504876549033606E-4</v>
      </c>
      <c r="V140" s="138"/>
      <c r="X140" s="138"/>
      <c r="Y140" s="138"/>
      <c r="Z140" s="138"/>
      <c r="AA140" s="138"/>
      <c r="AB140" s="161"/>
      <c r="AC140" s="161"/>
      <c r="AD140" s="161"/>
      <c r="AE140" s="161"/>
      <c r="AF140" s="161"/>
      <c r="AG140" s="161"/>
      <c r="AH140" s="161"/>
      <c r="AI140" s="161"/>
      <c r="AJ140" s="161"/>
      <c r="AK140" s="161"/>
      <c r="AL140" s="161"/>
      <c r="AM140" s="161"/>
      <c r="AN140" s="161"/>
      <c r="AO140" s="161"/>
      <c r="AP140" s="161"/>
      <c r="AQ140" s="161"/>
    </row>
    <row r="141" spans="1:43" x14ac:dyDescent="0.2">
      <c r="A141" s="138" t="s">
        <v>153</v>
      </c>
      <c r="B141" s="140">
        <f t="shared" ref="B141:K141" si="148">(B42+B50)/B$144</f>
        <v>0.53690493686197815</v>
      </c>
      <c r="C141" s="140">
        <f t="shared" si="148"/>
        <v>0.42684193818360217</v>
      </c>
      <c r="D141" s="140">
        <f t="shared" si="148"/>
        <v>0.52478998751277106</v>
      </c>
      <c r="E141" s="331">
        <f t="shared" si="148"/>
        <v>0.49375564353684792</v>
      </c>
      <c r="F141" s="331">
        <f t="shared" si="148"/>
        <v>0.52689693827506479</v>
      </c>
      <c r="G141" s="331">
        <f t="shared" si="148"/>
        <v>0.53228757099169943</v>
      </c>
      <c r="H141" s="331">
        <f t="shared" si="148"/>
        <v>0.49033744241065869</v>
      </c>
      <c r="I141" s="331">
        <f t="shared" si="148"/>
        <v>0.50424514492046457</v>
      </c>
      <c r="J141" s="331">
        <f t="shared" si="148"/>
        <v>0.47855608079071765</v>
      </c>
      <c r="K141" s="331">
        <f t="shared" si="148"/>
        <v>0.48798296318831763</v>
      </c>
      <c r="L141" s="331">
        <f t="shared" ref="L141:R141" si="149">(L42+L50)/L$144</f>
        <v>0.46681738623103852</v>
      </c>
      <c r="M141" s="331">
        <f t="shared" si="149"/>
        <v>0.45937153419593346</v>
      </c>
      <c r="N141" s="331">
        <f t="shared" si="149"/>
        <v>0.47300930713547051</v>
      </c>
      <c r="O141" s="331">
        <f t="shared" si="149"/>
        <v>0.46897163120567376</v>
      </c>
      <c r="P141" s="331">
        <f t="shared" si="149"/>
        <v>0.47505922165820641</v>
      </c>
      <c r="Q141" s="331">
        <f t="shared" ref="Q141" si="150">(Q42+Q50)/Q$144</f>
        <v>0.4878148679090723</v>
      </c>
      <c r="R141" s="331">
        <f t="shared" si="149"/>
        <v>0.48925288547930057</v>
      </c>
      <c r="S141" s="331">
        <f>(S42+S50)/S$144</f>
        <v>0.48182441700960221</v>
      </c>
      <c r="T141" s="331">
        <f>(T42+T50)/T$144</f>
        <v>0.48210687235077476</v>
      </c>
      <c r="U141" s="140">
        <f t="shared" si="144"/>
        <v>0.479322055066221</v>
      </c>
      <c r="V141" s="138"/>
      <c r="X141" s="138"/>
      <c r="Y141" s="138"/>
      <c r="Z141" s="138"/>
      <c r="AA141" s="138"/>
      <c r="AB141" s="161"/>
      <c r="AC141" s="161"/>
      <c r="AD141" s="161"/>
      <c r="AE141" s="161"/>
      <c r="AF141" s="161"/>
      <c r="AG141" s="161"/>
      <c r="AH141" s="161"/>
      <c r="AI141" s="161"/>
      <c r="AJ141" s="161"/>
      <c r="AK141" s="161"/>
      <c r="AL141" s="161"/>
      <c r="AM141" s="161"/>
      <c r="AN141" s="161"/>
      <c r="AO141" s="161"/>
      <c r="AP141" s="161"/>
      <c r="AQ141" s="161"/>
    </row>
    <row r="142" spans="1:43" x14ac:dyDescent="0.2">
      <c r="A142" s="138"/>
      <c r="B142" s="140"/>
      <c r="C142" s="140"/>
      <c r="D142" s="140"/>
      <c r="E142" s="332"/>
      <c r="F142" s="332"/>
      <c r="G142" s="332">
        <f>SUM(G139:G141)</f>
        <v>1</v>
      </c>
      <c r="H142" s="332">
        <f>SUM(H139:H141)</f>
        <v>1</v>
      </c>
      <c r="I142" s="332">
        <f>SUM(I139:I141)</f>
        <v>1</v>
      </c>
      <c r="J142" s="332">
        <f>SUM(J139:J141)</f>
        <v>1</v>
      </c>
      <c r="K142" s="332">
        <f>SUM(K139:K141)</f>
        <v>1</v>
      </c>
      <c r="L142" s="332">
        <f t="shared" ref="L142:R142" si="151">SUM(L139:L141)</f>
        <v>1</v>
      </c>
      <c r="M142" s="332">
        <f t="shared" si="151"/>
        <v>1</v>
      </c>
      <c r="N142" s="332">
        <f t="shared" si="151"/>
        <v>0.99999999999999989</v>
      </c>
      <c r="O142" s="332">
        <f t="shared" si="151"/>
        <v>1</v>
      </c>
      <c r="P142" s="332">
        <f t="shared" si="151"/>
        <v>1</v>
      </c>
      <c r="Q142" s="332">
        <f t="shared" ref="Q142" si="152">SUM(Q139:Q141)</f>
        <v>1</v>
      </c>
      <c r="R142" s="332">
        <f t="shared" si="151"/>
        <v>1</v>
      </c>
      <c r="S142" s="332">
        <f>SUM(S139:S141)</f>
        <v>1</v>
      </c>
      <c r="T142" s="332">
        <f>SUM(T139:T141)</f>
        <v>1</v>
      </c>
      <c r="U142" s="284">
        <f>AVERAGE(N142:S142)</f>
        <v>1</v>
      </c>
      <c r="V142" s="332"/>
      <c r="X142" s="138"/>
      <c r="Y142" s="138"/>
      <c r="Z142" s="138"/>
      <c r="AA142" s="138"/>
      <c r="AB142" s="161"/>
      <c r="AC142" s="161"/>
      <c r="AD142" s="161"/>
      <c r="AE142" s="161"/>
      <c r="AF142" s="161"/>
      <c r="AG142" s="161"/>
      <c r="AH142" s="161"/>
      <c r="AI142" s="161"/>
      <c r="AJ142" s="161"/>
      <c r="AK142" s="161"/>
      <c r="AL142" s="161"/>
      <c r="AM142" s="161"/>
      <c r="AN142" s="161"/>
      <c r="AO142" s="161"/>
      <c r="AP142" s="161"/>
      <c r="AQ142" s="161"/>
    </row>
    <row r="143" spans="1:43" ht="7.5" customHeight="1" x14ac:dyDescent="0.2">
      <c r="A143" s="138"/>
      <c r="B143" s="140"/>
      <c r="C143" s="140"/>
      <c r="D143" s="140"/>
      <c r="E143" s="332"/>
      <c r="F143" s="332"/>
      <c r="G143" s="332"/>
      <c r="H143" s="332"/>
      <c r="I143" s="332"/>
      <c r="J143" s="332"/>
      <c r="K143" s="332"/>
      <c r="L143" s="332"/>
      <c r="M143" s="332"/>
      <c r="N143" s="332"/>
      <c r="O143" s="332"/>
      <c r="P143" s="332"/>
      <c r="Q143" s="332"/>
      <c r="R143" s="332"/>
      <c r="S143" s="332"/>
      <c r="T143" s="332"/>
      <c r="U143" s="159"/>
      <c r="V143" s="138"/>
      <c r="X143" s="138"/>
      <c r="Y143" s="138"/>
      <c r="Z143" s="138"/>
      <c r="AA143" s="138"/>
      <c r="AB143" s="161"/>
      <c r="AC143" s="161"/>
      <c r="AD143" s="161"/>
      <c r="AE143" s="161"/>
      <c r="AF143" s="161"/>
      <c r="AG143" s="161"/>
      <c r="AH143" s="161"/>
      <c r="AI143" s="161"/>
      <c r="AJ143" s="161"/>
      <c r="AK143" s="161"/>
      <c r="AL143" s="161"/>
      <c r="AM143" s="161"/>
      <c r="AN143" s="161"/>
      <c r="AO143" s="161"/>
      <c r="AP143" s="161"/>
      <c r="AQ143" s="161"/>
    </row>
    <row r="144" spans="1:43" x14ac:dyDescent="0.2">
      <c r="A144" s="138" t="s">
        <v>154</v>
      </c>
      <c r="B144" s="333">
        <f t="shared" ref="B144:K144" si="153">B42+B50+B58+B63</f>
        <v>8845.6999999999989</v>
      </c>
      <c r="C144" s="333">
        <f t="shared" si="153"/>
        <v>6930.2000000000007</v>
      </c>
      <c r="D144" s="333">
        <f t="shared" si="153"/>
        <v>7047.2</v>
      </c>
      <c r="E144" s="138">
        <f t="shared" si="153"/>
        <v>7198.5</v>
      </c>
      <c r="F144" s="138">
        <f t="shared" si="153"/>
        <v>7136.5</v>
      </c>
      <c r="G144" s="138">
        <f t="shared" si="153"/>
        <v>7324.8</v>
      </c>
      <c r="H144" s="138">
        <f t="shared" si="153"/>
        <v>8031</v>
      </c>
      <c r="I144" s="138">
        <f t="shared" si="153"/>
        <v>10247</v>
      </c>
      <c r="J144" s="138">
        <f t="shared" si="153"/>
        <v>11635</v>
      </c>
      <c r="K144" s="138">
        <f t="shared" si="153"/>
        <v>13148</v>
      </c>
      <c r="L144" s="138">
        <f t="shared" ref="L144:R144" si="154">L42+L50+L58+L63</f>
        <v>13712</v>
      </c>
      <c r="M144" s="138">
        <f t="shared" si="154"/>
        <v>13525</v>
      </c>
      <c r="N144" s="138">
        <f t="shared" si="154"/>
        <v>14505</v>
      </c>
      <c r="O144" s="138">
        <f t="shared" si="154"/>
        <v>14664</v>
      </c>
      <c r="P144" s="138">
        <f t="shared" si="154"/>
        <v>14775</v>
      </c>
      <c r="Q144" s="138">
        <f t="shared" ref="Q144" si="155">Q42+Q50+Q58+Q63</f>
        <v>14649</v>
      </c>
      <c r="R144" s="138">
        <f t="shared" si="154"/>
        <v>14469</v>
      </c>
      <c r="S144" s="138">
        <f>S42+S50+S58+S63</f>
        <v>14580</v>
      </c>
      <c r="T144" s="138">
        <f>T42+T50+T58+T63</f>
        <v>14391</v>
      </c>
      <c r="U144" s="339">
        <f>AVERAGE(N144:S144)</f>
        <v>14607</v>
      </c>
      <c r="V144" s="138"/>
      <c r="X144" s="138"/>
      <c r="Y144" s="138"/>
      <c r="Z144" s="138"/>
      <c r="AA144" s="138"/>
      <c r="AB144" s="161"/>
      <c r="AC144" s="161"/>
      <c r="AD144" s="161"/>
      <c r="AE144" s="161"/>
      <c r="AF144" s="161"/>
      <c r="AG144" s="161"/>
      <c r="AH144" s="161"/>
      <c r="AI144" s="161"/>
      <c r="AJ144" s="161"/>
      <c r="AK144" s="161"/>
      <c r="AL144" s="161"/>
      <c r="AM144" s="161"/>
      <c r="AN144" s="161"/>
      <c r="AO144" s="161"/>
      <c r="AP144" s="161"/>
      <c r="AQ144" s="161"/>
    </row>
    <row r="145" spans="1:43" x14ac:dyDescent="0.2">
      <c r="A145" s="138"/>
      <c r="B145" s="138"/>
      <c r="C145" s="138"/>
      <c r="D145" s="138"/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40"/>
      <c r="V145" s="138"/>
      <c r="X145" s="138"/>
      <c r="Y145" s="138"/>
      <c r="Z145" s="138"/>
      <c r="AA145" s="138"/>
      <c r="AB145" s="161"/>
      <c r="AC145" s="161"/>
      <c r="AD145" s="161"/>
      <c r="AE145" s="161"/>
      <c r="AF145" s="161"/>
      <c r="AG145" s="161"/>
      <c r="AH145" s="161"/>
      <c r="AI145" s="161"/>
      <c r="AJ145" s="161"/>
      <c r="AK145" s="161"/>
      <c r="AL145" s="161"/>
      <c r="AM145" s="161"/>
      <c r="AN145" s="161"/>
      <c r="AO145" s="161"/>
      <c r="AP145" s="161"/>
      <c r="AQ145" s="161"/>
    </row>
    <row r="146" spans="1:43" x14ac:dyDescent="0.2">
      <c r="A146" s="165" t="s">
        <v>67</v>
      </c>
      <c r="B146" s="138"/>
      <c r="C146" s="138"/>
      <c r="D146" s="138"/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  <c r="R146" s="138"/>
      <c r="S146" s="138"/>
      <c r="T146" s="138"/>
      <c r="U146" s="140"/>
      <c r="V146" s="138"/>
      <c r="X146" s="138"/>
      <c r="Y146" s="138"/>
      <c r="Z146" s="138"/>
      <c r="AA146" s="138"/>
      <c r="AB146" s="161"/>
      <c r="AC146" s="161"/>
      <c r="AD146" s="161"/>
      <c r="AE146" s="161"/>
      <c r="AF146" s="161"/>
      <c r="AG146" s="161"/>
      <c r="AH146" s="161"/>
      <c r="AI146" s="161"/>
      <c r="AJ146" s="161"/>
      <c r="AK146" s="161"/>
      <c r="AL146" s="161"/>
      <c r="AM146" s="161"/>
      <c r="AN146" s="161"/>
      <c r="AO146" s="161"/>
      <c r="AP146" s="161"/>
      <c r="AQ146" s="161"/>
    </row>
    <row r="147" spans="1:43" x14ac:dyDescent="0.2">
      <c r="A147" s="138" t="s">
        <v>212</v>
      </c>
      <c r="B147" s="138"/>
      <c r="C147" s="138"/>
      <c r="D147" s="138"/>
      <c r="E147" s="138"/>
      <c r="F147" s="138"/>
      <c r="G147" s="138"/>
      <c r="H147" s="139" t="s">
        <v>155</v>
      </c>
      <c r="I147" s="139"/>
      <c r="J147" s="139"/>
      <c r="K147" s="139"/>
      <c r="L147" s="139" t="s">
        <v>191</v>
      </c>
      <c r="M147" s="139" t="s">
        <v>191</v>
      </c>
      <c r="N147" s="139" t="s">
        <v>191</v>
      </c>
      <c r="O147" s="139" t="s">
        <v>191</v>
      </c>
      <c r="P147" s="139" t="s">
        <v>191</v>
      </c>
      <c r="Q147" s="139" t="s">
        <v>221</v>
      </c>
      <c r="R147" s="139" t="s">
        <v>221</v>
      </c>
      <c r="S147" s="139" t="s">
        <v>221</v>
      </c>
      <c r="T147" s="139" t="s">
        <v>221</v>
      </c>
      <c r="U147" s="140"/>
      <c r="V147" s="138"/>
      <c r="X147" s="138"/>
      <c r="Y147" s="138"/>
      <c r="Z147" s="138"/>
      <c r="AA147" s="138"/>
      <c r="AB147" s="161"/>
      <c r="AC147" s="161"/>
      <c r="AD147" s="161"/>
      <c r="AE147" s="161"/>
      <c r="AF147" s="161"/>
      <c r="AG147" s="161"/>
      <c r="AH147" s="161"/>
      <c r="AI147" s="161"/>
      <c r="AJ147" s="161"/>
      <c r="AK147" s="161"/>
      <c r="AL147" s="161"/>
      <c r="AM147" s="161"/>
      <c r="AN147" s="161"/>
      <c r="AO147" s="161"/>
      <c r="AP147" s="161"/>
      <c r="AQ147" s="161"/>
    </row>
    <row r="148" spans="1:43" x14ac:dyDescent="0.2">
      <c r="A148" s="138" t="s">
        <v>68</v>
      </c>
      <c r="B148" s="138"/>
      <c r="C148" s="138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9" t="s">
        <v>211</v>
      </c>
      <c r="O148" s="139" t="s">
        <v>211</v>
      </c>
      <c r="P148" s="139" t="s">
        <v>211</v>
      </c>
      <c r="Q148" s="139" t="s">
        <v>222</v>
      </c>
      <c r="R148" s="139" t="s">
        <v>222</v>
      </c>
      <c r="S148" s="139" t="s">
        <v>222</v>
      </c>
      <c r="T148" s="139" t="s">
        <v>222</v>
      </c>
      <c r="U148" s="140"/>
      <c r="V148" s="138"/>
      <c r="X148" s="138"/>
      <c r="Y148" s="138"/>
      <c r="Z148" s="138"/>
      <c r="AA148" s="138"/>
      <c r="AB148" s="161"/>
      <c r="AC148" s="161"/>
      <c r="AD148" s="161"/>
      <c r="AE148" s="161"/>
      <c r="AF148" s="161"/>
      <c r="AG148" s="161"/>
      <c r="AH148" s="161"/>
      <c r="AI148" s="161"/>
      <c r="AJ148" s="161"/>
      <c r="AK148" s="161"/>
      <c r="AL148" s="161"/>
      <c r="AM148" s="161"/>
      <c r="AN148" s="161"/>
      <c r="AO148" s="161"/>
      <c r="AP148" s="161"/>
      <c r="AQ148" s="161"/>
    </row>
    <row r="149" spans="1:43" x14ac:dyDescent="0.2">
      <c r="A149" s="138"/>
      <c r="B149" s="138"/>
      <c r="C149" s="138"/>
      <c r="D149" s="138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40"/>
      <c r="V149" s="161"/>
      <c r="X149" s="138"/>
      <c r="Y149" s="138"/>
      <c r="Z149" s="138"/>
      <c r="AA149" s="138"/>
      <c r="AB149" s="161"/>
      <c r="AC149" s="161"/>
      <c r="AD149" s="161"/>
      <c r="AE149" s="161"/>
      <c r="AF149" s="161"/>
      <c r="AG149" s="161"/>
      <c r="AH149" s="161"/>
      <c r="AI149" s="161"/>
      <c r="AJ149" s="161"/>
      <c r="AK149" s="161"/>
      <c r="AL149" s="161"/>
      <c r="AM149" s="161"/>
      <c r="AN149" s="161"/>
      <c r="AO149" s="161"/>
      <c r="AP149" s="161"/>
      <c r="AQ149" s="161"/>
    </row>
    <row r="150" spans="1:43" x14ac:dyDescent="0.2">
      <c r="A150" s="161"/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X150" s="161"/>
      <c r="Y150" s="161"/>
      <c r="Z150" s="161"/>
      <c r="AA150" s="161"/>
      <c r="AB150" s="161"/>
      <c r="AC150" s="161"/>
      <c r="AD150" s="161"/>
      <c r="AE150" s="161"/>
      <c r="AF150" s="161"/>
      <c r="AG150" s="161"/>
      <c r="AH150" s="161"/>
      <c r="AI150" s="161"/>
      <c r="AJ150" s="161"/>
      <c r="AK150" s="161"/>
      <c r="AL150" s="161"/>
      <c r="AM150" s="161"/>
      <c r="AN150" s="161"/>
      <c r="AO150" s="161"/>
      <c r="AP150" s="161"/>
      <c r="AQ150" s="161"/>
    </row>
    <row r="151" spans="1:43" x14ac:dyDescent="0.2">
      <c r="A151" s="161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X151" s="161"/>
      <c r="Y151" s="161"/>
      <c r="Z151" s="161"/>
      <c r="AA151" s="161"/>
      <c r="AB151" s="161"/>
      <c r="AC151" s="161"/>
      <c r="AD151" s="161"/>
      <c r="AE151" s="161"/>
      <c r="AF151" s="161"/>
      <c r="AG151" s="161"/>
      <c r="AH151" s="161"/>
      <c r="AI151" s="161"/>
      <c r="AJ151" s="161"/>
      <c r="AK151" s="161"/>
      <c r="AL151" s="161"/>
      <c r="AM151" s="161"/>
      <c r="AN151" s="161"/>
      <c r="AO151" s="161"/>
      <c r="AP151" s="161"/>
      <c r="AQ151" s="161"/>
    </row>
    <row r="152" spans="1:43" x14ac:dyDescent="0.2">
      <c r="A152" s="162"/>
      <c r="B152" s="334"/>
      <c r="C152" s="334"/>
      <c r="D152" s="334"/>
      <c r="E152" s="334"/>
      <c r="F152" s="334"/>
      <c r="G152" s="334"/>
      <c r="H152" s="334"/>
      <c r="I152" s="334"/>
      <c r="J152" s="334"/>
      <c r="K152" s="334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X152" s="161"/>
      <c r="Y152" s="161"/>
      <c r="Z152" s="161"/>
      <c r="AA152" s="161"/>
      <c r="AB152" s="161"/>
      <c r="AC152" s="161"/>
      <c r="AD152" s="161"/>
      <c r="AE152" s="161"/>
      <c r="AF152" s="161"/>
      <c r="AG152" s="161"/>
      <c r="AH152" s="161"/>
      <c r="AI152" s="161"/>
      <c r="AJ152" s="161"/>
      <c r="AK152" s="161"/>
      <c r="AL152" s="161"/>
      <c r="AM152" s="161"/>
      <c r="AN152" s="161"/>
      <c r="AO152" s="161"/>
      <c r="AP152" s="161"/>
      <c r="AQ152" s="161"/>
    </row>
    <row r="153" spans="1:43" x14ac:dyDescent="0.2">
      <c r="A153" s="161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X153" s="161"/>
      <c r="Y153" s="161"/>
      <c r="Z153" s="161"/>
      <c r="AA153" s="161"/>
      <c r="AB153" s="161"/>
      <c r="AC153" s="161"/>
      <c r="AD153" s="161"/>
      <c r="AE153" s="161"/>
      <c r="AF153" s="161"/>
      <c r="AG153" s="161"/>
      <c r="AH153" s="161"/>
      <c r="AI153" s="161"/>
      <c r="AJ153" s="161"/>
      <c r="AK153" s="161"/>
      <c r="AL153" s="161"/>
      <c r="AM153" s="161"/>
      <c r="AN153" s="161"/>
      <c r="AO153" s="161"/>
      <c r="AP153" s="161"/>
      <c r="AQ153" s="161"/>
    </row>
    <row r="154" spans="1:43" x14ac:dyDescent="0.2">
      <c r="A154" s="161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X154" s="161"/>
      <c r="Y154" s="161"/>
      <c r="Z154" s="161"/>
      <c r="AA154" s="161"/>
      <c r="AB154" s="161"/>
      <c r="AC154" s="161"/>
      <c r="AD154" s="161"/>
      <c r="AE154" s="161"/>
      <c r="AF154" s="161"/>
      <c r="AG154" s="161"/>
      <c r="AH154" s="161"/>
      <c r="AI154" s="161"/>
      <c r="AJ154" s="161"/>
      <c r="AK154" s="161"/>
      <c r="AL154" s="161"/>
      <c r="AM154" s="161"/>
      <c r="AN154" s="161"/>
      <c r="AO154" s="161"/>
      <c r="AP154" s="161"/>
      <c r="AQ154" s="161"/>
    </row>
    <row r="155" spans="1:43" ht="7.5" customHeight="1" x14ac:dyDescent="0.2">
      <c r="A155" s="162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X155" s="161"/>
      <c r="Y155" s="161"/>
      <c r="Z155" s="161"/>
      <c r="AA155" s="161"/>
      <c r="AB155" s="161"/>
      <c r="AC155" s="161"/>
      <c r="AD155" s="161"/>
      <c r="AE155" s="161"/>
      <c r="AF155" s="161"/>
      <c r="AG155" s="161"/>
      <c r="AH155" s="161"/>
      <c r="AI155" s="161"/>
      <c r="AJ155" s="161"/>
      <c r="AK155" s="161"/>
      <c r="AL155" s="161"/>
      <c r="AM155" s="161"/>
      <c r="AN155" s="161"/>
      <c r="AO155" s="161"/>
      <c r="AP155" s="161"/>
      <c r="AQ155" s="161"/>
    </row>
    <row r="156" spans="1:43" x14ac:dyDescent="0.2">
      <c r="A156" s="161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X156" s="161"/>
      <c r="Y156" s="161"/>
      <c r="Z156" s="161"/>
      <c r="AA156" s="161"/>
      <c r="AB156" s="161"/>
      <c r="AC156" s="161"/>
      <c r="AD156" s="161"/>
      <c r="AE156" s="161"/>
      <c r="AF156" s="161"/>
      <c r="AG156" s="161"/>
      <c r="AH156" s="161"/>
      <c r="AI156" s="161"/>
      <c r="AJ156" s="161"/>
      <c r="AK156" s="161"/>
      <c r="AL156" s="161"/>
      <c r="AM156" s="161"/>
      <c r="AN156" s="161"/>
      <c r="AO156" s="161"/>
      <c r="AP156" s="161"/>
      <c r="AQ156" s="161"/>
    </row>
    <row r="157" spans="1:43" x14ac:dyDescent="0.2">
      <c r="A157" s="161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X157" s="161"/>
      <c r="Y157" s="161"/>
      <c r="Z157" s="161"/>
      <c r="AA157" s="161"/>
      <c r="AB157" s="161"/>
      <c r="AC157" s="161"/>
      <c r="AD157" s="161"/>
      <c r="AE157" s="161"/>
      <c r="AF157" s="161"/>
      <c r="AG157" s="161"/>
      <c r="AH157" s="161"/>
      <c r="AI157" s="161"/>
      <c r="AJ157" s="161"/>
      <c r="AK157" s="161"/>
      <c r="AL157" s="161"/>
      <c r="AM157" s="161"/>
      <c r="AN157" s="161"/>
      <c r="AO157" s="161"/>
      <c r="AP157" s="161"/>
      <c r="AQ157" s="161"/>
    </row>
    <row r="158" spans="1:43" x14ac:dyDescent="0.2">
      <c r="X158" s="161"/>
      <c r="Y158" s="161"/>
      <c r="Z158" s="161"/>
      <c r="AA158" s="161"/>
      <c r="AB158" s="161"/>
      <c r="AC158" s="161"/>
      <c r="AD158" s="161"/>
      <c r="AE158" s="161"/>
      <c r="AF158" s="161"/>
      <c r="AG158" s="161"/>
      <c r="AH158" s="161"/>
      <c r="AI158" s="161"/>
      <c r="AJ158" s="161"/>
      <c r="AK158" s="161"/>
      <c r="AL158" s="161"/>
      <c r="AM158" s="161"/>
      <c r="AN158" s="161"/>
      <c r="AO158" s="161"/>
      <c r="AP158" s="161"/>
      <c r="AQ158" s="161"/>
    </row>
  </sheetData>
  <sortState ref="W101:AQ101">
    <sortCondition sortBy="cellColor" ref="AQ99" dxfId="0"/>
  </sortState>
  <phoneticPr fontId="6" type="noConversion"/>
  <printOptions horizontalCentered="1"/>
  <pageMargins left="0.5" right="0.5" top="1" bottom="1" header="0.5" footer="0.5"/>
  <pageSetup scale="66" fitToHeight="5" orientation="portrait" r:id="rId1"/>
  <headerFooter alignWithMargins="0"/>
  <rowBreaks count="2" manualBreakCount="2">
    <brk id="65" max="26" man="1"/>
    <brk id="103" max="26" man="1"/>
  </rowBreaks>
  <colBreaks count="1" manualBreakCount="1">
    <brk id="21" max="1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6"/>
  <sheetViews>
    <sheetView showGridLines="0" topLeftCell="A12" zoomScaleNormal="100" workbookViewId="0">
      <selection activeCell="T58" sqref="T58"/>
    </sheetView>
  </sheetViews>
  <sheetFormatPr defaultRowHeight="12.75" x14ac:dyDescent="0.2"/>
  <cols>
    <col min="1" max="1" width="49.140625" style="32" customWidth="1"/>
    <col min="2" max="5" width="10.7109375" style="24" hidden="1" customWidth="1"/>
    <col min="6" max="6" width="10.7109375" style="33" hidden="1" customWidth="1"/>
    <col min="7" max="11" width="10.7109375" style="24" hidden="1" customWidth="1"/>
    <col min="12" max="13" width="8.7109375" style="289" hidden="1" customWidth="1"/>
    <col min="14" max="20" width="8.7109375" style="289" customWidth="1"/>
    <col min="21" max="21" width="10.7109375" style="24" customWidth="1"/>
    <col min="22" max="16384" width="9.140625" style="24"/>
  </cols>
  <sheetData>
    <row r="1" spans="1:21" x14ac:dyDescent="0.2">
      <c r="U1" s="193" t="s">
        <v>112</v>
      </c>
    </row>
    <row r="2" spans="1:21" x14ac:dyDescent="0.2">
      <c r="U2" s="54" t="s">
        <v>115</v>
      </c>
    </row>
    <row r="3" spans="1:21" ht="18.75" x14ac:dyDescent="0.3">
      <c r="A3" s="40" t="str">
        <f>Historical!A4</f>
        <v>PacifiCorp</v>
      </c>
      <c r="B3" s="39"/>
      <c r="C3" s="39"/>
      <c r="D3" s="39"/>
      <c r="E3" s="39"/>
      <c r="F3" s="41"/>
      <c r="G3" s="39"/>
      <c r="H3" s="39"/>
      <c r="I3" s="39"/>
      <c r="J3" s="39"/>
      <c r="K3" s="39"/>
      <c r="L3" s="290"/>
      <c r="M3" s="290"/>
      <c r="N3" s="290"/>
      <c r="O3" s="290"/>
      <c r="P3" s="290"/>
      <c r="Q3" s="290"/>
      <c r="R3" s="290"/>
      <c r="S3" s="290"/>
      <c r="T3" s="290"/>
      <c r="U3" s="56"/>
    </row>
    <row r="4" spans="1:21" ht="15.75" x14ac:dyDescent="0.25">
      <c r="A4" s="50" t="s">
        <v>110</v>
      </c>
      <c r="B4" s="39"/>
      <c r="C4" s="39"/>
      <c r="D4" s="39"/>
      <c r="E4" s="39"/>
      <c r="F4" s="41"/>
      <c r="G4" s="39"/>
      <c r="H4" s="39"/>
      <c r="I4" s="39"/>
      <c r="J4" s="39"/>
      <c r="K4" s="39"/>
      <c r="L4" s="290"/>
      <c r="M4" s="290"/>
      <c r="N4" s="290"/>
      <c r="O4" s="290"/>
      <c r="P4" s="290"/>
      <c r="Q4" s="290"/>
      <c r="R4" s="290"/>
      <c r="S4" s="290"/>
      <c r="T4" s="290"/>
      <c r="U4" s="39"/>
    </row>
    <row r="5" spans="1:21" s="32" customFormat="1" x14ac:dyDescent="0.2">
      <c r="A5" s="51" t="str">
        <f>Historical!A6</f>
        <v>Fiscal Years Ended December 31, 2012-2017</v>
      </c>
      <c r="B5" s="43"/>
      <c r="C5" s="43"/>
      <c r="D5" s="43"/>
      <c r="E5" s="43"/>
      <c r="F5" s="45"/>
      <c r="G5" s="43"/>
      <c r="H5" s="43"/>
      <c r="I5" s="43"/>
      <c r="J5" s="43"/>
      <c r="K5" s="43"/>
      <c r="L5" s="291"/>
      <c r="M5" s="291"/>
      <c r="N5" s="291"/>
      <c r="O5" s="291"/>
      <c r="P5" s="291"/>
      <c r="Q5" s="291"/>
      <c r="R5" s="291"/>
      <c r="S5" s="291"/>
      <c r="T5" s="291"/>
      <c r="U5" s="43"/>
    </row>
    <row r="6" spans="1:21" s="32" customFormat="1" x14ac:dyDescent="0.2">
      <c r="A6" s="51" t="str">
        <f>Historical!A7</f>
        <v xml:space="preserve">  </v>
      </c>
      <c r="B6" s="43"/>
      <c r="C6" s="43"/>
      <c r="D6" s="43"/>
      <c r="E6" s="43"/>
      <c r="F6" s="45"/>
      <c r="G6" s="43"/>
      <c r="H6" s="43"/>
      <c r="I6" s="43"/>
      <c r="J6" s="43"/>
      <c r="K6" s="43"/>
      <c r="L6" s="291"/>
      <c r="M6" s="291"/>
      <c r="N6" s="291"/>
      <c r="O6" s="291"/>
      <c r="P6" s="291"/>
      <c r="Q6" s="291"/>
      <c r="R6" s="291"/>
      <c r="S6" s="291"/>
      <c r="T6" s="291"/>
      <c r="U6" s="43"/>
    </row>
    <row r="7" spans="1:21" x14ac:dyDescent="0.2">
      <c r="A7" s="203"/>
      <c r="B7" s="203"/>
      <c r="C7" s="203"/>
      <c r="D7" s="203"/>
      <c r="E7" s="203"/>
      <c r="F7" s="204"/>
      <c r="G7" s="203"/>
      <c r="H7" s="203"/>
      <c r="I7" s="205"/>
      <c r="J7" s="205"/>
      <c r="K7" s="205"/>
      <c r="L7" s="292"/>
      <c r="M7" s="292"/>
      <c r="N7" s="292"/>
      <c r="O7" s="292"/>
      <c r="P7" s="292"/>
      <c r="Q7" s="292"/>
      <c r="R7" s="292"/>
      <c r="S7" s="292"/>
      <c r="T7" s="350" t="str">
        <f>Historical!T8</f>
        <v>First</v>
      </c>
      <c r="U7" s="206" t="str">
        <f>Historical!U8</f>
        <v>2012-2017</v>
      </c>
    </row>
    <row r="8" spans="1:21" x14ac:dyDescent="0.2">
      <c r="A8" s="207"/>
      <c r="B8" s="351"/>
      <c r="C8" s="351"/>
      <c r="D8" s="351"/>
      <c r="E8" s="351"/>
      <c r="F8" s="351"/>
      <c r="G8" s="351"/>
      <c r="H8" s="173"/>
      <c r="I8" s="208"/>
      <c r="J8" s="208"/>
      <c r="K8" s="208"/>
      <c r="L8" s="293"/>
      <c r="M8" s="293"/>
      <c r="N8" s="293"/>
      <c r="O8" s="293"/>
      <c r="P8" s="294"/>
      <c r="Q8" s="294"/>
      <c r="R8" s="294"/>
      <c r="S8" s="294"/>
      <c r="T8" s="294" t="str">
        <f>Historical!T9</f>
        <v>Quarter</v>
      </c>
      <c r="U8" s="174" t="s">
        <v>4</v>
      </c>
    </row>
    <row r="9" spans="1:21" x14ac:dyDescent="0.2">
      <c r="A9" s="207"/>
      <c r="B9" s="209">
        <f>Historical!B10</f>
        <v>2000</v>
      </c>
      <c r="C9" s="209">
        <f>Historical!C10</f>
        <v>2001</v>
      </c>
      <c r="D9" s="209">
        <f>Historical!D10</f>
        <v>2002</v>
      </c>
      <c r="E9" s="209">
        <f>Historical!E10</f>
        <v>2003</v>
      </c>
      <c r="F9" s="209">
        <f>Historical!F10</f>
        <v>2004</v>
      </c>
      <c r="G9" s="209">
        <f>Historical!G10</f>
        <v>2005</v>
      </c>
      <c r="H9" s="209">
        <f>Historical!H10</f>
        <v>2006</v>
      </c>
      <c r="I9" s="209">
        <f>Historical!I10</f>
        <v>2007</v>
      </c>
      <c r="J9" s="209">
        <f>Historical!J10</f>
        <v>2008</v>
      </c>
      <c r="K9" s="209">
        <f>Historical!K10</f>
        <v>2009</v>
      </c>
      <c r="L9" s="280">
        <f>Historical!L10</f>
        <v>2010</v>
      </c>
      <c r="M9" s="280">
        <f>Historical!M10</f>
        <v>2011</v>
      </c>
      <c r="N9" s="280">
        <f>Historical!N10</f>
        <v>2012</v>
      </c>
      <c r="O9" s="280">
        <f>Historical!O10</f>
        <v>2013</v>
      </c>
      <c r="P9" s="280">
        <f>Historical!P10</f>
        <v>2014</v>
      </c>
      <c r="Q9" s="280">
        <f>Historical!Q10</f>
        <v>2015</v>
      </c>
      <c r="R9" s="280">
        <f>Historical!R10</f>
        <v>2016</v>
      </c>
      <c r="S9" s="280">
        <f>Historical!S10</f>
        <v>2017</v>
      </c>
      <c r="T9" s="348">
        <f>Historical!T10</f>
        <v>2018</v>
      </c>
      <c r="U9" s="177" t="s">
        <v>23</v>
      </c>
    </row>
    <row r="10" spans="1:21" ht="7.5" customHeight="1" x14ac:dyDescent="0.2">
      <c r="A10" s="207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294"/>
      <c r="M10" s="294"/>
      <c r="N10" s="294"/>
      <c r="O10" s="294"/>
      <c r="P10" s="294"/>
      <c r="Q10" s="294"/>
      <c r="R10" s="294"/>
      <c r="S10" s="294"/>
      <c r="T10" s="294"/>
      <c r="U10" s="250"/>
    </row>
    <row r="11" spans="1:21" x14ac:dyDescent="0.2">
      <c r="A11" s="210" t="s">
        <v>71</v>
      </c>
      <c r="B11" s="61"/>
      <c r="C11" s="26"/>
      <c r="D11" s="26"/>
      <c r="E11" s="26"/>
      <c r="F11" s="26"/>
      <c r="G11" s="26"/>
      <c r="H11" s="62"/>
      <c r="I11" s="12"/>
      <c r="J11" s="12"/>
      <c r="K11" s="12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1" x14ac:dyDescent="0.2">
      <c r="A12" s="27" t="s">
        <v>72</v>
      </c>
      <c r="B12" s="61">
        <f>Historical!B99</f>
        <v>83.69999999999996</v>
      </c>
      <c r="C12" s="61">
        <f>Historical!C99</f>
        <v>-88.200000000000017</v>
      </c>
      <c r="D12" s="61">
        <f>Historical!D99</f>
        <v>327.29999999999995</v>
      </c>
      <c r="E12" s="61">
        <f>Historical!E99</f>
        <v>140.09999999999962</v>
      </c>
      <c r="F12" s="61">
        <f>Historical!F99</f>
        <v>248.09999999999968</v>
      </c>
      <c r="G12" s="61">
        <f>Historical!G99</f>
        <v>251.70000000000016</v>
      </c>
      <c r="H12" s="251">
        <f>Historical!H99</f>
        <v>360.69999999999959</v>
      </c>
      <c r="I12" s="251">
        <f>Historical!I99</f>
        <v>445</v>
      </c>
      <c r="J12" s="251">
        <f>Historical!J99</f>
        <v>465</v>
      </c>
      <c r="K12" s="251">
        <f>Historical!K99</f>
        <v>550</v>
      </c>
      <c r="L12" s="303">
        <f>Historical!L99</f>
        <v>566</v>
      </c>
      <c r="M12" s="303">
        <f>Historical!M99</f>
        <v>555</v>
      </c>
      <c r="N12" s="303">
        <f>Historical!N99</f>
        <v>537</v>
      </c>
      <c r="O12" s="303">
        <f>Historical!O99</f>
        <v>682</v>
      </c>
      <c r="P12" s="303">
        <f>Historical!P99</f>
        <v>698</v>
      </c>
      <c r="Q12" s="303">
        <f>Historical!Q99</f>
        <v>695</v>
      </c>
      <c r="R12" s="303">
        <f>Historical!R99</f>
        <v>763</v>
      </c>
      <c r="S12" s="303">
        <f>Historical!S99</f>
        <v>768</v>
      </c>
      <c r="T12" s="303">
        <f>Historical!T99</f>
        <v>148</v>
      </c>
      <c r="U12" s="179">
        <f>RATE(($S$9-$N$9),,-N12,S12)</f>
        <v>7.4180803399568618E-2</v>
      </c>
    </row>
    <row r="13" spans="1:21" x14ac:dyDescent="0.2">
      <c r="A13" s="25" t="s">
        <v>73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304"/>
      <c r="M13" s="304"/>
      <c r="N13" s="304"/>
      <c r="O13" s="304"/>
      <c r="P13" s="304"/>
      <c r="Q13" s="304"/>
      <c r="R13" s="304"/>
      <c r="S13" s="304"/>
      <c r="T13" s="304"/>
      <c r="U13" s="179"/>
    </row>
    <row r="14" spans="1:21" x14ac:dyDescent="0.2">
      <c r="A14" s="25" t="s">
        <v>74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304"/>
      <c r="M14" s="304"/>
      <c r="N14" s="304"/>
      <c r="O14" s="304"/>
      <c r="P14" s="304"/>
      <c r="Q14" s="304"/>
      <c r="R14" s="304"/>
      <c r="S14" s="304"/>
      <c r="T14" s="304"/>
      <c r="U14" s="179"/>
    </row>
    <row r="15" spans="1:21" hidden="1" x14ac:dyDescent="0.2">
      <c r="A15" s="60" t="s">
        <v>75</v>
      </c>
      <c r="B15" s="28">
        <v>-1.1000000000000001</v>
      </c>
      <c r="C15" s="26">
        <v>0</v>
      </c>
      <c r="D15" s="26">
        <v>-146.69999999999999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/>
      <c r="L15" s="305"/>
      <c r="M15" s="305"/>
      <c r="N15" s="305"/>
      <c r="O15" s="305"/>
      <c r="P15" s="305"/>
      <c r="Q15" s="305"/>
      <c r="R15" s="305"/>
      <c r="S15" s="305"/>
      <c r="T15" s="305"/>
      <c r="U15" s="179" t="e">
        <f>RATE(($O$9-$J$9),,-J15,O15)</f>
        <v>#NUM!</v>
      </c>
    </row>
    <row r="16" spans="1:21" hidden="1" x14ac:dyDescent="0.2">
      <c r="A16" s="27" t="s">
        <v>77</v>
      </c>
      <c r="B16" s="63">
        <v>0</v>
      </c>
      <c r="C16" s="26">
        <v>0</v>
      </c>
      <c r="D16" s="26">
        <v>112.8</v>
      </c>
      <c r="E16" s="26">
        <v>1.9</v>
      </c>
      <c r="F16" s="26">
        <v>0.9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305">
        <v>0</v>
      </c>
      <c r="M16" s="305">
        <v>0</v>
      </c>
      <c r="N16" s="305">
        <v>0</v>
      </c>
      <c r="O16" s="305">
        <v>0</v>
      </c>
      <c r="P16" s="305">
        <v>0</v>
      </c>
      <c r="Q16" s="305">
        <v>0</v>
      </c>
      <c r="R16" s="305">
        <v>0</v>
      </c>
      <c r="S16" s="305">
        <v>0</v>
      </c>
      <c r="T16" s="305">
        <v>0</v>
      </c>
      <c r="U16" s="179" t="e">
        <f>RATE(($O$9-$J$9),,-J16,O16)</f>
        <v>#NUM!</v>
      </c>
    </row>
    <row r="17" spans="1:22" hidden="1" x14ac:dyDescent="0.2">
      <c r="A17" s="27" t="s">
        <v>78</v>
      </c>
      <c r="B17" s="63">
        <v>0</v>
      </c>
      <c r="C17" s="26">
        <v>0</v>
      </c>
      <c r="D17" s="26">
        <v>-182.8</v>
      </c>
      <c r="E17" s="26">
        <v>-3.1</v>
      </c>
      <c r="F17" s="26">
        <v>-6.1</v>
      </c>
      <c r="G17" s="26">
        <v>-8.4</v>
      </c>
      <c r="H17" s="26">
        <v>-86.8</v>
      </c>
      <c r="I17" s="26">
        <v>0</v>
      </c>
      <c r="J17" s="26">
        <v>0</v>
      </c>
      <c r="K17" s="26">
        <v>0</v>
      </c>
      <c r="L17" s="305">
        <v>0</v>
      </c>
      <c r="M17" s="305">
        <v>0</v>
      </c>
      <c r="N17" s="305">
        <v>0</v>
      </c>
      <c r="O17" s="305">
        <v>0</v>
      </c>
      <c r="P17" s="305">
        <v>0</v>
      </c>
      <c r="Q17" s="305">
        <v>0</v>
      </c>
      <c r="R17" s="305">
        <v>0</v>
      </c>
      <c r="S17" s="305">
        <v>0</v>
      </c>
      <c r="T17" s="305">
        <v>0</v>
      </c>
      <c r="U17" s="179" t="e">
        <f>RATE(($O$9-$J$9),,-J17,O17)</f>
        <v>#NUM!</v>
      </c>
    </row>
    <row r="18" spans="1:22" x14ac:dyDescent="0.2">
      <c r="A18" s="27" t="s">
        <v>79</v>
      </c>
      <c r="B18" s="61">
        <v>456.3</v>
      </c>
      <c r="C18" s="26">
        <v>429</v>
      </c>
      <c r="D18" s="26">
        <v>403</v>
      </c>
      <c r="E18" s="26">
        <v>434.3</v>
      </c>
      <c r="F18" s="26">
        <v>428.8</v>
      </c>
      <c r="G18" s="26">
        <v>436.9</v>
      </c>
      <c r="H18" s="26">
        <v>448.3</v>
      </c>
      <c r="I18" s="26">
        <v>497</v>
      </c>
      <c r="J18" s="26">
        <v>490</v>
      </c>
      <c r="K18" s="26">
        <v>549</v>
      </c>
      <c r="L18" s="305">
        <v>561</v>
      </c>
      <c r="M18" s="305">
        <v>611</v>
      </c>
      <c r="N18" s="305">
        <v>640</v>
      </c>
      <c r="O18" s="305">
        <v>675</v>
      </c>
      <c r="P18" s="305">
        <v>726</v>
      </c>
      <c r="Q18" s="305">
        <v>757</v>
      </c>
      <c r="R18" s="305">
        <v>770</v>
      </c>
      <c r="S18" s="305">
        <v>796</v>
      </c>
      <c r="T18" s="305">
        <v>202</v>
      </c>
      <c r="U18" s="5">
        <f t="shared" ref="U18:U58" si="0">RATE(($S$9-$N$9),,-N18,S18)</f>
        <v>4.4591815463761515E-2</v>
      </c>
    </row>
    <row r="19" spans="1:22" x14ac:dyDescent="0.2">
      <c r="A19" s="27" t="s">
        <v>80</v>
      </c>
      <c r="B19" s="64">
        <v>136.69999999999999</v>
      </c>
      <c r="C19" s="26">
        <v>-26.4</v>
      </c>
      <c r="D19" s="26">
        <v>60.9</v>
      </c>
      <c r="E19" s="26">
        <v>31.8</v>
      </c>
      <c r="F19" s="26">
        <v>80.5</v>
      </c>
      <c r="G19" s="26">
        <v>120</v>
      </c>
      <c r="H19" s="26">
        <v>13.9</v>
      </c>
      <c r="I19" s="26">
        <v>39</v>
      </c>
      <c r="J19" s="26">
        <v>308</v>
      </c>
      <c r="K19" s="26">
        <v>645</v>
      </c>
      <c r="L19" s="305">
        <v>710</v>
      </c>
      <c r="M19" s="305">
        <v>374</v>
      </c>
      <c r="N19" s="305">
        <v>312</v>
      </c>
      <c r="O19" s="305">
        <v>230</v>
      </c>
      <c r="P19" s="305">
        <v>297</v>
      </c>
      <c r="Q19" s="305">
        <v>172</v>
      </c>
      <c r="R19" s="305">
        <v>139</v>
      </c>
      <c r="S19" s="305">
        <v>70</v>
      </c>
      <c r="T19" s="305">
        <v>-28</v>
      </c>
      <c r="U19" s="5">
        <f t="shared" si="0"/>
        <v>-0.2583676094833825</v>
      </c>
    </row>
    <row r="20" spans="1:22" hidden="1" x14ac:dyDescent="0.2">
      <c r="A20" s="29" t="s">
        <v>81</v>
      </c>
      <c r="B20" s="64">
        <v>-1</v>
      </c>
      <c r="C20" s="26">
        <v>189.2</v>
      </c>
      <c r="D20" s="26">
        <v>-52.6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/>
      <c r="L20" s="305"/>
      <c r="M20" s="305"/>
      <c r="N20" s="305"/>
      <c r="O20" s="305"/>
      <c r="P20" s="305"/>
      <c r="Q20" s="305"/>
      <c r="R20" s="305"/>
      <c r="S20" s="305"/>
      <c r="T20" s="305"/>
      <c r="U20" s="5" t="e">
        <f t="shared" si="0"/>
        <v>#NUM!</v>
      </c>
    </row>
    <row r="21" spans="1:22" x14ac:dyDescent="0.2">
      <c r="A21" s="27" t="s">
        <v>82</v>
      </c>
      <c r="B21" s="61">
        <v>0</v>
      </c>
      <c r="C21" s="26">
        <v>-35.1</v>
      </c>
      <c r="D21" s="26">
        <v>-210.9</v>
      </c>
      <c r="E21" s="26">
        <v>146.80000000000001</v>
      </c>
      <c r="F21" s="26">
        <v>111.1</v>
      </c>
      <c r="G21" s="26">
        <v>66.7</v>
      </c>
      <c r="H21" s="26">
        <v>51.6</v>
      </c>
      <c r="I21" s="26">
        <v>-45</v>
      </c>
      <c r="J21" s="26">
        <v>-37</v>
      </c>
      <c r="K21" s="26">
        <v>5</v>
      </c>
      <c r="L21" s="305">
        <v>4</v>
      </c>
      <c r="M21" s="305">
        <v>-23</v>
      </c>
      <c r="N21" s="305">
        <v>1</v>
      </c>
      <c r="O21" s="305">
        <v>-32</v>
      </c>
      <c r="P21" s="305">
        <v>-112</v>
      </c>
      <c r="Q21" s="305">
        <v>63</v>
      </c>
      <c r="R21" s="305">
        <v>122</v>
      </c>
      <c r="S21" s="305">
        <v>18</v>
      </c>
      <c r="T21" s="305">
        <v>60</v>
      </c>
      <c r="U21" s="5">
        <f t="shared" si="0"/>
        <v>0.78260245796600358</v>
      </c>
    </row>
    <row r="22" spans="1:22" x14ac:dyDescent="0.2">
      <c r="A22" s="27" t="s">
        <v>83</v>
      </c>
      <c r="B22" s="64">
        <f>43.3-8.1-3.2-11.2-40.3+71</f>
        <v>51.5</v>
      </c>
      <c r="C22" s="26">
        <f>-3.9+16.4-137.5-39.4</f>
        <v>-164.4</v>
      </c>
      <c r="D22" s="26">
        <v>65</v>
      </c>
      <c r="E22" s="26">
        <v>3.4</v>
      </c>
      <c r="F22" s="26">
        <v>-6.5</v>
      </c>
      <c r="G22" s="26">
        <v>-27</v>
      </c>
      <c r="H22" s="26">
        <v>50</v>
      </c>
      <c r="I22" s="26">
        <v>3</v>
      </c>
      <c r="J22" s="26">
        <v>-10</v>
      </c>
      <c r="K22" s="26">
        <v>-32</v>
      </c>
      <c r="L22" s="305">
        <v>-58</v>
      </c>
      <c r="M22" s="305">
        <v>-25</v>
      </c>
      <c r="N22" s="305">
        <v>-32</v>
      </c>
      <c r="O22" s="305">
        <f>21-57</f>
        <v>-36</v>
      </c>
      <c r="P22" s="305">
        <f>22-51</f>
        <v>-29</v>
      </c>
      <c r="Q22" s="305">
        <f>6-33</f>
        <v>-27</v>
      </c>
      <c r="R22" s="305">
        <f>4-27</f>
        <v>-23</v>
      </c>
      <c r="S22" s="305">
        <f>9-20</f>
        <v>-11</v>
      </c>
      <c r="T22" s="305">
        <f>-7+1</f>
        <v>-6</v>
      </c>
      <c r="U22" s="5">
        <f t="shared" si="0"/>
        <v>-0.19230286689891093</v>
      </c>
    </row>
    <row r="23" spans="1:22" x14ac:dyDescent="0.2">
      <c r="A23" s="25" t="s">
        <v>84</v>
      </c>
      <c r="B23" s="61"/>
      <c r="C23" s="26"/>
      <c r="D23" s="26"/>
      <c r="E23" s="26"/>
      <c r="F23" s="26"/>
      <c r="G23" s="26"/>
      <c r="H23" s="26"/>
      <c r="I23" s="26"/>
      <c r="J23" s="26"/>
      <c r="K23" s="26"/>
      <c r="L23" s="305"/>
      <c r="M23" s="305"/>
      <c r="N23" s="305"/>
      <c r="O23" s="305"/>
      <c r="P23" s="305"/>
      <c r="Q23" s="305"/>
      <c r="R23" s="305"/>
      <c r="S23" s="305"/>
      <c r="T23" s="305"/>
      <c r="U23" s="5"/>
    </row>
    <row r="24" spans="1:22" x14ac:dyDescent="0.2">
      <c r="A24" s="27" t="s">
        <v>85</v>
      </c>
      <c r="B24" s="64">
        <v>-40.9</v>
      </c>
      <c r="C24" s="26">
        <v>-161.80000000000001</v>
      </c>
      <c r="D24" s="26">
        <v>165.2</v>
      </c>
      <c r="E24" s="26">
        <v>7.6</v>
      </c>
      <c r="F24" s="26">
        <v>-1.7</v>
      </c>
      <c r="G24" s="26">
        <v>-137.80000000000001</v>
      </c>
      <c r="H24" s="26">
        <v>71.099999999999994</v>
      </c>
      <c r="I24" s="26">
        <v>-81</v>
      </c>
      <c r="J24" s="26">
        <v>3</v>
      </c>
      <c r="K24" s="26">
        <v>-5</v>
      </c>
      <c r="L24" s="305">
        <v>-14</v>
      </c>
      <c r="M24" s="305">
        <v>-42</v>
      </c>
      <c r="N24" s="305">
        <v>-17</v>
      </c>
      <c r="O24" s="305">
        <v>-7</v>
      </c>
      <c r="P24" s="305">
        <v>5</v>
      </c>
      <c r="Q24" s="305">
        <v>5</v>
      </c>
      <c r="R24" s="305">
        <v>-25</v>
      </c>
      <c r="S24" s="305">
        <v>48</v>
      </c>
      <c r="T24" s="305">
        <f>90+7</f>
        <v>97</v>
      </c>
      <c r="U24" s="5"/>
    </row>
    <row r="25" spans="1:22" x14ac:dyDescent="0.2">
      <c r="A25" s="27" t="s">
        <v>192</v>
      </c>
      <c r="B25" s="64"/>
      <c r="C25" s="26"/>
      <c r="D25" s="26"/>
      <c r="E25" s="26"/>
      <c r="F25" s="26"/>
      <c r="G25" s="26"/>
      <c r="H25" s="26"/>
      <c r="I25" s="26">
        <v>0</v>
      </c>
      <c r="J25" s="26">
        <v>-82</v>
      </c>
      <c r="K25" s="26">
        <v>57</v>
      </c>
      <c r="L25" s="305">
        <v>-102</v>
      </c>
      <c r="M25" s="305">
        <v>4</v>
      </c>
      <c r="N25" s="305">
        <v>68</v>
      </c>
      <c r="O25" s="305">
        <v>43</v>
      </c>
      <c r="P25" s="305">
        <v>-16</v>
      </c>
      <c r="Q25" s="305">
        <v>-47</v>
      </c>
      <c r="R25" s="305">
        <v>6</v>
      </c>
      <c r="S25" s="305">
        <v>-6</v>
      </c>
      <c r="T25" s="305">
        <v>-3</v>
      </c>
      <c r="U25" s="5"/>
    </row>
    <row r="26" spans="1:22" x14ac:dyDescent="0.2">
      <c r="A26" s="27" t="s">
        <v>86</v>
      </c>
      <c r="B26" s="64">
        <v>3.9</v>
      </c>
      <c r="C26" s="26">
        <v>-9.3000000000000007</v>
      </c>
      <c r="D26" s="26">
        <v>7</v>
      </c>
      <c r="E26" s="26">
        <v>-17.8</v>
      </c>
      <c r="F26" s="26">
        <v>14.1</v>
      </c>
      <c r="G26" s="26">
        <v>-16.2</v>
      </c>
      <c r="H26" s="26">
        <v>-38.9</v>
      </c>
      <c r="I26" s="26">
        <v>-48</v>
      </c>
      <c r="J26" s="26">
        <v>-52</v>
      </c>
      <c r="K26" s="26">
        <v>-39</v>
      </c>
      <c r="L26" s="305">
        <v>-26</v>
      </c>
      <c r="M26" s="305">
        <v>-59</v>
      </c>
      <c r="N26" s="305">
        <v>-35</v>
      </c>
      <c r="O26" s="305">
        <v>14</v>
      </c>
      <c r="P26" s="305">
        <v>37</v>
      </c>
      <c r="Q26" s="305">
        <v>-7</v>
      </c>
      <c r="R26" s="305">
        <v>-21</v>
      </c>
      <c r="S26" s="305">
        <v>10</v>
      </c>
      <c r="T26" s="305">
        <v>-12</v>
      </c>
      <c r="U26" s="5"/>
    </row>
    <row r="27" spans="1:22" x14ac:dyDescent="0.2">
      <c r="A27" s="252" t="s">
        <v>210</v>
      </c>
      <c r="B27" s="26">
        <v>0</v>
      </c>
      <c r="C27" s="26">
        <v>0</v>
      </c>
      <c r="D27" s="26">
        <v>-11.6</v>
      </c>
      <c r="E27" s="26">
        <v>32.5</v>
      </c>
      <c r="F27" s="26">
        <v>-36.799999999999997</v>
      </c>
      <c r="G27" s="26">
        <v>-32.799999999999997</v>
      </c>
      <c r="H27" s="26">
        <f>3.6+32.6</f>
        <v>36.200000000000003</v>
      </c>
      <c r="I27" s="26">
        <v>21</v>
      </c>
      <c r="J27" s="26">
        <v>-20</v>
      </c>
      <c r="K27" s="26">
        <v>-206</v>
      </c>
      <c r="L27" s="305">
        <v>-96</v>
      </c>
      <c r="M27" s="305">
        <v>275</v>
      </c>
      <c r="N27" s="305">
        <v>118</v>
      </c>
      <c r="O27" s="305">
        <v>-26</v>
      </c>
      <c r="P27" s="305">
        <v>-155</v>
      </c>
      <c r="Q27" s="305">
        <v>116</v>
      </c>
      <c r="R27" s="305">
        <v>0</v>
      </c>
      <c r="S27" s="305">
        <v>-49</v>
      </c>
      <c r="T27" s="305">
        <v>52</v>
      </c>
      <c r="U27" s="5"/>
    </row>
    <row r="28" spans="1:22" x14ac:dyDescent="0.2">
      <c r="A28" s="252" t="s">
        <v>235</v>
      </c>
      <c r="B28" s="64">
        <v>66.3</v>
      </c>
      <c r="C28" s="26">
        <v>543.79999999999995</v>
      </c>
      <c r="D28" s="26">
        <v>-151</v>
      </c>
      <c r="E28" s="26">
        <v>-97.1</v>
      </c>
      <c r="F28" s="26">
        <v>-3.3</v>
      </c>
      <c r="G28" s="26">
        <v>84.1</v>
      </c>
      <c r="H28" s="26">
        <v>-13.4</v>
      </c>
      <c r="I28" s="26">
        <v>0</v>
      </c>
      <c r="J28" s="26">
        <v>-73</v>
      </c>
      <c r="K28" s="26">
        <v>-24</v>
      </c>
      <c r="L28" s="305">
        <v>-135</v>
      </c>
      <c r="M28" s="305">
        <v>-34</v>
      </c>
      <c r="N28" s="305">
        <v>35</v>
      </c>
      <c r="O28" s="305">
        <v>10</v>
      </c>
      <c r="P28" s="305">
        <v>119</v>
      </c>
      <c r="Q28" s="305">
        <v>7</v>
      </c>
      <c r="R28" s="305">
        <v>-163</v>
      </c>
      <c r="S28" s="305">
        <f>-61-8</f>
        <v>-69</v>
      </c>
      <c r="T28" s="305">
        <v>23</v>
      </c>
      <c r="U28" s="5"/>
    </row>
    <row r="29" spans="1:22" hidden="1" x14ac:dyDescent="0.2">
      <c r="A29" s="46" t="s">
        <v>87</v>
      </c>
      <c r="B29" s="26">
        <v>0</v>
      </c>
      <c r="C29" s="26">
        <v>-32.1</v>
      </c>
      <c r="D29" s="26">
        <v>-43</v>
      </c>
      <c r="E29" s="26">
        <v>1.2</v>
      </c>
      <c r="F29" s="26">
        <v>2.8</v>
      </c>
      <c r="G29" s="26">
        <v>-26.1</v>
      </c>
      <c r="H29" s="26">
        <v>1.9</v>
      </c>
      <c r="I29" s="26">
        <v>-7</v>
      </c>
      <c r="J29" s="26">
        <v>0</v>
      </c>
      <c r="K29" s="26">
        <v>0</v>
      </c>
      <c r="L29" s="305">
        <v>0</v>
      </c>
      <c r="M29" s="305">
        <v>0</v>
      </c>
      <c r="N29" s="305">
        <v>0</v>
      </c>
      <c r="O29" s="305">
        <v>0</v>
      </c>
      <c r="P29" s="305">
        <v>0</v>
      </c>
      <c r="Q29" s="305">
        <v>0</v>
      </c>
      <c r="R29" s="305">
        <v>0</v>
      </c>
      <c r="S29" s="305">
        <v>0</v>
      </c>
      <c r="T29" s="305">
        <v>0</v>
      </c>
      <c r="U29" s="5"/>
    </row>
    <row r="30" spans="1:22" ht="7.5" customHeight="1" x14ac:dyDescent="0.2">
      <c r="A30" s="27"/>
      <c r="B30" s="61"/>
      <c r="C30" s="26"/>
      <c r="D30" s="26"/>
      <c r="E30" s="26"/>
      <c r="F30" s="26"/>
      <c r="G30" s="26"/>
      <c r="H30" s="26"/>
      <c r="I30" s="26"/>
      <c r="J30" s="26"/>
      <c r="K30" s="26"/>
      <c r="L30" s="305"/>
      <c r="M30" s="305"/>
      <c r="N30" s="305"/>
      <c r="O30" s="305"/>
      <c r="P30" s="305"/>
      <c r="Q30" s="305"/>
      <c r="R30" s="305"/>
      <c r="S30" s="305"/>
      <c r="T30" s="305"/>
      <c r="U30" s="5"/>
    </row>
    <row r="31" spans="1:22" x14ac:dyDescent="0.2">
      <c r="A31" s="211" t="s">
        <v>88</v>
      </c>
      <c r="B31" s="212">
        <f t="shared" ref="B31:K31" si="1">SUM(B12:B30)</f>
        <v>755.39999999999986</v>
      </c>
      <c r="C31" s="212">
        <f t="shared" si="1"/>
        <v>644.69999999999982</v>
      </c>
      <c r="D31" s="212">
        <f t="shared" si="1"/>
        <v>342.5999999999998</v>
      </c>
      <c r="E31" s="212">
        <f t="shared" si="1"/>
        <v>681.59999999999957</v>
      </c>
      <c r="F31" s="212">
        <f t="shared" si="1"/>
        <v>831.89999999999975</v>
      </c>
      <c r="G31" s="212">
        <f t="shared" si="1"/>
        <v>711.10000000000014</v>
      </c>
      <c r="H31" s="212">
        <f t="shared" si="1"/>
        <v>894.59999999999968</v>
      </c>
      <c r="I31" s="212">
        <f t="shared" si="1"/>
        <v>824</v>
      </c>
      <c r="J31" s="212">
        <f t="shared" si="1"/>
        <v>992</v>
      </c>
      <c r="K31" s="212">
        <f t="shared" si="1"/>
        <v>1500</v>
      </c>
      <c r="L31" s="306">
        <f t="shared" ref="L31:R31" si="2">SUM(L11:L30)</f>
        <v>1410</v>
      </c>
      <c r="M31" s="306">
        <f t="shared" si="2"/>
        <v>1636</v>
      </c>
      <c r="N31" s="306">
        <f t="shared" si="2"/>
        <v>1627</v>
      </c>
      <c r="O31" s="306">
        <f t="shared" si="2"/>
        <v>1553</v>
      </c>
      <c r="P31" s="306">
        <f t="shared" si="2"/>
        <v>1570</v>
      </c>
      <c r="Q31" s="306">
        <f t="shared" ref="Q31" si="3">SUM(Q11:Q30)</f>
        <v>1734</v>
      </c>
      <c r="R31" s="306">
        <f t="shared" si="2"/>
        <v>1568</v>
      </c>
      <c r="S31" s="306">
        <f>SUM(S11:S30)</f>
        <v>1575</v>
      </c>
      <c r="T31" s="306">
        <f>SUM(T11:T30)</f>
        <v>533</v>
      </c>
      <c r="U31" s="285">
        <f t="shared" si="0"/>
        <v>-6.4754544860774459E-3</v>
      </c>
    </row>
    <row r="32" spans="1:22" x14ac:dyDescent="0.2">
      <c r="A32" s="27"/>
      <c r="B32" s="64"/>
      <c r="C32" s="26"/>
      <c r="D32" s="26"/>
      <c r="E32" s="26"/>
      <c r="F32" s="26"/>
      <c r="G32" s="26"/>
      <c r="H32" s="26"/>
      <c r="I32" s="259"/>
      <c r="J32" s="259"/>
      <c r="K32" s="259"/>
      <c r="L32" s="305"/>
      <c r="M32" s="305"/>
      <c r="N32" s="305"/>
      <c r="O32" s="305"/>
      <c r="P32" s="305"/>
      <c r="Q32" s="305"/>
      <c r="R32" s="305"/>
      <c r="S32" s="305"/>
      <c r="T32" s="305"/>
      <c r="U32" s="286"/>
      <c r="V32" s="260"/>
    </row>
    <row r="33" spans="1:21" x14ac:dyDescent="0.2">
      <c r="A33" s="210" t="s">
        <v>89</v>
      </c>
      <c r="B33" s="61"/>
      <c r="C33" s="26"/>
      <c r="D33" s="26"/>
      <c r="E33" s="26"/>
      <c r="F33" s="26"/>
      <c r="G33" s="26"/>
      <c r="H33" s="26"/>
      <c r="I33" s="26"/>
      <c r="J33" s="26"/>
      <c r="K33" s="26"/>
      <c r="L33" s="305"/>
      <c r="M33" s="305"/>
      <c r="N33" s="305"/>
      <c r="O33" s="305"/>
      <c r="P33" s="305"/>
      <c r="Q33" s="305"/>
      <c r="R33" s="305"/>
      <c r="S33" s="305"/>
      <c r="T33" s="305"/>
      <c r="U33" s="5"/>
    </row>
    <row r="34" spans="1:21" hidden="1" x14ac:dyDescent="0.2">
      <c r="A34" s="69" t="s">
        <v>142</v>
      </c>
      <c r="B34" s="28">
        <v>-2.6</v>
      </c>
      <c r="C34" s="28">
        <v>-361.3</v>
      </c>
      <c r="D34" s="28">
        <v>-358.2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/>
      <c r="L34" s="305"/>
      <c r="M34" s="305"/>
      <c r="N34" s="305"/>
      <c r="O34" s="305"/>
      <c r="P34" s="305"/>
      <c r="Q34" s="305"/>
      <c r="R34" s="305"/>
      <c r="S34" s="305"/>
      <c r="T34" s="305"/>
      <c r="U34" s="5" t="e">
        <f t="shared" si="0"/>
        <v>#NUM!</v>
      </c>
    </row>
    <row r="35" spans="1:21" x14ac:dyDescent="0.2">
      <c r="A35" s="27" t="s">
        <v>91</v>
      </c>
      <c r="B35" s="28">
        <v>-574</v>
      </c>
      <c r="C35" s="26">
        <v>-485.7</v>
      </c>
      <c r="D35" s="26">
        <v>-505.3</v>
      </c>
      <c r="E35" s="26">
        <v>-550</v>
      </c>
      <c r="F35" s="26">
        <v>-690.4</v>
      </c>
      <c r="G35" s="26">
        <v>-851.6</v>
      </c>
      <c r="H35" s="26">
        <v>-1049</v>
      </c>
      <c r="I35" s="26">
        <v>-1519</v>
      </c>
      <c r="J35" s="26">
        <v>-1789</v>
      </c>
      <c r="K35" s="26">
        <v>-2328</v>
      </c>
      <c r="L35" s="305">
        <v>-1607</v>
      </c>
      <c r="M35" s="305">
        <v>-1506</v>
      </c>
      <c r="N35" s="305">
        <v>-1346</v>
      </c>
      <c r="O35" s="305">
        <v>-1065</v>
      </c>
      <c r="P35" s="305">
        <v>-1066</v>
      </c>
      <c r="Q35" s="305">
        <v>-916</v>
      </c>
      <c r="R35" s="305">
        <v>-903</v>
      </c>
      <c r="S35" s="305">
        <v>-769</v>
      </c>
      <c r="T35" s="305">
        <v>-236</v>
      </c>
      <c r="U35" s="5">
        <f t="shared" si="0"/>
        <v>-0.10592025551569853</v>
      </c>
    </row>
    <row r="36" spans="1:21" x14ac:dyDescent="0.2">
      <c r="A36" s="27" t="s">
        <v>92</v>
      </c>
      <c r="B36" s="61">
        <v>169.3</v>
      </c>
      <c r="C36" s="26">
        <v>1010</v>
      </c>
      <c r="D36" s="26">
        <v>83.2</v>
      </c>
      <c r="E36" s="26">
        <v>16.3</v>
      </c>
      <c r="F36" s="26">
        <v>3.3</v>
      </c>
      <c r="G36" s="26">
        <v>7.1</v>
      </c>
      <c r="H36" s="26">
        <v>1.3</v>
      </c>
      <c r="I36" s="26">
        <v>9</v>
      </c>
      <c r="J36" s="26">
        <v>-308</v>
      </c>
      <c r="K36" s="26">
        <v>0</v>
      </c>
      <c r="L36" s="305">
        <v>0</v>
      </c>
      <c r="M36" s="305">
        <v>0</v>
      </c>
      <c r="N36" s="305">
        <v>0</v>
      </c>
      <c r="O36" s="305">
        <v>0</v>
      </c>
      <c r="P36" s="305">
        <v>0</v>
      </c>
      <c r="Q36" s="305">
        <v>0</v>
      </c>
      <c r="R36" s="305">
        <v>0</v>
      </c>
      <c r="S36" s="305">
        <v>0</v>
      </c>
      <c r="T36" s="305">
        <v>0</v>
      </c>
      <c r="U36" s="5"/>
    </row>
    <row r="37" spans="1:21" hidden="1" x14ac:dyDescent="0.2">
      <c r="A37" s="29" t="s">
        <v>93</v>
      </c>
      <c r="B37" s="61">
        <v>47.8</v>
      </c>
      <c r="C37" s="26">
        <v>48.5</v>
      </c>
      <c r="D37" s="26">
        <v>36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305"/>
      <c r="M37" s="305"/>
      <c r="N37" s="305"/>
      <c r="O37" s="305"/>
      <c r="P37" s="305"/>
      <c r="Q37" s="305"/>
      <c r="R37" s="305"/>
      <c r="S37" s="305"/>
      <c r="T37" s="305"/>
      <c r="U37" s="5"/>
    </row>
    <row r="38" spans="1:21" x14ac:dyDescent="0.2">
      <c r="A38" s="27" t="s">
        <v>94</v>
      </c>
      <c r="B38" s="61">
        <v>125.9</v>
      </c>
      <c r="C38" s="26">
        <v>119.9</v>
      </c>
      <c r="D38" s="26">
        <v>120.9</v>
      </c>
      <c r="E38" s="26">
        <v>132.9</v>
      </c>
      <c r="F38" s="26">
        <v>95.8</v>
      </c>
      <c r="G38" s="26">
        <v>49.1</v>
      </c>
      <c r="H38" s="26">
        <v>123.4</v>
      </c>
      <c r="I38" s="26">
        <v>30</v>
      </c>
      <c r="J38" s="26">
        <v>67</v>
      </c>
      <c r="K38" s="26">
        <v>36</v>
      </c>
      <c r="L38" s="305">
        <v>0</v>
      </c>
      <c r="M38" s="305">
        <v>0</v>
      </c>
      <c r="N38" s="305">
        <v>0</v>
      </c>
      <c r="O38" s="305">
        <v>0</v>
      </c>
      <c r="P38" s="305">
        <v>0</v>
      </c>
      <c r="Q38" s="305">
        <v>0</v>
      </c>
      <c r="R38" s="305">
        <v>0</v>
      </c>
      <c r="S38" s="305">
        <v>0</v>
      </c>
      <c r="T38" s="305">
        <v>0</v>
      </c>
      <c r="U38" s="5"/>
    </row>
    <row r="39" spans="1:21" x14ac:dyDescent="0.2">
      <c r="A39" s="27" t="s">
        <v>95</v>
      </c>
      <c r="B39" s="61">
        <v>-130.4</v>
      </c>
      <c r="C39" s="26">
        <v>-114.5</v>
      </c>
      <c r="D39" s="26">
        <v>-152</v>
      </c>
      <c r="E39" s="26">
        <v>-134.30000000000001</v>
      </c>
      <c r="F39" s="26">
        <v>-89.4</v>
      </c>
      <c r="G39" s="26">
        <v>-44.7</v>
      </c>
      <c r="H39" s="26">
        <v>-84.9</v>
      </c>
      <c r="I39" s="26">
        <v>-25</v>
      </c>
      <c r="J39" s="26">
        <v>-52</v>
      </c>
      <c r="K39" s="26">
        <v>-21</v>
      </c>
      <c r="L39" s="305">
        <v>0</v>
      </c>
      <c r="M39" s="305">
        <v>0</v>
      </c>
      <c r="N39" s="305">
        <v>0</v>
      </c>
      <c r="O39" s="305">
        <v>0</v>
      </c>
      <c r="P39" s="305">
        <v>0</v>
      </c>
      <c r="Q39" s="305">
        <v>0</v>
      </c>
      <c r="R39" s="305">
        <v>0</v>
      </c>
      <c r="S39" s="305">
        <v>0</v>
      </c>
      <c r="T39" s="305">
        <v>0</v>
      </c>
      <c r="U39" s="5"/>
    </row>
    <row r="40" spans="1:21" x14ac:dyDescent="0.2">
      <c r="A40" s="27" t="s">
        <v>96</v>
      </c>
      <c r="B40" s="61">
        <v>10.3</v>
      </c>
      <c r="C40" s="26">
        <v>14.9</v>
      </c>
      <c r="D40" s="26">
        <f>17.1+189.9</f>
        <v>207</v>
      </c>
      <c r="E40" s="26">
        <v>10</v>
      </c>
      <c r="F40" s="26">
        <v>-22.8</v>
      </c>
      <c r="G40" s="26">
        <v>-6.6</v>
      </c>
      <c r="H40" s="26">
        <v>-14.9</v>
      </c>
      <c r="I40" s="26">
        <v>8</v>
      </c>
      <c r="J40" s="26">
        <v>6</v>
      </c>
      <c r="K40" s="26">
        <v>5</v>
      </c>
      <c r="L40" s="305">
        <v>-6</v>
      </c>
      <c r="M40" s="305">
        <v>-23</v>
      </c>
      <c r="N40" s="305">
        <v>4</v>
      </c>
      <c r="O40" s="305">
        <v>16</v>
      </c>
      <c r="P40" s="305">
        <v>-13</v>
      </c>
      <c r="Q40" s="305">
        <v>-2</v>
      </c>
      <c r="R40" s="305">
        <v>34</v>
      </c>
      <c r="S40" s="305">
        <v>40</v>
      </c>
      <c r="T40" s="305">
        <v>-1</v>
      </c>
      <c r="U40" s="5">
        <f t="shared" si="0"/>
        <v>0.58489319246111371</v>
      </c>
    </row>
    <row r="41" spans="1:21" ht="7.5" customHeight="1" x14ac:dyDescent="0.2">
      <c r="A41" s="27"/>
      <c r="B41" s="61"/>
      <c r="C41" s="26"/>
      <c r="D41" s="26"/>
      <c r="E41" s="26"/>
      <c r="F41" s="26"/>
      <c r="G41" s="26"/>
      <c r="H41" s="26"/>
      <c r="I41" s="26"/>
      <c r="J41" s="26"/>
      <c r="K41" s="26"/>
      <c r="L41" s="305"/>
      <c r="M41" s="305"/>
      <c r="N41" s="305"/>
      <c r="O41" s="305"/>
      <c r="P41" s="305"/>
      <c r="Q41" s="305"/>
      <c r="R41" s="305"/>
      <c r="S41" s="305"/>
      <c r="T41" s="305"/>
      <c r="U41" s="5"/>
    </row>
    <row r="42" spans="1:21" x14ac:dyDescent="0.2">
      <c r="A42" s="211" t="s">
        <v>97</v>
      </c>
      <c r="B42" s="212">
        <v>-353.7</v>
      </c>
      <c r="C42" s="213">
        <v>231.8</v>
      </c>
      <c r="D42" s="213">
        <v>-568.4</v>
      </c>
      <c r="E42" s="213">
        <v>-525.1</v>
      </c>
      <c r="F42" s="213">
        <v>-703.5</v>
      </c>
      <c r="G42" s="213">
        <v>-846.7</v>
      </c>
      <c r="H42" s="213">
        <f t="shared" ref="H42:P42" si="4">SUM(H33:H41)</f>
        <v>-1024.1000000000001</v>
      </c>
      <c r="I42" s="213">
        <f t="shared" si="4"/>
        <v>-1497</v>
      </c>
      <c r="J42" s="213">
        <f t="shared" si="4"/>
        <v>-2076</v>
      </c>
      <c r="K42" s="213">
        <f t="shared" si="4"/>
        <v>-2308</v>
      </c>
      <c r="L42" s="307">
        <f t="shared" si="4"/>
        <v>-1613</v>
      </c>
      <c r="M42" s="307">
        <f>SUM(M33:M41)</f>
        <v>-1529</v>
      </c>
      <c r="N42" s="307">
        <f>SUM(N33:N41)</f>
        <v>-1342</v>
      </c>
      <c r="O42" s="307">
        <f>SUM(O33:O41)</f>
        <v>-1049</v>
      </c>
      <c r="P42" s="307">
        <f t="shared" si="4"/>
        <v>-1079</v>
      </c>
      <c r="Q42" s="307">
        <f>SUM(Q33:Q41)</f>
        <v>-918</v>
      </c>
      <c r="R42" s="307">
        <f>SUM(R33:R41)</f>
        <v>-869</v>
      </c>
      <c r="S42" s="307">
        <f>SUM(S33:S41)</f>
        <v>-729</v>
      </c>
      <c r="T42" s="307">
        <f>SUM(T33:T41)</f>
        <v>-237</v>
      </c>
      <c r="U42" s="285">
        <f t="shared" si="0"/>
        <v>-0.11489457529158373</v>
      </c>
    </row>
    <row r="43" spans="1:21" x14ac:dyDescent="0.2">
      <c r="A43" s="27"/>
      <c r="B43" s="61"/>
      <c r="C43" s="26"/>
      <c r="D43" s="26"/>
      <c r="E43" s="26"/>
      <c r="F43" s="26"/>
      <c r="G43" s="26"/>
      <c r="H43" s="26"/>
      <c r="I43" s="26"/>
      <c r="J43" s="26"/>
      <c r="K43" s="26"/>
      <c r="L43" s="305"/>
      <c r="M43" s="305"/>
      <c r="N43" s="305"/>
      <c r="O43" s="305"/>
      <c r="P43" s="305"/>
      <c r="Q43" s="305"/>
      <c r="R43" s="305"/>
      <c r="S43" s="305"/>
      <c r="T43" s="305"/>
      <c r="U43" s="286"/>
    </row>
    <row r="44" spans="1:21" x14ac:dyDescent="0.2">
      <c r="A44" s="210" t="s">
        <v>98</v>
      </c>
      <c r="B44" s="61"/>
      <c r="C44" s="26"/>
      <c r="D44" s="26"/>
      <c r="E44" s="26"/>
      <c r="F44" s="26"/>
      <c r="G44" s="26"/>
      <c r="H44" s="26"/>
      <c r="I44" s="26"/>
      <c r="J44" s="26"/>
      <c r="K44" s="26"/>
      <c r="L44" s="305"/>
      <c r="M44" s="305"/>
      <c r="N44" s="305"/>
      <c r="O44" s="305"/>
      <c r="P44" s="305"/>
      <c r="Q44" s="305"/>
      <c r="R44" s="305"/>
      <c r="S44" s="305"/>
      <c r="T44" s="305"/>
      <c r="U44" s="5"/>
    </row>
    <row r="45" spans="1:21" x14ac:dyDescent="0.2">
      <c r="A45" s="27" t="s">
        <v>99</v>
      </c>
      <c r="B45" s="61">
        <v>-88.1</v>
      </c>
      <c r="C45" s="26">
        <v>131.5</v>
      </c>
      <c r="D45" s="26">
        <v>-64</v>
      </c>
      <c r="E45" s="26">
        <v>-152.5</v>
      </c>
      <c r="F45" s="26">
        <v>99.9</v>
      </c>
      <c r="G45" s="26">
        <v>343.9</v>
      </c>
      <c r="H45" s="26">
        <v>-284.39999999999998</v>
      </c>
      <c r="I45" s="26">
        <v>-397</v>
      </c>
      <c r="J45" s="26">
        <v>85</v>
      </c>
      <c r="K45" s="26">
        <v>-85</v>
      </c>
      <c r="L45" s="305">
        <v>36</v>
      </c>
      <c r="M45" s="305">
        <v>652</v>
      </c>
      <c r="N45" s="305">
        <v>-688</v>
      </c>
      <c r="O45" s="305">
        <v>0</v>
      </c>
      <c r="P45" s="305">
        <v>20</v>
      </c>
      <c r="Q45" s="305">
        <v>0</v>
      </c>
      <c r="R45" s="305">
        <v>250</v>
      </c>
      <c r="S45" s="305">
        <v>-190</v>
      </c>
      <c r="T45" s="305">
        <v>44</v>
      </c>
      <c r="U45" s="5">
        <f t="shared" si="0"/>
        <v>-0.22690470081937603</v>
      </c>
    </row>
    <row r="46" spans="1:21" x14ac:dyDescent="0.2">
      <c r="A46" s="27" t="s">
        <v>100</v>
      </c>
      <c r="B46" s="61">
        <v>1812</v>
      </c>
      <c r="C46" s="26">
        <v>1114</v>
      </c>
      <c r="D46" s="26">
        <v>791.1</v>
      </c>
      <c r="E46" s="26">
        <v>0</v>
      </c>
      <c r="F46" s="26">
        <v>0</v>
      </c>
      <c r="G46" s="26">
        <v>395.2</v>
      </c>
      <c r="H46" s="26">
        <v>296</v>
      </c>
      <c r="I46" s="26">
        <v>1193</v>
      </c>
      <c r="J46" s="26">
        <f>797+216</f>
        <v>1013</v>
      </c>
      <c r="K46" s="26">
        <v>992</v>
      </c>
      <c r="L46" s="305">
        <v>0</v>
      </c>
      <c r="M46" s="305">
        <v>399</v>
      </c>
      <c r="N46" s="305">
        <v>749</v>
      </c>
      <c r="O46" s="305">
        <v>297</v>
      </c>
      <c r="P46" s="305">
        <v>422</v>
      </c>
      <c r="Q46" s="305">
        <v>248</v>
      </c>
      <c r="R46" s="305">
        <v>0</v>
      </c>
      <c r="S46" s="305">
        <v>0</v>
      </c>
      <c r="T46" s="305">
        <v>0</v>
      </c>
      <c r="U46" s="5">
        <f t="shared" si="0"/>
        <v>-0.99999940914518248</v>
      </c>
    </row>
    <row r="47" spans="1:21" x14ac:dyDescent="0.2">
      <c r="A47" s="46" t="s">
        <v>141</v>
      </c>
      <c r="B47" s="26">
        <v>0</v>
      </c>
      <c r="C47" s="26">
        <v>0</v>
      </c>
      <c r="D47" s="26">
        <v>0</v>
      </c>
      <c r="E47" s="26">
        <v>150</v>
      </c>
      <c r="F47" s="26">
        <v>0</v>
      </c>
      <c r="G47" s="26">
        <v>0</v>
      </c>
      <c r="H47" s="26">
        <v>484.7</v>
      </c>
      <c r="I47" s="26">
        <v>200</v>
      </c>
      <c r="J47" s="26">
        <v>450</v>
      </c>
      <c r="K47" s="26">
        <v>125</v>
      </c>
      <c r="L47" s="305">
        <v>100</v>
      </c>
      <c r="M47" s="305">
        <v>0</v>
      </c>
      <c r="N47" s="305">
        <v>0</v>
      </c>
      <c r="O47" s="305">
        <v>0</v>
      </c>
      <c r="P47" s="305">
        <v>0</v>
      </c>
      <c r="Q47" s="305">
        <v>0</v>
      </c>
      <c r="R47" s="305">
        <v>0</v>
      </c>
      <c r="S47" s="305">
        <v>0</v>
      </c>
      <c r="T47" s="305">
        <v>0</v>
      </c>
      <c r="U47" s="5"/>
    </row>
    <row r="48" spans="1:21" x14ac:dyDescent="0.2">
      <c r="A48" s="261" t="s">
        <v>204</v>
      </c>
      <c r="B48" s="61">
        <v>-269.5</v>
      </c>
      <c r="C48" s="26">
        <v>-347.7</v>
      </c>
      <c r="D48" s="26">
        <v>-310.3</v>
      </c>
      <c r="E48" s="26">
        <v>-7.3</v>
      </c>
      <c r="F48" s="26">
        <v>-165.1</v>
      </c>
      <c r="G48" s="26">
        <v>-195.4</v>
      </c>
      <c r="H48" s="26">
        <v>-177.1</v>
      </c>
      <c r="I48" s="26">
        <v>-2</v>
      </c>
      <c r="J48" s="26">
        <v>-2</v>
      </c>
      <c r="K48" s="26">
        <v>-2</v>
      </c>
      <c r="L48" s="305">
        <v>-2</v>
      </c>
      <c r="M48" s="305">
        <v>-2</v>
      </c>
      <c r="N48" s="305">
        <v>-2</v>
      </c>
      <c r="O48" s="305">
        <v>-2</v>
      </c>
      <c r="P48" s="305">
        <v>0</v>
      </c>
      <c r="Q48" s="305">
        <v>0</v>
      </c>
      <c r="R48" s="305">
        <v>0</v>
      </c>
      <c r="S48" s="305">
        <v>0</v>
      </c>
      <c r="T48" s="305">
        <v>0</v>
      </c>
      <c r="U48" s="5">
        <f t="shared" si="0"/>
        <v>-0.99999940981024027</v>
      </c>
    </row>
    <row r="49" spans="1:22" x14ac:dyDescent="0.2">
      <c r="A49" s="27" t="s">
        <v>202</v>
      </c>
      <c r="B49" s="61"/>
      <c r="C49" s="26"/>
      <c r="D49" s="26"/>
      <c r="E49" s="26"/>
      <c r="F49" s="26"/>
      <c r="G49" s="26"/>
      <c r="H49" s="26">
        <v>0</v>
      </c>
      <c r="I49" s="26">
        <v>0</v>
      </c>
      <c r="J49" s="26">
        <v>0</v>
      </c>
      <c r="K49" s="26">
        <v>0</v>
      </c>
      <c r="L49" s="305">
        <v>0</v>
      </c>
      <c r="M49" s="305">
        <v>-550</v>
      </c>
      <c r="N49" s="305">
        <v>-200</v>
      </c>
      <c r="O49" s="305">
        <v>-500</v>
      </c>
      <c r="P49" s="305">
        <v>-725</v>
      </c>
      <c r="Q49" s="305">
        <v>-950</v>
      </c>
      <c r="R49" s="305">
        <v>-875</v>
      </c>
      <c r="S49" s="305">
        <v>-600</v>
      </c>
      <c r="T49" s="305">
        <v>-250</v>
      </c>
      <c r="U49" s="5">
        <f t="shared" si="0"/>
        <v>0.24573093961517745</v>
      </c>
    </row>
    <row r="50" spans="1:22" x14ac:dyDescent="0.2">
      <c r="A50" s="27" t="s">
        <v>103</v>
      </c>
      <c r="B50" s="64">
        <v>-2099</v>
      </c>
      <c r="C50" s="26">
        <v>-1787</v>
      </c>
      <c r="D50" s="26">
        <v>-59</v>
      </c>
      <c r="E50" s="26">
        <v>-144.6</v>
      </c>
      <c r="F50" s="26">
        <v>-194.1</v>
      </c>
      <c r="G50" s="26">
        <v>-259.8</v>
      </c>
      <c r="H50" s="26">
        <v>-269.7</v>
      </c>
      <c r="I50" s="26">
        <v>-127</v>
      </c>
      <c r="J50" s="26">
        <v>-413</v>
      </c>
      <c r="K50" s="26">
        <v>-144</v>
      </c>
      <c r="L50" s="305">
        <v>-16</v>
      </c>
      <c r="M50" s="305">
        <v>-588</v>
      </c>
      <c r="N50" s="305">
        <v>-102</v>
      </c>
      <c r="O50" s="305">
        <v>-284</v>
      </c>
      <c r="P50" s="305">
        <v>-238</v>
      </c>
      <c r="Q50" s="305">
        <v>-124</v>
      </c>
      <c r="R50" s="305">
        <v>-68</v>
      </c>
      <c r="S50" s="305">
        <v>-58</v>
      </c>
      <c r="T50" s="305">
        <v>-87</v>
      </c>
      <c r="U50" s="5">
        <f t="shared" si="0"/>
        <v>-0.10676534453559296</v>
      </c>
    </row>
    <row r="51" spans="1:22" hidden="1" x14ac:dyDescent="0.2">
      <c r="A51" s="27" t="s">
        <v>104</v>
      </c>
      <c r="B51" s="26">
        <v>0</v>
      </c>
      <c r="C51" s="26">
        <v>0</v>
      </c>
      <c r="D51" s="26">
        <v>0</v>
      </c>
      <c r="E51" s="26">
        <v>0</v>
      </c>
      <c r="F51" s="26">
        <v>-352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305">
        <v>0</v>
      </c>
      <c r="M51" s="305">
        <v>0</v>
      </c>
      <c r="N51" s="305">
        <v>0</v>
      </c>
      <c r="O51" s="305">
        <v>0</v>
      </c>
      <c r="P51" s="305">
        <v>0</v>
      </c>
      <c r="Q51" s="305">
        <v>0</v>
      </c>
      <c r="R51" s="305"/>
      <c r="S51" s="305">
        <v>0</v>
      </c>
      <c r="T51" s="305">
        <v>0</v>
      </c>
      <c r="U51" s="5" t="e">
        <f t="shared" si="0"/>
        <v>#NUM!</v>
      </c>
    </row>
    <row r="52" spans="1:22" x14ac:dyDescent="0.2">
      <c r="A52" s="27" t="s">
        <v>105</v>
      </c>
      <c r="B52" s="61">
        <v>-26.1</v>
      </c>
      <c r="C52" s="26">
        <v>0</v>
      </c>
      <c r="D52" s="26">
        <v>0</v>
      </c>
      <c r="E52" s="26">
        <v>-7.5</v>
      </c>
      <c r="F52" s="26">
        <v>-7.5</v>
      </c>
      <c r="G52" s="26">
        <v>-7.5</v>
      </c>
      <c r="H52" s="26">
        <v>-7.5</v>
      </c>
      <c r="I52" s="26">
        <v>-38</v>
      </c>
      <c r="J52" s="26">
        <v>0</v>
      </c>
      <c r="K52" s="26">
        <v>0</v>
      </c>
      <c r="L52" s="305">
        <v>0</v>
      </c>
      <c r="M52" s="305">
        <v>0</v>
      </c>
      <c r="N52" s="305">
        <v>0</v>
      </c>
      <c r="O52" s="305">
        <v>-40</v>
      </c>
      <c r="P52" s="305">
        <v>0</v>
      </c>
      <c r="Q52" s="305">
        <v>0</v>
      </c>
      <c r="R52" s="305">
        <v>0</v>
      </c>
      <c r="S52" s="305">
        <v>0</v>
      </c>
      <c r="T52" s="305">
        <v>0</v>
      </c>
      <c r="U52" s="5"/>
    </row>
    <row r="53" spans="1:22" x14ac:dyDescent="0.2">
      <c r="A53" s="27" t="s">
        <v>96</v>
      </c>
      <c r="B53" s="61">
        <v>7</v>
      </c>
      <c r="C53" s="26">
        <v>-2.1</v>
      </c>
      <c r="D53" s="26">
        <v>-13.5</v>
      </c>
      <c r="E53" s="26">
        <v>0</v>
      </c>
      <c r="F53" s="26">
        <v>-0.3</v>
      </c>
      <c r="G53" s="26">
        <v>0</v>
      </c>
      <c r="H53" s="26">
        <v>7.8</v>
      </c>
      <c r="I53" s="26">
        <v>13</v>
      </c>
      <c r="J53" s="26">
        <f>-2-216</f>
        <v>-218</v>
      </c>
      <c r="K53" s="26">
        <v>-20</v>
      </c>
      <c r="L53" s="305">
        <f>-1</f>
        <v>-1</v>
      </c>
      <c r="M53" s="305">
        <v>-2</v>
      </c>
      <c r="N53" s="305">
        <v>-9</v>
      </c>
      <c r="O53" s="305">
        <v>-2</v>
      </c>
      <c r="P53" s="305">
        <v>0</v>
      </c>
      <c r="Q53" s="305">
        <v>-1</v>
      </c>
      <c r="R53" s="305">
        <v>-1</v>
      </c>
      <c r="S53" s="305">
        <v>-1</v>
      </c>
      <c r="T53" s="305">
        <v>0</v>
      </c>
      <c r="U53" s="5">
        <f t="shared" si="0"/>
        <v>-0.35560598502259433</v>
      </c>
    </row>
    <row r="54" spans="1:22" ht="7.5" customHeight="1" x14ac:dyDescent="0.2">
      <c r="A54" s="27"/>
      <c r="B54" s="61"/>
      <c r="C54" s="26"/>
      <c r="D54" s="26"/>
      <c r="E54" s="26"/>
      <c r="F54" s="26"/>
      <c r="G54" s="26"/>
      <c r="H54" s="26"/>
      <c r="I54" s="26"/>
      <c r="J54" s="26"/>
      <c r="K54" s="26"/>
      <c r="L54" s="305"/>
      <c r="M54" s="305"/>
      <c r="N54" s="305"/>
      <c r="O54" s="305"/>
      <c r="P54" s="305"/>
      <c r="Q54" s="305"/>
      <c r="R54" s="305"/>
      <c r="S54" s="305"/>
      <c r="T54" s="305"/>
      <c r="U54" s="5"/>
    </row>
    <row r="55" spans="1:22" x14ac:dyDescent="0.2">
      <c r="A55" s="211" t="s">
        <v>106</v>
      </c>
      <c r="B55" s="214">
        <v>-663.7</v>
      </c>
      <c r="C55" s="213">
        <v>-891.3</v>
      </c>
      <c r="D55" s="213">
        <v>244.3</v>
      </c>
      <c r="E55" s="213">
        <v>-161.9</v>
      </c>
      <c r="F55" s="213">
        <v>-222.4</v>
      </c>
      <c r="G55" s="213">
        <v>276.39999999999998</v>
      </c>
      <c r="H55" s="213">
        <f t="shared" ref="H55:P55" si="5">SUM(H44:H54)</f>
        <v>49.800000000000054</v>
      </c>
      <c r="I55" s="213">
        <f t="shared" si="5"/>
        <v>842</v>
      </c>
      <c r="J55" s="213">
        <f t="shared" si="5"/>
        <v>915</v>
      </c>
      <c r="K55" s="213">
        <f t="shared" si="5"/>
        <v>866</v>
      </c>
      <c r="L55" s="307">
        <f t="shared" si="5"/>
        <v>117</v>
      </c>
      <c r="M55" s="307">
        <f>SUM(M44:M54)</f>
        <v>-91</v>
      </c>
      <c r="N55" s="307">
        <f>SUM(N44:N54)</f>
        <v>-252</v>
      </c>
      <c r="O55" s="307">
        <f>SUM(O44:O54)</f>
        <v>-531</v>
      </c>
      <c r="P55" s="307">
        <f t="shared" si="5"/>
        <v>-521</v>
      </c>
      <c r="Q55" s="307">
        <f>SUM(Q44:Q54)</f>
        <v>-827</v>
      </c>
      <c r="R55" s="307">
        <f>SUM(R44:R54)</f>
        <v>-694</v>
      </c>
      <c r="S55" s="307">
        <f>SUM(S44:S54)</f>
        <v>-849</v>
      </c>
      <c r="T55" s="307">
        <f>SUM(T44:T54)</f>
        <v>-293</v>
      </c>
      <c r="U55" s="285">
        <f t="shared" si="0"/>
        <v>0.27497429772479909</v>
      </c>
    </row>
    <row r="56" spans="1:22" x14ac:dyDescent="0.2">
      <c r="A56" s="211" t="s">
        <v>107</v>
      </c>
      <c r="B56" s="212">
        <v>-262</v>
      </c>
      <c r="C56" s="213">
        <v>-14.800000000000182</v>
      </c>
      <c r="D56" s="213">
        <v>18.500000000000057</v>
      </c>
      <c r="E56" s="213">
        <v>-5.4000000000001194</v>
      </c>
      <c r="F56" s="213">
        <v>-94.000000000000284</v>
      </c>
      <c r="G56" s="213">
        <v>140.80000000000001</v>
      </c>
      <c r="H56" s="213">
        <v>-79.7</v>
      </c>
      <c r="I56" s="213">
        <f>I31+I42+I55</f>
        <v>169</v>
      </c>
      <c r="J56" s="213">
        <f>J31+J42+J55</f>
        <v>-169</v>
      </c>
      <c r="K56" s="213">
        <f>K31+K42+K55</f>
        <v>58</v>
      </c>
      <c r="L56" s="307">
        <f t="shared" ref="L56:R56" si="6">L58-L57</f>
        <v>-86</v>
      </c>
      <c r="M56" s="307">
        <f t="shared" si="6"/>
        <v>16</v>
      </c>
      <c r="N56" s="307">
        <f t="shared" si="6"/>
        <v>33</v>
      </c>
      <c r="O56" s="307">
        <f t="shared" si="6"/>
        <v>-27</v>
      </c>
      <c r="P56" s="307">
        <f t="shared" si="6"/>
        <v>-30</v>
      </c>
      <c r="Q56" s="307">
        <f t="shared" ref="Q56" si="7">Q58-Q57</f>
        <v>-11</v>
      </c>
      <c r="R56" s="307">
        <f t="shared" si="6"/>
        <v>5</v>
      </c>
      <c r="S56" s="307">
        <f>S58-S57</f>
        <v>-3</v>
      </c>
      <c r="T56" s="307">
        <f>T58-T57</f>
        <v>3</v>
      </c>
      <c r="U56" s="285"/>
      <c r="V56" s="217"/>
    </row>
    <row r="57" spans="1:22" x14ac:dyDescent="0.2">
      <c r="A57" s="30" t="s">
        <v>108</v>
      </c>
      <c r="B57" s="65">
        <v>416.2</v>
      </c>
      <c r="C57" s="31">
        <v>154.19999999999999</v>
      </c>
      <c r="D57" s="31">
        <v>139.4</v>
      </c>
      <c r="E57" s="31">
        <v>157.9</v>
      </c>
      <c r="F57" s="31">
        <v>152.5</v>
      </c>
      <c r="G57" s="31">
        <v>58.499999999999602</v>
      </c>
      <c r="H57" s="31">
        <f>G58</f>
        <v>199.3</v>
      </c>
      <c r="I57" s="31">
        <v>59</v>
      </c>
      <c r="J57" s="31">
        <v>228</v>
      </c>
      <c r="K57" s="31">
        <v>59</v>
      </c>
      <c r="L57" s="308">
        <f>Historical!K13:K13</f>
        <v>117</v>
      </c>
      <c r="M57" s="308">
        <f>Historical!L13:L13</f>
        <v>31</v>
      </c>
      <c r="N57" s="308">
        <f t="shared" ref="N57:T57" si="8">M58</f>
        <v>47</v>
      </c>
      <c r="O57" s="308">
        <f t="shared" si="8"/>
        <v>80</v>
      </c>
      <c r="P57" s="308">
        <f t="shared" si="8"/>
        <v>53</v>
      </c>
      <c r="Q57" s="308">
        <f t="shared" si="8"/>
        <v>23</v>
      </c>
      <c r="R57" s="308">
        <f t="shared" si="8"/>
        <v>12</v>
      </c>
      <c r="S57" s="308">
        <f t="shared" si="8"/>
        <v>17</v>
      </c>
      <c r="T57" s="308">
        <f t="shared" si="8"/>
        <v>14</v>
      </c>
      <c r="U57" s="286">
        <f t="shared" si="0"/>
        <v>-0.18403747598979847</v>
      </c>
    </row>
    <row r="58" spans="1:22" x14ac:dyDescent="0.2">
      <c r="A58" s="30" t="s">
        <v>109</v>
      </c>
      <c r="B58" s="66">
        <f>B56+B57</f>
        <v>154.19999999999999</v>
      </c>
      <c r="C58" s="31">
        <v>139.4</v>
      </c>
      <c r="D58" s="31">
        <v>157.9</v>
      </c>
      <c r="E58" s="31">
        <v>152.5</v>
      </c>
      <c r="F58" s="31">
        <v>58.499999999999602</v>
      </c>
      <c r="G58" s="31">
        <v>199.3</v>
      </c>
      <c r="H58" s="31">
        <f>H56+H57</f>
        <v>119.60000000000001</v>
      </c>
      <c r="I58" s="31">
        <f>I56+I57</f>
        <v>228</v>
      </c>
      <c r="J58" s="31">
        <f>J56+J57</f>
        <v>59</v>
      </c>
      <c r="K58" s="31">
        <f>K56+K57</f>
        <v>117</v>
      </c>
      <c r="L58" s="308">
        <f>Historical!L13</f>
        <v>31</v>
      </c>
      <c r="M58" s="308">
        <f>Historical!M13</f>
        <v>47</v>
      </c>
      <c r="N58" s="308">
        <f>Historical!N13</f>
        <v>80</v>
      </c>
      <c r="O58" s="308">
        <f>Historical!O13</f>
        <v>53</v>
      </c>
      <c r="P58" s="308">
        <f>Historical!P13</f>
        <v>23</v>
      </c>
      <c r="Q58" s="308">
        <f>Historical!Q13</f>
        <v>12</v>
      </c>
      <c r="R58" s="308">
        <f>Historical!R13</f>
        <v>17</v>
      </c>
      <c r="S58" s="308">
        <f>Historical!S13</f>
        <v>14</v>
      </c>
      <c r="T58" s="308">
        <f>Historical!T13</f>
        <v>17</v>
      </c>
      <c r="U58" s="286">
        <f t="shared" si="0"/>
        <v>-0.294320323893002</v>
      </c>
    </row>
    <row r="59" spans="1:22" x14ac:dyDescent="0.2">
      <c r="B59" s="67"/>
      <c r="C59" s="68"/>
      <c r="D59" s="67"/>
      <c r="E59" s="67"/>
      <c r="F59" s="67"/>
      <c r="G59" s="67"/>
      <c r="H59" s="67"/>
      <c r="I59" s="67"/>
      <c r="J59" s="67"/>
      <c r="K59" s="67"/>
      <c r="L59" s="309"/>
      <c r="M59" s="309"/>
      <c r="N59" s="309"/>
      <c r="O59" s="309"/>
      <c r="P59" s="309"/>
      <c r="Q59" s="309"/>
      <c r="R59" s="309"/>
      <c r="S59" s="309"/>
      <c r="T59" s="309"/>
      <c r="U59" s="345"/>
    </row>
    <row r="61" spans="1:22" x14ac:dyDescent="0.2">
      <c r="U61" s="53" t="s">
        <v>112</v>
      </c>
    </row>
    <row r="62" spans="1:22" x14ac:dyDescent="0.2">
      <c r="U62" s="54" t="s">
        <v>114</v>
      </c>
    </row>
    <row r="63" spans="1:22" ht="18.75" x14ac:dyDescent="0.3">
      <c r="A63" s="48" t="str">
        <f>A3</f>
        <v>PacifiCorp</v>
      </c>
      <c r="B63" s="49"/>
      <c r="C63" s="49"/>
      <c r="D63" s="49"/>
      <c r="E63" s="49"/>
      <c r="F63" s="49"/>
      <c r="G63" s="47"/>
      <c r="H63" s="47"/>
      <c r="I63" s="47"/>
      <c r="J63" s="47"/>
      <c r="K63" s="47"/>
      <c r="L63" s="296"/>
      <c r="M63" s="296"/>
      <c r="N63" s="296"/>
      <c r="O63" s="296"/>
      <c r="P63" s="296"/>
      <c r="Q63" s="296"/>
      <c r="R63" s="296"/>
      <c r="S63" s="296"/>
      <c r="T63" s="296"/>
      <c r="U63" s="39"/>
    </row>
    <row r="64" spans="1:22" s="37" customFormat="1" ht="15.75" x14ac:dyDescent="0.25">
      <c r="A64" s="50" t="s">
        <v>111</v>
      </c>
      <c r="B64" s="42"/>
      <c r="C64" s="42"/>
      <c r="D64" s="42"/>
      <c r="E64" s="42"/>
      <c r="F64" s="42"/>
      <c r="G64" s="42"/>
      <c r="H64" s="56"/>
      <c r="I64" s="56"/>
      <c r="J64" s="56"/>
      <c r="K64" s="56"/>
      <c r="L64" s="297"/>
      <c r="M64" s="297"/>
      <c r="N64" s="297"/>
      <c r="O64" s="297"/>
      <c r="P64" s="297"/>
      <c r="Q64" s="297"/>
      <c r="R64" s="297"/>
      <c r="S64" s="297"/>
      <c r="T64" s="297"/>
      <c r="U64" s="56"/>
    </row>
    <row r="65" spans="1:28" s="37" customFormat="1" ht="15.75" x14ac:dyDescent="0.25">
      <c r="A65" s="51" t="str">
        <f>A5</f>
        <v>Fiscal Years Ended December 31, 2012-2017</v>
      </c>
      <c r="B65" s="42"/>
      <c r="C65" s="42"/>
      <c r="D65" s="42"/>
      <c r="E65" s="42"/>
      <c r="F65" s="42"/>
      <c r="G65" s="42"/>
      <c r="H65" s="56"/>
      <c r="I65" s="56"/>
      <c r="J65" s="56"/>
      <c r="K65" s="56"/>
      <c r="L65" s="297"/>
      <c r="M65" s="297"/>
      <c r="N65" s="297"/>
      <c r="O65" s="297"/>
      <c r="P65" s="297"/>
      <c r="Q65" s="297"/>
      <c r="R65" s="297"/>
      <c r="S65" s="297"/>
      <c r="T65" s="297"/>
      <c r="U65" s="56"/>
    </row>
    <row r="66" spans="1:28" s="37" customFormat="1" ht="15.75" x14ac:dyDescent="0.25">
      <c r="A66" s="51" t="str">
        <f>A6</f>
        <v xml:space="preserve">  </v>
      </c>
      <c r="B66" s="42"/>
      <c r="C66" s="42"/>
      <c r="D66" s="42"/>
      <c r="E66" s="42"/>
      <c r="F66" s="42"/>
      <c r="G66" s="42"/>
      <c r="H66" s="56"/>
      <c r="I66" s="56"/>
      <c r="J66" s="56"/>
      <c r="K66" s="56"/>
      <c r="L66" s="297"/>
      <c r="M66" s="297"/>
      <c r="N66" s="297"/>
      <c r="O66" s="297"/>
      <c r="P66" s="297"/>
      <c r="Q66" s="297"/>
      <c r="R66" s="297"/>
      <c r="S66" s="297"/>
      <c r="T66" s="350" t="str">
        <f>T7</f>
        <v>First</v>
      </c>
      <c r="U66" s="56"/>
    </row>
    <row r="67" spans="1:28" x14ac:dyDescent="0.2">
      <c r="A67" s="44"/>
      <c r="B67" s="215"/>
      <c r="C67" s="215"/>
      <c r="D67" s="215"/>
      <c r="E67" s="215"/>
      <c r="F67" s="215"/>
      <c r="G67" s="215"/>
      <c r="H67" s="173"/>
      <c r="I67" s="216"/>
      <c r="J67" s="216"/>
      <c r="K67" s="216"/>
      <c r="L67" s="298"/>
      <c r="M67" s="298"/>
      <c r="N67" s="298"/>
      <c r="O67" s="298"/>
      <c r="P67" s="298"/>
      <c r="Q67" s="298"/>
      <c r="R67" s="298"/>
      <c r="S67" s="298"/>
      <c r="T67" s="294" t="str">
        <f>T8</f>
        <v>Quarter</v>
      </c>
      <c r="U67" s="206" t="str">
        <f>U7</f>
        <v>2012-2017</v>
      </c>
    </row>
    <row r="68" spans="1:28" x14ac:dyDescent="0.2">
      <c r="A68" s="217"/>
      <c r="B68" s="209">
        <f>B9</f>
        <v>2000</v>
      </c>
      <c r="C68" s="209">
        <f t="shared" ref="C68:H68" si="9">C9</f>
        <v>2001</v>
      </c>
      <c r="D68" s="209">
        <f t="shared" si="9"/>
        <v>2002</v>
      </c>
      <c r="E68" s="209">
        <f t="shared" si="9"/>
        <v>2003</v>
      </c>
      <c r="F68" s="209">
        <f t="shared" si="9"/>
        <v>2004</v>
      </c>
      <c r="G68" s="209">
        <f t="shared" si="9"/>
        <v>2005</v>
      </c>
      <c r="H68" s="209">
        <f t="shared" si="9"/>
        <v>2006</v>
      </c>
      <c r="I68" s="176">
        <f t="shared" ref="I68:O68" si="10">I9</f>
        <v>2007</v>
      </c>
      <c r="J68" s="176">
        <f t="shared" si="10"/>
        <v>2008</v>
      </c>
      <c r="K68" s="176">
        <f t="shared" si="10"/>
        <v>2009</v>
      </c>
      <c r="L68" s="279">
        <f t="shared" si="10"/>
        <v>2010</v>
      </c>
      <c r="M68" s="279">
        <f t="shared" si="10"/>
        <v>2011</v>
      </c>
      <c r="N68" s="279">
        <f>N9</f>
        <v>2012</v>
      </c>
      <c r="O68" s="279">
        <f t="shared" si="10"/>
        <v>2013</v>
      </c>
      <c r="P68" s="279">
        <f>P9</f>
        <v>2014</v>
      </c>
      <c r="Q68" s="279">
        <f>Q9</f>
        <v>2015</v>
      </c>
      <c r="R68" s="279">
        <f>R9</f>
        <v>2016</v>
      </c>
      <c r="S68" s="279">
        <f>S9</f>
        <v>2017</v>
      </c>
      <c r="T68" s="349">
        <f>T9</f>
        <v>2018</v>
      </c>
      <c r="U68" s="218" t="s">
        <v>38</v>
      </c>
    </row>
    <row r="69" spans="1:28" ht="7.5" customHeight="1" x14ac:dyDescent="0.2">
      <c r="B69" s="34"/>
      <c r="C69" s="35"/>
      <c r="D69" s="35"/>
      <c r="E69" s="35"/>
      <c r="F69" s="35"/>
      <c r="G69" s="35"/>
      <c r="H69" s="12"/>
      <c r="I69" s="12"/>
      <c r="J69" s="12"/>
      <c r="K69" s="12"/>
      <c r="L69" s="295"/>
      <c r="M69" s="295"/>
      <c r="N69" s="295"/>
      <c r="O69" s="295"/>
      <c r="P69" s="295"/>
      <c r="Q69" s="295"/>
      <c r="R69" s="295"/>
      <c r="S69" s="295"/>
      <c r="T69" s="295"/>
    </row>
    <row r="70" spans="1:28" x14ac:dyDescent="0.2">
      <c r="A70" s="36" t="s">
        <v>45</v>
      </c>
      <c r="B70" s="220">
        <f>Historical!B78</f>
        <v>3986.9</v>
      </c>
      <c r="C70" s="220">
        <f>Historical!C78</f>
        <v>5055.7</v>
      </c>
      <c r="D70" s="220">
        <f>Historical!D78</f>
        <v>3353.7</v>
      </c>
      <c r="E70" s="220">
        <f>Historical!E78</f>
        <v>3082.4</v>
      </c>
      <c r="F70" s="220">
        <f>Historical!F78</f>
        <v>3194.5</v>
      </c>
      <c r="G70" s="220">
        <f>Historical!G78</f>
        <v>3048.8</v>
      </c>
      <c r="H70" s="220">
        <f>Historical!H78</f>
        <v>3896.7</v>
      </c>
      <c r="I70" s="220">
        <f>Historical!I78</f>
        <v>4258</v>
      </c>
      <c r="J70" s="220">
        <f>Historical!J78</f>
        <v>4498</v>
      </c>
      <c r="K70" s="220">
        <f>Historical!K78</f>
        <v>4457</v>
      </c>
      <c r="L70" s="310">
        <f>Historical!L78</f>
        <v>4432</v>
      </c>
      <c r="M70" s="310">
        <f>Historical!M78</f>
        <v>4586</v>
      </c>
      <c r="N70" s="310">
        <f>Historical!N78</f>
        <v>4882</v>
      </c>
      <c r="O70" s="310">
        <f>Historical!O78</f>
        <v>5147</v>
      </c>
      <c r="P70" s="310">
        <f>Historical!P78</f>
        <v>5252</v>
      </c>
      <c r="Q70" s="310">
        <f>Historical!Q78</f>
        <v>5232</v>
      </c>
      <c r="R70" s="310">
        <f>Historical!R78</f>
        <v>5201</v>
      </c>
      <c r="S70" s="310">
        <f>Historical!S78</f>
        <v>5237</v>
      </c>
      <c r="T70" s="310">
        <f>Historical!T78</f>
        <v>1184</v>
      </c>
      <c r="U70" s="228">
        <f>SUM(N70:S70)/SUM($N$70:$S$70)</f>
        <v>1</v>
      </c>
      <c r="V70" s="37"/>
      <c r="W70" s="37"/>
      <c r="X70" s="37"/>
      <c r="Y70" s="37"/>
      <c r="Z70" s="37"/>
      <c r="AA70" s="37"/>
      <c r="AB70" s="37"/>
    </row>
    <row r="71" spans="1:28" ht="7.5" customHeight="1" x14ac:dyDescent="0.2">
      <c r="A71" s="36"/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299"/>
      <c r="M71" s="299"/>
      <c r="N71" s="299"/>
      <c r="O71" s="299"/>
      <c r="P71" s="299"/>
      <c r="Q71" s="299"/>
      <c r="R71" s="299"/>
      <c r="S71" s="299"/>
      <c r="T71" s="299"/>
      <c r="U71" s="37"/>
      <c r="V71" s="37"/>
      <c r="W71" s="37"/>
      <c r="X71" s="37"/>
      <c r="Y71" s="37"/>
      <c r="Z71" s="37"/>
      <c r="AA71" s="37"/>
      <c r="AB71" s="37"/>
    </row>
    <row r="72" spans="1:28" x14ac:dyDescent="0.2">
      <c r="A72" s="210" t="s">
        <v>71</v>
      </c>
      <c r="B72" s="37"/>
      <c r="C72" s="37"/>
      <c r="D72" s="37"/>
      <c r="E72" s="37"/>
      <c r="F72" s="38"/>
      <c r="G72" s="37"/>
      <c r="H72" s="37"/>
      <c r="I72" s="37"/>
      <c r="J72" s="37"/>
      <c r="K72" s="37"/>
      <c r="L72" s="58"/>
      <c r="M72" s="58"/>
      <c r="N72" s="58"/>
      <c r="O72" s="58"/>
      <c r="P72" s="58"/>
      <c r="Q72" s="58"/>
      <c r="R72" s="58"/>
      <c r="S72" s="58"/>
      <c r="T72" s="58"/>
      <c r="U72" s="37"/>
      <c r="V72" s="37"/>
      <c r="W72" s="37"/>
      <c r="X72" s="37"/>
      <c r="Y72" s="37"/>
      <c r="Z72" s="37"/>
      <c r="AA72" s="37"/>
      <c r="AB72" s="37"/>
    </row>
    <row r="73" spans="1:28" x14ac:dyDescent="0.2">
      <c r="A73" s="27" t="s">
        <v>72</v>
      </c>
      <c r="B73" s="57">
        <f t="shared" ref="B73:L73" si="11">(B12/B$70)</f>
        <v>2.0993754546138593E-2</v>
      </c>
      <c r="C73" s="57">
        <f t="shared" si="11"/>
        <v>-1.744565539885674E-2</v>
      </c>
      <c r="D73" s="57">
        <f t="shared" si="11"/>
        <v>9.759370247786027E-2</v>
      </c>
      <c r="E73" s="57">
        <f t="shared" si="11"/>
        <v>4.5451596158837149E-2</v>
      </c>
      <c r="F73" s="57">
        <f t="shared" si="11"/>
        <v>7.7664736265456155E-2</v>
      </c>
      <c r="G73" s="57">
        <f t="shared" si="11"/>
        <v>8.2557071634741588E-2</v>
      </c>
      <c r="H73" s="57">
        <f t="shared" si="11"/>
        <v>9.2565504144532448E-2</v>
      </c>
      <c r="I73" s="57">
        <f t="shared" si="11"/>
        <v>0.1045091592296853</v>
      </c>
      <c r="J73" s="57">
        <f t="shared" si="11"/>
        <v>0.10337927967985772</v>
      </c>
      <c r="K73" s="57">
        <f t="shared" si="11"/>
        <v>0.12340139107022662</v>
      </c>
      <c r="L73" s="311">
        <f t="shared" si="11"/>
        <v>0.12770758122743683</v>
      </c>
      <c r="M73" s="311">
        <f t="shared" ref="M73:S73" si="12">(M12/M$70)</f>
        <v>0.12102049716528565</v>
      </c>
      <c r="N73" s="311">
        <f t="shared" si="12"/>
        <v>0.10999590331831216</v>
      </c>
      <c r="O73" s="311">
        <f t="shared" si="12"/>
        <v>0.1325043714785312</v>
      </c>
      <c r="P73" s="311">
        <f t="shared" si="12"/>
        <v>0.13290175171363292</v>
      </c>
      <c r="Q73" s="311">
        <f t="shared" ref="Q73" si="13">(Q12/Q$70)</f>
        <v>0.13283639143730888</v>
      </c>
      <c r="R73" s="311">
        <f t="shared" si="12"/>
        <v>0.14670255720053835</v>
      </c>
      <c r="S73" s="311">
        <f t="shared" si="12"/>
        <v>0.1466488447584495</v>
      </c>
      <c r="T73" s="311">
        <f t="shared" ref="T73" si="14">(T12/T$70)</f>
        <v>0.125</v>
      </c>
      <c r="U73" s="270">
        <f>SUM(N12:S12)/SUM($N$70:$S$70)</f>
        <v>0.13385674130076572</v>
      </c>
      <c r="V73" s="37"/>
      <c r="W73" s="37"/>
      <c r="X73" s="37"/>
      <c r="Y73" s="37"/>
      <c r="Z73" s="37"/>
      <c r="AA73" s="37"/>
      <c r="AB73" s="37"/>
    </row>
    <row r="74" spans="1:28" x14ac:dyDescent="0.2">
      <c r="A74" s="25" t="s">
        <v>73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311"/>
      <c r="M74" s="311"/>
      <c r="N74" s="311"/>
      <c r="O74" s="311"/>
      <c r="P74" s="311"/>
      <c r="Q74" s="311"/>
      <c r="R74" s="311"/>
      <c r="S74" s="311"/>
      <c r="T74" s="311"/>
      <c r="U74" s="270"/>
      <c r="V74" s="37"/>
      <c r="W74" s="37"/>
      <c r="X74" s="37"/>
      <c r="Y74" s="37"/>
      <c r="Z74" s="37"/>
      <c r="AA74" s="37"/>
      <c r="AB74" s="37"/>
    </row>
    <row r="75" spans="1:28" x14ac:dyDescent="0.2">
      <c r="A75" s="25" t="s">
        <v>74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311"/>
      <c r="M75" s="311"/>
      <c r="N75" s="311"/>
      <c r="O75" s="311"/>
      <c r="P75" s="311"/>
      <c r="Q75" s="311"/>
      <c r="R75" s="311"/>
      <c r="S75" s="311"/>
      <c r="T75" s="311"/>
      <c r="U75" s="270"/>
      <c r="V75" s="37"/>
      <c r="W75" s="37"/>
      <c r="X75" s="37"/>
      <c r="Y75" s="37"/>
      <c r="Z75" s="37"/>
      <c r="AA75" s="37"/>
      <c r="AB75" s="37"/>
    </row>
    <row r="76" spans="1:28" hidden="1" x14ac:dyDescent="0.2">
      <c r="A76" s="29" t="s">
        <v>75</v>
      </c>
      <c r="B76" s="57">
        <f>(B15/B$70)</f>
        <v>-2.7590358423838069E-4</v>
      </c>
      <c r="C76" s="59" t="s">
        <v>76</v>
      </c>
      <c r="D76" s="57">
        <f t="shared" ref="D76:D82" si="15">(D15/D$70)</f>
        <v>-4.3742731908041864E-2</v>
      </c>
      <c r="E76" s="59" t="s">
        <v>76</v>
      </c>
      <c r="F76" s="59" t="s">
        <v>76</v>
      </c>
      <c r="G76" s="59" t="s">
        <v>76</v>
      </c>
      <c r="H76" s="59" t="s">
        <v>76</v>
      </c>
      <c r="I76" s="59" t="s">
        <v>76</v>
      </c>
      <c r="J76" s="59"/>
      <c r="K76" s="59"/>
      <c r="L76" s="312"/>
      <c r="M76" s="312"/>
      <c r="N76" s="312"/>
      <c r="O76" s="312"/>
      <c r="P76" s="312"/>
      <c r="Q76" s="312"/>
      <c r="R76" s="312"/>
      <c r="S76" s="312"/>
      <c r="T76" s="312"/>
      <c r="U76" s="270">
        <f t="shared" ref="U76:U95" si="16">SUM(N76:S76)/SUM($N$70:$S$70)</f>
        <v>0</v>
      </c>
      <c r="V76" s="37"/>
      <c r="W76" s="37"/>
      <c r="X76" s="37"/>
      <c r="Y76" s="37"/>
      <c r="Z76" s="37"/>
      <c r="AA76" s="37"/>
      <c r="AB76" s="37"/>
    </row>
    <row r="77" spans="1:28" hidden="1" x14ac:dyDescent="0.2">
      <c r="A77" s="27" t="s">
        <v>77</v>
      </c>
      <c r="B77" s="59" t="s">
        <v>76</v>
      </c>
      <c r="C77" s="59" t="s">
        <v>76</v>
      </c>
      <c r="D77" s="57">
        <f t="shared" si="15"/>
        <v>3.3634493246265322E-2</v>
      </c>
      <c r="E77" s="57">
        <f t="shared" ref="E77:F80" si="17">(E16/E$70)</f>
        <v>6.16402803010641E-4</v>
      </c>
      <c r="F77" s="57">
        <f t="shared" si="17"/>
        <v>2.8173423070903115E-4</v>
      </c>
      <c r="G77" s="57" t="s">
        <v>76</v>
      </c>
      <c r="H77" s="59" t="s">
        <v>76</v>
      </c>
      <c r="I77" s="59" t="s">
        <v>76</v>
      </c>
      <c r="J77" s="59"/>
      <c r="K77" s="59"/>
      <c r="L77" s="312"/>
      <c r="M77" s="312"/>
      <c r="N77" s="312"/>
      <c r="O77" s="312"/>
      <c r="P77" s="312"/>
      <c r="Q77" s="312"/>
      <c r="R77" s="312"/>
      <c r="S77" s="312"/>
      <c r="T77" s="312"/>
      <c r="U77" s="270">
        <f t="shared" si="16"/>
        <v>0</v>
      </c>
      <c r="V77" s="37"/>
      <c r="W77" s="37"/>
      <c r="X77" s="37"/>
      <c r="Y77" s="37"/>
      <c r="Z77" s="37"/>
      <c r="AA77" s="37"/>
      <c r="AB77" s="37"/>
    </row>
    <row r="78" spans="1:28" hidden="1" x14ac:dyDescent="0.2">
      <c r="A78" s="27" t="s">
        <v>78</v>
      </c>
      <c r="B78" s="59" t="s">
        <v>76</v>
      </c>
      <c r="C78" s="59" t="s">
        <v>76</v>
      </c>
      <c r="D78" s="57">
        <f t="shared" si="15"/>
        <v>-5.4506962459373233E-2</v>
      </c>
      <c r="E78" s="57">
        <f t="shared" si="17"/>
        <v>-1.0057098364910459E-3</v>
      </c>
      <c r="F78" s="57">
        <f t="shared" si="17"/>
        <v>-1.9095320081389889E-3</v>
      </c>
      <c r="G78" s="57">
        <f t="shared" ref="G78:L80" si="18">(G17/G$70)</f>
        <v>-2.7551823668328524E-3</v>
      </c>
      <c r="H78" s="57">
        <f t="shared" si="18"/>
        <v>-2.2275258552108195E-2</v>
      </c>
      <c r="I78" s="57">
        <f t="shared" si="18"/>
        <v>0</v>
      </c>
      <c r="J78" s="57">
        <f t="shared" si="18"/>
        <v>0</v>
      </c>
      <c r="K78" s="57">
        <f t="shared" si="18"/>
        <v>0</v>
      </c>
      <c r="L78" s="311">
        <f t="shared" si="18"/>
        <v>0</v>
      </c>
      <c r="M78" s="311">
        <f t="shared" ref="M78:S80" si="19">(M17/M$70)</f>
        <v>0</v>
      </c>
      <c r="N78" s="311">
        <f t="shared" si="19"/>
        <v>0</v>
      </c>
      <c r="O78" s="311">
        <f t="shared" si="19"/>
        <v>0</v>
      </c>
      <c r="P78" s="311">
        <f t="shared" si="19"/>
        <v>0</v>
      </c>
      <c r="Q78" s="311">
        <f t="shared" ref="Q78" si="20">(Q17/Q$70)</f>
        <v>0</v>
      </c>
      <c r="R78" s="311">
        <f t="shared" si="19"/>
        <v>0</v>
      </c>
      <c r="S78" s="311">
        <f t="shared" si="19"/>
        <v>0</v>
      </c>
      <c r="T78" s="311">
        <f t="shared" ref="T78" si="21">(T17/T$70)</f>
        <v>0</v>
      </c>
      <c r="U78" s="270">
        <f t="shared" si="16"/>
        <v>0</v>
      </c>
      <c r="V78" s="37"/>
      <c r="W78" s="37"/>
      <c r="X78" s="37"/>
      <c r="Y78" s="37"/>
      <c r="Z78" s="37"/>
      <c r="AA78" s="37"/>
      <c r="AB78" s="37"/>
    </row>
    <row r="79" spans="1:28" x14ac:dyDescent="0.2">
      <c r="A79" s="27" t="s">
        <v>79</v>
      </c>
      <c r="B79" s="57">
        <f t="shared" ref="B79:C81" si="22">(B18/B$70)</f>
        <v>0.11444982317088465</v>
      </c>
      <c r="C79" s="57">
        <f t="shared" si="22"/>
        <v>8.48547184366161E-2</v>
      </c>
      <c r="D79" s="57">
        <f t="shared" si="15"/>
        <v>0.1201657870411784</v>
      </c>
      <c r="E79" s="57">
        <f t="shared" si="17"/>
        <v>0.14089670386711653</v>
      </c>
      <c r="F79" s="57">
        <f t="shared" si="17"/>
        <v>0.13423070903114728</v>
      </c>
      <c r="G79" s="57">
        <f t="shared" si="18"/>
        <v>0.14330228286538965</v>
      </c>
      <c r="H79" s="57">
        <f t="shared" si="18"/>
        <v>0.11504606461878</v>
      </c>
      <c r="I79" s="57">
        <f t="shared" si="18"/>
        <v>0.11672146547674965</v>
      </c>
      <c r="J79" s="57">
        <f t="shared" si="18"/>
        <v>0.10893730546909737</v>
      </c>
      <c r="K79" s="57">
        <f t="shared" si="18"/>
        <v>0.12317702490464438</v>
      </c>
      <c r="L79" s="311">
        <f t="shared" si="18"/>
        <v>0.12657942238267147</v>
      </c>
      <c r="M79" s="311">
        <f t="shared" si="19"/>
        <v>0.13323157435673791</v>
      </c>
      <c r="N79" s="311">
        <f t="shared" si="19"/>
        <v>0.13109381401065137</v>
      </c>
      <c r="O79" s="311">
        <f t="shared" si="19"/>
        <v>0.13114435593549639</v>
      </c>
      <c r="P79" s="311">
        <f t="shared" si="19"/>
        <v>0.13823305407463823</v>
      </c>
      <c r="Q79" s="311">
        <f t="shared" ref="Q79" si="23">(Q18/Q$70)</f>
        <v>0.14468654434250763</v>
      </c>
      <c r="R79" s="311">
        <f t="shared" si="19"/>
        <v>0.1480484522207268</v>
      </c>
      <c r="S79" s="311">
        <f t="shared" si="19"/>
        <v>0.1519954172236013</v>
      </c>
      <c r="T79" s="311">
        <f t="shared" ref="T79" si="24">(T18/T$70)</f>
        <v>0.17060810810810811</v>
      </c>
      <c r="U79" s="270">
        <f t="shared" ref="U79:U83" si="25">SUM(N18:S18)/SUM($N$70:$S$70)</f>
        <v>0.14099705986882491</v>
      </c>
      <c r="V79" s="37"/>
      <c r="W79" s="37"/>
      <c r="X79" s="37"/>
      <c r="Y79" s="37"/>
      <c r="Z79" s="37"/>
      <c r="AA79" s="37"/>
      <c r="AB79" s="37"/>
    </row>
    <row r="80" spans="1:28" x14ac:dyDescent="0.2">
      <c r="A80" s="27" t="s">
        <v>80</v>
      </c>
      <c r="B80" s="57">
        <f t="shared" si="22"/>
        <v>3.4287290877624214E-2</v>
      </c>
      <c r="C80" s="57">
        <f t="shared" si="22"/>
        <v>-5.2218288268686824E-3</v>
      </c>
      <c r="D80" s="57">
        <f t="shared" si="15"/>
        <v>1.8159048215403883E-2</v>
      </c>
      <c r="E80" s="57">
        <f t="shared" si="17"/>
        <v>1.0316636387230729E-2</v>
      </c>
      <c r="F80" s="57">
        <f t="shared" si="17"/>
        <v>2.5199561746752232E-2</v>
      </c>
      <c r="G80" s="57">
        <f t="shared" si="18"/>
        <v>3.9359748097612175E-2</v>
      </c>
      <c r="H80" s="57">
        <f t="shared" si="18"/>
        <v>3.5671208971694E-3</v>
      </c>
      <c r="I80" s="57">
        <f t="shared" si="18"/>
        <v>9.1592296852982622E-3</v>
      </c>
      <c r="J80" s="57">
        <f t="shared" si="18"/>
        <v>6.8474877723432637E-2</v>
      </c>
      <c r="K80" s="57">
        <f t="shared" si="18"/>
        <v>0.14471617680053847</v>
      </c>
      <c r="L80" s="311">
        <f t="shared" si="18"/>
        <v>0.1601985559566787</v>
      </c>
      <c r="M80" s="311">
        <f t="shared" si="19"/>
        <v>8.1552551242913218E-2</v>
      </c>
      <c r="N80" s="311">
        <f t="shared" si="19"/>
        <v>6.3908234330192548E-2</v>
      </c>
      <c r="O80" s="311">
        <f t="shared" si="19"/>
        <v>4.4686224985428402E-2</v>
      </c>
      <c r="P80" s="311">
        <f t="shared" si="19"/>
        <v>5.6549885757806548E-2</v>
      </c>
      <c r="Q80" s="311">
        <f t="shared" ref="Q80" si="26">(Q19/Q$70)</f>
        <v>3.2874617737003058E-2</v>
      </c>
      <c r="R80" s="311">
        <f t="shared" si="19"/>
        <v>2.672562968659873E-2</v>
      </c>
      <c r="S80" s="311">
        <f t="shared" si="19"/>
        <v>1.3366431162879512E-2</v>
      </c>
      <c r="T80" s="311">
        <f t="shared" ref="T80" si="27">(T19/T$70)</f>
        <v>-2.364864864864865E-2</v>
      </c>
      <c r="U80" s="270">
        <f t="shared" si="25"/>
        <v>3.9417143226390103E-2</v>
      </c>
      <c r="V80" s="37"/>
      <c r="W80" s="37"/>
      <c r="X80" s="37"/>
      <c r="Y80" s="37"/>
      <c r="Z80" s="37"/>
      <c r="AA80" s="37"/>
      <c r="AB80" s="37"/>
    </row>
    <row r="81" spans="1:28" hidden="1" x14ac:dyDescent="0.2">
      <c r="A81" s="29" t="s">
        <v>81</v>
      </c>
      <c r="B81" s="57">
        <f t="shared" si="22"/>
        <v>-2.5082144021670974E-4</v>
      </c>
      <c r="C81" s="57">
        <f t="shared" si="22"/>
        <v>3.7423106592558895E-2</v>
      </c>
      <c r="D81" s="57">
        <f t="shared" si="15"/>
        <v>-1.5684169722992518E-2</v>
      </c>
      <c r="E81" s="59" t="s">
        <v>76</v>
      </c>
      <c r="F81" s="59" t="s">
        <v>76</v>
      </c>
      <c r="G81" s="59" t="s">
        <v>76</v>
      </c>
      <c r="H81" s="59" t="s">
        <v>76</v>
      </c>
      <c r="I81" s="59" t="s">
        <v>76</v>
      </c>
      <c r="J81" s="59"/>
      <c r="K81" s="59"/>
      <c r="L81" s="312"/>
      <c r="M81" s="312"/>
      <c r="N81" s="312"/>
      <c r="O81" s="312"/>
      <c r="P81" s="312"/>
      <c r="Q81" s="312"/>
      <c r="R81" s="312"/>
      <c r="S81" s="312"/>
      <c r="T81" s="312"/>
      <c r="U81" s="270">
        <f t="shared" si="25"/>
        <v>0</v>
      </c>
      <c r="V81" s="37"/>
      <c r="W81" s="37"/>
      <c r="X81" s="37"/>
      <c r="Y81" s="37"/>
      <c r="Z81" s="37"/>
      <c r="AA81" s="37"/>
      <c r="AB81" s="37"/>
    </row>
    <row r="82" spans="1:28" x14ac:dyDescent="0.2">
      <c r="A82" s="27" t="s">
        <v>82</v>
      </c>
      <c r="B82" s="59" t="s">
        <v>76</v>
      </c>
      <c r="C82" s="57">
        <f>(C21/C$70)</f>
        <v>-6.9426587811776816E-3</v>
      </c>
      <c r="D82" s="57">
        <f t="shared" si="15"/>
        <v>-6.2885767957777977E-2</v>
      </c>
      <c r="E82" s="57">
        <f t="shared" ref="E82:P82" si="28">(E21/E$70)</f>
        <v>4.762522709576953E-2</v>
      </c>
      <c r="F82" s="57">
        <f t="shared" si="28"/>
        <v>3.477852559085929E-2</v>
      </c>
      <c r="G82" s="57">
        <f t="shared" si="28"/>
        <v>2.1877459984256102E-2</v>
      </c>
      <c r="H82" s="57">
        <f t="shared" si="28"/>
        <v>1.324197397798137E-2</v>
      </c>
      <c r="I82" s="57">
        <f t="shared" si="28"/>
        <v>-1.0568341944574918E-2</v>
      </c>
      <c r="J82" s="57">
        <f t="shared" si="28"/>
        <v>-8.2258781680747007E-3</v>
      </c>
      <c r="K82" s="57">
        <f t="shared" si="28"/>
        <v>1.121830827911151E-3</v>
      </c>
      <c r="L82" s="311">
        <f t="shared" si="28"/>
        <v>9.025270758122744E-4</v>
      </c>
      <c r="M82" s="311">
        <f t="shared" ref="M82:O83" si="29">(M21/M$70)</f>
        <v>-5.0152638464893151E-3</v>
      </c>
      <c r="N82" s="311">
        <f t="shared" si="29"/>
        <v>2.0483408439164277E-4</v>
      </c>
      <c r="O82" s="311">
        <f t="shared" si="29"/>
        <v>-6.2172139110161263E-3</v>
      </c>
      <c r="P82" s="311">
        <f t="shared" si="28"/>
        <v>-2.1325209444021324E-2</v>
      </c>
      <c r="Q82" s="311">
        <f t="shared" ref="Q82:S83" si="30">(Q21/Q$70)</f>
        <v>1.2041284403669725E-2</v>
      </c>
      <c r="R82" s="311">
        <f t="shared" si="30"/>
        <v>2.3457027494712554E-2</v>
      </c>
      <c r="S82" s="311">
        <f t="shared" si="30"/>
        <v>3.4370822990261599E-3</v>
      </c>
      <c r="T82" s="311">
        <f t="shared" ref="T82" si="31">(T21/T$70)</f>
        <v>5.0675675675675678E-2</v>
      </c>
      <c r="U82" s="270">
        <f t="shared" si="25"/>
        <v>1.9385480275273821E-3</v>
      </c>
      <c r="V82" s="37"/>
      <c r="W82" s="37"/>
      <c r="X82" s="37"/>
      <c r="Y82" s="37"/>
      <c r="Z82" s="37"/>
      <c r="AA82" s="37"/>
      <c r="AB82" s="37"/>
    </row>
    <row r="83" spans="1:28" x14ac:dyDescent="0.2">
      <c r="A83" s="27" t="s">
        <v>83</v>
      </c>
      <c r="B83" s="57">
        <f>(B22/B$70)</f>
        <v>1.291730417116055E-2</v>
      </c>
      <c r="C83" s="59" t="s">
        <v>76</v>
      </c>
      <c r="D83" s="59" t="s">
        <v>76</v>
      </c>
      <c r="E83" s="57">
        <f t="shared" ref="E83:P83" si="32">(E22/E$70)</f>
        <v>1.103036594861147E-3</v>
      </c>
      <c r="F83" s="57">
        <f t="shared" si="32"/>
        <v>-2.0347472217874473E-3</v>
      </c>
      <c r="G83" s="57">
        <f t="shared" si="32"/>
        <v>-8.8559433219627393E-3</v>
      </c>
      <c r="H83" s="57">
        <f t="shared" si="32"/>
        <v>1.2831370133702877E-2</v>
      </c>
      <c r="I83" s="57">
        <f t="shared" si="32"/>
        <v>7.045561296383278E-4</v>
      </c>
      <c r="J83" s="57">
        <f t="shared" si="32"/>
        <v>-2.2232103156958646E-3</v>
      </c>
      <c r="K83" s="57">
        <f t="shared" si="32"/>
        <v>-7.1797172986313666E-3</v>
      </c>
      <c r="L83" s="311">
        <f t="shared" si="32"/>
        <v>-1.3086642599277979E-2</v>
      </c>
      <c r="M83" s="311">
        <f t="shared" si="29"/>
        <v>-5.451373746184038E-3</v>
      </c>
      <c r="N83" s="311">
        <f t="shared" si="29"/>
        <v>-6.5546907005325688E-3</v>
      </c>
      <c r="O83" s="311">
        <f t="shared" si="29"/>
        <v>-6.9943656498931417E-3</v>
      </c>
      <c r="P83" s="311">
        <f t="shared" si="32"/>
        <v>-5.5217060167555218E-3</v>
      </c>
      <c r="Q83" s="311">
        <f t="shared" si="30"/>
        <v>-5.1605504587155966E-3</v>
      </c>
      <c r="R83" s="311">
        <f t="shared" si="30"/>
        <v>-4.4222264949048259E-3</v>
      </c>
      <c r="S83" s="311">
        <f t="shared" si="30"/>
        <v>-2.1004391827382091E-3</v>
      </c>
      <c r="T83" s="311">
        <f t="shared" ref="T83" si="33">(T22/T$70)</f>
        <v>-5.0675675675675678E-3</v>
      </c>
      <c r="U83" s="270">
        <f t="shared" si="25"/>
        <v>-5.1048431391554393E-3</v>
      </c>
      <c r="V83" s="37"/>
      <c r="W83" s="37"/>
      <c r="X83" s="37"/>
      <c r="Y83" s="37"/>
      <c r="Z83" s="37"/>
      <c r="AA83" s="37"/>
      <c r="AB83" s="37"/>
    </row>
    <row r="84" spans="1:28" x14ac:dyDescent="0.2">
      <c r="A84" s="25" t="s">
        <v>84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311"/>
      <c r="M84" s="311"/>
      <c r="N84" s="311"/>
      <c r="O84" s="311"/>
      <c r="P84" s="311"/>
      <c r="Q84" s="311"/>
      <c r="R84" s="311"/>
      <c r="S84" s="311"/>
      <c r="T84" s="311"/>
      <c r="U84" s="270"/>
      <c r="V84" s="37"/>
      <c r="W84" s="37"/>
      <c r="X84" s="37"/>
      <c r="Y84" s="37"/>
      <c r="Z84" s="37"/>
      <c r="AA84" s="37"/>
      <c r="AB84" s="37"/>
    </row>
    <row r="85" spans="1:28" x14ac:dyDescent="0.2">
      <c r="A85" s="27" t="str">
        <f t="shared" ref="A85:A90" si="34">A24</f>
        <v xml:space="preserve">      Accounts receivable, prepayments and other current assets</v>
      </c>
      <c r="B85" s="57">
        <f t="shared" ref="B85:L85" si="35">(B24/B$70)</f>
        <v>-1.0258596904863427E-2</v>
      </c>
      <c r="C85" s="57">
        <f t="shared" si="35"/>
        <v>-3.2003481219217915E-2</v>
      </c>
      <c r="D85" s="57">
        <f t="shared" si="35"/>
        <v>4.9259027342934671E-2</v>
      </c>
      <c r="E85" s="57">
        <f t="shared" si="35"/>
        <v>2.465611212042564E-3</v>
      </c>
      <c r="F85" s="57">
        <f t="shared" si="35"/>
        <v>-5.321646580059477E-4</v>
      </c>
      <c r="G85" s="57">
        <f t="shared" si="35"/>
        <v>-4.5198110732091318E-2</v>
      </c>
      <c r="H85" s="57">
        <f t="shared" si="35"/>
        <v>1.8246208330125489E-2</v>
      </c>
      <c r="I85" s="57">
        <f t="shared" si="35"/>
        <v>-1.9023015500234851E-2</v>
      </c>
      <c r="J85" s="57">
        <f t="shared" si="35"/>
        <v>6.6696309470875941E-4</v>
      </c>
      <c r="K85" s="57">
        <f t="shared" si="35"/>
        <v>-1.121830827911151E-3</v>
      </c>
      <c r="L85" s="311">
        <f t="shared" si="35"/>
        <v>-3.1588447653429601E-3</v>
      </c>
      <c r="M85" s="311">
        <f t="shared" ref="M85:O90" si="36">(M24/M$70)</f>
        <v>-9.1583078935891845E-3</v>
      </c>
      <c r="N85" s="311">
        <f t="shared" si="36"/>
        <v>-3.482179434657927E-3</v>
      </c>
      <c r="O85" s="311">
        <f t="shared" si="36"/>
        <v>-1.3600155430347775E-3</v>
      </c>
      <c r="P85" s="311">
        <f t="shared" ref="P85:R90" si="37">(P24/P$70)</f>
        <v>9.5201827875095201E-4</v>
      </c>
      <c r="Q85" s="311">
        <f t="shared" ref="Q85" si="38">(Q24/Q$70)</f>
        <v>9.5565749235474004E-4</v>
      </c>
      <c r="R85" s="311">
        <f t="shared" si="37"/>
        <v>-4.8067679292443759E-3</v>
      </c>
      <c r="S85" s="311">
        <f t="shared" ref="S85:S90" si="39">(S24/S$70)</f>
        <v>9.1655527974030936E-3</v>
      </c>
      <c r="T85" s="311">
        <f t="shared" ref="T85" si="40">(T24/T$70)</f>
        <v>8.1925675675675672E-2</v>
      </c>
      <c r="U85" s="270">
        <f t="shared" ref="U85:U92" si="41">SUM(N24:S24)/SUM($N$70:$S$70)</f>
        <v>2.9078220412910729E-4</v>
      </c>
      <c r="V85" s="37"/>
      <c r="W85" s="37"/>
      <c r="X85" s="37"/>
      <c r="Y85" s="37"/>
      <c r="Z85" s="37"/>
      <c r="AA85" s="37"/>
      <c r="AB85" s="37"/>
    </row>
    <row r="86" spans="1:28" x14ac:dyDescent="0.2">
      <c r="A86" s="27" t="str">
        <f t="shared" si="34"/>
        <v xml:space="preserve">      Derivative Collateral, net</v>
      </c>
      <c r="B86" s="57">
        <f>(B26/B$70)</f>
        <v>9.782036168451678E-4</v>
      </c>
      <c r="C86" s="57">
        <f>(C26/C$70)</f>
        <v>-1.8395078821923771E-3</v>
      </c>
      <c r="D86" s="57">
        <f>(D26/D$70)</f>
        <v>2.0872469213107912E-3</v>
      </c>
      <c r="E86" s="57">
        <f>(E26/E$70)</f>
        <v>-5.7747209966260054E-3</v>
      </c>
      <c r="F86" s="57">
        <f>(F26/F$70)</f>
        <v>4.413836281108155E-3</v>
      </c>
      <c r="G86" s="57">
        <f t="shared" ref="G86:L90" si="42">(G25/G$70)</f>
        <v>0</v>
      </c>
      <c r="H86" s="57">
        <f t="shared" si="42"/>
        <v>0</v>
      </c>
      <c r="I86" s="57">
        <f t="shared" si="42"/>
        <v>0</v>
      </c>
      <c r="J86" s="57">
        <f t="shared" si="42"/>
        <v>-1.823032458870609E-2</v>
      </c>
      <c r="K86" s="57">
        <f t="shared" si="42"/>
        <v>1.2788871438187121E-2</v>
      </c>
      <c r="L86" s="311">
        <f t="shared" si="42"/>
        <v>-2.3014440433212997E-2</v>
      </c>
      <c r="M86" s="311">
        <f t="shared" si="36"/>
        <v>8.7221979938944616E-4</v>
      </c>
      <c r="N86" s="311">
        <f t="shared" si="36"/>
        <v>1.3928717738631708E-2</v>
      </c>
      <c r="O86" s="311">
        <f t="shared" si="36"/>
        <v>8.3543811929279194E-3</v>
      </c>
      <c r="P86" s="311">
        <f t="shared" si="37"/>
        <v>-3.0464584920030465E-3</v>
      </c>
      <c r="Q86" s="311">
        <f t="shared" ref="Q86" si="43">(Q25/Q$70)</f>
        <v>-8.9831804281345559E-3</v>
      </c>
      <c r="R86" s="311">
        <f t="shared" si="37"/>
        <v>1.1536243030186503E-3</v>
      </c>
      <c r="S86" s="311">
        <f t="shared" si="39"/>
        <v>-1.1456940996753867E-3</v>
      </c>
      <c r="T86" s="311">
        <f t="shared" ref="T86" si="44">(T25/T$70)</f>
        <v>-2.5337837837837839E-3</v>
      </c>
      <c r="U86" s="270">
        <f t="shared" si="41"/>
        <v>1.5508384220219056E-3</v>
      </c>
      <c r="V86" s="37"/>
      <c r="W86" s="37"/>
      <c r="X86" s="37"/>
      <c r="Y86" s="37"/>
      <c r="Z86" s="37"/>
      <c r="AA86" s="37"/>
      <c r="AB86" s="37"/>
    </row>
    <row r="87" spans="1:28" x14ac:dyDescent="0.2">
      <c r="A87" s="27" t="str">
        <f t="shared" si="34"/>
        <v xml:space="preserve">      Inventories</v>
      </c>
      <c r="B87" s="59" t="s">
        <v>76</v>
      </c>
      <c r="C87" s="59" t="s">
        <v>76</v>
      </c>
      <c r="D87" s="57">
        <f t="shared" ref="D87:F88" si="45">(D27/D$70)</f>
        <v>-3.4588663267435967E-3</v>
      </c>
      <c r="E87" s="57">
        <f t="shared" si="45"/>
        <v>1.0543732156760965E-2</v>
      </c>
      <c r="F87" s="57">
        <f t="shared" si="45"/>
        <v>-1.1519799655658162E-2</v>
      </c>
      <c r="G87" s="57">
        <f t="shared" si="42"/>
        <v>-5.3135659931776427E-3</v>
      </c>
      <c r="H87" s="57">
        <f t="shared" si="42"/>
        <v>-9.982805964020838E-3</v>
      </c>
      <c r="I87" s="57">
        <f t="shared" si="42"/>
        <v>-1.1272898074213245E-2</v>
      </c>
      <c r="J87" s="57">
        <f t="shared" si="42"/>
        <v>-1.1560693641618497E-2</v>
      </c>
      <c r="K87" s="57">
        <f t="shared" si="42"/>
        <v>-8.7502804577069774E-3</v>
      </c>
      <c r="L87" s="311">
        <f t="shared" si="42"/>
        <v>-5.8664259927797835E-3</v>
      </c>
      <c r="M87" s="311">
        <f t="shared" si="36"/>
        <v>-1.286524204099433E-2</v>
      </c>
      <c r="N87" s="311">
        <f t="shared" si="36"/>
        <v>-7.1691929537074971E-3</v>
      </c>
      <c r="O87" s="311">
        <f t="shared" si="36"/>
        <v>2.7200310860695551E-3</v>
      </c>
      <c r="P87" s="311">
        <f t="shared" si="37"/>
        <v>7.0449352627570449E-3</v>
      </c>
      <c r="Q87" s="311">
        <f t="shared" ref="Q87" si="46">(Q26/Q$70)</f>
        <v>-1.337920489296636E-3</v>
      </c>
      <c r="R87" s="311">
        <f t="shared" si="37"/>
        <v>-4.0376850605652759E-3</v>
      </c>
      <c r="S87" s="311">
        <f t="shared" si="39"/>
        <v>1.9094901661256445E-3</v>
      </c>
      <c r="T87" s="311">
        <f t="shared" ref="T87" si="47">(T26/T$70)</f>
        <v>-1.0135135135135136E-2</v>
      </c>
      <c r="U87" s="270">
        <f t="shared" si="41"/>
        <v>-6.4618267584246072E-5</v>
      </c>
      <c r="V87" s="37"/>
      <c r="W87" s="37"/>
      <c r="X87" s="37"/>
      <c r="Y87" s="37"/>
      <c r="Z87" s="37"/>
      <c r="AA87" s="37"/>
      <c r="AB87" s="37"/>
    </row>
    <row r="88" spans="1:28" x14ac:dyDescent="0.2">
      <c r="A88" s="27" t="str">
        <f t="shared" si="34"/>
        <v xml:space="preserve">      Income taxes, net</v>
      </c>
      <c r="B88" s="57">
        <f>(B28/B$70)</f>
        <v>1.6629461486367854E-2</v>
      </c>
      <c r="C88" s="57">
        <f>(C28/C$70)</f>
        <v>0.10756176197163597</v>
      </c>
      <c r="D88" s="57">
        <f t="shared" si="45"/>
        <v>-4.5024897873989923E-2</v>
      </c>
      <c r="E88" s="57">
        <f t="shared" si="45"/>
        <v>-3.1501427459122759E-2</v>
      </c>
      <c r="F88" s="57">
        <f t="shared" si="45"/>
        <v>-1.0330255125997809E-3</v>
      </c>
      <c r="G88" s="57">
        <f t="shared" si="42"/>
        <v>-1.075833114668066E-2</v>
      </c>
      <c r="H88" s="57">
        <f t="shared" si="42"/>
        <v>9.2899119768008846E-3</v>
      </c>
      <c r="I88" s="57">
        <f t="shared" si="42"/>
        <v>4.9318929074682952E-3</v>
      </c>
      <c r="J88" s="57">
        <f t="shared" si="42"/>
        <v>-4.4464206313917292E-3</v>
      </c>
      <c r="K88" s="57">
        <f t="shared" si="42"/>
        <v>-4.6219430109939424E-2</v>
      </c>
      <c r="L88" s="311">
        <f t="shared" si="42"/>
        <v>-2.1660649819494584E-2</v>
      </c>
      <c r="M88" s="311">
        <f t="shared" si="36"/>
        <v>5.9965111208024426E-2</v>
      </c>
      <c r="N88" s="311">
        <f t="shared" si="36"/>
        <v>2.4170421958213846E-2</v>
      </c>
      <c r="O88" s="311">
        <f t="shared" si="36"/>
        <v>-5.0514863027006024E-3</v>
      </c>
      <c r="P88" s="311">
        <f t="shared" si="37"/>
        <v>-2.9512566641279513E-2</v>
      </c>
      <c r="Q88" s="311">
        <f t="shared" ref="Q88" si="48">(Q27/Q$70)</f>
        <v>2.2171253822629969E-2</v>
      </c>
      <c r="R88" s="311">
        <f t="shared" si="37"/>
        <v>0</v>
      </c>
      <c r="S88" s="311">
        <f t="shared" si="39"/>
        <v>-9.3565018140156584E-3</v>
      </c>
      <c r="T88" s="311">
        <f t="shared" ref="T88" si="49">(T27/T$70)</f>
        <v>4.3918918918918921E-2</v>
      </c>
      <c r="U88" s="270">
        <f t="shared" si="41"/>
        <v>1.2923653516849214E-4</v>
      </c>
      <c r="V88" s="37"/>
      <c r="W88" s="37"/>
      <c r="X88" s="37"/>
      <c r="Y88" s="37"/>
      <c r="Z88" s="37"/>
      <c r="AA88" s="37"/>
      <c r="AB88" s="37"/>
    </row>
    <row r="89" spans="1:28" x14ac:dyDescent="0.2">
      <c r="A89" s="27" t="str">
        <f t="shared" si="34"/>
        <v xml:space="preserve">      Accounts payable and other liabilities</v>
      </c>
      <c r="B89" s="57"/>
      <c r="C89" s="57"/>
      <c r="D89" s="57"/>
      <c r="E89" s="57"/>
      <c r="F89" s="57"/>
      <c r="G89" s="57">
        <f t="shared" si="42"/>
        <v>2.7584623458409861E-2</v>
      </c>
      <c r="H89" s="57">
        <f t="shared" si="42"/>
        <v>-3.438807195832371E-3</v>
      </c>
      <c r="I89" s="57">
        <f t="shared" si="42"/>
        <v>0</v>
      </c>
      <c r="J89" s="57">
        <f t="shared" si="42"/>
        <v>-1.6229435304579813E-2</v>
      </c>
      <c r="K89" s="57">
        <f t="shared" si="42"/>
        <v>-5.3847879739735245E-3</v>
      </c>
      <c r="L89" s="311">
        <f t="shared" si="42"/>
        <v>-3.0460288808664259E-2</v>
      </c>
      <c r="M89" s="311">
        <f t="shared" si="36"/>
        <v>-7.4138682948102922E-3</v>
      </c>
      <c r="N89" s="311">
        <f t="shared" si="36"/>
        <v>7.1691929537074971E-3</v>
      </c>
      <c r="O89" s="311">
        <f t="shared" si="36"/>
        <v>1.9428793471925393E-3</v>
      </c>
      <c r="P89" s="311">
        <f t="shared" si="37"/>
        <v>2.2658035034272658E-2</v>
      </c>
      <c r="Q89" s="311">
        <f t="shared" ref="Q89" si="50">(Q28/Q$70)</f>
        <v>1.337920489296636E-3</v>
      </c>
      <c r="R89" s="311">
        <f t="shared" si="37"/>
        <v>-3.1340126898673333E-2</v>
      </c>
      <c r="S89" s="311">
        <f t="shared" si="39"/>
        <v>-1.3175482146266947E-2</v>
      </c>
      <c r="T89" s="311">
        <f t="shared" ref="T89" si="51">(T28/T$70)</f>
        <v>1.9425675675675675E-2</v>
      </c>
      <c r="U89" s="270">
        <f t="shared" si="41"/>
        <v>-1.970857161319505E-3</v>
      </c>
      <c r="V89" s="37"/>
      <c r="W89" s="37"/>
      <c r="X89" s="37"/>
      <c r="Y89" s="37"/>
      <c r="Z89" s="37"/>
      <c r="AA89" s="37"/>
      <c r="AB89" s="37"/>
    </row>
    <row r="90" spans="1:28" hidden="1" x14ac:dyDescent="0.2">
      <c r="A90" s="27" t="str">
        <f t="shared" si="34"/>
        <v xml:space="preserve">      Other</v>
      </c>
      <c r="B90" s="59" t="s">
        <v>76</v>
      </c>
      <c r="C90" s="57">
        <f>(C29/C$70)</f>
        <v>-6.3492691417607857E-3</v>
      </c>
      <c r="D90" s="57">
        <f>(D29/D$70)</f>
        <v>-1.2821659659480575E-2</v>
      </c>
      <c r="E90" s="57">
        <f>(E29/E$70)</f>
        <v>3.8930703348040484E-4</v>
      </c>
      <c r="F90" s="57">
        <f>(F29/F$70)</f>
        <v>8.7650649553920796E-4</v>
      </c>
      <c r="G90" s="57">
        <f t="shared" si="42"/>
        <v>-8.5607452112306474E-3</v>
      </c>
      <c r="H90" s="57">
        <f t="shared" si="42"/>
        <v>4.8759206508070934E-4</v>
      </c>
      <c r="I90" s="57">
        <f t="shared" si="42"/>
        <v>-1.6439643024894317E-3</v>
      </c>
      <c r="J90" s="57">
        <f t="shared" si="42"/>
        <v>0</v>
      </c>
      <c r="K90" s="57">
        <f t="shared" si="42"/>
        <v>0</v>
      </c>
      <c r="L90" s="311">
        <f t="shared" si="42"/>
        <v>0</v>
      </c>
      <c r="M90" s="311">
        <f t="shared" si="36"/>
        <v>0</v>
      </c>
      <c r="N90" s="311">
        <f t="shared" si="36"/>
        <v>0</v>
      </c>
      <c r="O90" s="311">
        <f t="shared" si="36"/>
        <v>0</v>
      </c>
      <c r="P90" s="311">
        <f t="shared" si="37"/>
        <v>0</v>
      </c>
      <c r="Q90" s="311">
        <f t="shared" ref="Q90" si="52">(Q29/Q$70)</f>
        <v>0</v>
      </c>
      <c r="R90" s="311">
        <f t="shared" si="37"/>
        <v>0</v>
      </c>
      <c r="S90" s="311">
        <f t="shared" si="39"/>
        <v>0</v>
      </c>
      <c r="T90" s="311">
        <f t="shared" ref="T90" si="53">(T29/T$70)</f>
        <v>0</v>
      </c>
      <c r="U90" s="270">
        <f t="shared" si="41"/>
        <v>0</v>
      </c>
      <c r="V90" s="37"/>
      <c r="W90" s="37"/>
      <c r="X90" s="37"/>
      <c r="Y90" s="37"/>
      <c r="Z90" s="37"/>
      <c r="AA90" s="37"/>
      <c r="AB90" s="37"/>
    </row>
    <row r="91" spans="1:28" ht="7.5" customHeight="1" x14ac:dyDescent="0.2">
      <c r="A91" s="2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311"/>
      <c r="M91" s="311"/>
      <c r="N91" s="311"/>
      <c r="O91" s="311"/>
      <c r="P91" s="311"/>
      <c r="Q91" s="311"/>
      <c r="R91" s="311"/>
      <c r="S91" s="311"/>
      <c r="T91" s="311"/>
      <c r="U91" s="270"/>
      <c r="V91" s="37"/>
      <c r="W91" s="37"/>
      <c r="X91" s="37"/>
      <c r="Y91" s="37"/>
      <c r="Z91" s="37"/>
      <c r="AA91" s="37"/>
      <c r="AB91" s="37"/>
    </row>
    <row r="92" spans="1:28" x14ac:dyDescent="0.2">
      <c r="A92" s="211" t="s">
        <v>88</v>
      </c>
      <c r="B92" s="219">
        <f t="shared" ref="B92:L92" si="54">(B31/B$70)</f>
        <v>0.18947051593970249</v>
      </c>
      <c r="C92" s="219">
        <f t="shared" si="54"/>
        <v>0.12751943351069087</v>
      </c>
      <c r="D92" s="219">
        <f t="shared" si="54"/>
        <v>0.10215582789158238</v>
      </c>
      <c r="E92" s="219">
        <f t="shared" si="54"/>
        <v>0.22112639501686981</v>
      </c>
      <c r="F92" s="219">
        <f t="shared" si="54"/>
        <v>0.26041634058538105</v>
      </c>
      <c r="G92" s="219">
        <f t="shared" si="54"/>
        <v>0.2332393072684335</v>
      </c>
      <c r="H92" s="219">
        <f t="shared" si="54"/>
        <v>0.22957887443221181</v>
      </c>
      <c r="I92" s="219">
        <f t="shared" si="54"/>
        <v>0.19351808360732739</v>
      </c>
      <c r="J92" s="219">
        <f t="shared" si="54"/>
        <v>0.22054246331702979</v>
      </c>
      <c r="K92" s="219">
        <f t="shared" si="54"/>
        <v>0.33654924837334532</v>
      </c>
      <c r="L92" s="313">
        <f t="shared" si="54"/>
        <v>0.31814079422382674</v>
      </c>
      <c r="M92" s="313">
        <f t="shared" ref="M92:S92" si="55">(M31/M$70)</f>
        <v>0.35673789795028349</v>
      </c>
      <c r="N92" s="313">
        <f t="shared" si="55"/>
        <v>0.33326505530520278</v>
      </c>
      <c r="O92" s="313">
        <f t="shared" si="55"/>
        <v>0.30172916261900135</v>
      </c>
      <c r="P92" s="313">
        <f t="shared" si="55"/>
        <v>0.29893373952779895</v>
      </c>
      <c r="Q92" s="313">
        <f t="shared" ref="Q92" si="56">(Q31/Q$70)</f>
        <v>0.33142201834862384</v>
      </c>
      <c r="R92" s="313">
        <f t="shared" si="55"/>
        <v>0.30148048452220727</v>
      </c>
      <c r="S92" s="313">
        <f t="shared" si="55"/>
        <v>0.30074470116478902</v>
      </c>
      <c r="T92" s="313">
        <f t="shared" ref="T92" si="57">(T31/T$70)</f>
        <v>0.45016891891891891</v>
      </c>
      <c r="U92" s="315">
        <f t="shared" si="41"/>
        <v>0.31104003101676841</v>
      </c>
      <c r="V92" s="37"/>
      <c r="W92" s="37"/>
      <c r="X92" s="37"/>
      <c r="Y92" s="37"/>
      <c r="Z92" s="37"/>
      <c r="AA92" s="37"/>
      <c r="AB92" s="37"/>
    </row>
    <row r="93" spans="1:28" x14ac:dyDescent="0.2">
      <c r="A93" s="27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314"/>
      <c r="M93" s="314"/>
      <c r="N93" s="314"/>
      <c r="O93" s="314"/>
      <c r="P93" s="314"/>
      <c r="Q93" s="314"/>
      <c r="R93" s="314"/>
      <c r="S93" s="314"/>
      <c r="T93" s="314"/>
      <c r="U93" s="344"/>
      <c r="V93" s="37"/>
      <c r="W93" s="37"/>
      <c r="X93" s="37"/>
      <c r="Y93" s="37"/>
      <c r="Z93" s="37"/>
      <c r="AA93" s="37"/>
      <c r="AB93" s="37"/>
    </row>
    <row r="94" spans="1:28" x14ac:dyDescent="0.2">
      <c r="A94" s="210" t="s">
        <v>89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311"/>
      <c r="M94" s="311"/>
      <c r="N94" s="311"/>
      <c r="O94" s="311"/>
      <c r="P94" s="311"/>
      <c r="Q94" s="311"/>
      <c r="R94" s="311"/>
      <c r="S94" s="311"/>
      <c r="T94" s="311"/>
      <c r="U94" s="270"/>
      <c r="V94" s="37"/>
      <c r="W94" s="37"/>
      <c r="X94" s="37"/>
      <c r="Y94" s="37"/>
      <c r="Z94" s="37"/>
      <c r="AA94" s="37"/>
      <c r="AB94" s="37"/>
    </row>
    <row r="95" spans="1:28" hidden="1" x14ac:dyDescent="0.2">
      <c r="A95" s="25" t="s">
        <v>90</v>
      </c>
      <c r="B95" s="57">
        <f t="shared" ref="B95:D101" si="58">(B34/B$70)</f>
        <v>-6.5213574456344527E-4</v>
      </c>
      <c r="C95" s="57">
        <f t="shared" si="58"/>
        <v>-7.1463892240441487E-2</v>
      </c>
      <c r="D95" s="57">
        <f t="shared" si="58"/>
        <v>-0.10680740674478933</v>
      </c>
      <c r="E95" s="59" t="s">
        <v>76</v>
      </c>
      <c r="F95" s="59" t="s">
        <v>76</v>
      </c>
      <c r="G95" s="59" t="s">
        <v>76</v>
      </c>
      <c r="H95" s="59" t="s">
        <v>76</v>
      </c>
      <c r="I95" s="59" t="s">
        <v>76</v>
      </c>
      <c r="J95" s="59"/>
      <c r="K95" s="59"/>
      <c r="L95" s="312"/>
      <c r="M95" s="312"/>
      <c r="N95" s="312"/>
      <c r="O95" s="312"/>
      <c r="P95" s="312"/>
      <c r="Q95" s="312"/>
      <c r="R95" s="312"/>
      <c r="S95" s="312"/>
      <c r="T95" s="312"/>
      <c r="U95" s="270">
        <f t="shared" si="16"/>
        <v>0</v>
      </c>
      <c r="V95" s="37"/>
      <c r="W95" s="37"/>
      <c r="X95" s="37"/>
      <c r="Y95" s="37"/>
      <c r="Z95" s="37"/>
      <c r="AA95" s="37"/>
      <c r="AB95" s="37"/>
    </row>
    <row r="96" spans="1:28" x14ac:dyDescent="0.2">
      <c r="A96" s="27" t="s">
        <v>91</v>
      </c>
      <c r="B96" s="57">
        <f t="shared" si="58"/>
        <v>-0.14397150668439138</v>
      </c>
      <c r="C96" s="57">
        <f t="shared" si="58"/>
        <v>-9.6069782621595434E-2</v>
      </c>
      <c r="D96" s="57">
        <f t="shared" si="58"/>
        <v>-0.15066940990547753</v>
      </c>
      <c r="E96" s="57">
        <f t="shared" ref="E96:Q96" si="59">(E35/E$70)</f>
        <v>-0.17843239034518557</v>
      </c>
      <c r="F96" s="57">
        <f t="shared" si="59"/>
        <v>-0.21612145875723901</v>
      </c>
      <c r="G96" s="57">
        <f t="shared" si="59"/>
        <v>-0.27932301233272105</v>
      </c>
      <c r="H96" s="57">
        <f t="shared" si="59"/>
        <v>-0.26920214540508636</v>
      </c>
      <c r="I96" s="57">
        <f t="shared" si="59"/>
        <v>-0.35674025364020667</v>
      </c>
      <c r="J96" s="57">
        <f t="shared" si="59"/>
        <v>-0.3977323254779902</v>
      </c>
      <c r="K96" s="57">
        <f t="shared" si="59"/>
        <v>-0.52232443347543189</v>
      </c>
      <c r="L96" s="311">
        <f t="shared" si="59"/>
        <v>-0.36259025270758122</v>
      </c>
      <c r="M96" s="311">
        <f t="shared" ref="M96:O101" si="60">(M35/M$70)</f>
        <v>-0.32839075447012644</v>
      </c>
      <c r="N96" s="311">
        <f t="shared" si="60"/>
        <v>-0.27570667759115119</v>
      </c>
      <c r="O96" s="311">
        <f t="shared" si="60"/>
        <v>-0.20691665047600544</v>
      </c>
      <c r="P96" s="311">
        <f t="shared" si="59"/>
        <v>-0.20297029702970298</v>
      </c>
      <c r="Q96" s="311">
        <f t="shared" si="59"/>
        <v>-0.17507645259938837</v>
      </c>
      <c r="R96" s="311">
        <f t="shared" ref="R96:S101" si="61">(R35/R$70)</f>
        <v>-0.17362045760430686</v>
      </c>
      <c r="S96" s="311">
        <f t="shared" si="61"/>
        <v>-0.14683979377506207</v>
      </c>
      <c r="T96" s="311">
        <f t="shared" ref="T96" si="62">(T35/T$70)</f>
        <v>-0.19932432432432431</v>
      </c>
      <c r="U96" s="270">
        <f t="shared" ref="U96:U119" si="63">SUM(N35:S35)/SUM($N$70:$S$70)</f>
        <v>-0.1959548964492262</v>
      </c>
      <c r="V96" s="37"/>
      <c r="W96" s="37"/>
      <c r="X96" s="37"/>
      <c r="Y96" s="37"/>
      <c r="Z96" s="37"/>
      <c r="AA96" s="37"/>
      <c r="AB96" s="37"/>
    </row>
    <row r="97" spans="1:28" x14ac:dyDescent="0.2">
      <c r="A97" s="27" t="s">
        <v>92</v>
      </c>
      <c r="B97" s="57">
        <f t="shared" si="58"/>
        <v>4.2464069828688958E-2</v>
      </c>
      <c r="C97" s="57">
        <f t="shared" si="58"/>
        <v>0.19977451193702159</v>
      </c>
      <c r="D97" s="57">
        <f t="shared" si="58"/>
        <v>2.4808420550436833E-2</v>
      </c>
      <c r="E97" s="57">
        <f t="shared" ref="E97:Q97" si="64">(E36/E$70)</f>
        <v>5.2880872047754999E-3</v>
      </c>
      <c r="F97" s="57">
        <f t="shared" si="64"/>
        <v>1.0330255125997809E-3</v>
      </c>
      <c r="G97" s="57">
        <f t="shared" si="64"/>
        <v>2.3287850957753866E-3</v>
      </c>
      <c r="H97" s="57">
        <f t="shared" si="64"/>
        <v>3.3361562347627484E-4</v>
      </c>
      <c r="I97" s="57">
        <f t="shared" si="64"/>
        <v>2.1136683889149835E-3</v>
      </c>
      <c r="J97" s="57">
        <f t="shared" si="64"/>
        <v>-6.8474877723432637E-2</v>
      </c>
      <c r="K97" s="57">
        <f t="shared" si="64"/>
        <v>0</v>
      </c>
      <c r="L97" s="311">
        <f t="shared" si="64"/>
        <v>0</v>
      </c>
      <c r="M97" s="311">
        <f t="shared" si="60"/>
        <v>0</v>
      </c>
      <c r="N97" s="311">
        <f t="shared" si="60"/>
        <v>0</v>
      </c>
      <c r="O97" s="311">
        <f t="shared" si="60"/>
        <v>0</v>
      </c>
      <c r="P97" s="311">
        <f t="shared" si="64"/>
        <v>0</v>
      </c>
      <c r="Q97" s="311">
        <f t="shared" si="64"/>
        <v>0</v>
      </c>
      <c r="R97" s="311">
        <f t="shared" si="61"/>
        <v>0</v>
      </c>
      <c r="S97" s="311">
        <f t="shared" si="61"/>
        <v>0</v>
      </c>
      <c r="T97" s="311">
        <f t="shared" ref="T97" si="65">(T36/T$70)</f>
        <v>0</v>
      </c>
      <c r="U97" s="270">
        <f t="shared" si="63"/>
        <v>0</v>
      </c>
      <c r="V97" s="37"/>
      <c r="W97" s="37"/>
      <c r="X97" s="37"/>
      <c r="Y97" s="37"/>
      <c r="Z97" s="37"/>
      <c r="AA97" s="37"/>
      <c r="AB97" s="37"/>
    </row>
    <row r="98" spans="1:28" x14ac:dyDescent="0.2">
      <c r="A98" s="29" t="s">
        <v>93</v>
      </c>
      <c r="B98" s="57">
        <f t="shared" si="58"/>
        <v>1.1989264842358724E-2</v>
      </c>
      <c r="C98" s="57">
        <f t="shared" si="58"/>
        <v>9.5931325039064815E-3</v>
      </c>
      <c r="D98" s="57">
        <f t="shared" si="58"/>
        <v>1.0734412738169783E-2</v>
      </c>
      <c r="E98" s="59" t="s">
        <v>76</v>
      </c>
      <c r="F98" s="59" t="s">
        <v>76</v>
      </c>
      <c r="G98" s="57">
        <f t="shared" ref="G98:L101" si="66">(G37/G$70)</f>
        <v>0</v>
      </c>
      <c r="H98" s="57">
        <f t="shared" si="66"/>
        <v>0</v>
      </c>
      <c r="I98" s="57">
        <f t="shared" si="66"/>
        <v>0</v>
      </c>
      <c r="J98" s="57">
        <f t="shared" si="66"/>
        <v>0</v>
      </c>
      <c r="K98" s="57">
        <f t="shared" si="66"/>
        <v>0</v>
      </c>
      <c r="L98" s="311">
        <f t="shared" si="66"/>
        <v>0</v>
      </c>
      <c r="M98" s="311">
        <f t="shared" si="60"/>
        <v>0</v>
      </c>
      <c r="N98" s="311">
        <f t="shared" si="60"/>
        <v>0</v>
      </c>
      <c r="O98" s="311">
        <f t="shared" si="60"/>
        <v>0</v>
      </c>
      <c r="P98" s="311">
        <f>(P37/P$70)</f>
        <v>0</v>
      </c>
      <c r="Q98" s="311">
        <f t="shared" ref="Q98" si="67">(Q37/Q$70)</f>
        <v>0</v>
      </c>
      <c r="R98" s="311">
        <f t="shared" si="61"/>
        <v>0</v>
      </c>
      <c r="S98" s="311">
        <f t="shared" si="61"/>
        <v>0</v>
      </c>
      <c r="T98" s="311">
        <f t="shared" ref="T98" si="68">(T37/T$70)</f>
        <v>0</v>
      </c>
      <c r="U98" s="270">
        <f t="shared" si="63"/>
        <v>0</v>
      </c>
      <c r="V98" s="37"/>
      <c r="W98" s="37"/>
      <c r="X98" s="37"/>
      <c r="Y98" s="37"/>
      <c r="Z98" s="37"/>
      <c r="AA98" s="37"/>
      <c r="AB98" s="37"/>
    </row>
    <row r="99" spans="1:28" x14ac:dyDescent="0.2">
      <c r="A99" s="27" t="s">
        <v>94</v>
      </c>
      <c r="B99" s="57">
        <f t="shared" si="58"/>
        <v>3.1578419323283757E-2</v>
      </c>
      <c r="C99" s="57">
        <f t="shared" si="58"/>
        <v>2.3715805922028602E-2</v>
      </c>
      <c r="D99" s="57">
        <f t="shared" si="58"/>
        <v>3.6049736112353521E-2</v>
      </c>
      <c r="E99" s="57">
        <f t="shared" ref="E99:F101" si="69">(E38/E$70)</f>
        <v>4.311575395795484E-2</v>
      </c>
      <c r="F99" s="57">
        <f t="shared" si="69"/>
        <v>2.9989043668805761E-2</v>
      </c>
      <c r="G99" s="57">
        <f t="shared" si="66"/>
        <v>1.6104696929939648E-2</v>
      </c>
      <c r="H99" s="57">
        <f t="shared" si="66"/>
        <v>3.1667821489978702E-2</v>
      </c>
      <c r="I99" s="57">
        <f t="shared" si="66"/>
        <v>7.0455612963832787E-3</v>
      </c>
      <c r="J99" s="57">
        <f t="shared" si="66"/>
        <v>1.4895509115162294E-2</v>
      </c>
      <c r="K99" s="57">
        <f t="shared" si="66"/>
        <v>8.077181960960288E-3</v>
      </c>
      <c r="L99" s="311">
        <f t="shared" si="66"/>
        <v>0</v>
      </c>
      <c r="M99" s="311">
        <f t="shared" si="60"/>
        <v>0</v>
      </c>
      <c r="N99" s="311">
        <f t="shared" si="60"/>
        <v>0</v>
      </c>
      <c r="O99" s="311">
        <f t="shared" si="60"/>
        <v>0</v>
      </c>
      <c r="P99" s="311">
        <f>(P38/P$70)</f>
        <v>0</v>
      </c>
      <c r="Q99" s="311">
        <f t="shared" ref="Q99" si="70">(Q38/Q$70)</f>
        <v>0</v>
      </c>
      <c r="R99" s="311">
        <f t="shared" si="61"/>
        <v>0</v>
      </c>
      <c r="S99" s="311">
        <f t="shared" si="61"/>
        <v>0</v>
      </c>
      <c r="T99" s="311">
        <f t="shared" ref="T99" si="71">(T38/T$70)</f>
        <v>0</v>
      </c>
      <c r="U99" s="270">
        <f t="shared" si="63"/>
        <v>0</v>
      </c>
      <c r="V99" s="37"/>
      <c r="W99" s="37"/>
      <c r="X99" s="37"/>
      <c r="Y99" s="37"/>
      <c r="Z99" s="37"/>
      <c r="AA99" s="37"/>
      <c r="AB99" s="37"/>
    </row>
    <row r="100" spans="1:28" x14ac:dyDescent="0.2">
      <c r="A100" s="27" t="s">
        <v>95</v>
      </c>
      <c r="B100" s="57">
        <f t="shared" si="58"/>
        <v>-3.2707115804258946E-2</v>
      </c>
      <c r="C100" s="57">
        <f t="shared" si="58"/>
        <v>-2.2647704571078189E-2</v>
      </c>
      <c r="D100" s="57">
        <f t="shared" si="58"/>
        <v>-4.5323076005605749E-2</v>
      </c>
      <c r="E100" s="57">
        <f t="shared" si="69"/>
        <v>-4.3569945497015317E-2</v>
      </c>
      <c r="F100" s="57">
        <f t="shared" si="69"/>
        <v>-2.7985600250430429E-2</v>
      </c>
      <c r="G100" s="57">
        <f t="shared" si="66"/>
        <v>-1.4661506166360536E-2</v>
      </c>
      <c r="H100" s="57">
        <f t="shared" si="66"/>
        <v>-2.1787666487027488E-2</v>
      </c>
      <c r="I100" s="57">
        <f t="shared" si="66"/>
        <v>-5.8713010803193985E-3</v>
      </c>
      <c r="J100" s="57">
        <f t="shared" si="66"/>
        <v>-1.1560693641618497E-2</v>
      </c>
      <c r="K100" s="57">
        <f t="shared" si="66"/>
        <v>-4.7116894772268342E-3</v>
      </c>
      <c r="L100" s="311">
        <f t="shared" si="66"/>
        <v>0</v>
      </c>
      <c r="M100" s="311">
        <f t="shared" si="60"/>
        <v>0</v>
      </c>
      <c r="N100" s="311">
        <f t="shared" si="60"/>
        <v>0</v>
      </c>
      <c r="O100" s="311">
        <f t="shared" si="60"/>
        <v>0</v>
      </c>
      <c r="P100" s="311">
        <f>(P39/P$70)</f>
        <v>0</v>
      </c>
      <c r="Q100" s="311">
        <f t="shared" ref="Q100" si="72">(Q39/Q$70)</f>
        <v>0</v>
      </c>
      <c r="R100" s="311">
        <f t="shared" si="61"/>
        <v>0</v>
      </c>
      <c r="S100" s="311">
        <f t="shared" si="61"/>
        <v>0</v>
      </c>
      <c r="T100" s="311">
        <f t="shared" ref="T100" si="73">(T39/T$70)</f>
        <v>0</v>
      </c>
      <c r="U100" s="270">
        <f t="shared" si="63"/>
        <v>0</v>
      </c>
      <c r="V100" s="37"/>
      <c r="W100" s="37"/>
      <c r="X100" s="37"/>
      <c r="Y100" s="37"/>
      <c r="Z100" s="37"/>
      <c r="AA100" s="37"/>
      <c r="AB100" s="37"/>
    </row>
    <row r="101" spans="1:28" x14ac:dyDescent="0.2">
      <c r="A101" s="27" t="s">
        <v>96</v>
      </c>
      <c r="B101" s="57">
        <f t="shared" si="58"/>
        <v>2.5834608342321101E-3</v>
      </c>
      <c r="C101" s="57">
        <f t="shared" si="58"/>
        <v>2.9471685424372492E-3</v>
      </c>
      <c r="D101" s="57">
        <f t="shared" si="58"/>
        <v>6.1722873244476256E-2</v>
      </c>
      <c r="E101" s="57">
        <f t="shared" si="69"/>
        <v>3.2442252790033741E-3</v>
      </c>
      <c r="F101" s="57">
        <f t="shared" si="69"/>
        <v>-7.1372671779621226E-3</v>
      </c>
      <c r="G101" s="57">
        <f t="shared" si="66"/>
        <v>-2.1647861453686695E-3</v>
      </c>
      <c r="H101" s="57">
        <f t="shared" si="66"/>
        <v>-3.8237482998434574E-3</v>
      </c>
      <c r="I101" s="57">
        <f t="shared" si="66"/>
        <v>1.8788163457022077E-3</v>
      </c>
      <c r="J101" s="57">
        <f t="shared" si="66"/>
        <v>1.3339261894175188E-3</v>
      </c>
      <c r="K101" s="57">
        <f t="shared" si="66"/>
        <v>1.121830827911151E-3</v>
      </c>
      <c r="L101" s="311">
        <f t="shared" si="66"/>
        <v>-1.3537906137184115E-3</v>
      </c>
      <c r="M101" s="311">
        <f t="shared" si="60"/>
        <v>-5.0152638464893151E-3</v>
      </c>
      <c r="N101" s="311">
        <f t="shared" si="60"/>
        <v>8.1933633756657109E-4</v>
      </c>
      <c r="O101" s="311">
        <f t="shared" si="60"/>
        <v>3.1086069555080632E-3</v>
      </c>
      <c r="P101" s="311">
        <f>(P40/P$70)</f>
        <v>-2.4752475247524753E-3</v>
      </c>
      <c r="Q101" s="311">
        <f t="shared" ref="Q101" si="74">(Q40/Q$70)</f>
        <v>-3.8226299694189603E-4</v>
      </c>
      <c r="R101" s="311">
        <f t="shared" si="61"/>
        <v>6.5372043837723512E-3</v>
      </c>
      <c r="S101" s="311">
        <f t="shared" si="61"/>
        <v>7.637960664502578E-3</v>
      </c>
      <c r="T101" s="311">
        <f t="shared" ref="T101" si="75">(T40/T$70)</f>
        <v>-8.4459459459459464E-4</v>
      </c>
      <c r="U101" s="270">
        <f t="shared" si="63"/>
        <v>2.5524215695777197E-3</v>
      </c>
      <c r="V101" s="37"/>
      <c r="W101" s="37"/>
      <c r="X101" s="37"/>
      <c r="Y101" s="37"/>
      <c r="Z101" s="37"/>
      <c r="AA101" s="37"/>
      <c r="AB101" s="37"/>
    </row>
    <row r="102" spans="1:28" ht="7.5" customHeight="1" x14ac:dyDescent="0.2">
      <c r="A102" s="2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311"/>
      <c r="M102" s="311"/>
      <c r="N102" s="311"/>
      <c r="O102" s="311"/>
      <c r="P102" s="311"/>
      <c r="Q102" s="311"/>
      <c r="R102" s="311"/>
      <c r="S102" s="311"/>
      <c r="T102" s="311"/>
      <c r="U102" s="270"/>
      <c r="V102" s="37"/>
      <c r="W102" s="37"/>
      <c r="X102" s="37"/>
      <c r="Y102" s="37"/>
      <c r="Z102" s="37"/>
      <c r="AA102" s="37"/>
      <c r="AB102" s="37"/>
    </row>
    <row r="103" spans="1:28" x14ac:dyDescent="0.2">
      <c r="A103" s="211" t="s">
        <v>97</v>
      </c>
      <c r="B103" s="219">
        <f t="shared" ref="B103:L103" si="76">(B42/B$70)</f>
        <v>-8.8715543404650224E-2</v>
      </c>
      <c r="C103" s="219">
        <f t="shared" si="76"/>
        <v>4.584923947227882E-2</v>
      </c>
      <c r="D103" s="219">
        <f t="shared" si="76"/>
        <v>-0.16948445001043624</v>
      </c>
      <c r="E103" s="219">
        <f t="shared" si="76"/>
        <v>-0.17035426940046716</v>
      </c>
      <c r="F103" s="219">
        <f t="shared" si="76"/>
        <v>-0.22022225700422601</v>
      </c>
      <c r="G103" s="219">
        <f t="shared" si="76"/>
        <v>-0.27771582261873523</v>
      </c>
      <c r="H103" s="219">
        <f t="shared" si="76"/>
        <v>-0.26281212307850238</v>
      </c>
      <c r="I103" s="219">
        <f t="shared" si="76"/>
        <v>-0.35157350868952558</v>
      </c>
      <c r="J103" s="219">
        <f t="shared" si="76"/>
        <v>-0.46153846153846156</v>
      </c>
      <c r="K103" s="219">
        <f t="shared" si="76"/>
        <v>-0.51783711016378731</v>
      </c>
      <c r="L103" s="313">
        <f t="shared" si="76"/>
        <v>-0.36394404332129965</v>
      </c>
      <c r="M103" s="313">
        <f t="shared" ref="M103:S103" si="77">(M42/M$70)</f>
        <v>-0.33340601831661576</v>
      </c>
      <c r="N103" s="313">
        <f t="shared" si="77"/>
        <v>-0.27488734125358461</v>
      </c>
      <c r="O103" s="313">
        <f t="shared" si="77"/>
        <v>-0.20380804352049739</v>
      </c>
      <c r="P103" s="313">
        <f t="shared" si="77"/>
        <v>-0.20544554455445543</v>
      </c>
      <c r="Q103" s="313">
        <f t="shared" ref="Q103" si="78">(Q42/Q$70)</f>
        <v>-0.17545871559633028</v>
      </c>
      <c r="R103" s="313">
        <f t="shared" si="77"/>
        <v>-0.16708325322053452</v>
      </c>
      <c r="S103" s="313">
        <f t="shared" si="77"/>
        <v>-0.13920183311055948</v>
      </c>
      <c r="T103" s="313">
        <f t="shared" ref="T103" si="79">(T42/T$70)</f>
        <v>-0.20016891891891891</v>
      </c>
      <c r="U103" s="287">
        <f t="shared" si="63"/>
        <v>-0.19340247487964848</v>
      </c>
      <c r="V103" s="37"/>
      <c r="W103" s="37"/>
      <c r="X103" s="37"/>
      <c r="Y103" s="37"/>
      <c r="Z103" s="37"/>
      <c r="AA103" s="37"/>
      <c r="AB103" s="37"/>
    </row>
    <row r="104" spans="1:28" x14ac:dyDescent="0.2">
      <c r="A104" s="27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314"/>
      <c r="M104" s="314"/>
      <c r="N104" s="314"/>
      <c r="O104" s="314"/>
      <c r="P104" s="314"/>
      <c r="Q104" s="314"/>
      <c r="R104" s="314"/>
      <c r="S104" s="314"/>
      <c r="T104" s="314"/>
      <c r="U104" s="344"/>
      <c r="V104" s="37"/>
      <c r="W104" s="37"/>
      <c r="X104" s="37"/>
      <c r="Y104" s="37"/>
      <c r="Z104" s="37"/>
      <c r="AA104" s="37"/>
      <c r="AB104" s="37"/>
    </row>
    <row r="105" spans="1:28" x14ac:dyDescent="0.2">
      <c r="A105" s="25" t="s">
        <v>98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311"/>
      <c r="M105" s="311"/>
      <c r="N105" s="311"/>
      <c r="O105" s="311"/>
      <c r="P105" s="311"/>
      <c r="Q105" s="311"/>
      <c r="R105" s="311"/>
      <c r="S105" s="311"/>
      <c r="T105" s="311"/>
      <c r="U105" s="270"/>
      <c r="V105" s="37"/>
      <c r="W105" s="37"/>
      <c r="X105" s="37"/>
      <c r="Y105" s="37"/>
      <c r="Z105" s="37"/>
      <c r="AA105" s="37"/>
      <c r="AB105" s="37"/>
    </row>
    <row r="106" spans="1:28" x14ac:dyDescent="0.2">
      <c r="A106" s="27" t="s">
        <v>99</v>
      </c>
      <c r="B106" s="57">
        <f t="shared" ref="B106:L106" si="80">(B45/B$70)</f>
        <v>-2.2097368883092126E-2</v>
      </c>
      <c r="C106" s="57">
        <f t="shared" si="80"/>
        <v>2.6010245861107267E-2</v>
      </c>
      <c r="D106" s="57">
        <f t="shared" si="80"/>
        <v>-1.9083400423412947E-2</v>
      </c>
      <c r="E106" s="57">
        <f t="shared" si="80"/>
        <v>-4.9474435504801455E-2</v>
      </c>
      <c r="F106" s="57">
        <f t="shared" si="80"/>
        <v>3.1272499608702459E-2</v>
      </c>
      <c r="G106" s="57">
        <f t="shared" si="80"/>
        <v>0.11279847808974021</v>
      </c>
      <c r="H106" s="57">
        <f t="shared" si="80"/>
        <v>-7.2984833320501957E-2</v>
      </c>
      <c r="I106" s="57">
        <f t="shared" si="80"/>
        <v>-9.3236261155472053E-2</v>
      </c>
      <c r="J106" s="57">
        <f t="shared" si="80"/>
        <v>1.8897287683414851E-2</v>
      </c>
      <c r="K106" s="57">
        <f t="shared" si="80"/>
        <v>-1.9071124074489566E-2</v>
      </c>
      <c r="L106" s="311">
        <f t="shared" si="80"/>
        <v>8.1227436823104685E-3</v>
      </c>
      <c r="M106" s="311">
        <f t="shared" ref="M106:O107" si="81">(M45/M$70)</f>
        <v>0.14217182730047973</v>
      </c>
      <c r="N106" s="311">
        <f t="shared" si="81"/>
        <v>-0.14092585006145023</v>
      </c>
      <c r="O106" s="311">
        <f t="shared" si="81"/>
        <v>0</v>
      </c>
      <c r="P106" s="311">
        <f t="shared" ref="P106:S107" si="82">(P45/P$70)</f>
        <v>3.8080731150038081E-3</v>
      </c>
      <c r="Q106" s="311">
        <f t="shared" ref="Q106" si="83">(Q45/Q$70)</f>
        <v>0</v>
      </c>
      <c r="R106" s="311">
        <f t="shared" si="82"/>
        <v>4.8067679292443759E-2</v>
      </c>
      <c r="S106" s="311">
        <f t="shared" si="82"/>
        <v>-3.6280313156387245E-2</v>
      </c>
      <c r="T106" s="311">
        <f t="shared" ref="T106" si="84">(T45/T$70)</f>
        <v>3.7162162162162164E-2</v>
      </c>
      <c r="U106" s="270">
        <f t="shared" si="63"/>
        <v>-1.9643953345610803E-2</v>
      </c>
      <c r="V106" s="37"/>
      <c r="W106" s="37"/>
      <c r="X106" s="37"/>
      <c r="Y106" s="37"/>
      <c r="Z106" s="37"/>
      <c r="AA106" s="37"/>
      <c r="AB106" s="37"/>
    </row>
    <row r="107" spans="1:28" x14ac:dyDescent="0.2">
      <c r="A107" s="27" t="s">
        <v>100</v>
      </c>
      <c r="B107" s="57">
        <f>(B46/B$70)</f>
        <v>0.45448844967267799</v>
      </c>
      <c r="C107" s="57">
        <f>(C46/C$70)</f>
        <v>0.22034535277014064</v>
      </c>
      <c r="D107" s="57">
        <f>(D46/D$70)</f>
        <v>0.23588871992128099</v>
      </c>
      <c r="E107" s="59" t="s">
        <v>76</v>
      </c>
      <c r="F107" s="57">
        <f t="shared" ref="F107:L107" si="85">(F46/F$70)</f>
        <v>0</v>
      </c>
      <c r="G107" s="57">
        <f t="shared" si="85"/>
        <v>0.12962477040146941</v>
      </c>
      <c r="H107" s="57">
        <f t="shared" si="85"/>
        <v>7.5961711191521036E-2</v>
      </c>
      <c r="I107" s="57">
        <f t="shared" si="85"/>
        <v>0.28017848755284169</v>
      </c>
      <c r="J107" s="57">
        <f t="shared" si="85"/>
        <v>0.22521120497999111</v>
      </c>
      <c r="K107" s="57">
        <f t="shared" si="85"/>
        <v>0.22257123625757236</v>
      </c>
      <c r="L107" s="311">
        <f t="shared" si="85"/>
        <v>0</v>
      </c>
      <c r="M107" s="311">
        <f t="shared" si="81"/>
        <v>8.7003924989097259E-2</v>
      </c>
      <c r="N107" s="311">
        <f t="shared" si="81"/>
        <v>0.15342072920934044</v>
      </c>
      <c r="O107" s="311">
        <f t="shared" si="81"/>
        <v>5.7703516611618419E-2</v>
      </c>
      <c r="P107" s="311">
        <f t="shared" si="82"/>
        <v>8.0350342726580357E-2</v>
      </c>
      <c r="Q107" s="311">
        <f t="shared" ref="Q107" si="86">(Q46/Q$70)</f>
        <v>4.7400611620795105E-2</v>
      </c>
      <c r="R107" s="311">
        <f t="shared" si="82"/>
        <v>0</v>
      </c>
      <c r="S107" s="311">
        <f t="shared" si="82"/>
        <v>0</v>
      </c>
      <c r="T107" s="311">
        <f t="shared" ref="T107" si="87">(T46/T$70)</f>
        <v>0</v>
      </c>
      <c r="U107" s="270">
        <f t="shared" si="63"/>
        <v>5.5442473587283124E-2</v>
      </c>
      <c r="V107" s="37"/>
      <c r="W107" s="37"/>
      <c r="X107" s="37"/>
      <c r="Y107" s="37"/>
      <c r="Z107" s="37"/>
      <c r="AA107" s="37"/>
      <c r="AB107" s="37"/>
    </row>
    <row r="108" spans="1:28" x14ac:dyDescent="0.2">
      <c r="A108" s="27" t="s">
        <v>101</v>
      </c>
      <c r="B108" s="59" t="s">
        <v>76</v>
      </c>
      <c r="C108" s="59" t="s">
        <v>76</v>
      </c>
      <c r="D108" s="59" t="s">
        <v>76</v>
      </c>
      <c r="E108" s="57">
        <f>(E47/E$70)</f>
        <v>4.8663379185050606E-2</v>
      </c>
      <c r="F108" s="57">
        <f t="shared" ref="F108:L108" si="88">(F47/$H$70)</f>
        <v>0</v>
      </c>
      <c r="G108" s="57">
        <f t="shared" si="88"/>
        <v>0</v>
      </c>
      <c r="H108" s="57">
        <f t="shared" si="88"/>
        <v>0.12438730207611569</v>
      </c>
      <c r="I108" s="57">
        <f t="shared" si="88"/>
        <v>5.1325480534811507E-2</v>
      </c>
      <c r="J108" s="57">
        <f t="shared" si="88"/>
        <v>0.11548233120332589</v>
      </c>
      <c r="K108" s="57">
        <f t="shared" si="88"/>
        <v>3.2078425334257192E-2</v>
      </c>
      <c r="L108" s="311">
        <f t="shared" si="88"/>
        <v>2.5662740267405754E-2</v>
      </c>
      <c r="M108" s="311">
        <f t="shared" ref="M108:S108" si="89">(M47/$H$70)</f>
        <v>0</v>
      </c>
      <c r="N108" s="311">
        <f t="shared" si="89"/>
        <v>0</v>
      </c>
      <c r="O108" s="311">
        <f t="shared" si="89"/>
        <v>0</v>
      </c>
      <c r="P108" s="311">
        <f t="shared" si="89"/>
        <v>0</v>
      </c>
      <c r="Q108" s="311">
        <f t="shared" ref="Q108" si="90">(Q47/$H$70)</f>
        <v>0</v>
      </c>
      <c r="R108" s="311">
        <f t="shared" si="89"/>
        <v>0</v>
      </c>
      <c r="S108" s="311">
        <f t="shared" si="89"/>
        <v>0</v>
      </c>
      <c r="T108" s="311">
        <f t="shared" ref="T108" si="91">(T47/$H$70)</f>
        <v>0</v>
      </c>
      <c r="U108" s="270">
        <f t="shared" si="63"/>
        <v>0</v>
      </c>
      <c r="V108" s="37"/>
      <c r="W108" s="37"/>
      <c r="X108" s="37"/>
      <c r="Y108" s="37"/>
      <c r="Z108" s="37"/>
      <c r="AA108" s="37"/>
      <c r="AB108" s="37"/>
    </row>
    <row r="109" spans="1:28" x14ac:dyDescent="0.2">
      <c r="A109" s="27" t="s">
        <v>102</v>
      </c>
      <c r="B109" s="57">
        <f>(B48/B$70)</f>
        <v>-6.7596378138403274E-2</v>
      </c>
      <c r="C109" s="57">
        <f>(C48/C$70)</f>
        <v>-6.877385920841822E-2</v>
      </c>
      <c r="D109" s="57">
        <f>(D48/D$70)</f>
        <v>-9.2524674240391222E-2</v>
      </c>
      <c r="E109" s="57">
        <f>(E48/E$70)</f>
        <v>-2.3682844536724629E-3</v>
      </c>
      <c r="F109" s="57">
        <f t="shared" ref="F109:M109" si="92">(F48/F$70)</f>
        <v>-5.1682579433401155E-2</v>
      </c>
      <c r="G109" s="57">
        <f t="shared" si="92"/>
        <v>-6.4090789818945157E-2</v>
      </c>
      <c r="H109" s="57">
        <f t="shared" si="92"/>
        <v>-4.5448713013575594E-2</v>
      </c>
      <c r="I109" s="57">
        <f t="shared" si="92"/>
        <v>-4.6970408642555192E-4</v>
      </c>
      <c r="J109" s="57">
        <f t="shared" si="92"/>
        <v>-4.4464206313917296E-4</v>
      </c>
      <c r="K109" s="57">
        <f t="shared" si="92"/>
        <v>-4.4873233116446041E-4</v>
      </c>
      <c r="L109" s="311">
        <f t="shared" si="92"/>
        <v>-4.512635379061372E-4</v>
      </c>
      <c r="M109" s="311">
        <f t="shared" si="92"/>
        <v>-4.3610989969472308E-4</v>
      </c>
      <c r="N109" s="311">
        <f t="shared" ref="N109:S110" si="93">(N48/N$70)</f>
        <v>-4.0966816878328555E-4</v>
      </c>
      <c r="O109" s="311">
        <f t="shared" si="93"/>
        <v>-3.885758694385079E-4</v>
      </c>
      <c r="P109" s="311">
        <f t="shared" si="93"/>
        <v>0</v>
      </c>
      <c r="Q109" s="311">
        <f t="shared" ref="Q109" si="94">(Q48/Q$70)</f>
        <v>0</v>
      </c>
      <c r="R109" s="311">
        <f t="shared" si="93"/>
        <v>0</v>
      </c>
      <c r="S109" s="311">
        <f t="shared" si="93"/>
        <v>0</v>
      </c>
      <c r="T109" s="311">
        <f t="shared" ref="T109" si="95">(T48/T$70)</f>
        <v>0</v>
      </c>
      <c r="U109" s="270">
        <f t="shared" si="63"/>
        <v>-1.2923653516849214E-4</v>
      </c>
      <c r="V109" s="37"/>
      <c r="W109" s="37"/>
      <c r="X109" s="37"/>
      <c r="Y109" s="37"/>
      <c r="Z109" s="37"/>
      <c r="AA109" s="37"/>
      <c r="AB109" s="37"/>
    </row>
    <row r="110" spans="1:28" x14ac:dyDescent="0.2">
      <c r="A110" s="27" t="str">
        <f>A49</f>
        <v xml:space="preserve">     Common Stock Dividends paid</v>
      </c>
      <c r="B110" s="57"/>
      <c r="C110" s="57"/>
      <c r="D110" s="57"/>
      <c r="E110" s="57"/>
      <c r="F110" s="57"/>
      <c r="G110" s="57"/>
      <c r="H110" s="57"/>
      <c r="I110" s="57">
        <f>(I49/I$70)</f>
        <v>0</v>
      </c>
      <c r="J110" s="57">
        <f>(J49/J$70)</f>
        <v>0</v>
      </c>
      <c r="K110" s="57">
        <f>(K49/K$70)</f>
        <v>0</v>
      </c>
      <c r="L110" s="311">
        <f>(L49/L$70)</f>
        <v>0</v>
      </c>
      <c r="M110" s="311">
        <f>(M49/M$70)</f>
        <v>-0.11993022241604885</v>
      </c>
      <c r="N110" s="311">
        <f t="shared" si="93"/>
        <v>-4.0966816878328552E-2</v>
      </c>
      <c r="O110" s="311">
        <f t="shared" si="93"/>
        <v>-9.7143967359626965E-2</v>
      </c>
      <c r="P110" s="311">
        <f t="shared" si="93"/>
        <v>-0.13804265041888805</v>
      </c>
      <c r="Q110" s="311">
        <f t="shared" ref="Q110" si="96">(Q49/Q$70)</f>
        <v>-0.18157492354740062</v>
      </c>
      <c r="R110" s="311">
        <f t="shared" si="93"/>
        <v>-0.16823687752355315</v>
      </c>
      <c r="S110" s="311">
        <f t="shared" si="93"/>
        <v>-0.11456940996753867</v>
      </c>
      <c r="T110" s="311">
        <f t="shared" ref="T110" si="97">(T49/T$70)</f>
        <v>-0.21114864864864866</v>
      </c>
      <c r="U110" s="270">
        <f t="shared" si="63"/>
        <v>-0.12439016509967368</v>
      </c>
      <c r="V110" s="37"/>
      <c r="W110" s="37"/>
      <c r="X110" s="37"/>
      <c r="Y110" s="37"/>
      <c r="Z110" s="37"/>
      <c r="AA110" s="37"/>
      <c r="AB110" s="37"/>
    </row>
    <row r="111" spans="1:28" x14ac:dyDescent="0.2">
      <c r="A111" s="27" t="s">
        <v>103</v>
      </c>
      <c r="B111" s="57">
        <f t="shared" ref="B111:Q111" si="98">(B50/B$70)</f>
        <v>-0.52647420301487369</v>
      </c>
      <c r="C111" s="57">
        <f t="shared" si="98"/>
        <v>-0.35346242854599758</v>
      </c>
      <c r="D111" s="57">
        <f t="shared" si="98"/>
        <v>-1.7592509765333813E-2</v>
      </c>
      <c r="E111" s="57">
        <f t="shared" si="98"/>
        <v>-4.6911497534388787E-2</v>
      </c>
      <c r="F111" s="57">
        <f t="shared" si="98"/>
        <v>-6.076068242291438E-2</v>
      </c>
      <c r="G111" s="57">
        <f t="shared" si="98"/>
        <v>-8.5213854631330355E-2</v>
      </c>
      <c r="H111" s="57">
        <f t="shared" si="98"/>
        <v>-6.9212410501193311E-2</v>
      </c>
      <c r="I111" s="57">
        <f t="shared" si="98"/>
        <v>-2.9826209488022545E-2</v>
      </c>
      <c r="J111" s="57">
        <f t="shared" si="98"/>
        <v>-9.1818586038239211E-2</v>
      </c>
      <c r="K111" s="57">
        <f t="shared" si="98"/>
        <v>-3.2308727843841152E-2</v>
      </c>
      <c r="L111" s="311">
        <f t="shared" si="98"/>
        <v>-3.6101083032490976E-3</v>
      </c>
      <c r="M111" s="311">
        <f t="shared" ref="M111:O114" si="99">(M50/M$70)</f>
        <v>-0.12821631051024859</v>
      </c>
      <c r="N111" s="311">
        <f t="shared" si="99"/>
        <v>-2.0893076607947564E-2</v>
      </c>
      <c r="O111" s="311">
        <f t="shared" si="99"/>
        <v>-5.5177773460268115E-2</v>
      </c>
      <c r="P111" s="311">
        <f t="shared" si="98"/>
        <v>-4.5316070068545315E-2</v>
      </c>
      <c r="Q111" s="311">
        <f t="shared" si="98"/>
        <v>-2.3700305810397553E-2</v>
      </c>
      <c r="R111" s="311">
        <f t="shared" ref="R111:S114" si="100">(R50/R$70)</f>
        <v>-1.3074408767544702E-2</v>
      </c>
      <c r="S111" s="311">
        <f t="shared" si="100"/>
        <v>-1.1075042963528738E-2</v>
      </c>
      <c r="T111" s="311">
        <f t="shared" ref="T111" si="101">(T50/T$70)</f>
        <v>-7.3479729729729729E-2</v>
      </c>
      <c r="U111" s="270">
        <f t="shared" si="63"/>
        <v>-2.8238182934315532E-2</v>
      </c>
      <c r="V111" s="37"/>
      <c r="W111" s="37"/>
      <c r="X111" s="37"/>
      <c r="Y111" s="37"/>
      <c r="Z111" s="37"/>
      <c r="AA111" s="37"/>
      <c r="AB111" s="37"/>
    </row>
    <row r="112" spans="1:28" hidden="1" x14ac:dyDescent="0.2">
      <c r="A112" s="27" t="s">
        <v>104</v>
      </c>
      <c r="B112" s="59" t="s">
        <v>76</v>
      </c>
      <c r="C112" s="59" t="s">
        <v>76</v>
      </c>
      <c r="D112" s="59" t="s">
        <v>76</v>
      </c>
      <c r="E112" s="59" t="s">
        <v>76</v>
      </c>
      <c r="F112" s="57">
        <f t="shared" ref="F112:L114" si="102">(F51/F$70)</f>
        <v>-0.11018938801064329</v>
      </c>
      <c r="G112" s="57">
        <f t="shared" si="102"/>
        <v>0</v>
      </c>
      <c r="H112" s="57">
        <f t="shared" si="102"/>
        <v>0</v>
      </c>
      <c r="I112" s="57">
        <f t="shared" si="102"/>
        <v>0</v>
      </c>
      <c r="J112" s="57">
        <f t="shared" si="102"/>
        <v>0</v>
      </c>
      <c r="K112" s="57">
        <f t="shared" si="102"/>
        <v>0</v>
      </c>
      <c r="L112" s="311">
        <f t="shared" si="102"/>
        <v>0</v>
      </c>
      <c r="M112" s="311">
        <f t="shared" si="99"/>
        <v>0</v>
      </c>
      <c r="N112" s="311">
        <f t="shared" si="99"/>
        <v>0</v>
      </c>
      <c r="O112" s="311">
        <f t="shared" si="99"/>
        <v>0</v>
      </c>
      <c r="P112" s="311">
        <f>(P51/P$70)</f>
        <v>0</v>
      </c>
      <c r="Q112" s="311">
        <f t="shared" ref="Q112" si="103">(Q51/Q$70)</f>
        <v>0</v>
      </c>
      <c r="R112" s="311">
        <f t="shared" si="100"/>
        <v>0</v>
      </c>
      <c r="S112" s="311">
        <f t="shared" si="100"/>
        <v>0</v>
      </c>
      <c r="T112" s="311">
        <f t="shared" ref="T112" si="104">(T51/T$70)</f>
        <v>0</v>
      </c>
      <c r="U112" s="270">
        <f t="shared" si="63"/>
        <v>0</v>
      </c>
      <c r="V112" s="37"/>
      <c r="W112" s="37"/>
      <c r="X112" s="37"/>
      <c r="Y112" s="37"/>
      <c r="Z112" s="37"/>
      <c r="AA112" s="37"/>
      <c r="AB112" s="37"/>
    </row>
    <row r="113" spans="1:28" x14ac:dyDescent="0.2">
      <c r="A113" s="27" t="s">
        <v>105</v>
      </c>
      <c r="B113" s="57">
        <f>(B52/B$70)</f>
        <v>-6.5464395896561237E-3</v>
      </c>
      <c r="C113" s="59" t="s">
        <v>76</v>
      </c>
      <c r="D113" s="59" t="s">
        <v>76</v>
      </c>
      <c r="E113" s="57">
        <f>(E52/E$70)</f>
        <v>-2.4331689592525306E-3</v>
      </c>
      <c r="F113" s="57">
        <f t="shared" si="102"/>
        <v>-2.3477852559085927E-3</v>
      </c>
      <c r="G113" s="57">
        <f t="shared" si="102"/>
        <v>-2.459984256100761E-3</v>
      </c>
      <c r="H113" s="57">
        <f t="shared" si="102"/>
        <v>-1.9247055200554315E-3</v>
      </c>
      <c r="I113" s="57">
        <f t="shared" si="102"/>
        <v>-8.9243776420854862E-3</v>
      </c>
      <c r="J113" s="57">
        <f t="shared" si="102"/>
        <v>0</v>
      </c>
      <c r="K113" s="57">
        <f t="shared" si="102"/>
        <v>0</v>
      </c>
      <c r="L113" s="311">
        <f t="shared" si="102"/>
        <v>0</v>
      </c>
      <c r="M113" s="311">
        <f t="shared" si="99"/>
        <v>0</v>
      </c>
      <c r="N113" s="311">
        <f t="shared" si="99"/>
        <v>0</v>
      </c>
      <c r="O113" s="311">
        <f t="shared" si="99"/>
        <v>-7.771517388770157E-3</v>
      </c>
      <c r="P113" s="311">
        <f>(P52/P$70)</f>
        <v>0</v>
      </c>
      <c r="Q113" s="311">
        <f t="shared" ref="Q113" si="105">(Q52/Q$70)</f>
        <v>0</v>
      </c>
      <c r="R113" s="311">
        <f t="shared" si="100"/>
        <v>0</v>
      </c>
      <c r="S113" s="311">
        <f t="shared" si="100"/>
        <v>0</v>
      </c>
      <c r="T113" s="311">
        <f t="shared" ref="T113" si="106">(T52/T$70)</f>
        <v>0</v>
      </c>
      <c r="U113" s="270">
        <f t="shared" si="63"/>
        <v>-1.2923653516849214E-3</v>
      </c>
      <c r="V113" s="37"/>
      <c r="W113" s="37"/>
      <c r="X113" s="37"/>
      <c r="Y113" s="37"/>
      <c r="Z113" s="37"/>
      <c r="AA113" s="37"/>
      <c r="AB113" s="37"/>
    </row>
    <row r="114" spans="1:28" x14ac:dyDescent="0.2">
      <c r="A114" s="27" t="s">
        <v>96</v>
      </c>
      <c r="B114" s="57">
        <f>(B53/B$70)</f>
        <v>1.755750081516968E-3</v>
      </c>
      <c r="C114" s="57">
        <f>(C53/C$70)</f>
        <v>-4.153727475918271E-4</v>
      </c>
      <c r="D114" s="57">
        <f>(D53/D$70)</f>
        <v>-4.0254047768136687E-3</v>
      </c>
      <c r="E114" s="59" t="s">
        <v>76</v>
      </c>
      <c r="F114" s="57">
        <f t="shared" si="102"/>
        <v>-9.3911410236343718E-5</v>
      </c>
      <c r="G114" s="57">
        <f t="shared" si="102"/>
        <v>0</v>
      </c>
      <c r="H114" s="57">
        <f t="shared" si="102"/>
        <v>2.0016937408576488E-3</v>
      </c>
      <c r="I114" s="57">
        <f t="shared" si="102"/>
        <v>3.0530765617660873E-3</v>
      </c>
      <c r="J114" s="57">
        <f t="shared" si="102"/>
        <v>-4.8465984882169855E-2</v>
      </c>
      <c r="K114" s="57">
        <f t="shared" si="102"/>
        <v>-4.4873233116446039E-3</v>
      </c>
      <c r="L114" s="311">
        <f t="shared" si="102"/>
        <v>-2.256317689530686E-4</v>
      </c>
      <c r="M114" s="311">
        <f t="shared" si="99"/>
        <v>-4.3610989969472308E-4</v>
      </c>
      <c r="N114" s="311">
        <f t="shared" si="99"/>
        <v>-1.8435067595247848E-3</v>
      </c>
      <c r="O114" s="311">
        <f t="shared" si="99"/>
        <v>-3.885758694385079E-4</v>
      </c>
      <c r="P114" s="311">
        <f>(P53/P$70)</f>
        <v>0</v>
      </c>
      <c r="Q114" s="311">
        <f t="shared" ref="Q114" si="107">(Q53/Q$70)</f>
        <v>-1.9113149847094801E-4</v>
      </c>
      <c r="R114" s="311">
        <f t="shared" si="100"/>
        <v>-1.9227071716977504E-4</v>
      </c>
      <c r="S114" s="311">
        <f t="shared" si="100"/>
        <v>-1.9094901661256445E-4</v>
      </c>
      <c r="T114" s="311">
        <f t="shared" ref="T114" si="108">(T53/T$70)</f>
        <v>0</v>
      </c>
      <c r="U114" s="270">
        <f t="shared" si="63"/>
        <v>-4.5232787308972246E-4</v>
      </c>
      <c r="V114" s="37"/>
      <c r="W114" s="37"/>
      <c r="X114" s="37"/>
      <c r="Y114" s="37"/>
      <c r="Z114" s="37"/>
      <c r="AA114" s="37"/>
      <c r="AB114" s="37"/>
    </row>
    <row r="115" spans="1:28" ht="7.5" customHeight="1" x14ac:dyDescent="0.2">
      <c r="A115" s="2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311"/>
      <c r="M115" s="311"/>
      <c r="N115" s="311"/>
      <c r="O115" s="311"/>
      <c r="P115" s="311"/>
      <c r="Q115" s="311"/>
      <c r="R115" s="311"/>
      <c r="S115" s="311"/>
      <c r="T115" s="311"/>
      <c r="U115" s="270"/>
      <c r="V115" s="37"/>
      <c r="W115" s="37"/>
      <c r="X115" s="37"/>
      <c r="Y115" s="37"/>
      <c r="Z115" s="37"/>
      <c r="AA115" s="37"/>
      <c r="AB115" s="37"/>
    </row>
    <row r="116" spans="1:28" x14ac:dyDescent="0.2">
      <c r="A116" s="211" t="s">
        <v>106</v>
      </c>
      <c r="B116" s="219">
        <f t="shared" ref="B116:L116" si="109">(B55/B$70)</f>
        <v>-0.16647018987183027</v>
      </c>
      <c r="C116" s="219">
        <f t="shared" si="109"/>
        <v>-0.17629606187075975</v>
      </c>
      <c r="D116" s="219">
        <f t="shared" si="109"/>
        <v>7.2844917553746613E-2</v>
      </c>
      <c r="E116" s="219">
        <f t="shared" si="109"/>
        <v>-5.2524007267064625E-2</v>
      </c>
      <c r="F116" s="219">
        <f t="shared" si="109"/>
        <v>-6.9619658788542815E-2</v>
      </c>
      <c r="G116" s="219">
        <f t="shared" si="109"/>
        <v>9.0658619784833361E-2</v>
      </c>
      <c r="H116" s="219">
        <f t="shared" si="109"/>
        <v>1.2780044653168079E-2</v>
      </c>
      <c r="I116" s="219">
        <f t="shared" si="109"/>
        <v>0.19774542038515736</v>
      </c>
      <c r="J116" s="219">
        <f t="shared" si="109"/>
        <v>0.20342374388617163</v>
      </c>
      <c r="K116" s="219">
        <f t="shared" si="109"/>
        <v>0.19430109939421136</v>
      </c>
      <c r="L116" s="313">
        <f t="shared" si="109"/>
        <v>2.6398916967509026E-2</v>
      </c>
      <c r="M116" s="313">
        <f t="shared" ref="M116:O119" si="110">(M55/M$70)</f>
        <v>-1.9843000436109901E-2</v>
      </c>
      <c r="N116" s="313">
        <f t="shared" si="110"/>
        <v>-5.1618189266693981E-2</v>
      </c>
      <c r="O116" s="313">
        <f t="shared" si="110"/>
        <v>-0.10316689333592384</v>
      </c>
      <c r="P116" s="313">
        <f t="shared" ref="P116:R119" si="111">(P55/P$70)</f>
        <v>-9.9200304645849197E-2</v>
      </c>
      <c r="Q116" s="313">
        <f t="shared" ref="Q116" si="112">(Q55/Q$70)</f>
        <v>-0.15806574923547401</v>
      </c>
      <c r="R116" s="313">
        <f t="shared" si="111"/>
        <v>-0.13343587771582388</v>
      </c>
      <c r="S116" s="313">
        <f t="shared" ref="S116:T119" si="113">(S55/S$70)</f>
        <v>-0.16211571510406722</v>
      </c>
      <c r="T116" s="313">
        <f t="shared" si="113"/>
        <v>-0.24746621621621623</v>
      </c>
      <c r="U116" s="315">
        <f t="shared" si="63"/>
        <v>-0.11870375755226002</v>
      </c>
      <c r="V116" s="37"/>
      <c r="W116" s="37"/>
      <c r="X116" s="37"/>
      <c r="Y116" s="37"/>
      <c r="Z116" s="37"/>
      <c r="AA116" s="37"/>
      <c r="AB116" s="37"/>
    </row>
    <row r="117" spans="1:28" x14ac:dyDescent="0.2">
      <c r="A117" s="211" t="s">
        <v>107</v>
      </c>
      <c r="B117" s="219">
        <f t="shared" ref="B117:L117" si="114">(B56/B$70)</f>
        <v>-6.5715217336777945E-2</v>
      </c>
      <c r="C117" s="219">
        <f t="shared" si="114"/>
        <v>-2.9273888877900554E-3</v>
      </c>
      <c r="D117" s="219">
        <f t="shared" si="114"/>
        <v>5.5162954348928223E-3</v>
      </c>
      <c r="E117" s="219">
        <f t="shared" si="114"/>
        <v>-1.7518816506618606E-3</v>
      </c>
      <c r="F117" s="219">
        <f t="shared" si="114"/>
        <v>-2.9425575207387786E-2</v>
      </c>
      <c r="G117" s="219">
        <f t="shared" si="114"/>
        <v>4.6182104434531621E-2</v>
      </c>
      <c r="H117" s="219">
        <f t="shared" si="114"/>
        <v>-2.0453203993122386E-2</v>
      </c>
      <c r="I117" s="219">
        <f t="shared" si="114"/>
        <v>3.9689995302959136E-2</v>
      </c>
      <c r="J117" s="219">
        <f t="shared" si="114"/>
        <v>-3.7572254335260118E-2</v>
      </c>
      <c r="K117" s="219">
        <f t="shared" si="114"/>
        <v>1.3013237603769351E-2</v>
      </c>
      <c r="L117" s="313">
        <f t="shared" si="114"/>
        <v>-1.9404332129963901E-2</v>
      </c>
      <c r="M117" s="313">
        <f t="shared" si="110"/>
        <v>3.4888791975577847E-3</v>
      </c>
      <c r="N117" s="313">
        <f t="shared" si="110"/>
        <v>6.759524784924211E-3</v>
      </c>
      <c r="O117" s="313">
        <f t="shared" si="110"/>
        <v>-5.2457742374198563E-3</v>
      </c>
      <c r="P117" s="313">
        <f t="shared" si="111"/>
        <v>-5.7121096725057125E-3</v>
      </c>
      <c r="Q117" s="313">
        <f t="shared" ref="Q117" si="115">(Q56/Q$70)</f>
        <v>-2.102446483180428E-3</v>
      </c>
      <c r="R117" s="313">
        <f t="shared" si="111"/>
        <v>9.6135358584887524E-4</v>
      </c>
      <c r="S117" s="313">
        <f t="shared" si="113"/>
        <v>-5.7284704983769335E-4</v>
      </c>
      <c r="T117" s="313">
        <f t="shared" si="113"/>
        <v>2.5337837837837839E-3</v>
      </c>
      <c r="U117" s="315">
        <f t="shared" si="63"/>
        <v>-1.06620141514006E-3</v>
      </c>
      <c r="V117" s="37"/>
      <c r="W117" s="37"/>
      <c r="X117" s="37"/>
      <c r="Y117" s="37"/>
      <c r="Z117" s="37"/>
      <c r="AA117" s="37"/>
      <c r="AB117" s="37"/>
    </row>
    <row r="118" spans="1:28" x14ac:dyDescent="0.2">
      <c r="A118" s="30" t="s">
        <v>108</v>
      </c>
      <c r="B118" s="70">
        <f t="shared" ref="B118:L118" si="116">(B57/B$70)</f>
        <v>0.10439188341819458</v>
      </c>
      <c r="C118" s="70">
        <f t="shared" si="116"/>
        <v>3.0500227466028443E-2</v>
      </c>
      <c r="D118" s="70">
        <f t="shared" si="116"/>
        <v>4.1566031547246328E-2</v>
      </c>
      <c r="E118" s="70">
        <f t="shared" si="116"/>
        <v>5.1226317155463275E-2</v>
      </c>
      <c r="F118" s="70">
        <f t="shared" si="116"/>
        <v>4.7738300203474721E-2</v>
      </c>
      <c r="G118" s="70">
        <f t="shared" si="116"/>
        <v>1.9187877197585804E-2</v>
      </c>
      <c r="H118" s="70">
        <f t="shared" si="116"/>
        <v>5.1145841352939675E-2</v>
      </c>
      <c r="I118" s="70">
        <f t="shared" si="116"/>
        <v>1.3856270549553781E-2</v>
      </c>
      <c r="J118" s="70">
        <f t="shared" si="116"/>
        <v>5.0689195197865716E-2</v>
      </c>
      <c r="K118" s="70">
        <f t="shared" si="116"/>
        <v>1.3237603769351581E-2</v>
      </c>
      <c r="L118" s="314">
        <f t="shared" si="116"/>
        <v>2.6398916967509026E-2</v>
      </c>
      <c r="M118" s="314">
        <f t="shared" si="110"/>
        <v>6.7597034452682074E-3</v>
      </c>
      <c r="N118" s="314">
        <f t="shared" si="110"/>
        <v>9.6272019664072096E-3</v>
      </c>
      <c r="O118" s="314">
        <f t="shared" si="110"/>
        <v>1.5543034777540314E-2</v>
      </c>
      <c r="P118" s="314">
        <f t="shared" si="111"/>
        <v>1.0091393754760092E-2</v>
      </c>
      <c r="Q118" s="314">
        <f t="shared" ref="Q118" si="117">(Q57/Q$70)</f>
        <v>4.3960244648318042E-3</v>
      </c>
      <c r="R118" s="314">
        <f t="shared" si="111"/>
        <v>2.3072486060373007E-3</v>
      </c>
      <c r="S118" s="314">
        <f t="shared" si="113"/>
        <v>3.2461332824135956E-3</v>
      </c>
      <c r="T118" s="314">
        <f t="shared" si="113"/>
        <v>1.1824324324324325E-2</v>
      </c>
      <c r="U118" s="316">
        <f t="shared" si="63"/>
        <v>7.4957190397725434E-3</v>
      </c>
      <c r="V118" s="37"/>
      <c r="W118" s="37"/>
      <c r="X118" s="37"/>
      <c r="Y118" s="37"/>
      <c r="Z118" s="37"/>
      <c r="AA118" s="37"/>
      <c r="AB118" s="37"/>
    </row>
    <row r="119" spans="1:28" x14ac:dyDescent="0.2">
      <c r="A119" s="30" t="s">
        <v>109</v>
      </c>
      <c r="B119" s="70">
        <f t="shared" ref="B119:L119" si="118">(B58/B$70)</f>
        <v>3.8676666081416636E-2</v>
      </c>
      <c r="C119" s="70">
        <f t="shared" si="118"/>
        <v>2.7572838578238425E-2</v>
      </c>
      <c r="D119" s="70">
        <f t="shared" si="118"/>
        <v>4.7082326982139135E-2</v>
      </c>
      <c r="E119" s="70">
        <f t="shared" si="118"/>
        <v>4.9474435504801455E-2</v>
      </c>
      <c r="F119" s="70">
        <f t="shared" si="118"/>
        <v>1.8312724996086899E-2</v>
      </c>
      <c r="G119" s="70">
        <f t="shared" si="118"/>
        <v>6.536998163211756E-2</v>
      </c>
      <c r="H119" s="70">
        <f t="shared" si="118"/>
        <v>3.0692637359817285E-2</v>
      </c>
      <c r="I119" s="70">
        <f t="shared" si="118"/>
        <v>5.3546265852512917E-2</v>
      </c>
      <c r="J119" s="70">
        <f t="shared" si="118"/>
        <v>1.3116940862605602E-2</v>
      </c>
      <c r="K119" s="70">
        <f t="shared" si="118"/>
        <v>2.6250841373120934E-2</v>
      </c>
      <c r="L119" s="314">
        <f t="shared" si="118"/>
        <v>6.994584837545126E-3</v>
      </c>
      <c r="M119" s="314">
        <f t="shared" si="110"/>
        <v>1.0248582642825993E-2</v>
      </c>
      <c r="N119" s="314">
        <f t="shared" si="110"/>
        <v>1.6386726751331421E-2</v>
      </c>
      <c r="O119" s="314">
        <f t="shared" si="110"/>
        <v>1.0297260540120458E-2</v>
      </c>
      <c r="P119" s="314">
        <f t="shared" si="111"/>
        <v>4.3792840822543793E-3</v>
      </c>
      <c r="Q119" s="314">
        <f t="shared" ref="Q119" si="119">(Q58/Q$70)</f>
        <v>2.2935779816513763E-3</v>
      </c>
      <c r="R119" s="314">
        <f t="shared" si="111"/>
        <v>3.2686021918861756E-3</v>
      </c>
      <c r="S119" s="314">
        <f t="shared" si="113"/>
        <v>2.6732862325759021E-3</v>
      </c>
      <c r="T119" s="314">
        <f t="shared" si="113"/>
        <v>1.4358108108108109E-2</v>
      </c>
      <c r="U119" s="316">
        <f t="shared" si="63"/>
        <v>6.4295176246324838E-3</v>
      </c>
      <c r="V119" s="37"/>
      <c r="W119" s="37"/>
      <c r="X119" s="37"/>
      <c r="Y119" s="37"/>
      <c r="Z119" s="37"/>
      <c r="AA119" s="37"/>
      <c r="AB119" s="37"/>
    </row>
    <row r="120" spans="1:28" x14ac:dyDescent="0.2"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302"/>
      <c r="M120" s="302"/>
      <c r="N120" s="302"/>
      <c r="O120" s="302"/>
      <c r="P120" s="302"/>
      <c r="Q120" s="302"/>
      <c r="R120" s="302"/>
      <c r="S120" s="302"/>
      <c r="T120" s="302"/>
      <c r="U120" s="288"/>
      <c r="V120" s="37"/>
      <c r="W120" s="37"/>
      <c r="X120" s="37"/>
      <c r="Y120" s="37"/>
      <c r="Z120" s="37"/>
      <c r="AA120" s="37"/>
      <c r="AB120" s="37"/>
    </row>
    <row r="121" spans="1:28" x14ac:dyDescent="0.2"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301"/>
      <c r="M121" s="301"/>
      <c r="N121" s="301"/>
      <c r="O121" s="301"/>
      <c r="P121" s="301"/>
      <c r="Q121" s="301"/>
      <c r="R121" s="301"/>
      <c r="S121" s="301"/>
      <c r="T121" s="301"/>
      <c r="U121" s="37"/>
      <c r="V121" s="37"/>
      <c r="W121" s="37"/>
      <c r="X121" s="37"/>
      <c r="Y121" s="37"/>
      <c r="Z121" s="37"/>
      <c r="AA121" s="37"/>
      <c r="AB121" s="37"/>
    </row>
    <row r="122" spans="1:28" x14ac:dyDescent="0.2"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301"/>
      <c r="M122" s="301"/>
      <c r="N122" s="301"/>
      <c r="O122" s="301"/>
      <c r="P122" s="301"/>
      <c r="Q122" s="301"/>
      <c r="R122" s="301"/>
      <c r="S122" s="301"/>
      <c r="T122" s="301"/>
      <c r="U122" s="37"/>
      <c r="V122" s="37"/>
      <c r="W122" s="37"/>
      <c r="X122" s="37"/>
      <c r="Y122" s="37"/>
      <c r="Z122" s="37"/>
      <c r="AA122" s="37"/>
      <c r="AB122" s="37"/>
    </row>
    <row r="123" spans="1:28" x14ac:dyDescent="0.2">
      <c r="B123" s="37"/>
      <c r="C123" s="37"/>
      <c r="D123" s="37"/>
      <c r="E123" s="37"/>
      <c r="F123" s="38"/>
      <c r="G123" s="37"/>
      <c r="H123" s="37"/>
      <c r="I123" s="37"/>
      <c r="J123" s="37"/>
      <c r="K123" s="37"/>
      <c r="L123" s="300"/>
      <c r="M123" s="300"/>
      <c r="N123" s="300"/>
      <c r="O123" s="300"/>
      <c r="P123" s="300"/>
      <c r="Q123" s="300"/>
      <c r="R123" s="300"/>
      <c r="S123" s="300"/>
      <c r="T123" s="300"/>
      <c r="U123" s="37"/>
      <c r="V123" s="37"/>
      <c r="W123" s="37"/>
      <c r="X123" s="37"/>
      <c r="Y123" s="37"/>
      <c r="Z123" s="37"/>
      <c r="AA123" s="37"/>
      <c r="AB123" s="37"/>
    </row>
    <row r="124" spans="1:28" x14ac:dyDescent="0.2">
      <c r="B124" s="37"/>
      <c r="C124" s="37"/>
      <c r="D124" s="37"/>
      <c r="E124" s="37"/>
      <c r="F124" s="38"/>
      <c r="G124" s="37"/>
      <c r="H124" s="37"/>
      <c r="I124" s="37"/>
      <c r="J124" s="37"/>
      <c r="K124" s="37"/>
      <c r="L124" s="300"/>
      <c r="M124" s="300"/>
      <c r="N124" s="300"/>
      <c r="O124" s="300"/>
      <c r="P124" s="300"/>
      <c r="Q124" s="300"/>
      <c r="R124" s="300"/>
      <c r="S124" s="300"/>
      <c r="T124" s="300"/>
      <c r="U124" s="37"/>
      <c r="V124" s="37"/>
      <c r="W124" s="37"/>
      <c r="X124" s="37"/>
      <c r="Y124" s="37"/>
      <c r="Z124" s="37"/>
      <c r="AA124" s="37"/>
      <c r="AB124" s="37"/>
    </row>
    <row r="125" spans="1:28" x14ac:dyDescent="0.2">
      <c r="B125" s="37"/>
      <c r="C125" s="37"/>
      <c r="D125" s="37"/>
      <c r="E125" s="37"/>
      <c r="F125" s="38"/>
      <c r="G125" s="37"/>
      <c r="H125" s="37"/>
      <c r="I125" s="37"/>
      <c r="J125" s="37"/>
      <c r="K125" s="37"/>
      <c r="L125" s="300"/>
      <c r="M125" s="300"/>
      <c r="N125" s="300"/>
      <c r="O125" s="300"/>
      <c r="P125" s="300"/>
      <c r="Q125" s="300"/>
      <c r="R125" s="300"/>
      <c r="S125" s="300"/>
      <c r="T125" s="300"/>
      <c r="U125" s="37"/>
      <c r="V125" s="37"/>
      <c r="W125" s="37"/>
      <c r="X125" s="37"/>
      <c r="Y125" s="37"/>
      <c r="Z125" s="37"/>
      <c r="AA125" s="37"/>
      <c r="AB125" s="37"/>
    </row>
    <row r="126" spans="1:28" x14ac:dyDescent="0.2">
      <c r="B126" s="37"/>
      <c r="C126" s="37"/>
      <c r="D126" s="37"/>
      <c r="E126" s="37"/>
      <c r="F126" s="38"/>
      <c r="G126" s="37"/>
      <c r="H126" s="37"/>
      <c r="I126" s="37"/>
      <c r="J126" s="37"/>
      <c r="K126" s="37"/>
      <c r="L126" s="300"/>
      <c r="M126" s="300"/>
      <c r="N126" s="300"/>
      <c r="O126" s="300"/>
      <c r="P126" s="300"/>
      <c r="Q126" s="300"/>
      <c r="R126" s="300"/>
      <c r="S126" s="300"/>
      <c r="T126" s="300"/>
      <c r="U126" s="37"/>
      <c r="V126" s="37"/>
      <c r="W126" s="37"/>
      <c r="X126" s="37"/>
      <c r="Y126" s="37"/>
      <c r="Z126" s="37"/>
      <c r="AA126" s="37"/>
      <c r="AB126" s="37"/>
    </row>
    <row r="127" spans="1:28" x14ac:dyDescent="0.2">
      <c r="B127" s="37"/>
      <c r="C127" s="37"/>
      <c r="D127" s="37"/>
      <c r="E127" s="37"/>
      <c r="F127" s="38"/>
      <c r="G127" s="37"/>
      <c r="H127" s="37"/>
      <c r="I127" s="37"/>
      <c r="J127" s="37"/>
      <c r="K127" s="37"/>
      <c r="L127" s="300"/>
      <c r="M127" s="300"/>
      <c r="N127" s="300"/>
      <c r="O127" s="300"/>
      <c r="P127" s="300"/>
      <c r="Q127" s="300"/>
      <c r="R127" s="300"/>
      <c r="S127" s="300"/>
      <c r="T127" s="300"/>
      <c r="U127" s="37"/>
      <c r="V127" s="37"/>
      <c r="W127" s="37"/>
      <c r="X127" s="37"/>
      <c r="Y127" s="37"/>
      <c r="Z127" s="37"/>
      <c r="AA127" s="37"/>
      <c r="AB127" s="37"/>
    </row>
    <row r="128" spans="1:28" x14ac:dyDescent="0.2">
      <c r="B128" s="37"/>
      <c r="C128" s="37"/>
      <c r="D128" s="37"/>
      <c r="E128" s="37"/>
      <c r="F128" s="38"/>
      <c r="G128" s="37"/>
      <c r="H128" s="37"/>
      <c r="I128" s="37"/>
      <c r="J128" s="37"/>
      <c r="K128" s="37"/>
      <c r="L128" s="300"/>
      <c r="M128" s="300"/>
      <c r="N128" s="300"/>
      <c r="O128" s="300"/>
      <c r="P128" s="300"/>
      <c r="Q128" s="300"/>
      <c r="R128" s="300"/>
      <c r="S128" s="300"/>
      <c r="T128" s="300"/>
      <c r="U128" s="37"/>
      <c r="V128" s="37"/>
      <c r="W128" s="37"/>
      <c r="X128" s="37"/>
      <c r="Y128" s="37"/>
      <c r="Z128" s="37"/>
      <c r="AA128" s="37"/>
      <c r="AB128" s="37"/>
    </row>
    <row r="129" spans="2:28" x14ac:dyDescent="0.2">
      <c r="B129" s="37"/>
      <c r="C129" s="37"/>
      <c r="D129" s="37"/>
      <c r="E129" s="37"/>
      <c r="F129" s="38"/>
      <c r="G129" s="37"/>
      <c r="H129" s="37"/>
      <c r="I129" s="37"/>
      <c r="J129" s="37"/>
      <c r="K129" s="37"/>
      <c r="L129" s="300"/>
      <c r="M129" s="300"/>
      <c r="N129" s="300"/>
      <c r="O129" s="300"/>
      <c r="P129" s="300"/>
      <c r="Q129" s="300"/>
      <c r="R129" s="300"/>
      <c r="S129" s="300"/>
      <c r="T129" s="300"/>
      <c r="U129" s="37"/>
      <c r="V129" s="37"/>
      <c r="W129" s="37"/>
      <c r="X129" s="37"/>
      <c r="Y129" s="37"/>
      <c r="Z129" s="37"/>
      <c r="AA129" s="37"/>
      <c r="AB129" s="37"/>
    </row>
    <row r="130" spans="2:28" x14ac:dyDescent="0.2">
      <c r="B130" s="37"/>
      <c r="C130" s="37"/>
      <c r="D130" s="37"/>
      <c r="E130" s="37"/>
      <c r="F130" s="38"/>
      <c r="G130" s="37"/>
      <c r="H130" s="37"/>
      <c r="I130" s="37"/>
      <c r="J130" s="37"/>
      <c r="K130" s="37"/>
      <c r="L130" s="300"/>
      <c r="M130" s="300"/>
      <c r="N130" s="300"/>
      <c r="O130" s="300"/>
      <c r="P130" s="300"/>
      <c r="Q130" s="300"/>
      <c r="R130" s="300"/>
      <c r="S130" s="300"/>
      <c r="T130" s="300"/>
      <c r="U130" s="37"/>
      <c r="V130" s="37"/>
      <c r="W130" s="37"/>
      <c r="X130" s="37"/>
      <c r="Y130" s="37"/>
      <c r="Z130" s="37"/>
      <c r="AA130" s="37"/>
      <c r="AB130" s="37"/>
    </row>
    <row r="131" spans="2:28" x14ac:dyDescent="0.2">
      <c r="B131" s="37"/>
      <c r="C131" s="37"/>
      <c r="D131" s="37"/>
      <c r="E131" s="37"/>
      <c r="F131" s="38"/>
      <c r="G131" s="37"/>
      <c r="H131" s="37"/>
      <c r="I131" s="37"/>
      <c r="J131" s="37"/>
      <c r="K131" s="37"/>
      <c r="L131" s="300"/>
      <c r="M131" s="300"/>
      <c r="N131" s="300"/>
      <c r="O131" s="300"/>
      <c r="P131" s="300"/>
      <c r="Q131" s="300"/>
      <c r="R131" s="300"/>
      <c r="S131" s="300"/>
      <c r="T131" s="300"/>
      <c r="U131" s="37"/>
      <c r="V131" s="37"/>
      <c r="W131" s="37"/>
      <c r="X131" s="37"/>
      <c r="Y131" s="37"/>
      <c r="Z131" s="37"/>
      <c r="AA131" s="37"/>
      <c r="AB131" s="37"/>
    </row>
    <row r="132" spans="2:28" x14ac:dyDescent="0.2">
      <c r="B132" s="37"/>
      <c r="C132" s="37"/>
      <c r="D132" s="37"/>
      <c r="E132" s="37"/>
      <c r="F132" s="38"/>
      <c r="G132" s="37"/>
      <c r="H132" s="37"/>
      <c r="I132" s="37"/>
      <c r="J132" s="37"/>
      <c r="K132" s="37"/>
      <c r="L132" s="300"/>
      <c r="M132" s="300"/>
      <c r="N132" s="300"/>
      <c r="O132" s="300"/>
      <c r="P132" s="300"/>
      <c r="Q132" s="300"/>
      <c r="R132" s="300"/>
      <c r="S132" s="300"/>
      <c r="T132" s="300"/>
      <c r="U132" s="37"/>
      <c r="V132" s="37"/>
      <c r="W132" s="37"/>
      <c r="X132" s="37"/>
      <c r="Y132" s="37"/>
      <c r="Z132" s="37"/>
      <c r="AA132" s="37"/>
      <c r="AB132" s="37"/>
    </row>
    <row r="133" spans="2:28" x14ac:dyDescent="0.2">
      <c r="B133" s="37"/>
      <c r="C133" s="37"/>
      <c r="D133" s="37"/>
      <c r="E133" s="37"/>
      <c r="F133" s="38"/>
      <c r="G133" s="37"/>
      <c r="H133" s="37"/>
      <c r="I133" s="37"/>
      <c r="J133" s="37"/>
      <c r="K133" s="37"/>
      <c r="L133" s="300"/>
      <c r="M133" s="300"/>
      <c r="N133" s="300"/>
      <c r="O133" s="300"/>
      <c r="P133" s="300"/>
      <c r="Q133" s="300"/>
      <c r="R133" s="300"/>
      <c r="S133" s="300"/>
      <c r="T133" s="300"/>
      <c r="U133" s="37"/>
      <c r="V133" s="37"/>
      <c r="W133" s="37"/>
      <c r="X133" s="37"/>
      <c r="Y133" s="37"/>
      <c r="Z133" s="37"/>
      <c r="AA133" s="37"/>
      <c r="AB133" s="37"/>
    </row>
    <row r="134" spans="2:28" x14ac:dyDescent="0.2">
      <c r="B134" s="37"/>
      <c r="C134" s="37"/>
      <c r="D134" s="37"/>
      <c r="E134" s="37"/>
      <c r="F134" s="38"/>
      <c r="G134" s="37"/>
      <c r="H134" s="37"/>
      <c r="I134" s="37"/>
      <c r="J134" s="37"/>
      <c r="K134" s="37"/>
      <c r="L134" s="300"/>
      <c r="M134" s="300"/>
      <c r="N134" s="300"/>
      <c r="O134" s="300"/>
      <c r="P134" s="300"/>
      <c r="Q134" s="300"/>
      <c r="R134" s="300"/>
      <c r="S134" s="300"/>
      <c r="T134" s="300"/>
      <c r="U134" s="37"/>
      <c r="V134" s="37"/>
      <c r="W134" s="37"/>
      <c r="X134" s="37"/>
      <c r="Y134" s="37"/>
      <c r="Z134" s="37"/>
      <c r="AA134" s="37"/>
      <c r="AB134" s="37"/>
    </row>
    <row r="135" spans="2:28" x14ac:dyDescent="0.2">
      <c r="B135" s="37"/>
      <c r="C135" s="37"/>
      <c r="D135" s="37"/>
      <c r="E135" s="37"/>
      <c r="F135" s="38"/>
      <c r="G135" s="37"/>
      <c r="H135" s="37"/>
      <c r="I135" s="37"/>
      <c r="J135" s="37"/>
      <c r="K135" s="37"/>
      <c r="L135" s="300"/>
      <c r="M135" s="300"/>
      <c r="N135" s="300"/>
      <c r="O135" s="300"/>
      <c r="P135" s="300"/>
      <c r="Q135" s="300"/>
      <c r="R135" s="300"/>
      <c r="S135" s="300"/>
      <c r="T135" s="300"/>
      <c r="U135" s="37"/>
      <c r="V135" s="37"/>
      <c r="W135" s="37"/>
      <c r="X135" s="37"/>
      <c r="Y135" s="37"/>
      <c r="Z135" s="37"/>
      <c r="AA135" s="37"/>
      <c r="AB135" s="37"/>
    </row>
    <row r="136" spans="2:28" x14ac:dyDescent="0.2">
      <c r="B136" s="37"/>
      <c r="C136" s="37"/>
      <c r="D136" s="37"/>
      <c r="E136" s="37"/>
      <c r="F136" s="38"/>
      <c r="G136" s="37"/>
      <c r="H136" s="37"/>
      <c r="I136" s="37"/>
      <c r="J136" s="37"/>
      <c r="K136" s="37"/>
      <c r="L136" s="300"/>
      <c r="M136" s="300"/>
      <c r="N136" s="300"/>
      <c r="O136" s="300"/>
      <c r="P136" s="300"/>
      <c r="Q136" s="300"/>
      <c r="R136" s="300"/>
      <c r="S136" s="300"/>
      <c r="T136" s="300"/>
      <c r="U136" s="37"/>
      <c r="V136" s="37"/>
      <c r="W136" s="37"/>
      <c r="X136" s="37"/>
      <c r="Y136" s="37"/>
      <c r="Z136" s="37"/>
      <c r="AA136" s="37"/>
      <c r="AB136" s="37"/>
    </row>
    <row r="137" spans="2:28" x14ac:dyDescent="0.2">
      <c r="B137" s="37"/>
      <c r="C137" s="37"/>
      <c r="D137" s="37"/>
      <c r="E137" s="37"/>
      <c r="F137" s="38"/>
      <c r="G137" s="37"/>
      <c r="H137" s="37"/>
      <c r="I137" s="37"/>
      <c r="J137" s="37"/>
      <c r="K137" s="37"/>
      <c r="L137" s="300"/>
      <c r="M137" s="300"/>
      <c r="N137" s="300"/>
      <c r="O137" s="300"/>
      <c r="P137" s="300"/>
      <c r="Q137" s="300"/>
      <c r="R137" s="300"/>
      <c r="S137" s="300"/>
      <c r="T137" s="300"/>
      <c r="U137" s="37"/>
      <c r="V137" s="37"/>
      <c r="W137" s="37"/>
      <c r="X137" s="37"/>
      <c r="Y137" s="37"/>
      <c r="Z137" s="37"/>
      <c r="AA137" s="37"/>
      <c r="AB137" s="37"/>
    </row>
    <row r="138" spans="2:28" x14ac:dyDescent="0.2">
      <c r="B138" s="37"/>
      <c r="C138" s="37"/>
      <c r="D138" s="37"/>
      <c r="E138" s="37"/>
      <c r="F138" s="38"/>
      <c r="G138" s="37"/>
      <c r="H138" s="37"/>
      <c r="I138" s="37"/>
      <c r="J138" s="37"/>
      <c r="K138" s="37"/>
      <c r="L138" s="300"/>
      <c r="M138" s="300"/>
      <c r="N138" s="300"/>
      <c r="O138" s="300"/>
      <c r="P138" s="300"/>
      <c r="Q138" s="300"/>
      <c r="R138" s="300"/>
      <c r="S138" s="300"/>
      <c r="T138" s="300"/>
      <c r="U138" s="37"/>
      <c r="V138" s="37"/>
      <c r="W138" s="37"/>
      <c r="X138" s="37"/>
      <c r="Y138" s="37"/>
      <c r="Z138" s="37"/>
      <c r="AA138" s="37"/>
      <c r="AB138" s="37"/>
    </row>
    <row r="139" spans="2:28" x14ac:dyDescent="0.2">
      <c r="B139" s="37"/>
      <c r="C139" s="37"/>
      <c r="D139" s="37"/>
      <c r="E139" s="37"/>
      <c r="F139" s="38"/>
      <c r="G139" s="37"/>
      <c r="H139" s="37"/>
      <c r="I139" s="37"/>
      <c r="J139" s="37"/>
      <c r="K139" s="37"/>
      <c r="L139" s="300"/>
      <c r="M139" s="300"/>
      <c r="N139" s="300"/>
      <c r="O139" s="300"/>
      <c r="P139" s="300"/>
      <c r="Q139" s="300"/>
      <c r="R139" s="300"/>
      <c r="S139" s="300"/>
      <c r="T139" s="300"/>
      <c r="U139" s="37"/>
      <c r="V139" s="37"/>
      <c r="W139" s="37"/>
      <c r="X139" s="37"/>
      <c r="Y139" s="37"/>
      <c r="Z139" s="37"/>
      <c r="AA139" s="37"/>
      <c r="AB139" s="37"/>
    </row>
    <row r="140" spans="2:28" x14ac:dyDescent="0.2">
      <c r="B140" s="37"/>
      <c r="C140" s="37"/>
      <c r="D140" s="37"/>
      <c r="E140" s="37"/>
      <c r="F140" s="38"/>
      <c r="G140" s="37"/>
      <c r="H140" s="37"/>
      <c r="I140" s="37"/>
      <c r="J140" s="37"/>
      <c r="K140" s="37"/>
      <c r="L140" s="300"/>
      <c r="M140" s="300"/>
      <c r="N140" s="300"/>
      <c r="O140" s="300"/>
      <c r="P140" s="300"/>
      <c r="Q140" s="300"/>
      <c r="R140" s="300"/>
      <c r="S140" s="300"/>
      <c r="T140" s="300"/>
      <c r="U140" s="37"/>
      <c r="V140" s="37"/>
      <c r="W140" s="37"/>
      <c r="X140" s="37"/>
      <c r="Y140" s="37"/>
      <c r="Z140" s="37"/>
      <c r="AA140" s="37"/>
      <c r="AB140" s="37"/>
    </row>
    <row r="141" spans="2:28" x14ac:dyDescent="0.2">
      <c r="B141" s="37"/>
      <c r="C141" s="37"/>
      <c r="D141" s="37"/>
      <c r="E141" s="37"/>
      <c r="F141" s="38"/>
      <c r="G141" s="37"/>
      <c r="H141" s="37"/>
      <c r="I141" s="37"/>
      <c r="J141" s="37"/>
      <c r="K141" s="37"/>
      <c r="L141" s="300"/>
      <c r="M141" s="300"/>
      <c r="N141" s="300"/>
      <c r="O141" s="300"/>
      <c r="P141" s="300"/>
      <c r="Q141" s="300"/>
      <c r="R141" s="300"/>
      <c r="S141" s="300"/>
      <c r="T141" s="300"/>
      <c r="U141" s="37"/>
      <c r="V141" s="37"/>
      <c r="W141" s="37"/>
      <c r="X141" s="37"/>
      <c r="Y141" s="37"/>
      <c r="Z141" s="37"/>
      <c r="AA141" s="37"/>
      <c r="AB141" s="37"/>
    </row>
    <row r="142" spans="2:28" x14ac:dyDescent="0.2">
      <c r="B142" s="37"/>
      <c r="C142" s="37"/>
      <c r="D142" s="37"/>
      <c r="E142" s="37"/>
      <c r="F142" s="38"/>
      <c r="G142" s="37"/>
      <c r="H142" s="37"/>
      <c r="I142" s="37"/>
      <c r="J142" s="37"/>
      <c r="K142" s="37"/>
      <c r="L142" s="300"/>
      <c r="M142" s="300"/>
      <c r="N142" s="300"/>
      <c r="O142" s="300"/>
      <c r="P142" s="300"/>
      <c r="Q142" s="300"/>
      <c r="R142" s="300"/>
      <c r="S142" s="300"/>
      <c r="T142" s="300"/>
      <c r="U142" s="37"/>
      <c r="V142" s="37"/>
      <c r="W142" s="37"/>
      <c r="X142" s="37"/>
      <c r="Y142" s="37"/>
      <c r="Z142" s="37"/>
      <c r="AA142" s="37"/>
      <c r="AB142" s="37"/>
    </row>
    <row r="143" spans="2:28" x14ac:dyDescent="0.2">
      <c r="B143" s="37"/>
      <c r="C143" s="37"/>
      <c r="D143" s="37"/>
      <c r="E143" s="37"/>
      <c r="F143" s="38"/>
      <c r="G143" s="37"/>
      <c r="H143" s="37"/>
      <c r="I143" s="37"/>
      <c r="J143" s="37"/>
      <c r="K143" s="37"/>
      <c r="L143" s="300"/>
      <c r="M143" s="300"/>
      <c r="N143" s="300"/>
      <c r="O143" s="300"/>
      <c r="P143" s="300"/>
      <c r="Q143" s="300"/>
      <c r="R143" s="300"/>
      <c r="S143" s="300"/>
      <c r="T143" s="300"/>
      <c r="U143" s="37"/>
      <c r="V143" s="37"/>
      <c r="W143" s="37"/>
      <c r="X143" s="37"/>
      <c r="Y143" s="37"/>
      <c r="Z143" s="37"/>
      <c r="AA143" s="37"/>
      <c r="AB143" s="37"/>
    </row>
    <row r="144" spans="2:28" x14ac:dyDescent="0.2">
      <c r="B144" s="37"/>
      <c r="C144" s="37"/>
      <c r="D144" s="37"/>
      <c r="E144" s="37"/>
      <c r="F144" s="38"/>
      <c r="G144" s="37"/>
      <c r="H144" s="37"/>
      <c r="I144" s="37"/>
      <c r="J144" s="37"/>
      <c r="K144" s="37"/>
      <c r="L144" s="300"/>
      <c r="M144" s="300"/>
      <c r="N144" s="300"/>
      <c r="O144" s="300"/>
      <c r="P144" s="300"/>
      <c r="Q144" s="300"/>
      <c r="R144" s="300"/>
      <c r="S144" s="300"/>
      <c r="T144" s="300"/>
      <c r="U144" s="37"/>
      <c r="V144" s="37"/>
      <c r="W144" s="37"/>
      <c r="X144" s="37"/>
      <c r="Y144" s="37"/>
      <c r="Z144" s="37"/>
      <c r="AA144" s="37"/>
      <c r="AB144" s="37"/>
    </row>
    <row r="145" spans="2:28" x14ac:dyDescent="0.2">
      <c r="B145" s="37"/>
      <c r="C145" s="37"/>
      <c r="D145" s="37"/>
      <c r="E145" s="37"/>
      <c r="F145" s="38"/>
      <c r="G145" s="37"/>
      <c r="H145" s="37"/>
      <c r="I145" s="37"/>
      <c r="J145" s="37"/>
      <c r="K145" s="37"/>
      <c r="L145" s="300"/>
      <c r="M145" s="300"/>
      <c r="N145" s="300"/>
      <c r="O145" s="300"/>
      <c r="P145" s="300"/>
      <c r="Q145" s="300"/>
      <c r="R145" s="300"/>
      <c r="S145" s="300"/>
      <c r="T145" s="300"/>
      <c r="U145" s="37"/>
      <c r="V145" s="37"/>
      <c r="W145" s="37"/>
      <c r="X145" s="37"/>
      <c r="Y145" s="37"/>
      <c r="Z145" s="37"/>
      <c r="AA145" s="37"/>
      <c r="AB145" s="37"/>
    </row>
    <row r="146" spans="2:28" x14ac:dyDescent="0.2">
      <c r="B146" s="37"/>
      <c r="C146" s="37"/>
      <c r="D146" s="37"/>
      <c r="E146" s="37"/>
      <c r="F146" s="38"/>
      <c r="G146" s="37"/>
      <c r="H146" s="37"/>
      <c r="I146" s="37"/>
      <c r="J146" s="37"/>
      <c r="K146" s="37"/>
      <c r="L146" s="300"/>
      <c r="M146" s="300"/>
      <c r="N146" s="300"/>
      <c r="O146" s="300"/>
      <c r="P146" s="300"/>
      <c r="Q146" s="300"/>
      <c r="R146" s="300"/>
      <c r="S146" s="300"/>
      <c r="T146" s="300"/>
      <c r="U146" s="37"/>
      <c r="V146" s="37"/>
      <c r="W146" s="37"/>
      <c r="X146" s="37"/>
      <c r="Y146" s="37"/>
      <c r="Z146" s="37"/>
      <c r="AA146" s="37"/>
      <c r="AB146" s="37"/>
    </row>
    <row r="147" spans="2:28" x14ac:dyDescent="0.2">
      <c r="B147" s="37"/>
      <c r="C147" s="37"/>
      <c r="D147" s="37"/>
      <c r="E147" s="37"/>
      <c r="F147" s="38"/>
      <c r="G147" s="37"/>
      <c r="H147" s="37"/>
      <c r="I147" s="37"/>
      <c r="J147" s="37"/>
      <c r="K147" s="37"/>
      <c r="L147" s="300"/>
      <c r="M147" s="300"/>
      <c r="N147" s="300"/>
      <c r="O147" s="300"/>
      <c r="P147" s="300"/>
      <c r="Q147" s="300"/>
      <c r="R147" s="300"/>
      <c r="S147" s="300"/>
      <c r="T147" s="300"/>
      <c r="U147" s="37"/>
      <c r="V147" s="37"/>
      <c r="W147" s="37"/>
      <c r="X147" s="37"/>
      <c r="Y147" s="37"/>
      <c r="Z147" s="37"/>
      <c r="AA147" s="37"/>
      <c r="AB147" s="37"/>
    </row>
    <row r="148" spans="2:28" x14ac:dyDescent="0.2">
      <c r="B148" s="37"/>
      <c r="C148" s="37"/>
      <c r="D148" s="37"/>
      <c r="E148" s="37"/>
      <c r="F148" s="38"/>
      <c r="G148" s="37"/>
      <c r="H148" s="37"/>
      <c r="I148" s="37"/>
      <c r="J148" s="37"/>
      <c r="K148" s="37"/>
      <c r="L148" s="300"/>
      <c r="M148" s="300"/>
      <c r="N148" s="300"/>
      <c r="O148" s="300"/>
      <c r="P148" s="300"/>
      <c r="Q148" s="300"/>
      <c r="R148" s="300"/>
      <c r="S148" s="300"/>
      <c r="T148" s="300"/>
      <c r="U148" s="37"/>
      <c r="V148" s="37"/>
      <c r="W148" s="37"/>
      <c r="X148" s="37"/>
      <c r="Y148" s="37"/>
      <c r="Z148" s="37"/>
      <c r="AA148" s="37"/>
      <c r="AB148" s="37"/>
    </row>
    <row r="149" spans="2:28" x14ac:dyDescent="0.2">
      <c r="B149" s="37"/>
      <c r="C149" s="37"/>
      <c r="D149" s="37"/>
      <c r="E149" s="37"/>
      <c r="F149" s="38"/>
      <c r="G149" s="37"/>
      <c r="H149" s="37"/>
      <c r="I149" s="37"/>
      <c r="J149" s="37"/>
      <c r="K149" s="37"/>
      <c r="L149" s="300"/>
      <c r="M149" s="300"/>
      <c r="N149" s="300"/>
      <c r="O149" s="300"/>
      <c r="P149" s="300"/>
      <c r="Q149" s="300"/>
      <c r="R149" s="300"/>
      <c r="S149" s="300"/>
      <c r="T149" s="300"/>
      <c r="U149" s="37"/>
      <c r="V149" s="37"/>
      <c r="W149" s="37"/>
      <c r="X149" s="37"/>
      <c r="Y149" s="37"/>
      <c r="Z149" s="37"/>
      <c r="AA149" s="37"/>
      <c r="AB149" s="37"/>
    </row>
    <row r="150" spans="2:28" x14ac:dyDescent="0.2">
      <c r="B150" s="37"/>
      <c r="C150" s="37"/>
      <c r="D150" s="37"/>
      <c r="E150" s="37"/>
      <c r="F150" s="38"/>
      <c r="G150" s="37"/>
      <c r="H150" s="37"/>
      <c r="I150" s="37"/>
      <c r="J150" s="37"/>
      <c r="K150" s="37"/>
      <c r="L150" s="300"/>
      <c r="M150" s="300"/>
      <c r="N150" s="300"/>
      <c r="O150" s="300"/>
      <c r="P150" s="300"/>
      <c r="Q150" s="300"/>
      <c r="R150" s="300"/>
      <c r="S150" s="300"/>
      <c r="T150" s="300"/>
      <c r="U150" s="37"/>
      <c r="V150" s="37"/>
      <c r="W150" s="37"/>
      <c r="X150" s="37"/>
      <c r="Y150" s="37"/>
      <c r="Z150" s="37"/>
      <c r="AA150" s="37"/>
      <c r="AB150" s="37"/>
    </row>
    <row r="151" spans="2:28" x14ac:dyDescent="0.2">
      <c r="B151" s="37"/>
      <c r="C151" s="37"/>
      <c r="D151" s="37"/>
      <c r="E151" s="37"/>
      <c r="F151" s="38"/>
      <c r="G151" s="37"/>
      <c r="H151" s="37"/>
      <c r="I151" s="37"/>
      <c r="J151" s="37"/>
      <c r="K151" s="37"/>
      <c r="L151" s="300"/>
      <c r="M151" s="300"/>
      <c r="N151" s="300"/>
      <c r="O151" s="300"/>
      <c r="P151" s="300"/>
      <c r="Q151" s="300"/>
      <c r="R151" s="300"/>
      <c r="S151" s="300"/>
      <c r="T151" s="300"/>
      <c r="U151" s="37"/>
      <c r="V151" s="37"/>
      <c r="W151" s="37"/>
      <c r="X151" s="37"/>
      <c r="Y151" s="37"/>
      <c r="Z151" s="37"/>
      <c r="AA151" s="37"/>
      <c r="AB151" s="37"/>
    </row>
    <row r="152" spans="2:28" x14ac:dyDescent="0.2">
      <c r="B152" s="37"/>
      <c r="C152" s="37"/>
      <c r="D152" s="37"/>
      <c r="E152" s="37"/>
      <c r="F152" s="38"/>
      <c r="G152" s="37"/>
      <c r="H152" s="37"/>
      <c r="I152" s="37"/>
      <c r="J152" s="37"/>
      <c r="K152" s="37"/>
      <c r="L152" s="300"/>
      <c r="M152" s="300"/>
      <c r="N152" s="300"/>
      <c r="O152" s="300"/>
      <c r="P152" s="300"/>
      <c r="Q152" s="300"/>
      <c r="R152" s="300"/>
      <c r="S152" s="300"/>
      <c r="T152" s="300"/>
      <c r="U152" s="37"/>
      <c r="V152" s="37"/>
      <c r="W152" s="37"/>
      <c r="X152" s="37"/>
      <c r="Y152" s="37"/>
      <c r="Z152" s="37"/>
      <c r="AA152" s="37"/>
      <c r="AB152" s="37"/>
    </row>
    <row r="153" spans="2:28" x14ac:dyDescent="0.2">
      <c r="B153" s="37"/>
      <c r="C153" s="37"/>
      <c r="D153" s="37"/>
      <c r="E153" s="37"/>
      <c r="F153" s="38"/>
      <c r="G153" s="37"/>
      <c r="H153" s="37"/>
      <c r="I153" s="37"/>
      <c r="J153" s="37"/>
      <c r="K153" s="37"/>
      <c r="L153" s="300"/>
      <c r="M153" s="300"/>
      <c r="N153" s="300"/>
      <c r="O153" s="300"/>
      <c r="P153" s="300"/>
      <c r="Q153" s="300"/>
      <c r="R153" s="300"/>
      <c r="S153" s="300"/>
      <c r="T153" s="300"/>
      <c r="U153" s="37"/>
      <c r="V153" s="37"/>
      <c r="W153" s="37"/>
      <c r="X153" s="37"/>
      <c r="Y153" s="37"/>
      <c r="Z153" s="37"/>
      <c r="AA153" s="37"/>
      <c r="AB153" s="37"/>
    </row>
    <row r="154" spans="2:28" x14ac:dyDescent="0.2">
      <c r="B154" s="37"/>
      <c r="C154" s="37"/>
      <c r="D154" s="37"/>
      <c r="E154" s="37"/>
      <c r="F154" s="38"/>
      <c r="G154" s="37"/>
      <c r="H154" s="37"/>
      <c r="I154" s="37"/>
      <c r="J154" s="37"/>
      <c r="K154" s="37"/>
      <c r="L154" s="300"/>
      <c r="M154" s="300"/>
      <c r="N154" s="300"/>
      <c r="O154" s="300"/>
      <c r="P154" s="300"/>
      <c r="Q154" s="300"/>
      <c r="R154" s="300"/>
      <c r="S154" s="300"/>
      <c r="T154" s="300"/>
      <c r="U154" s="37"/>
      <c r="V154" s="37"/>
      <c r="W154" s="37"/>
      <c r="X154" s="37"/>
      <c r="Y154" s="37"/>
      <c r="Z154" s="37"/>
      <c r="AA154" s="37"/>
      <c r="AB154" s="37"/>
    </row>
    <row r="155" spans="2:28" x14ac:dyDescent="0.2">
      <c r="B155" s="37"/>
      <c r="C155" s="37"/>
      <c r="D155" s="37"/>
      <c r="E155" s="37"/>
      <c r="F155" s="38"/>
      <c r="G155" s="37"/>
      <c r="H155" s="37"/>
      <c r="I155" s="37"/>
      <c r="J155" s="37"/>
      <c r="K155" s="37"/>
      <c r="L155" s="300"/>
      <c r="M155" s="300"/>
      <c r="N155" s="300"/>
      <c r="O155" s="300"/>
      <c r="P155" s="300"/>
      <c r="Q155" s="300"/>
      <c r="R155" s="300"/>
      <c r="S155" s="300"/>
      <c r="T155" s="300"/>
      <c r="U155" s="37"/>
      <c r="V155" s="37"/>
      <c r="W155" s="37"/>
      <c r="X155" s="37"/>
      <c r="Y155" s="37"/>
      <c r="Z155" s="37"/>
      <c r="AA155" s="37"/>
      <c r="AB155" s="37"/>
    </row>
    <row r="156" spans="2:28" x14ac:dyDescent="0.2">
      <c r="B156" s="37"/>
      <c r="C156" s="37"/>
      <c r="D156" s="37"/>
      <c r="E156" s="37"/>
      <c r="F156" s="38"/>
      <c r="G156" s="37"/>
      <c r="H156" s="37"/>
      <c r="I156" s="37"/>
      <c r="J156" s="37"/>
      <c r="K156" s="37"/>
      <c r="L156" s="300"/>
      <c r="M156" s="300"/>
      <c r="N156" s="300"/>
      <c r="O156" s="300"/>
      <c r="P156" s="300"/>
      <c r="Q156" s="300"/>
      <c r="R156" s="300"/>
      <c r="S156" s="300"/>
      <c r="T156" s="300"/>
      <c r="U156" s="37"/>
      <c r="V156" s="37"/>
      <c r="W156" s="37"/>
      <c r="X156" s="37"/>
      <c r="Y156" s="37"/>
      <c r="Z156" s="37"/>
      <c r="AA156" s="37"/>
      <c r="AB156" s="37"/>
    </row>
    <row r="157" spans="2:28" x14ac:dyDescent="0.2">
      <c r="B157" s="37"/>
      <c r="C157" s="37"/>
      <c r="D157" s="37"/>
      <c r="E157" s="37"/>
      <c r="F157" s="38"/>
      <c r="G157" s="37"/>
      <c r="H157" s="37"/>
      <c r="I157" s="37"/>
      <c r="J157" s="37"/>
      <c r="K157" s="37"/>
      <c r="L157" s="300"/>
      <c r="M157" s="300"/>
      <c r="N157" s="300"/>
      <c r="O157" s="300"/>
      <c r="P157" s="300"/>
      <c r="Q157" s="300"/>
      <c r="R157" s="300"/>
      <c r="S157" s="300"/>
      <c r="T157" s="300"/>
      <c r="U157" s="37"/>
      <c r="V157" s="37"/>
      <c r="W157" s="37"/>
      <c r="X157" s="37"/>
      <c r="Y157" s="37"/>
      <c r="Z157" s="37"/>
      <c r="AA157" s="37"/>
      <c r="AB157" s="37"/>
    </row>
    <row r="158" spans="2:28" x14ac:dyDescent="0.2">
      <c r="B158" s="37"/>
      <c r="C158" s="37"/>
      <c r="D158" s="37"/>
      <c r="E158" s="37"/>
      <c r="F158" s="38"/>
      <c r="G158" s="37"/>
      <c r="H158" s="37"/>
      <c r="I158" s="37"/>
      <c r="J158" s="37"/>
      <c r="K158" s="37"/>
      <c r="L158" s="300"/>
      <c r="M158" s="300"/>
      <c r="N158" s="300"/>
      <c r="O158" s="300"/>
      <c r="P158" s="300"/>
      <c r="Q158" s="300"/>
      <c r="R158" s="300"/>
      <c r="S158" s="300"/>
      <c r="T158" s="300"/>
      <c r="U158" s="37"/>
      <c r="V158" s="37"/>
      <c r="W158" s="37"/>
      <c r="X158" s="37"/>
      <c r="Y158" s="37"/>
      <c r="Z158" s="37"/>
      <c r="AA158" s="37"/>
      <c r="AB158" s="37"/>
    </row>
    <row r="159" spans="2:28" x14ac:dyDescent="0.2">
      <c r="B159" s="37"/>
      <c r="C159" s="37"/>
      <c r="D159" s="37"/>
      <c r="E159" s="37"/>
      <c r="F159" s="38"/>
      <c r="G159" s="37"/>
      <c r="H159" s="37"/>
      <c r="I159" s="37"/>
      <c r="J159" s="37"/>
      <c r="K159" s="37"/>
      <c r="L159" s="300"/>
      <c r="M159" s="300"/>
      <c r="N159" s="300"/>
      <c r="O159" s="300"/>
      <c r="P159" s="300"/>
      <c r="Q159" s="300"/>
      <c r="R159" s="300"/>
      <c r="S159" s="300"/>
      <c r="T159" s="300"/>
      <c r="U159" s="37"/>
      <c r="V159" s="37"/>
      <c r="W159" s="37"/>
      <c r="X159" s="37"/>
      <c r="Y159" s="37"/>
      <c r="Z159" s="37"/>
      <c r="AA159" s="37"/>
      <c r="AB159" s="37"/>
    </row>
    <row r="160" spans="2:28" x14ac:dyDescent="0.2">
      <c r="B160" s="37"/>
      <c r="C160" s="37"/>
      <c r="D160" s="37"/>
      <c r="E160" s="37"/>
      <c r="F160" s="38"/>
      <c r="G160" s="37"/>
      <c r="H160" s="37"/>
      <c r="I160" s="37"/>
      <c r="J160" s="37"/>
      <c r="K160" s="37"/>
      <c r="L160" s="300"/>
      <c r="M160" s="300"/>
      <c r="N160" s="300"/>
      <c r="O160" s="300"/>
      <c r="P160" s="300"/>
      <c r="Q160" s="300"/>
      <c r="R160" s="300"/>
      <c r="S160" s="300"/>
      <c r="T160" s="300"/>
      <c r="U160" s="37"/>
      <c r="V160" s="37"/>
      <c r="W160" s="37"/>
      <c r="X160" s="37"/>
      <c r="Y160" s="37"/>
      <c r="Z160" s="37"/>
      <c r="AA160" s="37"/>
      <c r="AB160" s="37"/>
    </row>
    <row r="161" spans="2:28" x14ac:dyDescent="0.2">
      <c r="B161" s="37"/>
      <c r="C161" s="37"/>
      <c r="D161" s="37"/>
      <c r="E161" s="37"/>
      <c r="F161" s="38"/>
      <c r="G161" s="37"/>
      <c r="H161" s="37"/>
      <c r="I161" s="37"/>
      <c r="J161" s="37"/>
      <c r="K161" s="37"/>
      <c r="L161" s="300"/>
      <c r="M161" s="300"/>
      <c r="N161" s="300"/>
      <c r="O161" s="300"/>
      <c r="P161" s="300"/>
      <c r="Q161" s="300"/>
      <c r="R161" s="300"/>
      <c r="S161" s="300"/>
      <c r="T161" s="300"/>
      <c r="U161" s="37"/>
      <c r="V161" s="37"/>
      <c r="W161" s="37"/>
      <c r="X161" s="37"/>
      <c r="Y161" s="37"/>
      <c r="Z161" s="37"/>
      <c r="AA161" s="37"/>
      <c r="AB161" s="37"/>
    </row>
    <row r="162" spans="2:28" x14ac:dyDescent="0.2">
      <c r="B162" s="37"/>
      <c r="C162" s="37"/>
      <c r="D162" s="37"/>
      <c r="E162" s="37"/>
      <c r="F162" s="38"/>
      <c r="G162" s="37"/>
      <c r="H162" s="37"/>
      <c r="I162" s="37"/>
      <c r="J162" s="37"/>
      <c r="K162" s="37"/>
      <c r="L162" s="300"/>
      <c r="M162" s="300"/>
      <c r="N162" s="300"/>
      <c r="O162" s="300"/>
      <c r="P162" s="300"/>
      <c r="Q162" s="300"/>
      <c r="R162" s="300"/>
      <c r="S162" s="300"/>
      <c r="T162" s="300"/>
      <c r="U162" s="37"/>
      <c r="V162" s="37"/>
      <c r="W162" s="37"/>
      <c r="X162" s="37"/>
      <c r="Y162" s="37"/>
      <c r="Z162" s="37"/>
      <c r="AA162" s="37"/>
      <c r="AB162" s="37"/>
    </row>
    <row r="163" spans="2:28" x14ac:dyDescent="0.2">
      <c r="B163" s="37"/>
      <c r="C163" s="37"/>
      <c r="D163" s="37"/>
      <c r="E163" s="37"/>
      <c r="F163" s="38"/>
      <c r="G163" s="37"/>
      <c r="H163" s="37"/>
      <c r="I163" s="37"/>
      <c r="J163" s="37"/>
      <c r="K163" s="37"/>
      <c r="L163" s="300"/>
      <c r="M163" s="300"/>
      <c r="N163" s="300"/>
      <c r="O163" s="300"/>
      <c r="P163" s="300"/>
      <c r="Q163" s="300"/>
      <c r="R163" s="300"/>
      <c r="S163" s="300"/>
      <c r="T163" s="300"/>
      <c r="U163" s="37"/>
      <c r="V163" s="37"/>
      <c r="W163" s="37"/>
      <c r="X163" s="37"/>
      <c r="Y163" s="37"/>
      <c r="Z163" s="37"/>
      <c r="AA163" s="37"/>
      <c r="AB163" s="37"/>
    </row>
    <row r="164" spans="2:28" x14ac:dyDescent="0.2">
      <c r="B164" s="37"/>
      <c r="C164" s="37"/>
      <c r="D164" s="37"/>
      <c r="E164" s="37"/>
      <c r="F164" s="38"/>
      <c r="G164" s="37"/>
      <c r="H164" s="37"/>
      <c r="I164" s="37"/>
      <c r="J164" s="37"/>
      <c r="K164" s="37"/>
      <c r="L164" s="300"/>
      <c r="M164" s="300"/>
      <c r="N164" s="300"/>
      <c r="O164" s="300"/>
      <c r="P164" s="300"/>
      <c r="Q164" s="300"/>
      <c r="R164" s="300"/>
      <c r="S164" s="300"/>
      <c r="T164" s="300"/>
      <c r="U164" s="37"/>
      <c r="V164" s="37"/>
      <c r="W164" s="37"/>
      <c r="X164" s="37"/>
      <c r="Y164" s="37"/>
      <c r="Z164" s="37"/>
      <c r="AA164" s="37"/>
      <c r="AB164" s="37"/>
    </row>
    <row r="165" spans="2:28" x14ac:dyDescent="0.2">
      <c r="B165" s="37"/>
      <c r="C165" s="37"/>
      <c r="D165" s="37"/>
      <c r="E165" s="37"/>
      <c r="F165" s="38"/>
      <c r="G165" s="37"/>
      <c r="H165" s="37"/>
      <c r="I165" s="37"/>
      <c r="J165" s="37"/>
      <c r="K165" s="37"/>
      <c r="L165" s="300"/>
      <c r="M165" s="300"/>
      <c r="N165" s="300"/>
      <c r="O165" s="300"/>
      <c r="P165" s="300"/>
      <c r="Q165" s="300"/>
      <c r="R165" s="300"/>
      <c r="S165" s="300"/>
      <c r="T165" s="300"/>
      <c r="U165" s="37"/>
      <c r="V165" s="37"/>
      <c r="W165" s="37"/>
      <c r="X165" s="37"/>
      <c r="Y165" s="37"/>
      <c r="Z165" s="37"/>
      <c r="AA165" s="37"/>
      <c r="AB165" s="37"/>
    </row>
    <row r="166" spans="2:28" x14ac:dyDescent="0.2">
      <c r="B166" s="37"/>
      <c r="C166" s="37"/>
      <c r="D166" s="37"/>
      <c r="E166" s="37"/>
      <c r="F166" s="38"/>
      <c r="G166" s="37"/>
      <c r="H166" s="37"/>
      <c r="I166" s="37"/>
      <c r="J166" s="37"/>
      <c r="K166" s="37"/>
      <c r="L166" s="300"/>
      <c r="M166" s="300"/>
      <c r="N166" s="300"/>
      <c r="O166" s="300"/>
      <c r="P166" s="300"/>
      <c r="Q166" s="300"/>
      <c r="R166" s="300"/>
      <c r="S166" s="300"/>
      <c r="T166" s="300"/>
      <c r="U166" s="37"/>
      <c r="V166" s="37"/>
      <c r="W166" s="37"/>
      <c r="X166" s="37"/>
      <c r="Y166" s="37"/>
      <c r="Z166" s="37"/>
      <c r="AA166" s="37"/>
      <c r="AB166" s="37"/>
    </row>
    <row r="167" spans="2:28" x14ac:dyDescent="0.2">
      <c r="B167" s="37"/>
      <c r="C167" s="37"/>
      <c r="D167" s="37"/>
      <c r="E167" s="37"/>
      <c r="F167" s="38"/>
      <c r="G167" s="37"/>
      <c r="H167" s="37"/>
      <c r="I167" s="37"/>
      <c r="J167" s="37"/>
      <c r="K167" s="37"/>
      <c r="L167" s="300"/>
      <c r="M167" s="300"/>
      <c r="N167" s="300"/>
      <c r="O167" s="300"/>
      <c r="P167" s="300"/>
      <c r="Q167" s="300"/>
      <c r="R167" s="300"/>
      <c r="S167" s="300"/>
      <c r="T167" s="300"/>
      <c r="U167" s="37"/>
      <c r="V167" s="37"/>
      <c r="W167" s="37"/>
      <c r="X167" s="37"/>
      <c r="Y167" s="37"/>
      <c r="Z167" s="37"/>
      <c r="AA167" s="37"/>
      <c r="AB167" s="37"/>
    </row>
    <row r="168" spans="2:28" x14ac:dyDescent="0.2">
      <c r="B168" s="37"/>
      <c r="C168" s="37"/>
      <c r="D168" s="37"/>
      <c r="E168" s="37"/>
      <c r="F168" s="38"/>
      <c r="G168" s="37"/>
      <c r="H168" s="37"/>
      <c r="I168" s="37"/>
      <c r="J168" s="37"/>
      <c r="K168" s="37"/>
      <c r="L168" s="300"/>
      <c r="M168" s="300"/>
      <c r="N168" s="300"/>
      <c r="O168" s="300"/>
      <c r="P168" s="300"/>
      <c r="Q168" s="300"/>
      <c r="R168" s="300"/>
      <c r="S168" s="300"/>
      <c r="T168" s="300"/>
      <c r="U168" s="37"/>
      <c r="V168" s="37"/>
      <c r="W168" s="37"/>
      <c r="X168" s="37"/>
      <c r="Y168" s="37"/>
      <c r="Z168" s="37"/>
      <c r="AA168" s="37"/>
      <c r="AB168" s="37"/>
    </row>
    <row r="169" spans="2:28" x14ac:dyDescent="0.2">
      <c r="B169" s="37"/>
      <c r="C169" s="37"/>
      <c r="D169" s="37"/>
      <c r="E169" s="37"/>
      <c r="F169" s="38"/>
      <c r="G169" s="37"/>
      <c r="H169" s="37"/>
      <c r="I169" s="37"/>
      <c r="J169" s="37"/>
      <c r="K169" s="37"/>
      <c r="L169" s="300"/>
      <c r="M169" s="300"/>
      <c r="N169" s="300"/>
      <c r="O169" s="300"/>
      <c r="P169" s="300"/>
      <c r="Q169" s="300"/>
      <c r="R169" s="300"/>
      <c r="S169" s="300"/>
      <c r="T169" s="300"/>
      <c r="U169" s="37"/>
      <c r="V169" s="37"/>
      <c r="W169" s="37"/>
      <c r="X169" s="37"/>
      <c r="Y169" s="37"/>
      <c r="Z169" s="37"/>
      <c r="AA169" s="37"/>
      <c r="AB169" s="37"/>
    </row>
    <row r="170" spans="2:28" x14ac:dyDescent="0.2">
      <c r="B170" s="37"/>
      <c r="C170" s="37"/>
      <c r="D170" s="37"/>
      <c r="E170" s="37"/>
      <c r="F170" s="38"/>
      <c r="G170" s="37"/>
      <c r="H170" s="37"/>
      <c r="I170" s="37"/>
      <c r="J170" s="37"/>
      <c r="K170" s="37"/>
      <c r="L170" s="300"/>
      <c r="M170" s="300"/>
      <c r="N170" s="300"/>
      <c r="O170" s="300"/>
      <c r="P170" s="300"/>
      <c r="Q170" s="300"/>
      <c r="R170" s="300"/>
      <c r="S170" s="300"/>
      <c r="T170" s="300"/>
      <c r="U170" s="37"/>
      <c r="V170" s="37"/>
      <c r="W170" s="37"/>
      <c r="X170" s="37"/>
      <c r="Y170" s="37"/>
      <c r="Z170" s="37"/>
      <c r="AA170" s="37"/>
      <c r="AB170" s="37"/>
    </row>
    <row r="171" spans="2:28" x14ac:dyDescent="0.2">
      <c r="B171" s="37"/>
      <c r="C171" s="37"/>
      <c r="D171" s="37"/>
      <c r="E171" s="37"/>
      <c r="F171" s="38"/>
      <c r="G171" s="37"/>
      <c r="H171" s="37"/>
      <c r="I171" s="37"/>
      <c r="J171" s="37"/>
      <c r="K171" s="37"/>
      <c r="L171" s="300"/>
      <c r="M171" s="300"/>
      <c r="N171" s="300"/>
      <c r="O171" s="300"/>
      <c r="P171" s="300"/>
      <c r="Q171" s="300"/>
      <c r="R171" s="300"/>
      <c r="S171" s="300"/>
      <c r="T171" s="300"/>
      <c r="U171" s="37"/>
      <c r="V171" s="37"/>
      <c r="W171" s="37"/>
      <c r="X171" s="37"/>
      <c r="Y171" s="37"/>
      <c r="Z171" s="37"/>
      <c r="AA171" s="37"/>
      <c r="AB171" s="37"/>
    </row>
    <row r="172" spans="2:28" x14ac:dyDescent="0.2">
      <c r="B172" s="37"/>
      <c r="C172" s="37"/>
      <c r="D172" s="37"/>
      <c r="E172" s="37"/>
      <c r="F172" s="38"/>
      <c r="G172" s="37"/>
      <c r="H172" s="37"/>
      <c r="I172" s="37"/>
      <c r="J172" s="37"/>
      <c r="K172" s="37"/>
      <c r="L172" s="300"/>
      <c r="M172" s="300"/>
      <c r="N172" s="300"/>
      <c r="O172" s="300"/>
      <c r="P172" s="300"/>
      <c r="Q172" s="300"/>
      <c r="R172" s="300"/>
      <c r="S172" s="300"/>
      <c r="T172" s="300"/>
      <c r="U172" s="37"/>
      <c r="V172" s="37"/>
      <c r="W172" s="37"/>
      <c r="X172" s="37"/>
      <c r="Y172" s="37"/>
      <c r="Z172" s="37"/>
      <c r="AA172" s="37"/>
      <c r="AB172" s="37"/>
    </row>
    <row r="173" spans="2:28" x14ac:dyDescent="0.2">
      <c r="B173" s="37"/>
      <c r="C173" s="37"/>
      <c r="D173" s="37"/>
      <c r="E173" s="37"/>
      <c r="F173" s="38"/>
      <c r="G173" s="37"/>
      <c r="H173" s="37"/>
      <c r="I173" s="37"/>
      <c r="J173" s="37"/>
      <c r="K173" s="37"/>
      <c r="L173" s="300"/>
      <c r="M173" s="300"/>
      <c r="N173" s="300"/>
      <c r="O173" s="300"/>
      <c r="P173" s="300"/>
      <c r="Q173" s="300"/>
      <c r="R173" s="300"/>
      <c r="S173" s="300"/>
      <c r="T173" s="300"/>
      <c r="U173" s="37"/>
      <c r="V173" s="37"/>
      <c r="W173" s="37"/>
      <c r="X173" s="37"/>
      <c r="Y173" s="37"/>
      <c r="Z173" s="37"/>
      <c r="AA173" s="37"/>
      <c r="AB173" s="37"/>
    </row>
    <row r="174" spans="2:28" x14ac:dyDescent="0.2">
      <c r="B174" s="37"/>
      <c r="C174" s="37"/>
      <c r="D174" s="37"/>
      <c r="E174" s="37"/>
      <c r="F174" s="38"/>
      <c r="G174" s="37"/>
      <c r="H174" s="37"/>
      <c r="I174" s="37"/>
      <c r="J174" s="37"/>
      <c r="K174" s="37"/>
      <c r="L174" s="300"/>
      <c r="M174" s="300"/>
      <c r="N174" s="300"/>
      <c r="O174" s="300"/>
      <c r="P174" s="300"/>
      <c r="Q174" s="300"/>
      <c r="R174" s="300"/>
      <c r="S174" s="300"/>
      <c r="T174" s="300"/>
      <c r="U174" s="37"/>
      <c r="V174" s="37"/>
      <c r="W174" s="37"/>
      <c r="X174" s="37"/>
      <c r="Y174" s="37"/>
      <c r="Z174" s="37"/>
      <c r="AA174" s="37"/>
      <c r="AB174" s="37"/>
    </row>
    <row r="175" spans="2:28" x14ac:dyDescent="0.2">
      <c r="B175" s="37"/>
      <c r="C175" s="37"/>
      <c r="D175" s="37"/>
      <c r="E175" s="37"/>
      <c r="F175" s="38"/>
      <c r="G175" s="37"/>
      <c r="H175" s="37"/>
      <c r="I175" s="37"/>
      <c r="J175" s="37"/>
      <c r="K175" s="37"/>
      <c r="L175" s="300"/>
      <c r="M175" s="300"/>
      <c r="N175" s="300"/>
      <c r="O175" s="300"/>
      <c r="P175" s="300"/>
      <c r="Q175" s="300"/>
      <c r="R175" s="300"/>
      <c r="S175" s="300"/>
      <c r="T175" s="300"/>
      <c r="U175" s="37"/>
      <c r="V175" s="37"/>
      <c r="W175" s="37"/>
      <c r="X175" s="37"/>
      <c r="Y175" s="37"/>
      <c r="Z175" s="37"/>
      <c r="AA175" s="37"/>
      <c r="AB175" s="37"/>
    </row>
    <row r="176" spans="2:28" x14ac:dyDescent="0.2">
      <c r="B176" s="37"/>
      <c r="C176" s="37"/>
      <c r="D176" s="37"/>
      <c r="E176" s="37"/>
      <c r="F176" s="38"/>
      <c r="G176" s="37"/>
      <c r="H176" s="37"/>
      <c r="I176" s="37"/>
      <c r="J176" s="37"/>
      <c r="K176" s="37"/>
      <c r="L176" s="300"/>
      <c r="M176" s="300"/>
      <c r="N176" s="300"/>
      <c r="O176" s="300"/>
      <c r="P176" s="300"/>
      <c r="Q176" s="300"/>
      <c r="R176" s="300"/>
      <c r="S176" s="300"/>
      <c r="T176" s="300"/>
      <c r="U176" s="37"/>
      <c r="V176" s="37"/>
      <c r="W176" s="37"/>
      <c r="X176" s="37"/>
      <c r="Y176" s="37"/>
      <c r="Z176" s="37"/>
      <c r="AA176" s="37"/>
      <c r="AB176" s="37"/>
    </row>
    <row r="177" spans="2:28" x14ac:dyDescent="0.2">
      <c r="B177" s="37"/>
      <c r="C177" s="37"/>
      <c r="D177" s="37"/>
      <c r="E177" s="37"/>
      <c r="F177" s="38"/>
      <c r="G177" s="37"/>
      <c r="H177" s="37"/>
      <c r="I177" s="37"/>
      <c r="J177" s="37"/>
      <c r="K177" s="37"/>
      <c r="L177" s="300"/>
      <c r="M177" s="300"/>
      <c r="N177" s="300"/>
      <c r="O177" s="300"/>
      <c r="P177" s="300"/>
      <c r="Q177" s="300"/>
      <c r="R177" s="300"/>
      <c r="S177" s="300"/>
      <c r="T177" s="300"/>
      <c r="U177" s="37"/>
      <c r="V177" s="37"/>
      <c r="W177" s="37"/>
      <c r="X177" s="37"/>
      <c r="Y177" s="37"/>
      <c r="Z177" s="37"/>
      <c r="AA177" s="37"/>
      <c r="AB177" s="37"/>
    </row>
    <row r="178" spans="2:28" x14ac:dyDescent="0.2">
      <c r="B178" s="37"/>
      <c r="C178" s="37"/>
      <c r="D178" s="37"/>
      <c r="E178" s="37"/>
      <c r="F178" s="38"/>
      <c r="G178" s="37"/>
      <c r="H178" s="37"/>
      <c r="I178" s="37"/>
      <c r="J178" s="37"/>
      <c r="K178" s="37"/>
      <c r="L178" s="300"/>
      <c r="M178" s="300"/>
      <c r="N178" s="300"/>
      <c r="O178" s="300"/>
      <c r="P178" s="300"/>
      <c r="Q178" s="300"/>
      <c r="R178" s="300"/>
      <c r="S178" s="300"/>
      <c r="T178" s="300"/>
      <c r="U178" s="37"/>
      <c r="V178" s="37"/>
      <c r="W178" s="37"/>
      <c r="X178" s="37"/>
      <c r="Y178" s="37"/>
      <c r="Z178" s="37"/>
      <c r="AA178" s="37"/>
      <c r="AB178" s="37"/>
    </row>
    <row r="179" spans="2:28" x14ac:dyDescent="0.2">
      <c r="B179" s="37"/>
      <c r="C179" s="37"/>
      <c r="D179" s="37"/>
      <c r="E179" s="37"/>
      <c r="F179" s="38"/>
      <c r="G179" s="37"/>
      <c r="H179" s="37"/>
      <c r="I179" s="37"/>
      <c r="J179" s="37"/>
      <c r="K179" s="37"/>
      <c r="L179" s="300"/>
      <c r="M179" s="300"/>
      <c r="N179" s="300"/>
      <c r="O179" s="300"/>
      <c r="P179" s="300"/>
      <c r="Q179" s="300"/>
      <c r="R179" s="300"/>
      <c r="S179" s="300"/>
      <c r="T179" s="300"/>
      <c r="U179" s="37"/>
      <c r="V179" s="37"/>
      <c r="W179" s="37"/>
      <c r="X179" s="37"/>
      <c r="Y179" s="37"/>
      <c r="Z179" s="37"/>
      <c r="AA179" s="37"/>
      <c r="AB179" s="37"/>
    </row>
    <row r="180" spans="2:28" x14ac:dyDescent="0.2">
      <c r="B180" s="37"/>
      <c r="C180" s="37"/>
      <c r="D180" s="37"/>
      <c r="E180" s="37"/>
      <c r="F180" s="38"/>
      <c r="G180" s="37"/>
      <c r="H180" s="37"/>
      <c r="I180" s="37"/>
      <c r="J180" s="37"/>
      <c r="K180" s="37"/>
      <c r="L180" s="300"/>
      <c r="M180" s="300"/>
      <c r="N180" s="300"/>
      <c r="O180" s="300"/>
      <c r="P180" s="300"/>
      <c r="Q180" s="300"/>
      <c r="R180" s="300"/>
      <c r="S180" s="300"/>
      <c r="T180" s="300"/>
      <c r="U180" s="37"/>
      <c r="V180" s="37"/>
      <c r="W180" s="37"/>
      <c r="X180" s="37"/>
      <c r="Y180" s="37"/>
      <c r="Z180" s="37"/>
      <c r="AA180" s="37"/>
      <c r="AB180" s="37"/>
    </row>
    <row r="181" spans="2:28" x14ac:dyDescent="0.2">
      <c r="B181" s="37"/>
      <c r="C181" s="37"/>
      <c r="D181" s="37"/>
      <c r="E181" s="37"/>
      <c r="F181" s="38"/>
      <c r="G181" s="37"/>
      <c r="H181" s="37"/>
      <c r="I181" s="37"/>
      <c r="J181" s="37"/>
      <c r="K181" s="37"/>
      <c r="L181" s="300"/>
      <c r="M181" s="300"/>
      <c r="N181" s="300"/>
      <c r="O181" s="300"/>
      <c r="P181" s="300"/>
      <c r="Q181" s="300"/>
      <c r="R181" s="300"/>
      <c r="S181" s="300"/>
      <c r="T181" s="300"/>
      <c r="U181" s="37"/>
      <c r="V181" s="37"/>
      <c r="W181" s="37"/>
      <c r="X181" s="37"/>
      <c r="Y181" s="37"/>
      <c r="Z181" s="37"/>
      <c r="AA181" s="37"/>
      <c r="AB181" s="37"/>
    </row>
    <row r="182" spans="2:28" x14ac:dyDescent="0.2">
      <c r="B182" s="37"/>
      <c r="C182" s="37"/>
      <c r="D182" s="37"/>
      <c r="E182" s="37"/>
      <c r="F182" s="38"/>
      <c r="G182" s="37"/>
      <c r="H182" s="37"/>
      <c r="I182" s="37"/>
      <c r="J182" s="37"/>
      <c r="K182" s="37"/>
      <c r="L182" s="300"/>
      <c r="M182" s="300"/>
      <c r="N182" s="300"/>
      <c r="O182" s="300"/>
      <c r="P182" s="300"/>
      <c r="Q182" s="300"/>
      <c r="R182" s="300"/>
      <c r="S182" s="300"/>
      <c r="T182" s="300"/>
      <c r="U182" s="37"/>
      <c r="V182" s="37"/>
      <c r="W182" s="37"/>
      <c r="X182" s="37"/>
      <c r="Y182" s="37"/>
      <c r="Z182" s="37"/>
      <c r="AA182" s="37"/>
      <c r="AB182" s="37"/>
    </row>
    <row r="183" spans="2:28" x14ac:dyDescent="0.2">
      <c r="B183" s="37"/>
      <c r="C183" s="37"/>
      <c r="D183" s="37"/>
      <c r="E183" s="37"/>
      <c r="F183" s="38"/>
      <c r="G183" s="37"/>
      <c r="H183" s="37"/>
      <c r="I183" s="37"/>
      <c r="J183" s="37"/>
      <c r="K183" s="37"/>
      <c r="L183" s="300"/>
      <c r="M183" s="300"/>
      <c r="N183" s="300"/>
      <c r="O183" s="300"/>
      <c r="P183" s="300"/>
      <c r="Q183" s="300"/>
      <c r="R183" s="300"/>
      <c r="S183" s="300"/>
      <c r="T183" s="300"/>
      <c r="U183" s="37"/>
      <c r="V183" s="37"/>
      <c r="W183" s="37"/>
      <c r="X183" s="37"/>
      <c r="Y183" s="37"/>
      <c r="Z183" s="37"/>
      <c r="AA183" s="37"/>
      <c r="AB183" s="37"/>
    </row>
    <row r="184" spans="2:28" x14ac:dyDescent="0.2">
      <c r="B184" s="37"/>
      <c r="C184" s="37"/>
      <c r="D184" s="37"/>
      <c r="E184" s="37"/>
      <c r="F184" s="38"/>
      <c r="G184" s="37"/>
      <c r="H184" s="37"/>
      <c r="I184" s="37"/>
      <c r="J184" s="37"/>
      <c r="K184" s="37"/>
      <c r="L184" s="300"/>
      <c r="M184" s="300"/>
      <c r="N184" s="300"/>
      <c r="O184" s="300"/>
      <c r="P184" s="300"/>
      <c r="Q184" s="300"/>
      <c r="R184" s="300"/>
      <c r="S184" s="300"/>
      <c r="T184" s="300"/>
      <c r="U184" s="37"/>
      <c r="V184" s="37"/>
      <c r="W184" s="37"/>
      <c r="X184" s="37"/>
      <c r="Y184" s="37"/>
      <c r="Z184" s="37"/>
      <c r="AA184" s="37"/>
      <c r="AB184" s="37"/>
    </row>
    <row r="185" spans="2:28" x14ac:dyDescent="0.2">
      <c r="B185" s="37"/>
      <c r="C185" s="37"/>
      <c r="D185" s="37"/>
      <c r="E185" s="37"/>
      <c r="F185" s="38"/>
      <c r="G185" s="37"/>
      <c r="H185" s="37"/>
      <c r="I185" s="37"/>
      <c r="J185" s="37"/>
      <c r="K185" s="37"/>
      <c r="L185" s="300"/>
      <c r="M185" s="300"/>
      <c r="N185" s="300"/>
      <c r="O185" s="300"/>
      <c r="P185" s="300"/>
      <c r="Q185" s="300"/>
      <c r="R185" s="300"/>
      <c r="S185" s="300"/>
      <c r="T185" s="300"/>
      <c r="U185" s="37"/>
      <c r="V185" s="37"/>
      <c r="W185" s="37"/>
      <c r="X185" s="37"/>
      <c r="Y185" s="37"/>
      <c r="Z185" s="37"/>
      <c r="AA185" s="37"/>
      <c r="AB185" s="37"/>
    </row>
    <row r="186" spans="2:28" x14ac:dyDescent="0.2">
      <c r="B186" s="37"/>
      <c r="C186" s="37"/>
      <c r="D186" s="37"/>
      <c r="E186" s="37"/>
      <c r="F186" s="38"/>
      <c r="G186" s="37"/>
      <c r="H186" s="37"/>
      <c r="I186" s="37"/>
      <c r="J186" s="37"/>
      <c r="K186" s="37"/>
      <c r="L186" s="300"/>
      <c r="M186" s="300"/>
      <c r="N186" s="300"/>
      <c r="O186" s="300"/>
      <c r="P186" s="300"/>
      <c r="Q186" s="300"/>
      <c r="R186" s="300"/>
      <c r="S186" s="300"/>
      <c r="T186" s="300"/>
      <c r="U186" s="37"/>
      <c r="V186" s="37"/>
      <c r="W186" s="37"/>
      <c r="X186" s="37"/>
      <c r="Y186" s="37"/>
      <c r="Z186" s="37"/>
      <c r="AA186" s="37"/>
      <c r="AB186" s="37"/>
    </row>
    <row r="187" spans="2:28" x14ac:dyDescent="0.2">
      <c r="B187" s="37"/>
      <c r="C187" s="37"/>
      <c r="D187" s="37"/>
      <c r="E187" s="37"/>
      <c r="F187" s="38"/>
      <c r="G187" s="37"/>
      <c r="H187" s="37"/>
      <c r="I187" s="37"/>
      <c r="J187" s="37"/>
      <c r="K187" s="37"/>
      <c r="L187" s="300"/>
      <c r="M187" s="300"/>
      <c r="N187" s="300"/>
      <c r="O187" s="300"/>
      <c r="P187" s="300"/>
      <c r="Q187" s="300"/>
      <c r="R187" s="300"/>
      <c r="S187" s="300"/>
      <c r="T187" s="300"/>
      <c r="U187" s="37"/>
      <c r="V187" s="37"/>
      <c r="W187" s="37"/>
      <c r="X187" s="37"/>
      <c r="Y187" s="37"/>
      <c r="Z187" s="37"/>
      <c r="AA187" s="37"/>
      <c r="AB187" s="37"/>
    </row>
    <row r="188" spans="2:28" x14ac:dyDescent="0.2">
      <c r="B188" s="37"/>
      <c r="C188" s="37"/>
      <c r="D188" s="37"/>
      <c r="E188" s="37"/>
      <c r="F188" s="38"/>
      <c r="G188" s="37"/>
      <c r="H188" s="37"/>
      <c r="I188" s="37"/>
      <c r="J188" s="37"/>
      <c r="K188" s="37"/>
      <c r="L188" s="300"/>
      <c r="M188" s="300"/>
      <c r="N188" s="300"/>
      <c r="O188" s="300"/>
      <c r="P188" s="300"/>
      <c r="Q188" s="300"/>
      <c r="R188" s="300"/>
      <c r="S188" s="300"/>
      <c r="T188" s="300"/>
      <c r="U188" s="37"/>
      <c r="V188" s="37"/>
      <c r="W188" s="37"/>
      <c r="X188" s="37"/>
      <c r="Y188" s="37"/>
      <c r="Z188" s="37"/>
      <c r="AA188" s="37"/>
      <c r="AB188" s="37"/>
    </row>
    <row r="189" spans="2:28" x14ac:dyDescent="0.2">
      <c r="B189" s="37"/>
      <c r="C189" s="37"/>
      <c r="D189" s="37"/>
      <c r="E189" s="37"/>
      <c r="F189" s="38"/>
      <c r="G189" s="37"/>
      <c r="H189" s="37"/>
      <c r="I189" s="37"/>
      <c r="J189" s="37"/>
      <c r="K189" s="37"/>
      <c r="L189" s="300"/>
      <c r="M189" s="300"/>
      <c r="N189" s="300"/>
      <c r="O189" s="300"/>
      <c r="P189" s="300"/>
      <c r="Q189" s="300"/>
      <c r="R189" s="300"/>
      <c r="S189" s="300"/>
      <c r="T189" s="300"/>
      <c r="U189" s="37"/>
      <c r="V189" s="37"/>
      <c r="W189" s="37"/>
      <c r="X189" s="37"/>
      <c r="Y189" s="37"/>
      <c r="Z189" s="37"/>
      <c r="AA189" s="37"/>
      <c r="AB189" s="37"/>
    </row>
    <row r="190" spans="2:28" x14ac:dyDescent="0.2">
      <c r="B190" s="37"/>
      <c r="C190" s="37"/>
      <c r="D190" s="37"/>
      <c r="E190" s="37"/>
      <c r="F190" s="38"/>
      <c r="G190" s="37"/>
      <c r="H190" s="37"/>
      <c r="I190" s="37"/>
      <c r="J190" s="37"/>
      <c r="K190" s="37"/>
      <c r="L190" s="300"/>
      <c r="M190" s="300"/>
      <c r="N190" s="300"/>
      <c r="O190" s="300"/>
      <c r="P190" s="300"/>
      <c r="Q190" s="300"/>
      <c r="R190" s="300"/>
      <c r="S190" s="300"/>
      <c r="T190" s="300"/>
      <c r="U190" s="37"/>
      <c r="V190" s="37"/>
      <c r="W190" s="37"/>
      <c r="X190" s="37"/>
      <c r="Y190" s="37"/>
      <c r="Z190" s="37"/>
      <c r="AA190" s="37"/>
      <c r="AB190" s="37"/>
    </row>
    <row r="191" spans="2:28" x14ac:dyDescent="0.2">
      <c r="B191" s="37"/>
      <c r="C191" s="37"/>
      <c r="D191" s="37"/>
      <c r="E191" s="37"/>
      <c r="F191" s="38"/>
      <c r="G191" s="37"/>
      <c r="H191" s="37"/>
      <c r="I191" s="37"/>
      <c r="J191" s="37"/>
      <c r="K191" s="37"/>
      <c r="L191" s="300"/>
      <c r="M191" s="300"/>
      <c r="N191" s="300"/>
      <c r="O191" s="300"/>
      <c r="P191" s="300"/>
      <c r="Q191" s="300"/>
      <c r="R191" s="300"/>
      <c r="S191" s="300"/>
      <c r="T191" s="300"/>
      <c r="U191" s="37"/>
      <c r="V191" s="37"/>
      <c r="W191" s="37"/>
      <c r="X191" s="37"/>
      <c r="Y191" s="37"/>
      <c r="Z191" s="37"/>
      <c r="AA191" s="37"/>
      <c r="AB191" s="37"/>
    </row>
    <row r="192" spans="2:28" x14ac:dyDescent="0.2">
      <c r="B192" s="37"/>
      <c r="C192" s="37"/>
      <c r="D192" s="37"/>
      <c r="E192" s="37"/>
      <c r="F192" s="38"/>
      <c r="G192" s="37"/>
      <c r="H192" s="37"/>
      <c r="I192" s="37"/>
      <c r="J192" s="37"/>
      <c r="K192" s="37"/>
      <c r="L192" s="300"/>
      <c r="M192" s="300"/>
      <c r="N192" s="300"/>
      <c r="O192" s="300"/>
      <c r="P192" s="300"/>
      <c r="Q192" s="300"/>
      <c r="R192" s="300"/>
      <c r="S192" s="300"/>
      <c r="T192" s="300"/>
      <c r="U192" s="37"/>
      <c r="V192" s="37"/>
      <c r="W192" s="37"/>
      <c r="X192" s="37"/>
      <c r="Y192" s="37"/>
      <c r="Z192" s="37"/>
      <c r="AA192" s="37"/>
      <c r="AB192" s="37"/>
    </row>
    <row r="193" spans="2:28" x14ac:dyDescent="0.2">
      <c r="B193" s="37"/>
      <c r="C193" s="37"/>
      <c r="D193" s="37"/>
      <c r="E193" s="37"/>
      <c r="F193" s="38"/>
      <c r="G193" s="37"/>
      <c r="H193" s="37"/>
      <c r="I193" s="37"/>
      <c r="J193" s="37"/>
      <c r="K193" s="37"/>
      <c r="L193" s="300"/>
      <c r="M193" s="300"/>
      <c r="N193" s="300"/>
      <c r="O193" s="300"/>
      <c r="P193" s="300"/>
      <c r="Q193" s="300"/>
      <c r="R193" s="300"/>
      <c r="S193" s="300"/>
      <c r="T193" s="300"/>
      <c r="U193" s="37"/>
      <c r="V193" s="37"/>
      <c r="W193" s="37"/>
      <c r="X193" s="37"/>
      <c r="Y193" s="37"/>
      <c r="Z193" s="37"/>
      <c r="AA193" s="37"/>
      <c r="AB193" s="37"/>
    </row>
    <row r="194" spans="2:28" x14ac:dyDescent="0.2">
      <c r="B194" s="37"/>
      <c r="C194" s="37"/>
      <c r="D194" s="37"/>
      <c r="E194" s="37"/>
      <c r="F194" s="38"/>
      <c r="G194" s="37"/>
      <c r="H194" s="37"/>
      <c r="I194" s="37"/>
      <c r="J194" s="37"/>
      <c r="K194" s="37"/>
      <c r="L194" s="300"/>
      <c r="M194" s="300"/>
      <c r="N194" s="300"/>
      <c r="O194" s="300"/>
      <c r="P194" s="300"/>
      <c r="Q194" s="300"/>
      <c r="R194" s="300"/>
      <c r="S194" s="300"/>
      <c r="T194" s="300"/>
      <c r="U194" s="37"/>
      <c r="V194" s="37"/>
      <c r="W194" s="37"/>
      <c r="X194" s="37"/>
      <c r="Y194" s="37"/>
      <c r="Z194" s="37"/>
      <c r="AA194" s="37"/>
      <c r="AB194" s="37"/>
    </row>
    <row r="195" spans="2:28" x14ac:dyDescent="0.2">
      <c r="B195" s="37"/>
      <c r="C195" s="37"/>
      <c r="D195" s="37"/>
      <c r="E195" s="37"/>
      <c r="F195" s="38"/>
      <c r="G195" s="37"/>
      <c r="H195" s="37"/>
      <c r="I195" s="37"/>
      <c r="J195" s="37"/>
      <c r="K195" s="37"/>
      <c r="L195" s="300"/>
      <c r="M195" s="300"/>
      <c r="N195" s="300"/>
      <c r="O195" s="300"/>
      <c r="P195" s="300"/>
      <c r="Q195" s="300"/>
      <c r="R195" s="300"/>
      <c r="S195" s="300"/>
      <c r="T195" s="300"/>
      <c r="U195" s="37"/>
      <c r="V195" s="37"/>
      <c r="W195" s="37"/>
      <c r="X195" s="37"/>
      <c r="Y195" s="37"/>
      <c r="Z195" s="37"/>
      <c r="AA195" s="37"/>
      <c r="AB195" s="37"/>
    </row>
    <row r="196" spans="2:28" x14ac:dyDescent="0.2">
      <c r="B196" s="37"/>
      <c r="C196" s="37"/>
      <c r="D196" s="37"/>
      <c r="E196" s="37"/>
      <c r="F196" s="38"/>
      <c r="G196" s="37"/>
      <c r="H196" s="37"/>
      <c r="I196" s="37"/>
      <c r="J196" s="37"/>
      <c r="K196" s="37"/>
      <c r="L196" s="300"/>
      <c r="M196" s="300"/>
      <c r="N196" s="300"/>
      <c r="O196" s="300"/>
      <c r="P196" s="300"/>
      <c r="Q196" s="300"/>
      <c r="R196" s="300"/>
      <c r="S196" s="300"/>
      <c r="T196" s="300"/>
      <c r="U196" s="37"/>
      <c r="V196" s="37"/>
      <c r="W196" s="37"/>
      <c r="X196" s="37"/>
      <c r="Y196" s="37"/>
      <c r="Z196" s="37"/>
      <c r="AA196" s="37"/>
      <c r="AB196" s="37"/>
    </row>
    <row r="197" spans="2:28" x14ac:dyDescent="0.2">
      <c r="B197" s="37"/>
      <c r="C197" s="37"/>
      <c r="D197" s="37"/>
      <c r="E197" s="37"/>
      <c r="F197" s="38"/>
      <c r="G197" s="37"/>
      <c r="H197" s="37"/>
      <c r="I197" s="37"/>
      <c r="J197" s="37"/>
      <c r="K197" s="37"/>
      <c r="L197" s="300"/>
      <c r="M197" s="300"/>
      <c r="N197" s="300"/>
      <c r="O197" s="300"/>
      <c r="P197" s="300"/>
      <c r="Q197" s="300"/>
      <c r="R197" s="300"/>
      <c r="S197" s="300"/>
      <c r="T197" s="300"/>
      <c r="U197" s="37"/>
      <c r="V197" s="37"/>
      <c r="W197" s="37"/>
      <c r="X197" s="37"/>
      <c r="Y197" s="37"/>
      <c r="Z197" s="37"/>
      <c r="AA197" s="37"/>
      <c r="AB197" s="37"/>
    </row>
    <row r="198" spans="2:28" x14ac:dyDescent="0.2">
      <c r="B198" s="37"/>
      <c r="C198" s="37"/>
      <c r="D198" s="37"/>
      <c r="E198" s="37"/>
      <c r="F198" s="38"/>
      <c r="G198" s="37"/>
      <c r="H198" s="37"/>
      <c r="I198" s="37"/>
      <c r="J198" s="37"/>
      <c r="K198" s="37"/>
      <c r="L198" s="300"/>
      <c r="M198" s="300"/>
      <c r="N198" s="300"/>
      <c r="O198" s="300"/>
      <c r="P198" s="300"/>
      <c r="Q198" s="300"/>
      <c r="R198" s="300"/>
      <c r="S198" s="300"/>
      <c r="T198" s="300"/>
      <c r="U198" s="37"/>
      <c r="V198" s="37"/>
      <c r="W198" s="37"/>
      <c r="X198" s="37"/>
      <c r="Y198" s="37"/>
      <c r="Z198" s="37"/>
      <c r="AA198" s="37"/>
      <c r="AB198" s="37"/>
    </row>
    <row r="199" spans="2:28" x14ac:dyDescent="0.2">
      <c r="B199" s="37"/>
      <c r="C199" s="37"/>
      <c r="D199" s="37"/>
      <c r="E199" s="37"/>
      <c r="F199" s="38"/>
      <c r="G199" s="37"/>
      <c r="H199" s="37"/>
      <c r="I199" s="37"/>
      <c r="J199" s="37"/>
      <c r="K199" s="37"/>
      <c r="L199" s="300"/>
      <c r="M199" s="300"/>
      <c r="N199" s="300"/>
      <c r="O199" s="300"/>
      <c r="P199" s="300"/>
      <c r="Q199" s="300"/>
      <c r="R199" s="300"/>
      <c r="S199" s="300"/>
      <c r="T199" s="300"/>
      <c r="U199" s="37"/>
      <c r="V199" s="37"/>
      <c r="W199" s="37"/>
      <c r="X199" s="37"/>
      <c r="Y199" s="37"/>
      <c r="Z199" s="37"/>
      <c r="AA199" s="37"/>
      <c r="AB199" s="37"/>
    </row>
    <row r="200" spans="2:28" x14ac:dyDescent="0.2">
      <c r="B200" s="37"/>
      <c r="C200" s="37"/>
      <c r="D200" s="37"/>
      <c r="E200" s="37"/>
      <c r="F200" s="38"/>
      <c r="G200" s="37"/>
      <c r="H200" s="37"/>
      <c r="I200" s="37"/>
      <c r="J200" s="37"/>
      <c r="K200" s="37"/>
      <c r="L200" s="300"/>
      <c r="M200" s="300"/>
      <c r="N200" s="300"/>
      <c r="O200" s="300"/>
      <c r="P200" s="300"/>
      <c r="Q200" s="300"/>
      <c r="R200" s="300"/>
      <c r="S200" s="300"/>
      <c r="T200" s="300"/>
      <c r="U200" s="37"/>
      <c r="V200" s="37"/>
      <c r="W200" s="37"/>
      <c r="X200" s="37"/>
      <c r="Y200" s="37"/>
      <c r="Z200" s="37"/>
      <c r="AA200" s="37"/>
      <c r="AB200" s="37"/>
    </row>
    <row r="201" spans="2:28" x14ac:dyDescent="0.2">
      <c r="B201" s="37"/>
      <c r="C201" s="37"/>
      <c r="D201" s="37"/>
      <c r="E201" s="37"/>
      <c r="F201" s="38"/>
      <c r="G201" s="37"/>
      <c r="H201" s="37"/>
      <c r="I201" s="37"/>
      <c r="J201" s="37"/>
      <c r="K201" s="37"/>
      <c r="L201" s="300"/>
      <c r="M201" s="300"/>
      <c r="N201" s="300"/>
      <c r="O201" s="300"/>
      <c r="P201" s="300"/>
      <c r="Q201" s="300"/>
      <c r="R201" s="300"/>
      <c r="S201" s="300"/>
      <c r="T201" s="300"/>
      <c r="U201" s="37"/>
      <c r="V201" s="37"/>
      <c r="W201" s="37"/>
      <c r="X201" s="37"/>
      <c r="Y201" s="37"/>
      <c r="Z201" s="37"/>
      <c r="AA201" s="37"/>
      <c r="AB201" s="37"/>
    </row>
    <row r="202" spans="2:28" x14ac:dyDescent="0.2">
      <c r="B202" s="37"/>
      <c r="C202" s="37"/>
      <c r="D202" s="37"/>
      <c r="E202" s="37"/>
      <c r="F202" s="38"/>
      <c r="G202" s="37"/>
      <c r="H202" s="37"/>
      <c r="I202" s="37"/>
      <c r="J202" s="37"/>
      <c r="K202" s="37"/>
      <c r="L202" s="300"/>
      <c r="M202" s="300"/>
      <c r="N202" s="300"/>
      <c r="O202" s="300"/>
      <c r="P202" s="300"/>
      <c r="Q202" s="300"/>
      <c r="R202" s="300"/>
      <c r="S202" s="300"/>
      <c r="T202" s="300"/>
      <c r="U202" s="37"/>
      <c r="V202" s="37"/>
      <c r="W202" s="37"/>
      <c r="X202" s="37"/>
      <c r="Y202" s="37"/>
      <c r="Z202" s="37"/>
      <c r="AA202" s="37"/>
      <c r="AB202" s="37"/>
    </row>
    <row r="203" spans="2:28" x14ac:dyDescent="0.2">
      <c r="B203" s="37"/>
      <c r="C203" s="37"/>
      <c r="D203" s="37"/>
      <c r="E203" s="37"/>
      <c r="F203" s="38"/>
      <c r="G203" s="37"/>
      <c r="H203" s="37"/>
      <c r="I203" s="37"/>
      <c r="J203" s="37"/>
      <c r="K203" s="37"/>
      <c r="L203" s="300"/>
      <c r="M203" s="300"/>
      <c r="N203" s="300"/>
      <c r="O203" s="300"/>
      <c r="P203" s="300"/>
      <c r="Q203" s="300"/>
      <c r="R203" s="300"/>
      <c r="S203" s="300"/>
      <c r="T203" s="300"/>
      <c r="U203" s="37"/>
      <c r="V203" s="37"/>
      <c r="W203" s="37"/>
      <c r="X203" s="37"/>
      <c r="Y203" s="37"/>
      <c r="Z203" s="37"/>
      <c r="AA203" s="37"/>
      <c r="AB203" s="37"/>
    </row>
    <row r="204" spans="2:28" x14ac:dyDescent="0.2">
      <c r="B204" s="37"/>
      <c r="C204" s="37"/>
      <c r="D204" s="37"/>
      <c r="E204" s="37"/>
      <c r="F204" s="38"/>
      <c r="G204" s="37"/>
      <c r="H204" s="37"/>
      <c r="I204" s="37"/>
      <c r="J204" s="37"/>
      <c r="K204" s="37"/>
      <c r="L204" s="300"/>
      <c r="M204" s="300"/>
      <c r="N204" s="300"/>
      <c r="O204" s="300"/>
      <c r="P204" s="300"/>
      <c r="Q204" s="300"/>
      <c r="R204" s="300"/>
      <c r="S204" s="300"/>
      <c r="T204" s="300"/>
      <c r="U204" s="37"/>
      <c r="V204" s="37"/>
      <c r="W204" s="37"/>
      <c r="X204" s="37"/>
      <c r="Y204" s="37"/>
      <c r="Z204" s="37"/>
      <c r="AA204" s="37"/>
      <c r="AB204" s="37"/>
    </row>
    <row r="205" spans="2:28" x14ac:dyDescent="0.2">
      <c r="B205" s="37"/>
      <c r="C205" s="37"/>
      <c r="D205" s="37"/>
      <c r="E205" s="37"/>
      <c r="F205" s="38"/>
      <c r="G205" s="37"/>
      <c r="H205" s="37"/>
      <c r="I205" s="37"/>
      <c r="J205" s="37"/>
      <c r="K205" s="37"/>
      <c r="L205" s="300"/>
      <c r="M205" s="300"/>
      <c r="N205" s="300"/>
      <c r="O205" s="300"/>
      <c r="P205" s="300"/>
      <c r="Q205" s="300"/>
      <c r="R205" s="300"/>
      <c r="S205" s="300"/>
      <c r="T205" s="300"/>
      <c r="U205" s="37"/>
      <c r="V205" s="37"/>
      <c r="W205" s="37"/>
      <c r="X205" s="37"/>
      <c r="Y205" s="37"/>
      <c r="Z205" s="37"/>
      <c r="AA205" s="37"/>
      <c r="AB205" s="37"/>
    </row>
    <row r="206" spans="2:28" x14ac:dyDescent="0.2">
      <c r="B206" s="37"/>
      <c r="C206" s="37"/>
      <c r="D206" s="37"/>
      <c r="E206" s="37"/>
      <c r="F206" s="38"/>
      <c r="G206" s="37"/>
      <c r="H206" s="37"/>
      <c r="I206" s="37"/>
      <c r="J206" s="37"/>
      <c r="K206" s="37"/>
      <c r="L206" s="300"/>
      <c r="M206" s="300"/>
      <c r="N206" s="300"/>
      <c r="O206" s="300"/>
      <c r="P206" s="300"/>
      <c r="Q206" s="300"/>
      <c r="R206" s="300"/>
      <c r="S206" s="300"/>
      <c r="T206" s="300"/>
      <c r="U206" s="37"/>
      <c r="V206" s="37"/>
      <c r="W206" s="37"/>
      <c r="X206" s="37"/>
      <c r="Y206" s="37"/>
      <c r="Z206" s="37"/>
      <c r="AA206" s="37"/>
      <c r="AB206" s="37"/>
    </row>
    <row r="207" spans="2:28" x14ac:dyDescent="0.2">
      <c r="B207" s="37"/>
      <c r="C207" s="37"/>
      <c r="D207" s="37"/>
      <c r="E207" s="37"/>
      <c r="F207" s="38"/>
      <c r="G207" s="37"/>
      <c r="H207" s="37"/>
      <c r="I207" s="37"/>
      <c r="J207" s="37"/>
      <c r="K207" s="37"/>
      <c r="L207" s="300"/>
      <c r="M207" s="300"/>
      <c r="N207" s="300"/>
      <c r="O207" s="300"/>
      <c r="P207" s="300"/>
      <c r="Q207" s="300"/>
      <c r="R207" s="300"/>
      <c r="S207" s="300"/>
      <c r="T207" s="300"/>
      <c r="U207" s="37"/>
      <c r="V207" s="37"/>
      <c r="W207" s="37"/>
      <c r="X207" s="37"/>
      <c r="Y207" s="37"/>
      <c r="Z207" s="37"/>
      <c r="AA207" s="37"/>
      <c r="AB207" s="37"/>
    </row>
    <row r="208" spans="2:28" x14ac:dyDescent="0.2">
      <c r="B208" s="37"/>
      <c r="C208" s="37"/>
      <c r="D208" s="37"/>
      <c r="E208" s="37"/>
      <c r="F208" s="38"/>
      <c r="G208" s="37"/>
      <c r="H208" s="37"/>
      <c r="I208" s="37"/>
      <c r="J208" s="37"/>
      <c r="K208" s="37"/>
      <c r="L208" s="300"/>
      <c r="M208" s="300"/>
      <c r="N208" s="300"/>
      <c r="O208" s="300"/>
      <c r="P208" s="300"/>
      <c r="Q208" s="300"/>
      <c r="R208" s="300"/>
      <c r="S208" s="300"/>
      <c r="T208" s="300"/>
      <c r="U208" s="37"/>
      <c r="V208" s="37"/>
      <c r="W208" s="37"/>
      <c r="X208" s="37"/>
      <c r="Y208" s="37"/>
      <c r="Z208" s="37"/>
      <c r="AA208" s="37"/>
      <c r="AB208" s="37"/>
    </row>
    <row r="209" spans="2:28" x14ac:dyDescent="0.2">
      <c r="B209" s="37"/>
      <c r="C209" s="37"/>
      <c r="D209" s="37"/>
      <c r="E209" s="37"/>
      <c r="F209" s="38"/>
      <c r="G209" s="37"/>
      <c r="H209" s="37"/>
      <c r="I209" s="37"/>
      <c r="J209" s="37"/>
      <c r="K209" s="37"/>
      <c r="L209" s="300"/>
      <c r="M209" s="300"/>
      <c r="N209" s="300"/>
      <c r="O209" s="300"/>
      <c r="P209" s="300"/>
      <c r="Q209" s="300"/>
      <c r="R209" s="300"/>
      <c r="S209" s="300"/>
      <c r="T209" s="300"/>
      <c r="U209" s="37"/>
      <c r="V209" s="37"/>
      <c r="W209" s="37"/>
      <c r="X209" s="37"/>
      <c r="Y209" s="37"/>
      <c r="Z209" s="37"/>
      <c r="AA209" s="37"/>
      <c r="AB209" s="37"/>
    </row>
    <row r="210" spans="2:28" x14ac:dyDescent="0.2">
      <c r="B210" s="37"/>
      <c r="C210" s="37"/>
      <c r="D210" s="37"/>
      <c r="E210" s="37"/>
      <c r="F210" s="38"/>
      <c r="G210" s="37"/>
      <c r="H210" s="37"/>
      <c r="I210" s="37"/>
      <c r="J210" s="37"/>
      <c r="K210" s="37"/>
      <c r="L210" s="300"/>
      <c r="M210" s="300"/>
      <c r="N210" s="300"/>
      <c r="O210" s="300"/>
      <c r="P210" s="300"/>
      <c r="Q210" s="300"/>
      <c r="R210" s="300"/>
      <c r="S210" s="300"/>
      <c r="T210" s="300"/>
      <c r="U210" s="37"/>
      <c r="V210" s="37"/>
      <c r="W210" s="37"/>
      <c r="X210" s="37"/>
      <c r="Y210" s="37"/>
      <c r="Z210" s="37"/>
      <c r="AA210" s="37"/>
      <c r="AB210" s="37"/>
    </row>
    <row r="211" spans="2:28" x14ac:dyDescent="0.2">
      <c r="B211" s="37"/>
      <c r="C211" s="37"/>
      <c r="D211" s="37"/>
      <c r="E211" s="37"/>
      <c r="F211" s="38"/>
      <c r="G211" s="37"/>
      <c r="H211" s="37"/>
      <c r="I211" s="37"/>
      <c r="J211" s="37"/>
      <c r="K211" s="37"/>
      <c r="L211" s="300"/>
      <c r="M211" s="300"/>
      <c r="N211" s="300"/>
      <c r="O211" s="300"/>
      <c r="P211" s="300"/>
      <c r="Q211" s="300"/>
      <c r="R211" s="300"/>
      <c r="S211" s="300"/>
      <c r="T211" s="300"/>
      <c r="U211" s="37"/>
      <c r="V211" s="37"/>
      <c r="W211" s="37"/>
      <c r="X211" s="37"/>
      <c r="Y211" s="37"/>
      <c r="Z211" s="37"/>
      <c r="AA211" s="37"/>
      <c r="AB211" s="37"/>
    </row>
    <row r="212" spans="2:28" x14ac:dyDescent="0.2">
      <c r="B212" s="37"/>
      <c r="C212" s="37"/>
      <c r="D212" s="37"/>
      <c r="E212" s="37"/>
      <c r="F212" s="38"/>
      <c r="G212" s="37"/>
      <c r="H212" s="37"/>
      <c r="I212" s="37"/>
      <c r="J212" s="37"/>
      <c r="K212" s="37"/>
      <c r="L212" s="300"/>
      <c r="M212" s="300"/>
      <c r="N212" s="300"/>
      <c r="O212" s="300"/>
      <c r="P212" s="300"/>
      <c r="Q212" s="300"/>
      <c r="R212" s="300"/>
      <c r="S212" s="300"/>
      <c r="T212" s="300"/>
      <c r="U212" s="37"/>
      <c r="V212" s="37"/>
      <c r="W212" s="37"/>
      <c r="X212" s="37"/>
      <c r="Y212" s="37"/>
      <c r="Z212" s="37"/>
      <c r="AA212" s="37"/>
      <c r="AB212" s="37"/>
    </row>
    <row r="213" spans="2:28" x14ac:dyDescent="0.2">
      <c r="B213" s="37"/>
      <c r="C213" s="37"/>
      <c r="D213" s="37"/>
      <c r="E213" s="37"/>
      <c r="F213" s="38"/>
      <c r="G213" s="37"/>
      <c r="H213" s="37"/>
      <c r="I213" s="37"/>
      <c r="J213" s="37"/>
      <c r="K213" s="37"/>
      <c r="L213" s="300"/>
      <c r="M213" s="300"/>
      <c r="N213" s="300"/>
      <c r="O213" s="300"/>
      <c r="P213" s="300"/>
      <c r="Q213" s="300"/>
      <c r="R213" s="300"/>
      <c r="S213" s="300"/>
      <c r="T213" s="300"/>
      <c r="U213" s="37"/>
      <c r="V213" s="37"/>
      <c r="W213" s="37"/>
      <c r="X213" s="37"/>
      <c r="Y213" s="37"/>
      <c r="Z213" s="37"/>
      <c r="AA213" s="37"/>
      <c r="AB213" s="37"/>
    </row>
    <row r="214" spans="2:28" x14ac:dyDescent="0.2">
      <c r="B214" s="37"/>
      <c r="C214" s="37"/>
      <c r="D214" s="37"/>
      <c r="E214" s="37"/>
      <c r="F214" s="38"/>
      <c r="G214" s="37"/>
      <c r="H214" s="37"/>
      <c r="I214" s="37"/>
      <c r="J214" s="37"/>
      <c r="K214" s="37"/>
      <c r="L214" s="300"/>
      <c r="M214" s="300"/>
      <c r="N214" s="300"/>
      <c r="O214" s="300"/>
      <c r="P214" s="300"/>
      <c r="Q214" s="300"/>
      <c r="R214" s="300"/>
      <c r="S214" s="300"/>
      <c r="T214" s="300"/>
      <c r="U214" s="37"/>
      <c r="V214" s="37"/>
      <c r="W214" s="37"/>
      <c r="X214" s="37"/>
      <c r="Y214" s="37"/>
      <c r="Z214" s="37"/>
      <c r="AA214" s="37"/>
      <c r="AB214" s="37"/>
    </row>
    <row r="215" spans="2:28" x14ac:dyDescent="0.2">
      <c r="B215" s="37"/>
      <c r="C215" s="37"/>
      <c r="D215" s="37"/>
      <c r="E215" s="37"/>
      <c r="F215" s="38"/>
      <c r="G215" s="37"/>
      <c r="H215" s="37"/>
      <c r="I215" s="37"/>
      <c r="J215" s="37"/>
      <c r="K215" s="37"/>
      <c r="L215" s="300"/>
      <c r="M215" s="300"/>
      <c r="N215" s="300"/>
      <c r="O215" s="300"/>
      <c r="P215" s="300"/>
      <c r="Q215" s="300"/>
      <c r="R215" s="300"/>
      <c r="S215" s="300"/>
      <c r="T215" s="300"/>
      <c r="U215" s="37"/>
      <c r="V215" s="37"/>
      <c r="W215" s="37"/>
      <c r="X215" s="37"/>
      <c r="Y215" s="37"/>
      <c r="Z215" s="37"/>
      <c r="AA215" s="37"/>
      <c r="AB215" s="37"/>
    </row>
    <row r="216" spans="2:28" x14ac:dyDescent="0.2">
      <c r="B216" s="37"/>
      <c r="C216" s="37"/>
      <c r="D216" s="37"/>
      <c r="E216" s="37"/>
      <c r="F216" s="38"/>
      <c r="G216" s="37"/>
      <c r="H216" s="37"/>
      <c r="I216" s="37"/>
      <c r="J216" s="37"/>
      <c r="K216" s="37"/>
      <c r="L216" s="300"/>
      <c r="M216" s="300"/>
      <c r="N216" s="300"/>
      <c r="O216" s="300"/>
      <c r="P216" s="300"/>
      <c r="Q216" s="300"/>
      <c r="R216" s="300"/>
      <c r="S216" s="300"/>
      <c r="T216" s="300"/>
      <c r="U216" s="37"/>
      <c r="V216" s="37"/>
      <c r="W216" s="37"/>
      <c r="X216" s="37"/>
      <c r="Y216" s="37"/>
      <c r="Z216" s="37"/>
      <c r="AA216" s="37"/>
      <c r="AB216" s="37"/>
    </row>
    <row r="217" spans="2:28" x14ac:dyDescent="0.2">
      <c r="B217" s="37"/>
      <c r="C217" s="37"/>
      <c r="D217" s="37"/>
      <c r="E217" s="37"/>
      <c r="F217" s="38"/>
      <c r="G217" s="37"/>
      <c r="H217" s="37"/>
      <c r="I217" s="37"/>
      <c r="J217" s="37"/>
      <c r="K217" s="37"/>
      <c r="L217" s="300"/>
      <c r="M217" s="300"/>
      <c r="N217" s="300"/>
      <c r="O217" s="300"/>
      <c r="P217" s="300"/>
      <c r="Q217" s="300"/>
      <c r="R217" s="300"/>
      <c r="S217" s="300"/>
      <c r="T217" s="300"/>
      <c r="U217" s="37"/>
      <c r="V217" s="37"/>
      <c r="W217" s="37"/>
      <c r="X217" s="37"/>
      <c r="Y217" s="37"/>
      <c r="Z217" s="37"/>
      <c r="AA217" s="37"/>
      <c r="AB217" s="37"/>
    </row>
    <row r="218" spans="2:28" x14ac:dyDescent="0.2">
      <c r="B218" s="37"/>
      <c r="C218" s="37"/>
      <c r="D218" s="37"/>
      <c r="E218" s="37"/>
      <c r="F218" s="38"/>
      <c r="G218" s="37"/>
      <c r="H218" s="37"/>
      <c r="I218" s="37"/>
      <c r="J218" s="37"/>
      <c r="K218" s="37"/>
      <c r="L218" s="300"/>
      <c r="M218" s="300"/>
      <c r="N218" s="300"/>
      <c r="O218" s="300"/>
      <c r="P218" s="300"/>
      <c r="Q218" s="300"/>
      <c r="R218" s="300"/>
      <c r="S218" s="300"/>
      <c r="T218" s="300"/>
      <c r="U218" s="37"/>
      <c r="V218" s="37"/>
      <c r="W218" s="37"/>
      <c r="X218" s="37"/>
      <c r="Y218" s="37"/>
      <c r="Z218" s="37"/>
      <c r="AA218" s="37"/>
      <c r="AB218" s="37"/>
    </row>
    <row r="219" spans="2:28" x14ac:dyDescent="0.2">
      <c r="B219" s="37"/>
      <c r="C219" s="37"/>
      <c r="D219" s="37"/>
      <c r="E219" s="37"/>
      <c r="F219" s="38"/>
      <c r="G219" s="37"/>
      <c r="H219" s="37"/>
      <c r="I219" s="37"/>
      <c r="J219" s="37"/>
      <c r="K219" s="37"/>
      <c r="L219" s="300"/>
      <c r="M219" s="300"/>
      <c r="N219" s="300"/>
      <c r="O219" s="300"/>
      <c r="P219" s="300"/>
      <c r="Q219" s="300"/>
      <c r="R219" s="300"/>
      <c r="S219" s="300"/>
      <c r="T219" s="300"/>
      <c r="U219" s="37"/>
      <c r="V219" s="37"/>
      <c r="W219" s="37"/>
      <c r="X219" s="37"/>
      <c r="Y219" s="37"/>
      <c r="Z219" s="37"/>
      <c r="AA219" s="37"/>
      <c r="AB219" s="37"/>
    </row>
    <row r="220" spans="2:28" x14ac:dyDescent="0.2">
      <c r="B220" s="37"/>
      <c r="C220" s="37"/>
      <c r="D220" s="37"/>
      <c r="E220" s="37"/>
      <c r="F220" s="38"/>
      <c r="G220" s="37"/>
      <c r="H220" s="37"/>
      <c r="I220" s="37"/>
      <c r="J220" s="37"/>
      <c r="K220" s="37"/>
      <c r="L220" s="300"/>
      <c r="M220" s="300"/>
      <c r="N220" s="300"/>
      <c r="O220" s="300"/>
      <c r="P220" s="300"/>
      <c r="Q220" s="300"/>
      <c r="R220" s="300"/>
      <c r="S220" s="300"/>
      <c r="T220" s="300"/>
      <c r="U220" s="37"/>
      <c r="V220" s="37"/>
      <c r="W220" s="37"/>
      <c r="X220" s="37"/>
      <c r="Y220" s="37"/>
      <c r="Z220" s="37"/>
      <c r="AA220" s="37"/>
      <c r="AB220" s="37"/>
    </row>
    <row r="221" spans="2:28" x14ac:dyDescent="0.2">
      <c r="B221" s="37"/>
      <c r="C221" s="37"/>
      <c r="D221" s="37"/>
      <c r="E221" s="37"/>
      <c r="F221" s="38"/>
      <c r="G221" s="37"/>
      <c r="H221" s="37"/>
      <c r="I221" s="37"/>
      <c r="J221" s="37"/>
      <c r="K221" s="37"/>
      <c r="L221" s="300"/>
      <c r="M221" s="300"/>
      <c r="N221" s="300"/>
      <c r="O221" s="300"/>
      <c r="P221" s="300"/>
      <c r="Q221" s="300"/>
      <c r="R221" s="300"/>
      <c r="S221" s="300"/>
      <c r="T221" s="300"/>
      <c r="U221" s="37"/>
      <c r="V221" s="37"/>
      <c r="W221" s="37"/>
      <c r="X221" s="37"/>
      <c r="Y221" s="37"/>
      <c r="Z221" s="37"/>
      <c r="AA221" s="37"/>
      <c r="AB221" s="37"/>
    </row>
    <row r="222" spans="2:28" x14ac:dyDescent="0.2">
      <c r="B222" s="37"/>
      <c r="C222" s="37"/>
      <c r="D222" s="37"/>
      <c r="E222" s="37"/>
      <c r="F222" s="38"/>
      <c r="G222" s="37"/>
      <c r="H222" s="37"/>
      <c r="I222" s="37"/>
      <c r="J222" s="37"/>
      <c r="K222" s="37"/>
      <c r="L222" s="300"/>
      <c r="M222" s="300"/>
      <c r="N222" s="300"/>
      <c r="O222" s="300"/>
      <c r="P222" s="300"/>
      <c r="Q222" s="300"/>
      <c r="R222" s="300"/>
      <c r="S222" s="300"/>
      <c r="T222" s="300"/>
      <c r="U222" s="37"/>
      <c r="V222" s="37"/>
      <c r="W222" s="37"/>
      <c r="X222" s="37"/>
      <c r="Y222" s="37"/>
      <c r="Z222" s="37"/>
      <c r="AA222" s="37"/>
      <c r="AB222" s="37"/>
    </row>
    <row r="223" spans="2:28" x14ac:dyDescent="0.2">
      <c r="B223" s="37"/>
      <c r="C223" s="37"/>
      <c r="D223" s="37"/>
      <c r="E223" s="37"/>
      <c r="F223" s="38"/>
      <c r="G223" s="37"/>
      <c r="H223" s="37"/>
      <c r="I223" s="37"/>
      <c r="J223" s="37"/>
      <c r="K223" s="37"/>
      <c r="L223" s="300"/>
      <c r="M223" s="300"/>
      <c r="N223" s="300"/>
      <c r="O223" s="300"/>
      <c r="P223" s="300"/>
      <c r="Q223" s="300"/>
      <c r="R223" s="300"/>
      <c r="S223" s="300"/>
      <c r="T223" s="300"/>
      <c r="U223" s="37"/>
      <c r="V223" s="37"/>
      <c r="W223" s="37"/>
      <c r="X223" s="37"/>
      <c r="Y223" s="37"/>
      <c r="Z223" s="37"/>
      <c r="AA223" s="37"/>
      <c r="AB223" s="37"/>
    </row>
    <row r="224" spans="2:28" x14ac:dyDescent="0.2">
      <c r="B224" s="37"/>
      <c r="C224" s="37"/>
      <c r="D224" s="37"/>
      <c r="E224" s="37"/>
      <c r="F224" s="38"/>
      <c r="G224" s="37"/>
      <c r="H224" s="37"/>
      <c r="I224" s="37"/>
      <c r="J224" s="37"/>
      <c r="K224" s="37"/>
      <c r="L224" s="300"/>
      <c r="M224" s="300"/>
      <c r="N224" s="300"/>
      <c r="O224" s="300"/>
      <c r="P224" s="300"/>
      <c r="Q224" s="300"/>
      <c r="R224" s="300"/>
      <c r="S224" s="300"/>
      <c r="T224" s="300"/>
      <c r="U224" s="37"/>
      <c r="V224" s="37"/>
      <c r="W224" s="37"/>
      <c r="X224" s="37"/>
      <c r="Y224" s="37"/>
      <c r="Z224" s="37"/>
      <c r="AA224" s="37"/>
      <c r="AB224" s="37"/>
    </row>
    <row r="225" spans="2:28" x14ac:dyDescent="0.2">
      <c r="B225" s="37"/>
      <c r="C225" s="37"/>
      <c r="D225" s="37"/>
      <c r="E225" s="37"/>
      <c r="F225" s="38"/>
      <c r="G225" s="37"/>
      <c r="H225" s="37"/>
      <c r="I225" s="37"/>
      <c r="J225" s="37"/>
      <c r="K225" s="37"/>
      <c r="L225" s="300"/>
      <c r="M225" s="300"/>
      <c r="N225" s="300"/>
      <c r="O225" s="300"/>
      <c r="P225" s="300"/>
      <c r="Q225" s="300"/>
      <c r="R225" s="300"/>
      <c r="S225" s="300"/>
      <c r="T225" s="300"/>
      <c r="U225" s="37"/>
      <c r="V225" s="37"/>
      <c r="W225" s="37"/>
      <c r="X225" s="37"/>
      <c r="Y225" s="37"/>
      <c r="Z225" s="37"/>
      <c r="AA225" s="37"/>
      <c r="AB225" s="37"/>
    </row>
    <row r="226" spans="2:28" x14ac:dyDescent="0.2">
      <c r="B226" s="37"/>
      <c r="C226" s="37"/>
      <c r="D226" s="37"/>
      <c r="E226" s="37"/>
      <c r="F226" s="38"/>
      <c r="G226" s="37"/>
      <c r="H226" s="37"/>
      <c r="I226" s="37"/>
      <c r="J226" s="37"/>
      <c r="K226" s="37"/>
      <c r="L226" s="300"/>
      <c r="M226" s="300"/>
      <c r="N226" s="300"/>
      <c r="O226" s="300"/>
      <c r="P226" s="300"/>
      <c r="Q226" s="300"/>
      <c r="R226" s="300"/>
      <c r="S226" s="300"/>
      <c r="T226" s="300"/>
      <c r="U226" s="37"/>
      <c r="V226" s="37"/>
      <c r="W226" s="37"/>
      <c r="X226" s="37"/>
      <c r="Y226" s="37"/>
      <c r="Z226" s="37"/>
      <c r="AA226" s="37"/>
      <c r="AB226" s="37"/>
    </row>
    <row r="227" spans="2:28" x14ac:dyDescent="0.2">
      <c r="B227" s="37"/>
      <c r="C227" s="37"/>
      <c r="D227" s="37"/>
      <c r="E227" s="37"/>
      <c r="F227" s="38"/>
      <c r="G227" s="37"/>
      <c r="H227" s="37"/>
      <c r="I227" s="37"/>
      <c r="J227" s="37"/>
      <c r="K227" s="37"/>
      <c r="L227" s="300"/>
      <c r="M227" s="300"/>
      <c r="N227" s="300"/>
      <c r="O227" s="300"/>
      <c r="P227" s="300"/>
      <c r="Q227" s="300"/>
      <c r="R227" s="300"/>
      <c r="S227" s="300"/>
      <c r="T227" s="300"/>
      <c r="U227" s="37"/>
      <c r="V227" s="37"/>
      <c r="W227" s="37"/>
      <c r="X227" s="37"/>
      <c r="Y227" s="37"/>
      <c r="Z227" s="37"/>
      <c r="AA227" s="37"/>
      <c r="AB227" s="37"/>
    </row>
    <row r="228" spans="2:28" x14ac:dyDescent="0.2">
      <c r="B228" s="37"/>
      <c r="C228" s="37"/>
      <c r="D228" s="37"/>
      <c r="E228" s="37"/>
      <c r="F228" s="38"/>
      <c r="G228" s="37"/>
      <c r="H228" s="37"/>
      <c r="I228" s="37"/>
      <c r="J228" s="37"/>
      <c r="K228" s="37"/>
      <c r="L228" s="300"/>
      <c r="M228" s="300"/>
      <c r="N228" s="300"/>
      <c r="O228" s="300"/>
      <c r="P228" s="300"/>
      <c r="Q228" s="300"/>
      <c r="R228" s="300"/>
      <c r="S228" s="300"/>
      <c r="T228" s="300"/>
      <c r="U228" s="37"/>
      <c r="V228" s="37"/>
      <c r="W228" s="37"/>
      <c r="X228" s="37"/>
      <c r="Y228" s="37"/>
      <c r="Z228" s="37"/>
      <c r="AA228" s="37"/>
      <c r="AB228" s="37"/>
    </row>
    <row r="229" spans="2:28" x14ac:dyDescent="0.2">
      <c r="B229" s="37"/>
      <c r="C229" s="37"/>
      <c r="D229" s="37"/>
      <c r="E229" s="37"/>
      <c r="F229" s="38"/>
      <c r="G229" s="37"/>
      <c r="H229" s="37"/>
      <c r="I229" s="37"/>
      <c r="J229" s="37"/>
      <c r="K229" s="37"/>
      <c r="L229" s="300"/>
      <c r="M229" s="300"/>
      <c r="N229" s="300"/>
      <c r="O229" s="300"/>
      <c r="P229" s="300"/>
      <c r="Q229" s="300"/>
      <c r="R229" s="300"/>
      <c r="S229" s="300"/>
      <c r="T229" s="300"/>
      <c r="U229" s="37"/>
      <c r="V229" s="37"/>
      <c r="W229" s="37"/>
      <c r="X229" s="37"/>
      <c r="Y229" s="37"/>
      <c r="Z229" s="37"/>
      <c r="AA229" s="37"/>
      <c r="AB229" s="37"/>
    </row>
    <row r="230" spans="2:28" x14ac:dyDescent="0.2">
      <c r="B230" s="37"/>
      <c r="C230" s="37"/>
      <c r="D230" s="37"/>
      <c r="E230" s="37"/>
      <c r="F230" s="38"/>
      <c r="G230" s="37"/>
      <c r="H230" s="37"/>
      <c r="I230" s="37"/>
      <c r="J230" s="37"/>
      <c r="K230" s="37"/>
      <c r="L230" s="300"/>
      <c r="M230" s="300"/>
      <c r="N230" s="300"/>
      <c r="O230" s="300"/>
      <c r="P230" s="300"/>
      <c r="Q230" s="300"/>
      <c r="R230" s="300"/>
      <c r="S230" s="300"/>
      <c r="T230" s="300"/>
      <c r="U230" s="37"/>
      <c r="V230" s="37"/>
      <c r="W230" s="37"/>
      <c r="X230" s="37"/>
      <c r="Y230" s="37"/>
      <c r="Z230" s="37"/>
      <c r="AA230" s="37"/>
      <c r="AB230" s="37"/>
    </row>
    <row r="231" spans="2:28" x14ac:dyDescent="0.2">
      <c r="B231" s="37"/>
      <c r="C231" s="37"/>
      <c r="D231" s="37"/>
      <c r="E231" s="37"/>
      <c r="F231" s="38"/>
      <c r="G231" s="37"/>
      <c r="H231" s="37"/>
      <c r="I231" s="37"/>
      <c r="J231" s="37"/>
      <c r="K231" s="37"/>
      <c r="L231" s="300"/>
      <c r="M231" s="300"/>
      <c r="N231" s="300"/>
      <c r="O231" s="300"/>
      <c r="P231" s="300"/>
      <c r="Q231" s="300"/>
      <c r="R231" s="300"/>
      <c r="S231" s="300"/>
      <c r="T231" s="300"/>
      <c r="U231" s="37"/>
      <c r="V231" s="37"/>
      <c r="W231" s="37"/>
      <c r="X231" s="37"/>
      <c r="Y231" s="37"/>
      <c r="Z231" s="37"/>
      <c r="AA231" s="37"/>
      <c r="AB231" s="37"/>
    </row>
    <row r="232" spans="2:28" x14ac:dyDescent="0.2">
      <c r="B232" s="37"/>
      <c r="C232" s="37"/>
      <c r="D232" s="37"/>
      <c r="E232" s="37"/>
      <c r="F232" s="38"/>
      <c r="G232" s="37"/>
      <c r="H232" s="37"/>
      <c r="I232" s="37"/>
      <c r="J232" s="37"/>
      <c r="K232" s="37"/>
      <c r="L232" s="300"/>
      <c r="M232" s="300"/>
      <c r="N232" s="300"/>
      <c r="O232" s="300"/>
      <c r="P232" s="300"/>
      <c r="Q232" s="300"/>
      <c r="R232" s="300"/>
      <c r="S232" s="300"/>
      <c r="T232" s="300"/>
      <c r="U232" s="37"/>
      <c r="V232" s="37"/>
      <c r="W232" s="37"/>
      <c r="X232" s="37"/>
      <c r="Y232" s="37"/>
      <c r="Z232" s="37"/>
      <c r="AA232" s="37"/>
      <c r="AB232" s="37"/>
    </row>
    <row r="233" spans="2:28" x14ac:dyDescent="0.2">
      <c r="B233" s="37"/>
      <c r="C233" s="37"/>
      <c r="D233" s="37"/>
      <c r="E233" s="37"/>
      <c r="F233" s="38"/>
      <c r="G233" s="37"/>
      <c r="H233" s="37"/>
      <c r="I233" s="37"/>
      <c r="J233" s="37"/>
      <c r="K233" s="37"/>
      <c r="L233" s="300"/>
      <c r="M233" s="300"/>
      <c r="N233" s="300"/>
      <c r="O233" s="300"/>
      <c r="P233" s="300"/>
      <c r="Q233" s="300"/>
      <c r="R233" s="300"/>
      <c r="S233" s="300"/>
      <c r="T233" s="300"/>
      <c r="U233" s="37"/>
      <c r="V233" s="37"/>
      <c r="W233" s="37"/>
      <c r="X233" s="37"/>
      <c r="Y233" s="37"/>
      <c r="Z233" s="37"/>
      <c r="AA233" s="37"/>
      <c r="AB233" s="37"/>
    </row>
    <row r="234" spans="2:28" x14ac:dyDescent="0.2">
      <c r="B234" s="37"/>
      <c r="C234" s="37"/>
      <c r="D234" s="37"/>
      <c r="E234" s="37"/>
      <c r="F234" s="38"/>
      <c r="G234" s="37"/>
      <c r="H234" s="37"/>
      <c r="I234" s="37"/>
      <c r="J234" s="37"/>
      <c r="K234" s="37"/>
      <c r="L234" s="300"/>
      <c r="M234" s="300"/>
      <c r="N234" s="300"/>
      <c r="O234" s="300"/>
      <c r="P234" s="300"/>
      <c r="Q234" s="300"/>
      <c r="R234" s="300"/>
      <c r="S234" s="300"/>
      <c r="T234" s="300"/>
      <c r="U234" s="37"/>
      <c r="V234" s="37"/>
      <c r="W234" s="37"/>
      <c r="X234" s="37"/>
      <c r="Y234" s="37"/>
      <c r="Z234" s="37"/>
      <c r="AA234" s="37"/>
      <c r="AB234" s="37"/>
    </row>
    <row r="235" spans="2:28" x14ac:dyDescent="0.2">
      <c r="B235" s="37"/>
      <c r="C235" s="37"/>
      <c r="D235" s="37"/>
      <c r="E235" s="37"/>
      <c r="F235" s="38"/>
      <c r="G235" s="37"/>
      <c r="H235" s="37"/>
      <c r="I235" s="37"/>
      <c r="J235" s="37"/>
      <c r="K235" s="37"/>
      <c r="L235" s="300"/>
      <c r="M235" s="300"/>
      <c r="N235" s="300"/>
      <c r="O235" s="300"/>
      <c r="P235" s="300"/>
      <c r="Q235" s="300"/>
      <c r="R235" s="300"/>
      <c r="S235" s="300"/>
      <c r="T235" s="300"/>
      <c r="U235" s="37"/>
      <c r="V235" s="37"/>
      <c r="W235" s="37"/>
      <c r="X235" s="37"/>
      <c r="Y235" s="37"/>
      <c r="Z235" s="37"/>
      <c r="AA235" s="37"/>
      <c r="AB235" s="37"/>
    </row>
    <row r="236" spans="2:28" x14ac:dyDescent="0.2">
      <c r="B236" s="37"/>
      <c r="C236" s="37"/>
      <c r="D236" s="37"/>
      <c r="E236" s="37"/>
      <c r="F236" s="38"/>
      <c r="G236" s="37"/>
      <c r="H236" s="37"/>
      <c r="I236" s="37"/>
      <c r="J236" s="37"/>
      <c r="K236" s="37"/>
      <c r="L236" s="300"/>
      <c r="M236" s="300"/>
      <c r="N236" s="300"/>
      <c r="O236" s="300"/>
      <c r="P236" s="300"/>
      <c r="Q236" s="300"/>
      <c r="R236" s="300"/>
      <c r="S236" s="300"/>
      <c r="T236" s="300"/>
      <c r="U236" s="37"/>
      <c r="V236" s="37"/>
      <c r="W236" s="37"/>
      <c r="X236" s="37"/>
      <c r="Y236" s="37"/>
      <c r="Z236" s="37"/>
      <c r="AA236" s="37"/>
      <c r="AB236" s="37"/>
    </row>
  </sheetData>
  <mergeCells count="1">
    <mergeCell ref="B8:G8"/>
  </mergeCells>
  <phoneticPr fontId="0" type="noConversion"/>
  <printOptions horizontalCentered="1"/>
  <pageMargins left="0.7" right="0.7" top="0.75" bottom="1" header="0.5" footer="0.5"/>
  <pageSetup scale="63" fitToHeight="2" orientation="portrait" r:id="rId1"/>
  <headerFooter alignWithMargins="0"/>
  <rowBreaks count="1" manualBreakCount="1">
    <brk id="5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2:AY204"/>
  <sheetViews>
    <sheetView showGridLines="0" tabSelected="1" zoomScaleNormal="100" workbookViewId="0">
      <selection activeCell="J105" sqref="J105"/>
    </sheetView>
  </sheetViews>
  <sheetFormatPr defaultColWidth="13.7109375" defaultRowHeight="12.75" x14ac:dyDescent="0.2"/>
  <cols>
    <col min="1" max="1" width="30.28515625" style="52" customWidth="1"/>
    <col min="2" max="10" width="10.7109375" customWidth="1"/>
    <col min="11" max="11" width="12.5703125" style="1" customWidth="1"/>
    <col min="12" max="12" width="13.7109375" customWidth="1"/>
    <col min="13" max="13" width="29.28515625" style="52" customWidth="1"/>
    <col min="14" max="17" width="13.7109375" style="52" customWidth="1"/>
    <col min="18" max="25" width="12.7109375" style="52" customWidth="1"/>
    <col min="26" max="51" width="13.7109375" style="52" customWidth="1"/>
  </cols>
  <sheetData>
    <row r="2" spans="1:24" x14ac:dyDescent="0.2">
      <c r="K2" s="247" t="s">
        <v>199</v>
      </c>
      <c r="W2" s="247" t="s">
        <v>199</v>
      </c>
    </row>
    <row r="3" spans="1:24" x14ac:dyDescent="0.2">
      <c r="K3" s="248" t="s">
        <v>193</v>
      </c>
      <c r="W3" s="248" t="s">
        <v>196</v>
      </c>
    </row>
    <row r="4" spans="1:24" ht="15.75" x14ac:dyDescent="0.25">
      <c r="A4" s="194" t="str">
        <f>Historical!A4</f>
        <v>PacifiCorp</v>
      </c>
      <c r="B4" s="10"/>
      <c r="C4" s="10"/>
      <c r="D4" s="10"/>
      <c r="E4" s="10"/>
      <c r="F4" s="10"/>
      <c r="G4" s="10"/>
      <c r="H4" s="10"/>
      <c r="I4" s="10"/>
      <c r="J4" s="10"/>
      <c r="K4" s="246"/>
      <c r="M4" s="104" t="str">
        <f>A4</f>
        <v>PacifiCorp</v>
      </c>
      <c r="N4" s="105"/>
      <c r="O4" s="10"/>
      <c r="P4" s="12"/>
      <c r="Q4" s="12"/>
      <c r="R4" s="12"/>
      <c r="S4" s="12"/>
      <c r="T4" s="12"/>
      <c r="U4" s="12"/>
      <c r="V4" s="12"/>
      <c r="W4" s="13"/>
      <c r="X4" s="2"/>
    </row>
    <row r="5" spans="1:24" x14ac:dyDescent="0.2">
      <c r="A5" s="232" t="s">
        <v>120</v>
      </c>
      <c r="B5" s="10"/>
      <c r="C5" s="10"/>
      <c r="D5" s="10"/>
      <c r="E5" s="10"/>
      <c r="F5" s="10"/>
      <c r="G5" s="10"/>
      <c r="H5" s="10"/>
      <c r="I5" s="10"/>
      <c r="J5" s="10"/>
      <c r="K5" s="73"/>
      <c r="M5" s="106" t="s">
        <v>171</v>
      </c>
      <c r="N5" s="105"/>
      <c r="O5" s="12"/>
      <c r="P5" s="10"/>
      <c r="Q5" s="12"/>
      <c r="R5" s="12"/>
      <c r="S5" s="12"/>
      <c r="T5" s="12"/>
      <c r="U5" s="12"/>
      <c r="V5" s="12"/>
      <c r="W5" s="13"/>
      <c r="X5" s="2"/>
    </row>
    <row r="6" spans="1:24" x14ac:dyDescent="0.2">
      <c r="A6" s="131">
        <f ca="1">NOW()</f>
        <v>43263.391814351853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2"/>
      <c r="M6" s="110"/>
      <c r="N6" s="19"/>
      <c r="O6" s="2"/>
      <c r="P6" s="2"/>
      <c r="Q6" s="2"/>
      <c r="R6" s="2"/>
      <c r="S6" s="2"/>
      <c r="T6" s="2"/>
      <c r="U6" s="2"/>
      <c r="V6" s="2"/>
      <c r="W6" s="5"/>
      <c r="X6" s="2"/>
    </row>
    <row r="7" spans="1:24" x14ac:dyDescent="0.2">
      <c r="B7" s="2"/>
      <c r="C7" s="2"/>
      <c r="D7" s="2"/>
      <c r="E7" s="2"/>
      <c r="F7" s="2"/>
      <c r="G7" s="2"/>
      <c r="H7" s="2"/>
      <c r="I7" s="2"/>
      <c r="J7" s="2"/>
      <c r="K7" s="5"/>
      <c r="L7" s="2"/>
      <c r="M7" s="110"/>
      <c r="N7" s="19"/>
      <c r="O7" s="2"/>
      <c r="P7" s="2"/>
      <c r="Q7" s="2"/>
      <c r="R7" s="2"/>
      <c r="S7" s="2"/>
      <c r="T7" s="2"/>
      <c r="U7" s="2"/>
      <c r="V7" s="2"/>
      <c r="W7" s="5"/>
      <c r="X7" s="2"/>
    </row>
    <row r="8" spans="1:24" x14ac:dyDescent="0.2">
      <c r="B8" s="74" t="s">
        <v>121</v>
      </c>
      <c r="C8" s="14" t="s">
        <v>122</v>
      </c>
      <c r="D8" s="14" t="s">
        <v>122</v>
      </c>
      <c r="E8" s="14" t="s">
        <v>122</v>
      </c>
      <c r="F8" s="14" t="s">
        <v>122</v>
      </c>
      <c r="G8" s="14" t="s">
        <v>122</v>
      </c>
      <c r="H8" s="14" t="s">
        <v>122</v>
      </c>
      <c r="I8" s="14" t="s">
        <v>122</v>
      </c>
      <c r="J8" s="14" t="s">
        <v>122</v>
      </c>
      <c r="K8" s="15" t="s">
        <v>4</v>
      </c>
      <c r="L8" s="2"/>
      <c r="N8" s="74" t="s">
        <v>121</v>
      </c>
      <c r="O8" s="14" t="s">
        <v>122</v>
      </c>
      <c r="P8" s="14" t="s">
        <v>122</v>
      </c>
      <c r="Q8" s="14" t="s">
        <v>122</v>
      </c>
      <c r="R8" s="14" t="s">
        <v>122</v>
      </c>
      <c r="S8" s="14" t="s">
        <v>122</v>
      </c>
      <c r="T8" s="14" t="s">
        <v>122</v>
      </c>
      <c r="U8" s="14" t="s">
        <v>122</v>
      </c>
      <c r="V8" s="14" t="s">
        <v>122</v>
      </c>
      <c r="W8" s="15" t="s">
        <v>123</v>
      </c>
      <c r="X8" s="2"/>
    </row>
    <row r="9" spans="1:24" x14ac:dyDescent="0.2">
      <c r="A9" s="233" t="s">
        <v>0</v>
      </c>
      <c r="B9" s="75">
        <f>Historical!S10</f>
        <v>2017</v>
      </c>
      <c r="C9" s="4">
        <f>B9+1</f>
        <v>2018</v>
      </c>
      <c r="D9" s="4">
        <f t="shared" ref="D9:J9" si="0">C9+1</f>
        <v>2019</v>
      </c>
      <c r="E9" s="4">
        <f t="shared" si="0"/>
        <v>2020</v>
      </c>
      <c r="F9" s="4">
        <f t="shared" si="0"/>
        <v>2021</v>
      </c>
      <c r="G9" s="4">
        <f t="shared" si="0"/>
        <v>2022</v>
      </c>
      <c r="H9" s="4">
        <f t="shared" si="0"/>
        <v>2023</v>
      </c>
      <c r="I9" s="4">
        <f t="shared" si="0"/>
        <v>2024</v>
      </c>
      <c r="J9" s="4">
        <f t="shared" si="0"/>
        <v>2025</v>
      </c>
      <c r="K9" s="16" t="s">
        <v>23</v>
      </c>
      <c r="L9" s="2"/>
      <c r="N9" s="88">
        <f t="shared" ref="N9:V9" si="1">B9</f>
        <v>2017</v>
      </c>
      <c r="O9" s="4">
        <f t="shared" si="1"/>
        <v>2018</v>
      </c>
      <c r="P9" s="4">
        <f t="shared" si="1"/>
        <v>2019</v>
      </c>
      <c r="Q9" s="4">
        <f t="shared" si="1"/>
        <v>2020</v>
      </c>
      <c r="R9" s="4">
        <f t="shared" si="1"/>
        <v>2021</v>
      </c>
      <c r="S9" s="4">
        <f t="shared" si="1"/>
        <v>2022</v>
      </c>
      <c r="T9" s="4">
        <f t="shared" si="1"/>
        <v>2023</v>
      </c>
      <c r="U9" s="4">
        <f t="shared" si="1"/>
        <v>2024</v>
      </c>
      <c r="V9" s="4">
        <f t="shared" si="1"/>
        <v>2025</v>
      </c>
      <c r="W9" s="16" t="s">
        <v>124</v>
      </c>
      <c r="X9" s="2"/>
    </row>
    <row r="10" spans="1:24" ht="7.5" customHeight="1" x14ac:dyDescent="0.2">
      <c r="A10" s="110"/>
      <c r="B10" s="76"/>
      <c r="C10" s="22"/>
      <c r="D10" s="22"/>
      <c r="E10" s="22"/>
      <c r="F10" s="22"/>
      <c r="G10" s="22"/>
      <c r="H10" s="22"/>
      <c r="I10" s="22"/>
      <c r="J10" s="22"/>
      <c r="K10" s="23"/>
      <c r="L10" s="19"/>
      <c r="N10" s="85"/>
      <c r="O10" s="2"/>
      <c r="P10" s="2"/>
      <c r="Q10" s="2"/>
      <c r="R10" s="2"/>
      <c r="S10" s="2"/>
      <c r="T10" s="2"/>
      <c r="U10" s="2"/>
      <c r="V10" s="2"/>
      <c r="W10" s="5"/>
      <c r="X10" s="2"/>
    </row>
    <row r="11" spans="1:24" x14ac:dyDescent="0.2">
      <c r="A11" s="172" t="str">
        <f>Historical!A12</f>
        <v>Current Assets:</v>
      </c>
      <c r="B11" s="77"/>
      <c r="C11" s="2"/>
      <c r="D11" s="2"/>
      <c r="E11" s="2"/>
      <c r="F11" s="2"/>
      <c r="G11" s="2"/>
      <c r="H11" s="2"/>
      <c r="I11" s="2"/>
      <c r="J11" s="2"/>
      <c r="K11" s="5"/>
      <c r="L11" s="2"/>
      <c r="M11" s="172" t="str">
        <f t="shared" ref="M11:M17" si="2">A11</f>
        <v>Current Assets:</v>
      </c>
      <c r="N11" s="77"/>
      <c r="O11" s="5"/>
      <c r="P11" s="5"/>
      <c r="Q11" s="5"/>
      <c r="R11" s="5"/>
      <c r="S11" s="5"/>
      <c r="T11" s="2"/>
      <c r="U11" s="2"/>
      <c r="V11" s="2"/>
      <c r="W11" s="5"/>
      <c r="X11" s="2"/>
    </row>
    <row r="12" spans="1:24" x14ac:dyDescent="0.2">
      <c r="A12" s="52" t="str">
        <f>Historical!A13</f>
        <v>Cash &amp; Equivalents</v>
      </c>
      <c r="B12" s="77">
        <f>Historical!S13</f>
        <v>14</v>
      </c>
      <c r="C12" s="2">
        <f>Assumptions!$C$10*Forecast!C80</f>
        <v>13.832838406801898</v>
      </c>
      <c r="D12" s="2">
        <f>Assumptions!$C$10*Forecast!D80</f>
        <v>14.21324146298895</v>
      </c>
      <c r="E12" s="2">
        <f>Assumptions!$C$10*Forecast!E80</f>
        <v>14.604105603221148</v>
      </c>
      <c r="F12" s="2">
        <f>Assumptions!$C$10*Forecast!F80</f>
        <v>15.305832877455927</v>
      </c>
      <c r="G12" s="2">
        <f>Assumptions!$C$10*Forecast!G80</f>
        <v>15.726743281585966</v>
      </c>
      <c r="H12" s="2">
        <f>Assumptions!$C$10*Forecast!H80</f>
        <v>16.159228721829582</v>
      </c>
      <c r="I12" s="2">
        <f>Assumptions!$C$10*Forecast!I80</f>
        <v>16.603607511679897</v>
      </c>
      <c r="J12" s="2">
        <f>Assumptions!$C$10*Forecast!J80</f>
        <v>17.060206718251095</v>
      </c>
      <c r="K12" s="5">
        <f>RATE(8,,-B12,J12)</f>
        <v>2.5019273868999877E-2</v>
      </c>
      <c r="L12" s="2"/>
      <c r="M12" s="52" t="str">
        <f t="shared" si="2"/>
        <v>Cash &amp; Equivalents</v>
      </c>
      <c r="N12" s="90">
        <f t="shared" ref="N12:V17" si="3">B12/B$38</f>
        <v>6.3868613138686131E-4</v>
      </c>
      <c r="O12" s="95">
        <f t="shared" ca="1" si="3"/>
        <v>6.1262251904841769E-4</v>
      </c>
      <c r="P12" s="18">
        <f t="shared" ca="1" si="3"/>
        <v>6.0778212311468865E-4</v>
      </c>
      <c r="Q12" s="18">
        <f t="shared" ca="1" si="3"/>
        <v>6.1371736286527456E-4</v>
      </c>
      <c r="R12" s="18">
        <f t="shared" ca="1" si="3"/>
        <v>6.3438202315947993E-4</v>
      </c>
      <c r="S12" s="18">
        <f t="shared" ca="1" si="3"/>
        <v>6.4329020823788985E-4</v>
      </c>
      <c r="T12" s="18">
        <f t="shared" ca="1" si="3"/>
        <v>6.5231560726167984E-4</v>
      </c>
      <c r="U12" s="18">
        <f t="shared" ca="1" si="3"/>
        <v>6.614596082344411E-4</v>
      </c>
      <c r="V12" s="18">
        <f t="shared" si="3"/>
        <v>6.8240826873004377E-4</v>
      </c>
      <c r="W12" s="18">
        <f t="shared" ref="W12:W17" ca="1" si="4">SUM(C12:J12)/SUM($C$38:$J$38)</f>
        <v>6.3923305673232219E-4</v>
      </c>
      <c r="X12" s="2"/>
    </row>
    <row r="13" spans="1:24" x14ac:dyDescent="0.2">
      <c r="A13" s="52" t="s">
        <v>134</v>
      </c>
      <c r="B13" s="77">
        <v>0</v>
      </c>
      <c r="C13" s="2">
        <f t="shared" ref="C13:J13" ca="1" si="5">C67</f>
        <v>0</v>
      </c>
      <c r="D13" s="2">
        <f t="shared" ca="1" si="5"/>
        <v>0</v>
      </c>
      <c r="E13" s="2">
        <f t="shared" ca="1" si="5"/>
        <v>0</v>
      </c>
      <c r="F13" s="2">
        <f t="shared" ca="1" si="5"/>
        <v>0</v>
      </c>
      <c r="G13" s="2">
        <f t="shared" ca="1" si="5"/>
        <v>0</v>
      </c>
      <c r="H13" s="2">
        <f t="shared" ca="1" si="5"/>
        <v>0</v>
      </c>
      <c r="I13" s="2">
        <f t="shared" ca="1" si="5"/>
        <v>0</v>
      </c>
      <c r="J13" s="2">
        <f t="shared" ca="1" si="5"/>
        <v>0</v>
      </c>
      <c r="K13" s="5"/>
      <c r="M13" s="52" t="str">
        <f t="shared" si="2"/>
        <v>Surplus Cash</v>
      </c>
      <c r="N13" s="90">
        <f t="shared" si="3"/>
        <v>0</v>
      </c>
      <c r="O13" s="95">
        <f t="shared" ca="1" si="3"/>
        <v>0</v>
      </c>
      <c r="P13" s="18">
        <f t="shared" ca="1" si="3"/>
        <v>0</v>
      </c>
      <c r="Q13" s="18">
        <f t="shared" ca="1" si="3"/>
        <v>0</v>
      </c>
      <c r="R13" s="18">
        <f t="shared" ca="1" si="3"/>
        <v>0</v>
      </c>
      <c r="S13" s="18">
        <f t="shared" ca="1" si="3"/>
        <v>0</v>
      </c>
      <c r="T13" s="18">
        <f t="shared" ca="1" si="3"/>
        <v>0</v>
      </c>
      <c r="U13" s="18">
        <f t="shared" ca="1" si="3"/>
        <v>0</v>
      </c>
      <c r="V13" s="18">
        <f t="shared" ca="1" si="3"/>
        <v>0</v>
      </c>
      <c r="W13" s="18">
        <f t="shared" ca="1" si="4"/>
        <v>0</v>
      </c>
      <c r="X13" s="2"/>
    </row>
    <row r="14" spans="1:24" x14ac:dyDescent="0.2">
      <c r="A14" s="52" t="str">
        <f>Historical!A14</f>
        <v>Accounts Receivable</v>
      </c>
      <c r="B14" s="77">
        <f>Historical!S14</f>
        <v>684</v>
      </c>
      <c r="C14" s="2">
        <f>Assumptions!$C$12*Forecast!C80</f>
        <v>692.01853098605318</v>
      </c>
      <c r="D14" s="2">
        <f>Assumptions!$C$12*Forecast!D80</f>
        <v>711.04904058816965</v>
      </c>
      <c r="E14" s="2">
        <f>Assumptions!$C$12*Forecast!E80</f>
        <v>730.60288920434448</v>
      </c>
      <c r="F14" s="2">
        <f>Assumptions!$C$12*Forecast!F80</f>
        <v>765.70835803061334</v>
      </c>
      <c r="G14" s="2">
        <f>Assumptions!$C$12*Forecast!G80</f>
        <v>786.76533787645519</v>
      </c>
      <c r="H14" s="2">
        <f>Assumptions!$C$12*Forecast!H80</f>
        <v>808.40138466805774</v>
      </c>
      <c r="I14" s="2">
        <f>Assumptions!$C$12*Forecast!I80</f>
        <v>830.63242274642948</v>
      </c>
      <c r="J14" s="2">
        <f>Assumptions!$C$12*Forecast!J80</f>
        <v>853.47481437195631</v>
      </c>
      <c r="K14" s="5">
        <f>RATE(8,,-B14,J14)</f>
        <v>2.8056127668182138E-2</v>
      </c>
      <c r="L14" s="2"/>
      <c r="M14" s="52" t="str">
        <f t="shared" si="2"/>
        <v>Accounts Receivable</v>
      </c>
      <c r="N14" s="90">
        <f t="shared" si="3"/>
        <v>3.1204379562043794E-2</v>
      </c>
      <c r="O14" s="95">
        <f t="shared" ca="1" si="3"/>
        <v>3.0647805115138056E-2</v>
      </c>
      <c r="P14" s="18">
        <f t="shared" ca="1" si="3"/>
        <v>3.0405653534606118E-2</v>
      </c>
      <c r="Q14" s="18">
        <f t="shared" ca="1" si="3"/>
        <v>3.0702577114023549E-2</v>
      </c>
      <c r="R14" s="18">
        <f t="shared" ca="1" si="3"/>
        <v>3.1736372741469759E-2</v>
      </c>
      <c r="S14" s="18">
        <f t="shared" ca="1" si="3"/>
        <v>3.2182024528212366E-2</v>
      </c>
      <c r="T14" s="18">
        <f t="shared" ca="1" si="3"/>
        <v>3.2633540203472117E-2</v>
      </c>
      <c r="U14" s="18">
        <f t="shared" ca="1" si="3"/>
        <v>3.3090989205218115E-2</v>
      </c>
      <c r="V14" s="18">
        <f t="shared" si="3"/>
        <v>3.4138992574878249E-2</v>
      </c>
      <c r="W14" s="18">
        <f t="shared" ca="1" si="4"/>
        <v>3.1979056493576019E-2</v>
      </c>
      <c r="X14" s="2"/>
    </row>
    <row r="15" spans="1:24" x14ac:dyDescent="0.2">
      <c r="A15" s="52" t="str">
        <f>Historical!A15</f>
        <v>Material, Supplies, Fuel</v>
      </c>
      <c r="B15" s="77">
        <f>Historical!S15</f>
        <v>433</v>
      </c>
      <c r="C15" s="2">
        <f>(1+Assumptions!$C$13)*Forecast!B15</f>
        <v>443.82499999999999</v>
      </c>
      <c r="D15" s="2">
        <f>(1+Assumptions!$C$13)*Forecast!C15</f>
        <v>454.92062499999997</v>
      </c>
      <c r="E15" s="2">
        <f>(1+Assumptions!$C$13)*Forecast!D15</f>
        <v>466.29364062499991</v>
      </c>
      <c r="F15" s="2">
        <f>(1+Assumptions!$C$13)*Forecast!E15</f>
        <v>477.95098164062489</v>
      </c>
      <c r="G15" s="2">
        <f>(1+Assumptions!$C$13)*Forecast!F15</f>
        <v>489.89975618164044</v>
      </c>
      <c r="H15" s="2">
        <f>(1+Assumptions!$C$13)*Forecast!G15</f>
        <v>502.14725008618143</v>
      </c>
      <c r="I15" s="2">
        <f>(1+Assumptions!$C$13)*Forecast!H15</f>
        <v>514.70093133833598</v>
      </c>
      <c r="J15" s="2">
        <f>(1+Assumptions!$C$13)*Forecast!I15</f>
        <v>527.56845462179433</v>
      </c>
      <c r="K15" s="5">
        <f>RATE(8,,-B15,J15)</f>
        <v>2.5000000000011704E-2</v>
      </c>
      <c r="L15" s="2"/>
      <c r="M15" s="52" t="str">
        <f t="shared" si="2"/>
        <v>Material, Supplies, Fuel</v>
      </c>
      <c r="N15" s="90">
        <f t="shared" si="3"/>
        <v>1.9753649635036497E-2</v>
      </c>
      <c r="O15" s="95">
        <f t="shared" ca="1" si="3"/>
        <v>1.9655921765338227E-2</v>
      </c>
      <c r="P15" s="18">
        <f t="shared" ca="1" si="3"/>
        <v>1.9453171469094043E-2</v>
      </c>
      <c r="Q15" s="18">
        <f t="shared" ca="1" si="3"/>
        <v>1.9595346077345779E-2</v>
      </c>
      <c r="R15" s="18">
        <f t="shared" ca="1" si="3"/>
        <v>1.9809670805358767E-2</v>
      </c>
      <c r="S15" s="18">
        <f t="shared" ca="1" si="3"/>
        <v>2.0038968687101109E-2</v>
      </c>
      <c r="T15" s="18">
        <f t="shared" ca="1" si="3"/>
        <v>2.0270675909936822E-2</v>
      </c>
      <c r="U15" s="18">
        <f t="shared" ca="1" si="3"/>
        <v>2.0504813557021485E-2</v>
      </c>
      <c r="V15" s="18">
        <f t="shared" si="3"/>
        <v>2.1102738184871773E-2</v>
      </c>
      <c r="W15" s="18">
        <f t="shared" ca="1" si="4"/>
        <v>2.0067903556468286E-2</v>
      </c>
      <c r="X15" s="2"/>
    </row>
    <row r="16" spans="1:24" x14ac:dyDescent="0.2">
      <c r="A16" s="52" t="str">
        <f>Historical!A16</f>
        <v>Other Current Assets</v>
      </c>
      <c r="B16" s="77">
        <f>Historical!S16</f>
        <v>184</v>
      </c>
      <c r="C16" s="3">
        <f ca="1">C38*Assumptions!$C$14</f>
        <v>186.2721019895942</v>
      </c>
      <c r="D16" s="3">
        <f ca="1">D38*Assumptions!$C$14</f>
        <v>192.91885728397668</v>
      </c>
      <c r="E16" s="3">
        <f ca="1">E38*Assumptions!$C$14</f>
        <v>196.3071070774931</v>
      </c>
      <c r="F16" s="3">
        <f ca="1">F38*Assumptions!$C$14</f>
        <v>199.037802388675</v>
      </c>
      <c r="G16" s="3">
        <f ca="1">G38*Assumptions!$C$14</f>
        <v>201.67929995926806</v>
      </c>
      <c r="H16" s="3">
        <f ca="1">H38*Assumptions!$C$14</f>
        <v>204.35832157464364</v>
      </c>
      <c r="I16" s="3">
        <f ca="1">I38*Assumptions!$C$14</f>
        <v>207.07544240692354</v>
      </c>
      <c r="J16" s="3">
        <f>J38*Assumptions!$C$14</f>
        <v>206.23837457176626</v>
      </c>
      <c r="K16" s="5">
        <f>RATE(8,,-B16,J16)</f>
        <v>1.4364301698413632E-2</v>
      </c>
      <c r="L16" s="2"/>
      <c r="M16" s="52" t="str">
        <f t="shared" si="2"/>
        <v>Other Current Assets</v>
      </c>
      <c r="N16" s="90">
        <f t="shared" si="3"/>
        <v>8.3941605839416063E-3</v>
      </c>
      <c r="O16" s="95">
        <f t="shared" ca="1" si="3"/>
        <v>8.2495349828706505E-3</v>
      </c>
      <c r="P16" s="18">
        <f t="shared" ca="1" si="3"/>
        <v>8.2495349828706505E-3</v>
      </c>
      <c r="Q16" s="18">
        <f t="shared" ca="1" si="3"/>
        <v>8.2495349828706505E-3</v>
      </c>
      <c r="R16" s="18">
        <f t="shared" ca="1" si="3"/>
        <v>8.2495349828706505E-3</v>
      </c>
      <c r="S16" s="18">
        <f t="shared" ca="1" si="3"/>
        <v>8.2495349828706505E-3</v>
      </c>
      <c r="T16" s="18">
        <f t="shared" ca="1" si="3"/>
        <v>8.2495349828706505E-3</v>
      </c>
      <c r="U16" s="18">
        <f t="shared" ca="1" si="3"/>
        <v>8.2495349828706505E-3</v>
      </c>
      <c r="V16" s="18">
        <f t="shared" si="3"/>
        <v>8.2495349828706505E-3</v>
      </c>
      <c r="W16" s="18">
        <f t="shared" ca="1" si="4"/>
        <v>8.2495349828706505E-3</v>
      </c>
      <c r="X16" s="2"/>
    </row>
    <row r="17" spans="1:24" x14ac:dyDescent="0.2">
      <c r="A17" s="172" t="str">
        <f>Historical!A17</f>
        <v>Total Current Assets</v>
      </c>
      <c r="B17" s="237">
        <f>SUM(B12:B16)</f>
        <v>1315</v>
      </c>
      <c r="C17" s="273">
        <f t="shared" ref="C17:J17" ca="1" si="6">SUM(C11:C16)</f>
        <v>1335.9484713824493</v>
      </c>
      <c r="D17" s="172">
        <f t="shared" ca="1" si="6"/>
        <v>1373.1017643351352</v>
      </c>
      <c r="E17" s="172">
        <f t="shared" ca="1" si="6"/>
        <v>1407.8077425100587</v>
      </c>
      <c r="F17" s="172">
        <f t="shared" ca="1" si="6"/>
        <v>1458.0029749373693</v>
      </c>
      <c r="G17" s="172">
        <f t="shared" ca="1" si="6"/>
        <v>1494.0711372989497</v>
      </c>
      <c r="H17" s="172">
        <f t="shared" ca="1" si="6"/>
        <v>1531.0661850507124</v>
      </c>
      <c r="I17" s="172">
        <f t="shared" ca="1" si="6"/>
        <v>1569.0124040033688</v>
      </c>
      <c r="J17" s="172">
        <f t="shared" ca="1" si="6"/>
        <v>1604.3418502837681</v>
      </c>
      <c r="K17" s="180">
        <f ca="1">RATE(8,,-B17,J17)</f>
        <v>2.5171194932658496E-2</v>
      </c>
      <c r="L17" s="2"/>
      <c r="M17" s="52" t="str">
        <f t="shared" si="2"/>
        <v>Total Current Assets</v>
      </c>
      <c r="N17" s="91">
        <f t="shared" si="3"/>
        <v>5.9990875912408759E-2</v>
      </c>
      <c r="O17" s="93">
        <f t="shared" ca="1" si="3"/>
        <v>5.9165884382395353E-2</v>
      </c>
      <c r="P17" s="17">
        <f t="shared" ca="1" si="3"/>
        <v>5.8716142109685496E-2</v>
      </c>
      <c r="Q17" s="17">
        <f t="shared" ca="1" si="3"/>
        <v>5.9161175537105253E-2</v>
      </c>
      <c r="R17" s="17">
        <f t="shared" ca="1" si="3"/>
        <v>6.0429960552858666E-2</v>
      </c>
      <c r="S17" s="17">
        <f t="shared" ca="1" si="3"/>
        <v>6.1113818406422021E-2</v>
      </c>
      <c r="T17" s="17">
        <f t="shared" ca="1" si="3"/>
        <v>6.1806066703541267E-2</v>
      </c>
      <c r="U17" s="17">
        <f t="shared" ca="1" si="3"/>
        <v>6.250679735334469E-2</v>
      </c>
      <c r="V17" s="17">
        <f t="shared" ca="1" si="3"/>
        <v>6.4173674011350726E-2</v>
      </c>
      <c r="W17" s="17">
        <f t="shared" ca="1" si="4"/>
        <v>6.0935728089647284E-2</v>
      </c>
      <c r="X17" s="2"/>
    </row>
    <row r="18" spans="1:24" ht="7.5" customHeight="1" x14ac:dyDescent="0.2">
      <c r="B18" s="77"/>
      <c r="C18" s="2"/>
      <c r="D18" s="2"/>
      <c r="E18" s="2"/>
      <c r="F18" s="2"/>
      <c r="G18" s="2"/>
      <c r="H18" s="2"/>
      <c r="I18" s="2"/>
      <c r="J18" s="2"/>
      <c r="K18" s="5"/>
      <c r="L18" s="2"/>
      <c r="N18" s="90"/>
      <c r="O18" s="95"/>
      <c r="P18" s="18"/>
      <c r="Q18" s="18"/>
      <c r="R18" s="18"/>
      <c r="S18" s="18"/>
      <c r="T18" s="18"/>
      <c r="U18" s="18"/>
      <c r="V18" s="18"/>
      <c r="W18" s="18"/>
      <c r="X18" s="2"/>
    </row>
    <row r="19" spans="1:24" x14ac:dyDescent="0.2">
      <c r="A19" s="172" t="str">
        <f>Historical!A19</f>
        <v>Plant &amp; Equipment:</v>
      </c>
      <c r="B19" s="77"/>
      <c r="C19" s="2"/>
      <c r="D19" s="2"/>
      <c r="E19" s="2"/>
      <c r="F19" s="2"/>
      <c r="G19" s="2"/>
      <c r="H19" s="2"/>
      <c r="I19" s="2"/>
      <c r="J19" s="2"/>
      <c r="K19" s="5"/>
      <c r="M19" s="172" t="str">
        <f t="shared" ref="M19:M24" si="7">A19</f>
        <v>Plant &amp; Equipment:</v>
      </c>
      <c r="N19" s="90"/>
      <c r="O19" s="95"/>
      <c r="P19" s="18"/>
      <c r="Q19" s="18"/>
      <c r="R19" s="18"/>
      <c r="S19" s="18"/>
      <c r="T19" s="18"/>
      <c r="U19" s="18"/>
      <c r="V19" s="18"/>
      <c r="W19" s="18"/>
      <c r="X19" s="2"/>
    </row>
    <row r="20" spans="1:24" x14ac:dyDescent="0.2">
      <c r="A20" s="52" t="str">
        <f>Historical!A20</f>
        <v>Plant in Service</v>
      </c>
      <c r="B20" s="77">
        <f>Historical!S20</f>
        <v>27891</v>
      </c>
      <c r="C20" s="2">
        <f>B20*(1+Assumptions!$C$18)</f>
        <v>28274.501249999998</v>
      </c>
      <c r="D20" s="2">
        <f>C20*(1+Assumptions!$C$18)+800</f>
        <v>29463.275642187495</v>
      </c>
      <c r="E20" s="2">
        <f>D20*(1+Assumptions!$C$18)+200</f>
        <v>30068.395682267572</v>
      </c>
      <c r="F20" s="2">
        <f>E20*(1+Assumptions!$C$18)</f>
        <v>30481.836122898749</v>
      </c>
      <c r="G20" s="2">
        <f>F20*(1+Assumptions!$C$18)</f>
        <v>30900.961369588604</v>
      </c>
      <c r="H20" s="2">
        <f>G20*(1+Assumptions!$C$18)</f>
        <v>31325.849588420446</v>
      </c>
      <c r="I20" s="2">
        <f>H20*(1+Assumptions!$C$18)</f>
        <v>31756.580020261226</v>
      </c>
      <c r="J20" s="2">
        <f>I20*(1+Assumptions!$C$18)</f>
        <v>32193.232995539816</v>
      </c>
      <c r="K20" s="5">
        <f>RATE(8,,-B20,J20)</f>
        <v>1.8093262472844453E-2</v>
      </c>
      <c r="L20" s="2"/>
      <c r="M20" s="52" t="str">
        <f t="shared" si="7"/>
        <v>Plant in Service</v>
      </c>
      <c r="N20" s="90">
        <f t="shared" ref="N20:V24" si="8">B20/B$38</f>
        <v>1.2723996350364963</v>
      </c>
      <c r="O20" s="95">
        <f t="shared" ca="1" si="8"/>
        <v>1.2522083806093793</v>
      </c>
      <c r="P20" s="18">
        <f t="shared" ca="1" si="8"/>
        <v>1.2598992474976383</v>
      </c>
      <c r="Q20" s="18">
        <f t="shared" ca="1" si="8"/>
        <v>1.2635827900094529</v>
      </c>
      <c r="R20" s="18">
        <f t="shared" ca="1" si="8"/>
        <v>1.2633829876544664</v>
      </c>
      <c r="S20" s="18">
        <f t="shared" ca="1" si="8"/>
        <v>1.263979802955683</v>
      </c>
      <c r="T20" s="18">
        <f t="shared" ca="1" si="8"/>
        <v>1.2645616290865218</v>
      </c>
      <c r="U20" s="18">
        <f t="shared" ca="1" si="8"/>
        <v>1.2651283743181174</v>
      </c>
      <c r="V20" s="18">
        <f t="shared" si="8"/>
        <v>1.2877293198215927</v>
      </c>
      <c r="W20" s="18">
        <f ca="1">SUM(C20:J20)/SUM($C$38:$J$38)</f>
        <v>1.2652836434038481</v>
      </c>
      <c r="X20" s="2"/>
    </row>
    <row r="21" spans="1:24" x14ac:dyDescent="0.2">
      <c r="A21" s="52" t="str">
        <f>Historical!A21</f>
        <v>Construction Work in Progress</v>
      </c>
      <c r="B21" s="77">
        <f>Historical!S21</f>
        <v>678</v>
      </c>
      <c r="C21" s="2">
        <f>650+400</f>
        <v>1050</v>
      </c>
      <c r="D21" s="2">
        <f>650+100</f>
        <v>750</v>
      </c>
      <c r="E21" s="2">
        <v>650</v>
      </c>
      <c r="F21" s="2">
        <v>650</v>
      </c>
      <c r="G21" s="2">
        <v>650</v>
      </c>
      <c r="H21" s="2">
        <v>650</v>
      </c>
      <c r="I21" s="2">
        <v>650</v>
      </c>
      <c r="J21" s="2">
        <v>650</v>
      </c>
      <c r="K21" s="5">
        <f>RATE(8,,-B21,J21)</f>
        <v>-5.2579937268531158E-3</v>
      </c>
      <c r="L21" s="2"/>
      <c r="M21" s="52" t="str">
        <f t="shared" si="7"/>
        <v>Construction Work in Progress</v>
      </c>
      <c r="N21" s="90">
        <f t="shared" si="8"/>
        <v>3.093065693430657E-2</v>
      </c>
      <c r="O21" s="95">
        <f t="shared" ca="1" si="8"/>
        <v>4.6501927231690728E-2</v>
      </c>
      <c r="P21" s="18">
        <f t="shared" ca="1" si="8"/>
        <v>3.2071262106044392E-2</v>
      </c>
      <c r="Q21" s="18">
        <f t="shared" ca="1" si="8"/>
        <v>2.7315352045553663E-2</v>
      </c>
      <c r="R21" s="18">
        <f t="shared" ca="1" si="8"/>
        <v>2.6940599597230205E-2</v>
      </c>
      <c r="S21" s="18">
        <f t="shared" ca="1" si="8"/>
        <v>2.6587744701359502E-2</v>
      </c>
      <c r="T21" s="18">
        <f t="shared" ca="1" si="8"/>
        <v>2.6239194457796201E-2</v>
      </c>
      <c r="U21" s="18">
        <f t="shared" ca="1" si="8"/>
        <v>2.5894899349429751E-2</v>
      </c>
      <c r="V21" s="18">
        <f t="shared" si="8"/>
        <v>2.5999999999999999E-2</v>
      </c>
      <c r="W21" s="18">
        <f ca="1">SUM(C21:J21)/SUM($C$38:$J$38)</f>
        <v>2.9501677558009587E-2</v>
      </c>
      <c r="X21" s="2"/>
    </row>
    <row r="22" spans="1:24" hidden="1" x14ac:dyDescent="0.2">
      <c r="A22" s="52" t="str">
        <f>Historical!A22</f>
        <v>Australian Electric Operations</v>
      </c>
      <c r="B22" s="77">
        <f>Historical!L22</f>
        <v>0</v>
      </c>
      <c r="C22" s="229">
        <f>B22</f>
        <v>0</v>
      </c>
      <c r="D22" s="19">
        <f t="shared" ref="D22:J22" si="9">C22</f>
        <v>0</v>
      </c>
      <c r="E22" s="19">
        <f t="shared" si="9"/>
        <v>0</v>
      </c>
      <c r="F22" s="19">
        <f t="shared" si="9"/>
        <v>0</v>
      </c>
      <c r="G22" s="19">
        <f t="shared" si="9"/>
        <v>0</v>
      </c>
      <c r="H22" s="19">
        <f t="shared" si="9"/>
        <v>0</v>
      </c>
      <c r="I22" s="19">
        <f t="shared" si="9"/>
        <v>0</v>
      </c>
      <c r="J22" s="19">
        <f t="shared" si="9"/>
        <v>0</v>
      </c>
      <c r="K22" s="5"/>
      <c r="L22" s="2"/>
      <c r="M22" s="52" t="str">
        <f t="shared" si="7"/>
        <v>Australian Electric Operations</v>
      </c>
      <c r="N22" s="90">
        <f t="shared" si="8"/>
        <v>0</v>
      </c>
      <c r="O22" s="95">
        <f t="shared" ca="1" si="8"/>
        <v>0</v>
      </c>
      <c r="P22" s="18">
        <f t="shared" ca="1" si="8"/>
        <v>0</v>
      </c>
      <c r="Q22" s="18">
        <f t="shared" ca="1" si="8"/>
        <v>0</v>
      </c>
      <c r="R22" s="18">
        <f t="shared" ca="1" si="8"/>
        <v>0</v>
      </c>
      <c r="S22" s="18">
        <f t="shared" ca="1" si="8"/>
        <v>0</v>
      </c>
      <c r="T22" s="18">
        <f t="shared" ca="1" si="8"/>
        <v>0</v>
      </c>
      <c r="U22" s="18">
        <f t="shared" ca="1" si="8"/>
        <v>0</v>
      </c>
      <c r="V22" s="18">
        <f t="shared" si="8"/>
        <v>0</v>
      </c>
      <c r="W22" s="18">
        <f ca="1">SUM(C22:J22)/SUM($C$38:$J$38)</f>
        <v>0</v>
      </c>
      <c r="X22" s="2"/>
    </row>
    <row r="23" spans="1:24" ht="12.75" hidden="1" customHeight="1" x14ac:dyDescent="0.2">
      <c r="A23" s="52" t="str">
        <f>Historical!A23</f>
        <v>Other PP&amp;E</v>
      </c>
      <c r="B23" s="77">
        <f>Historical!L23</f>
        <v>0</v>
      </c>
      <c r="C23" s="100">
        <f>B23</f>
        <v>0</v>
      </c>
      <c r="D23" s="100">
        <f t="shared" ref="D23:J23" si="10">C23</f>
        <v>0</v>
      </c>
      <c r="E23" s="100">
        <f t="shared" si="10"/>
        <v>0</v>
      </c>
      <c r="F23" s="100">
        <f t="shared" si="10"/>
        <v>0</v>
      </c>
      <c r="G23" s="100">
        <f t="shared" si="10"/>
        <v>0</v>
      </c>
      <c r="H23" s="100">
        <f t="shared" si="10"/>
        <v>0</v>
      </c>
      <c r="I23" s="100">
        <f t="shared" si="10"/>
        <v>0</v>
      </c>
      <c r="J23" s="100">
        <f t="shared" si="10"/>
        <v>0</v>
      </c>
      <c r="K23" s="102"/>
      <c r="L23" s="19"/>
      <c r="M23" s="52" t="str">
        <f t="shared" si="7"/>
        <v>Other PP&amp;E</v>
      </c>
      <c r="N23" s="230">
        <f t="shared" si="8"/>
        <v>0</v>
      </c>
      <c r="O23" s="231">
        <f t="shared" ca="1" si="8"/>
        <v>0</v>
      </c>
      <c r="P23" s="102">
        <f t="shared" ca="1" si="8"/>
        <v>0</v>
      </c>
      <c r="Q23" s="102">
        <f t="shared" ca="1" si="8"/>
        <v>0</v>
      </c>
      <c r="R23" s="102">
        <f t="shared" ca="1" si="8"/>
        <v>0</v>
      </c>
      <c r="S23" s="102">
        <f t="shared" ca="1" si="8"/>
        <v>0</v>
      </c>
      <c r="T23" s="102">
        <f t="shared" ca="1" si="8"/>
        <v>0</v>
      </c>
      <c r="U23" s="102">
        <f t="shared" ca="1" si="8"/>
        <v>0</v>
      </c>
      <c r="V23" s="102">
        <f t="shared" si="8"/>
        <v>0</v>
      </c>
      <c r="W23" s="102">
        <f ca="1">SUM(C23:J23)/SUM($C$38:$J$38)</f>
        <v>0</v>
      </c>
      <c r="X23" s="2"/>
    </row>
    <row r="24" spans="1:24" ht="12.75" customHeight="1" x14ac:dyDescent="0.2">
      <c r="A24" s="172" t="str">
        <f>Historical!A24</f>
        <v>Total Plant &amp; Equipment:</v>
      </c>
      <c r="B24" s="237">
        <f>SUM(B20:B23)</f>
        <v>28569</v>
      </c>
      <c r="C24" s="273">
        <f>SUM(C20:C23)</f>
        <v>29324.501249999998</v>
      </c>
      <c r="D24" s="195">
        <f t="shared" ref="D24:J24" si="11">SUM(D20:D23)</f>
        <v>30213.275642187495</v>
      </c>
      <c r="E24" s="195">
        <f t="shared" si="11"/>
        <v>30718.395682267572</v>
      </c>
      <c r="F24" s="195">
        <f t="shared" si="11"/>
        <v>31131.836122898749</v>
      </c>
      <c r="G24" s="195">
        <f t="shared" si="11"/>
        <v>31550.961369588604</v>
      </c>
      <c r="H24" s="195">
        <f t="shared" si="11"/>
        <v>31975.849588420446</v>
      </c>
      <c r="I24" s="195">
        <f t="shared" si="11"/>
        <v>32406.580020261226</v>
      </c>
      <c r="J24" s="195">
        <f t="shared" si="11"/>
        <v>32843.232995539816</v>
      </c>
      <c r="K24" s="180">
        <f>RATE(8,,-B24,J24)</f>
        <v>1.7580691720469041E-2</v>
      </c>
      <c r="L24" s="2"/>
      <c r="M24" s="172" t="str">
        <f t="shared" si="7"/>
        <v>Total Plant &amp; Equipment:</v>
      </c>
      <c r="N24" s="90">
        <f t="shared" si="8"/>
        <v>1.303330291970803</v>
      </c>
      <c r="O24" s="95">
        <f t="shared" ca="1" si="8"/>
        <v>1.2987103078410702</v>
      </c>
      <c r="P24" s="18">
        <f t="shared" ca="1" si="8"/>
        <v>1.2919705096036826</v>
      </c>
      <c r="Q24" s="18">
        <f t="shared" ca="1" si="8"/>
        <v>1.2908981420550065</v>
      </c>
      <c r="R24" s="18">
        <f t="shared" ca="1" si="8"/>
        <v>1.2903235872516965</v>
      </c>
      <c r="S24" s="18">
        <f t="shared" ca="1" si="8"/>
        <v>1.2905675476570426</v>
      </c>
      <c r="T24" s="18">
        <f t="shared" ca="1" si="8"/>
        <v>1.290800823544318</v>
      </c>
      <c r="U24" s="18">
        <f t="shared" ca="1" si="8"/>
        <v>1.2910232736675471</v>
      </c>
      <c r="V24" s="18">
        <f t="shared" si="8"/>
        <v>1.3137293198215927</v>
      </c>
      <c r="W24" s="18">
        <f ca="1">SUM(C24:J24)/SUM($C$38:$J$38)</f>
        <v>1.2947853209618576</v>
      </c>
      <c r="X24" s="2"/>
    </row>
    <row r="25" spans="1:24" ht="7.5" customHeight="1" x14ac:dyDescent="0.2">
      <c r="B25" s="77"/>
      <c r="C25" s="2"/>
      <c r="D25" s="2"/>
      <c r="E25" s="2"/>
      <c r="F25" s="2"/>
      <c r="G25" s="2"/>
      <c r="H25" s="2"/>
      <c r="I25" s="2"/>
      <c r="J25" s="2"/>
      <c r="K25" s="18"/>
      <c r="L25" s="2"/>
      <c r="N25" s="90"/>
      <c r="O25" s="95"/>
      <c r="P25" s="18"/>
      <c r="Q25" s="18"/>
      <c r="R25" s="18"/>
      <c r="S25" s="18"/>
      <c r="T25" s="18"/>
      <c r="U25" s="18"/>
      <c r="V25" s="18"/>
      <c r="W25" s="18"/>
      <c r="X25" s="2"/>
    </row>
    <row r="26" spans="1:24" ht="12.75" customHeight="1" x14ac:dyDescent="0.2">
      <c r="A26" s="52" t="str">
        <f>Historical!A26</f>
        <v>Accumulated Depreciation &amp; Amort.</v>
      </c>
      <c r="B26" s="77">
        <f>Historical!S26</f>
        <v>9366</v>
      </c>
      <c r="C26" s="2">
        <f>B26*Assumptions!$F$24</f>
        <v>9512.1095999999998</v>
      </c>
      <c r="D26" s="2">
        <f>C26*Assumptions!$F$24</f>
        <v>9660.4985097600002</v>
      </c>
      <c r="E26" s="2">
        <f>D26*Assumptions!$F$24</f>
        <v>9811.2022865122563</v>
      </c>
      <c r="F26" s="2">
        <f>E26*Assumptions!$F$24</f>
        <v>9964.2570421818473</v>
      </c>
      <c r="G26" s="2">
        <f>F26*Assumptions!$F$24</f>
        <v>10119.699452039884</v>
      </c>
      <c r="H26" s="2">
        <f>G26*Assumptions!$F$24</f>
        <v>10277.566763491706</v>
      </c>
      <c r="I26" s="2">
        <f>H26*Assumptions!$F$24</f>
        <v>10437.896805002178</v>
      </c>
      <c r="J26" s="2">
        <f>I26*Assumptions!$F$24</f>
        <v>10600.727995160212</v>
      </c>
      <c r="K26" s="5">
        <f>RATE(8,,-B26,J26)</f>
        <v>1.5600000000119987E-2</v>
      </c>
      <c r="L26" s="2"/>
      <c r="M26" s="52" t="str">
        <f>A26</f>
        <v>Accumulated Depreciation &amp; Amort.</v>
      </c>
      <c r="N26" s="90">
        <f t="shared" ref="N26:V26" si="12">B26/B$38</f>
        <v>0.4272810218978102</v>
      </c>
      <c r="O26" s="95">
        <f t="shared" ca="1" si="12"/>
        <v>0.42126802708482552</v>
      </c>
      <c r="P26" s="18">
        <f t="shared" ca="1" si="12"/>
        <v>0.41309917304208565</v>
      </c>
      <c r="Q26" s="18">
        <f t="shared" ca="1" si="12"/>
        <v>0.41230222222495894</v>
      </c>
      <c r="R26" s="18">
        <f t="shared" ca="1" si="12"/>
        <v>0.41298932193431154</v>
      </c>
      <c r="S26" s="18">
        <f t="shared" ca="1" si="12"/>
        <v>0.41393843920819084</v>
      </c>
      <c r="T26" s="18">
        <f t="shared" ca="1" si="12"/>
        <v>0.41488472747729538</v>
      </c>
      <c r="U26" s="18">
        <f t="shared" ca="1" si="12"/>
        <v>0.41582813413117814</v>
      </c>
      <c r="V26" s="18">
        <f t="shared" si="12"/>
        <v>0.42402911980640851</v>
      </c>
      <c r="W26" s="18">
        <f ca="1">SUM(C26:J26)/SUM($C$38:$J$38)</f>
        <v>0.41604589879837117</v>
      </c>
      <c r="X26" s="2"/>
    </row>
    <row r="27" spans="1:24" ht="7.5" customHeight="1" x14ac:dyDescent="0.2">
      <c r="B27" s="77"/>
      <c r="C27" s="2"/>
      <c r="D27" s="2"/>
      <c r="E27" s="2"/>
      <c r="F27" s="2"/>
      <c r="G27" s="2"/>
      <c r="H27" s="2"/>
      <c r="I27" s="2"/>
      <c r="J27" s="2"/>
      <c r="K27" s="5"/>
      <c r="L27" s="2"/>
      <c r="N27" s="90"/>
      <c r="O27" s="95"/>
      <c r="P27" s="18"/>
      <c r="Q27" s="18"/>
      <c r="R27" s="18"/>
      <c r="S27" s="18"/>
      <c r="T27" s="18"/>
      <c r="U27" s="18"/>
      <c r="V27" s="18"/>
      <c r="W27" s="18"/>
      <c r="X27" s="2"/>
    </row>
    <row r="28" spans="1:24" x14ac:dyDescent="0.2">
      <c r="A28" s="172" t="str">
        <f>Historical!A28</f>
        <v>Net Plant &amp; Equipment</v>
      </c>
      <c r="B28" s="238">
        <f>B24-B26</f>
        <v>19203</v>
      </c>
      <c r="C28" s="172">
        <f>C24-C26</f>
        <v>19812.391649999998</v>
      </c>
      <c r="D28" s="172">
        <f t="shared" ref="D28:J28" si="13">D24-D26</f>
        <v>20552.777132427495</v>
      </c>
      <c r="E28" s="172">
        <f t="shared" si="13"/>
        <v>20907.193395755316</v>
      </c>
      <c r="F28" s="172">
        <f t="shared" si="13"/>
        <v>21167.579080716903</v>
      </c>
      <c r="G28" s="172">
        <f t="shared" si="13"/>
        <v>21431.26191754872</v>
      </c>
      <c r="H28" s="172">
        <f t="shared" si="13"/>
        <v>21698.282824928741</v>
      </c>
      <c r="I28" s="172">
        <f t="shared" si="13"/>
        <v>21968.68321525905</v>
      </c>
      <c r="J28" s="172">
        <f t="shared" si="13"/>
        <v>22242.505000379606</v>
      </c>
      <c r="K28" s="179">
        <f>RATE(8,,-B28,J28)</f>
        <v>1.8537039399084042E-2</v>
      </c>
      <c r="L28" s="2"/>
      <c r="M28" s="172" t="str">
        <f>A28</f>
        <v>Net Plant &amp; Equipment</v>
      </c>
      <c r="N28" s="90">
        <f t="shared" ref="N28:V28" si="14">B28/B$38</f>
        <v>0.87604927007299271</v>
      </c>
      <c r="O28" s="95">
        <f t="shared" ca="1" si="14"/>
        <v>0.87744228075624464</v>
      </c>
      <c r="P28" s="18">
        <f t="shared" ca="1" si="14"/>
        <v>0.87887133656159688</v>
      </c>
      <c r="Q28" s="18">
        <f t="shared" ca="1" si="14"/>
        <v>0.8785959198300477</v>
      </c>
      <c r="R28" s="18">
        <f t="shared" ca="1" si="14"/>
        <v>0.87733426531738512</v>
      </c>
      <c r="S28" s="18">
        <f t="shared" ca="1" si="14"/>
        <v>0.87662910844885167</v>
      </c>
      <c r="T28" s="18">
        <f t="shared" ca="1" si="14"/>
        <v>0.87591609606702259</v>
      </c>
      <c r="U28" s="18">
        <f t="shared" ca="1" si="14"/>
        <v>0.87519513953636907</v>
      </c>
      <c r="V28" s="18">
        <f t="shared" si="14"/>
        <v>0.88970020001518424</v>
      </c>
      <c r="W28" s="18">
        <f ca="1">SUM(C28:J28)/SUM($C$38:$J$38)</f>
        <v>0.87873942216348644</v>
      </c>
      <c r="X28" s="2"/>
    </row>
    <row r="29" spans="1:24" x14ac:dyDescent="0.2">
      <c r="A29" s="172"/>
      <c r="B29" s="77"/>
      <c r="C29" s="2"/>
      <c r="D29" s="2"/>
      <c r="E29" s="2"/>
      <c r="F29" s="2"/>
      <c r="G29" s="2"/>
      <c r="H29" s="2"/>
      <c r="I29" s="2"/>
      <c r="J29" s="2"/>
      <c r="K29" s="5"/>
      <c r="L29" s="2"/>
      <c r="N29" s="90"/>
      <c r="O29" s="95"/>
      <c r="P29" s="18"/>
      <c r="Q29" s="18"/>
      <c r="R29" s="18"/>
      <c r="S29" s="18"/>
      <c r="T29" s="18"/>
      <c r="U29" s="18"/>
      <c r="V29" s="18"/>
      <c r="W29" s="18"/>
      <c r="X29" s="2"/>
    </row>
    <row r="30" spans="1:24" x14ac:dyDescent="0.2">
      <c r="A30" s="172" t="str">
        <f>Historical!A30</f>
        <v>Other Assets:</v>
      </c>
      <c r="B30" s="77"/>
      <c r="C30" s="2"/>
      <c r="D30" s="2"/>
      <c r="E30" s="2"/>
      <c r="F30" s="2"/>
      <c r="G30" s="2"/>
      <c r="H30" s="2"/>
      <c r="I30" s="2"/>
      <c r="J30" s="2"/>
      <c r="K30" s="5"/>
      <c r="L30" s="2"/>
      <c r="M30" s="172" t="str">
        <f>A30</f>
        <v>Other Assets:</v>
      </c>
      <c r="N30" s="90"/>
      <c r="O30" s="95"/>
      <c r="P30" s="18"/>
      <c r="Q30" s="18"/>
      <c r="R30" s="18"/>
      <c r="S30" s="18"/>
      <c r="T30" s="18"/>
      <c r="U30" s="18"/>
      <c r="V30" s="18"/>
      <c r="W30" s="18"/>
      <c r="X30" s="2"/>
    </row>
    <row r="31" spans="1:24" x14ac:dyDescent="0.2">
      <c r="A31" s="52" t="str">
        <f>Historical!A31</f>
        <v>Regulatory Assets</v>
      </c>
      <c r="B31" s="77">
        <f>Historical!S31</f>
        <v>1030</v>
      </c>
      <c r="C31" s="2">
        <f>(1+Assumptions!$C$28)*Forecast!B31</f>
        <v>1044.1624999999999</v>
      </c>
      <c r="D31" s="2">
        <f>(1+Assumptions!$C$28)*Forecast!C31</f>
        <v>1058.5197343749999</v>
      </c>
      <c r="E31" s="2">
        <f>(1+Assumptions!$C$28)*Forecast!D31</f>
        <v>1073.0743807226561</v>
      </c>
      <c r="F31" s="2">
        <f>(1+Assumptions!$C$28)*Forecast!E31</f>
        <v>1087.8291534575926</v>
      </c>
      <c r="G31" s="2">
        <f>(1+Assumptions!$C$28)*Forecast!F31</f>
        <v>1102.7868043176345</v>
      </c>
      <c r="H31" s="2">
        <f>(1+Assumptions!$C$28)*Forecast!G31</f>
        <v>1117.9501228770018</v>
      </c>
      <c r="I31" s="2">
        <f>(1+Assumptions!$C$28)*Forecast!H31</f>
        <v>1133.3219370665606</v>
      </c>
      <c r="J31" s="2">
        <f>(1+Assumptions!$C$28)*Forecast!I31</f>
        <v>1148.9051137012257</v>
      </c>
      <c r="K31" s="5">
        <f>RATE(8,,-B31,J31)</f>
        <v>1.3750000000182977E-2</v>
      </c>
      <c r="L31" s="2"/>
      <c r="M31" s="52" t="str">
        <f t="shared" ref="M31:M38" si="15">A31</f>
        <v>Regulatory Assets</v>
      </c>
      <c r="N31" s="90">
        <f t="shared" ref="N31:V38" si="16">B31/B$38</f>
        <v>4.6989051094890509E-2</v>
      </c>
      <c r="O31" s="95">
        <f t="shared" ca="1" si="16"/>
        <v>4.6243398660057396E-2</v>
      </c>
      <c r="P31" s="18">
        <f t="shared" ca="1" si="16"/>
        <v>4.5264085127414817E-2</v>
      </c>
      <c r="Q31" s="18">
        <f t="shared" ca="1" si="16"/>
        <v>4.5094468431544361E-2</v>
      </c>
      <c r="R31" s="18">
        <f t="shared" ca="1" si="16"/>
        <v>4.508733792845368E-2</v>
      </c>
      <c r="S31" s="18">
        <f t="shared" ca="1" si="16"/>
        <v>4.5108636943423638E-2</v>
      </c>
      <c r="T31" s="18">
        <f t="shared" ca="1" si="16"/>
        <v>4.5129401028133551E-2</v>
      </c>
      <c r="U31" s="18">
        <f t="shared" ca="1" si="16"/>
        <v>4.5149626908983616E-2</v>
      </c>
      <c r="V31" s="18">
        <f t="shared" si="16"/>
        <v>4.595620454804903E-2</v>
      </c>
      <c r="W31" s="18">
        <f t="shared" ref="W31:W38" ca="1" si="17">SUM(C31:J31)/SUM($C$38:$J$38)</f>
        <v>4.5373319985616688E-2</v>
      </c>
      <c r="X31" s="2"/>
    </row>
    <row r="32" spans="1:24" hidden="1" x14ac:dyDescent="0.2">
      <c r="A32" s="52" t="str">
        <f>Historical!A32</f>
        <v>Intangible Assets-net</v>
      </c>
      <c r="B32" s="77">
        <f>Historical!R32</f>
        <v>0</v>
      </c>
      <c r="C32" s="2">
        <f t="shared" ref="C32:D34" si="18">B32</f>
        <v>0</v>
      </c>
      <c r="D32" s="2">
        <f t="shared" si="18"/>
        <v>0</v>
      </c>
      <c r="E32" s="2">
        <f t="shared" ref="E32:J32" si="19">D32</f>
        <v>0</v>
      </c>
      <c r="F32" s="2">
        <f t="shared" si="19"/>
        <v>0</v>
      </c>
      <c r="G32" s="2">
        <f t="shared" si="19"/>
        <v>0</v>
      </c>
      <c r="H32" s="2">
        <f t="shared" si="19"/>
        <v>0</v>
      </c>
      <c r="I32" s="2">
        <f t="shared" si="19"/>
        <v>0</v>
      </c>
      <c r="J32" s="2">
        <f t="shared" si="19"/>
        <v>0</v>
      </c>
      <c r="K32" s="5"/>
      <c r="L32" s="2"/>
      <c r="M32" s="52" t="str">
        <f t="shared" si="15"/>
        <v>Intangible Assets-net</v>
      </c>
      <c r="N32" s="90">
        <f t="shared" si="16"/>
        <v>0</v>
      </c>
      <c r="O32" s="95">
        <f t="shared" ca="1" si="16"/>
        <v>0</v>
      </c>
      <c r="P32" s="18">
        <f t="shared" ca="1" si="16"/>
        <v>0</v>
      </c>
      <c r="Q32" s="18">
        <f t="shared" ca="1" si="16"/>
        <v>0</v>
      </c>
      <c r="R32" s="18">
        <f t="shared" ca="1" si="16"/>
        <v>0</v>
      </c>
      <c r="S32" s="18">
        <f t="shared" ca="1" si="16"/>
        <v>0</v>
      </c>
      <c r="T32" s="18">
        <f t="shared" ca="1" si="16"/>
        <v>0</v>
      </c>
      <c r="U32" s="18">
        <f t="shared" ca="1" si="16"/>
        <v>0</v>
      </c>
      <c r="V32" s="18">
        <f t="shared" si="16"/>
        <v>0</v>
      </c>
      <c r="W32" s="18">
        <f t="shared" ca="1" si="17"/>
        <v>0</v>
      </c>
      <c r="X32" s="2"/>
    </row>
    <row r="33" spans="1:24" x14ac:dyDescent="0.2">
      <c r="A33" s="52" t="str">
        <f>Historical!A33</f>
        <v>Financial Assets/Derivatives</v>
      </c>
      <c r="B33" s="77">
        <f>Historical!S33</f>
        <v>0</v>
      </c>
      <c r="C33" s="2">
        <f ca="1">Assumptions!$C$30*Forecast!C38</f>
        <v>0</v>
      </c>
      <c r="D33" s="2">
        <f ca="1">Assumptions!$C$30*Forecast!D38</f>
        <v>0</v>
      </c>
      <c r="E33" s="2">
        <f ca="1">Assumptions!$C$30*Forecast!E38</f>
        <v>0</v>
      </c>
      <c r="F33" s="2">
        <f ca="1">Assumptions!$C$30*Forecast!F38</f>
        <v>0</v>
      </c>
      <c r="G33" s="2">
        <f ca="1">Assumptions!$C$30*Forecast!G38</f>
        <v>0</v>
      </c>
      <c r="H33" s="2">
        <f ca="1">Assumptions!$C$30*Forecast!H38</f>
        <v>0</v>
      </c>
      <c r="I33" s="2">
        <f ca="1">Assumptions!$C$30*Forecast!I38</f>
        <v>0</v>
      </c>
      <c r="J33" s="2">
        <f>Assumptions!$C$30*Forecast!J38</f>
        <v>0</v>
      </c>
      <c r="K33" s="5"/>
      <c r="L33" s="2"/>
      <c r="M33" s="52" t="str">
        <f t="shared" si="15"/>
        <v>Financial Assets/Derivatives</v>
      </c>
      <c r="N33" s="90">
        <f t="shared" si="16"/>
        <v>0</v>
      </c>
      <c r="O33" s="95">
        <f t="shared" ca="1" si="16"/>
        <v>0</v>
      </c>
      <c r="P33" s="18">
        <f t="shared" ca="1" si="16"/>
        <v>0</v>
      </c>
      <c r="Q33" s="18">
        <f t="shared" ca="1" si="16"/>
        <v>0</v>
      </c>
      <c r="R33" s="18">
        <f t="shared" ca="1" si="16"/>
        <v>0</v>
      </c>
      <c r="S33" s="18">
        <f t="shared" ca="1" si="16"/>
        <v>0</v>
      </c>
      <c r="T33" s="18">
        <f t="shared" ca="1" si="16"/>
        <v>0</v>
      </c>
      <c r="U33" s="18">
        <f t="shared" ca="1" si="16"/>
        <v>0</v>
      </c>
      <c r="V33" s="18">
        <f t="shared" si="16"/>
        <v>0</v>
      </c>
      <c r="W33" s="18">
        <f t="shared" ca="1" si="17"/>
        <v>0</v>
      </c>
      <c r="X33" s="2"/>
    </row>
    <row r="34" spans="1:24" hidden="1" x14ac:dyDescent="0.2">
      <c r="A34" s="52" t="str">
        <f>Historical!A34</f>
        <v>Investments in Affiliates</v>
      </c>
      <c r="B34" s="77">
        <f>Historical!R34</f>
        <v>0</v>
      </c>
      <c r="C34" s="2">
        <f t="shared" si="18"/>
        <v>0</v>
      </c>
      <c r="D34" s="2">
        <f t="shared" si="18"/>
        <v>0</v>
      </c>
      <c r="E34" s="2">
        <f t="shared" ref="E34:J34" si="20">D34</f>
        <v>0</v>
      </c>
      <c r="F34" s="2">
        <f t="shared" si="20"/>
        <v>0</v>
      </c>
      <c r="G34" s="2">
        <f t="shared" si="20"/>
        <v>0</v>
      </c>
      <c r="H34" s="2">
        <f t="shared" si="20"/>
        <v>0</v>
      </c>
      <c r="I34" s="2">
        <f t="shared" si="20"/>
        <v>0</v>
      </c>
      <c r="J34" s="2">
        <f t="shared" si="20"/>
        <v>0</v>
      </c>
      <c r="K34" s="5"/>
      <c r="L34" s="2"/>
      <c r="M34" s="52" t="str">
        <f t="shared" si="15"/>
        <v>Investments in Affiliates</v>
      </c>
      <c r="N34" s="90">
        <f t="shared" si="16"/>
        <v>0</v>
      </c>
      <c r="O34" s="95">
        <f t="shared" ca="1" si="16"/>
        <v>0</v>
      </c>
      <c r="P34" s="18">
        <f t="shared" ca="1" si="16"/>
        <v>0</v>
      </c>
      <c r="Q34" s="18">
        <f t="shared" ca="1" si="16"/>
        <v>0</v>
      </c>
      <c r="R34" s="18">
        <f t="shared" ca="1" si="16"/>
        <v>0</v>
      </c>
      <c r="S34" s="18">
        <f t="shared" ca="1" si="16"/>
        <v>0</v>
      </c>
      <c r="T34" s="18">
        <f t="shared" ca="1" si="16"/>
        <v>0</v>
      </c>
      <c r="U34" s="18">
        <f t="shared" ca="1" si="16"/>
        <v>0</v>
      </c>
      <c r="V34" s="18">
        <f t="shared" si="16"/>
        <v>0</v>
      </c>
      <c r="W34" s="18">
        <f t="shared" ca="1" si="17"/>
        <v>0</v>
      </c>
      <c r="X34" s="2"/>
    </row>
    <row r="35" spans="1:24" x14ac:dyDescent="0.2">
      <c r="A35" s="52" t="str">
        <f>Historical!A35</f>
        <v>Deferred Charges and Other</v>
      </c>
      <c r="B35" s="77">
        <f>Historical!S35</f>
        <v>372</v>
      </c>
      <c r="C35" s="3">
        <f ca="1">Assumptions!$C$32*Forecast!C38</f>
        <v>387.20670482441608</v>
      </c>
      <c r="D35" s="3">
        <f ca="1">Assumptions!$C$32*Forecast!D38</f>
        <v>401.0234180510476</v>
      </c>
      <c r="E35" s="3">
        <f ca="1">Assumptions!$C$32*Forecast!E38</f>
        <v>408.06662540016953</v>
      </c>
      <c r="F35" s="3">
        <f ca="1">Assumptions!$C$32*Forecast!F38</f>
        <v>413.74296405758855</v>
      </c>
      <c r="G35" s="3">
        <f ca="1">Assumptions!$C$32*Forecast!G38</f>
        <v>419.23388598946309</v>
      </c>
      <c r="H35" s="3">
        <f ca="1">Assumptions!$C$32*Forecast!H38</f>
        <v>424.80280973468882</v>
      </c>
      <c r="I35" s="3">
        <f ca="1">Assumptions!$C$32*Forecast!I38</f>
        <v>430.45093091246804</v>
      </c>
      <c r="J35" s="3">
        <f>Assumptions!$C$32*Forecast!J38</f>
        <v>428.71090503256539</v>
      </c>
      <c r="K35" s="5">
        <f>RATE(8,,-B35,J35)</f>
        <v>1.7894338537796858E-2</v>
      </c>
      <c r="L35" s="2"/>
      <c r="M35" s="52" t="str">
        <f t="shared" si="15"/>
        <v>Deferred Charges and Other</v>
      </c>
      <c r="N35" s="90">
        <f t="shared" si="16"/>
        <v>1.6970802919708029E-2</v>
      </c>
      <c r="O35" s="95">
        <f t="shared" ca="1" si="16"/>
        <v>1.7148436201302616E-2</v>
      </c>
      <c r="P35" s="18">
        <f t="shared" ca="1" si="16"/>
        <v>1.7148436201302616E-2</v>
      </c>
      <c r="Q35" s="18">
        <f t="shared" ca="1" si="16"/>
        <v>1.7148436201302616E-2</v>
      </c>
      <c r="R35" s="18">
        <f t="shared" ca="1" si="16"/>
        <v>1.7148436201302616E-2</v>
      </c>
      <c r="S35" s="18">
        <f t="shared" ca="1" si="16"/>
        <v>1.7148436201302616E-2</v>
      </c>
      <c r="T35" s="18">
        <f t="shared" ca="1" si="16"/>
        <v>1.7148436201302616E-2</v>
      </c>
      <c r="U35" s="18">
        <f t="shared" ca="1" si="16"/>
        <v>1.7148436201302616E-2</v>
      </c>
      <c r="V35" s="18">
        <f t="shared" si="16"/>
        <v>1.7148436201302616E-2</v>
      </c>
      <c r="W35" s="18">
        <f t="shared" ca="1" si="17"/>
        <v>1.7148436201302613E-2</v>
      </c>
      <c r="X35" s="2"/>
    </row>
    <row r="36" spans="1:24" x14ac:dyDescent="0.2">
      <c r="A36" s="172" t="str">
        <f>Historical!A36</f>
        <v>Total Other Assets</v>
      </c>
      <c r="B36" s="237">
        <f>SUM(B31:B35)</f>
        <v>1402</v>
      </c>
      <c r="C36" s="175">
        <f ca="1">SUM(C31:C35)</f>
        <v>1431.3692048244161</v>
      </c>
      <c r="D36" s="175">
        <f t="shared" ref="D36:J36" ca="1" si="21">SUM(D31:D35)</f>
        <v>1459.5431524260475</v>
      </c>
      <c r="E36" s="175">
        <f t="shared" ca="1" si="21"/>
        <v>1481.1410061228257</v>
      </c>
      <c r="F36" s="175">
        <f t="shared" ca="1" si="21"/>
        <v>1501.5721175151812</v>
      </c>
      <c r="G36" s="175">
        <f t="shared" ca="1" si="21"/>
        <v>1522.0206903070975</v>
      </c>
      <c r="H36" s="175">
        <f t="shared" ca="1" si="21"/>
        <v>1542.7529326116905</v>
      </c>
      <c r="I36" s="175">
        <f t="shared" ca="1" si="21"/>
        <v>1563.7728679790287</v>
      </c>
      <c r="J36" s="175">
        <f t="shared" si="21"/>
        <v>1577.616018733791</v>
      </c>
      <c r="K36" s="180">
        <f>RATE(8,,-B36,J36)</f>
        <v>1.486122982063153E-2</v>
      </c>
      <c r="L36" s="2"/>
      <c r="M36" s="172" t="str">
        <f t="shared" si="15"/>
        <v>Total Other Assets</v>
      </c>
      <c r="N36" s="91">
        <f t="shared" si="16"/>
        <v>6.3959854014598541E-2</v>
      </c>
      <c r="O36" s="96">
        <f t="shared" ca="1" si="16"/>
        <v>6.3391834861360019E-2</v>
      </c>
      <c r="P36" s="97">
        <f t="shared" ca="1" si="16"/>
        <v>6.2412521328717434E-2</v>
      </c>
      <c r="Q36" s="97">
        <f t="shared" ca="1" si="16"/>
        <v>6.2242904632846978E-2</v>
      </c>
      <c r="R36" s="97">
        <f t="shared" ca="1" si="16"/>
        <v>6.2235774129756304E-2</v>
      </c>
      <c r="S36" s="97">
        <f t="shared" ca="1" si="16"/>
        <v>6.2257073144726248E-2</v>
      </c>
      <c r="T36" s="97">
        <f t="shared" ca="1" si="16"/>
        <v>6.227783722943616E-2</v>
      </c>
      <c r="U36" s="97">
        <f t="shared" ca="1" si="16"/>
        <v>6.2298063110286225E-2</v>
      </c>
      <c r="V36" s="97">
        <f t="shared" si="16"/>
        <v>6.310464074935164E-2</v>
      </c>
      <c r="W36" s="97">
        <f t="shared" ca="1" si="17"/>
        <v>6.2521756186919283E-2</v>
      </c>
      <c r="X36" s="2"/>
    </row>
    <row r="37" spans="1:24" x14ac:dyDescent="0.2">
      <c r="A37" s="52" t="str">
        <f>Historical!A37</f>
        <v>Total Non-Current Assets</v>
      </c>
      <c r="B37" s="85">
        <f>B28+B36</f>
        <v>20605</v>
      </c>
      <c r="C37" s="3">
        <f ca="1">C28+C36</f>
        <v>21243.760854824413</v>
      </c>
      <c r="D37" s="3">
        <f t="shared" ref="D37:J37" ca="1" si="22">D28+D36</f>
        <v>22012.320284853544</v>
      </c>
      <c r="E37" s="3">
        <f t="shared" ca="1" si="22"/>
        <v>22388.334401878143</v>
      </c>
      <c r="F37" s="3">
        <f t="shared" ca="1" si="22"/>
        <v>22669.151198232084</v>
      </c>
      <c r="G37" s="3">
        <f t="shared" ca="1" si="22"/>
        <v>22953.282607855817</v>
      </c>
      <c r="H37" s="3">
        <f t="shared" ca="1" si="22"/>
        <v>23241.03575754043</v>
      </c>
      <c r="I37" s="3">
        <f t="shared" ca="1" si="22"/>
        <v>23532.456083238078</v>
      </c>
      <c r="J37" s="3">
        <f t="shared" si="22"/>
        <v>23820.121019113398</v>
      </c>
      <c r="K37" s="17">
        <f>RATE(8,,-B37,J37)</f>
        <v>1.8289857544154603E-2</v>
      </c>
      <c r="L37" s="2"/>
      <c r="M37" s="52" t="str">
        <f t="shared" si="15"/>
        <v>Total Non-Current Assets</v>
      </c>
      <c r="N37" s="91">
        <f t="shared" si="16"/>
        <v>0.94000912408759119</v>
      </c>
      <c r="O37" s="93">
        <f t="shared" ca="1" si="16"/>
        <v>0.94083411561760466</v>
      </c>
      <c r="P37" s="17">
        <f t="shared" ca="1" si="16"/>
        <v>0.94128385789031443</v>
      </c>
      <c r="Q37" s="17">
        <f t="shared" ca="1" si="16"/>
        <v>0.94083882446289469</v>
      </c>
      <c r="R37" s="17">
        <f t="shared" ca="1" si="16"/>
        <v>0.93957003944714135</v>
      </c>
      <c r="S37" s="17">
        <f t="shared" ca="1" si="16"/>
        <v>0.93888618159357795</v>
      </c>
      <c r="T37" s="17">
        <f t="shared" ca="1" si="16"/>
        <v>0.93819393329645873</v>
      </c>
      <c r="U37" s="17">
        <f t="shared" ca="1" si="16"/>
        <v>0.93749320264665525</v>
      </c>
      <c r="V37" s="17">
        <f t="shared" si="16"/>
        <v>0.95280484076453587</v>
      </c>
      <c r="W37" s="17">
        <f t="shared" ca="1" si="17"/>
        <v>0.94126117835040568</v>
      </c>
      <c r="X37"/>
    </row>
    <row r="38" spans="1:24" ht="13.5" thickBot="1" x14ac:dyDescent="0.25">
      <c r="A38" s="172" t="str">
        <f>Historical!A38</f>
        <v>Total Assets</v>
      </c>
      <c r="B38" s="237">
        <f>B37+B17</f>
        <v>21920</v>
      </c>
      <c r="C38" s="240">
        <f t="shared" ref="C38:I38" ca="1" si="23">C37+C17</f>
        <v>22579.709326206863</v>
      </c>
      <c r="D38" s="240">
        <f t="shared" ca="1" si="23"/>
        <v>23385.422049188681</v>
      </c>
      <c r="E38" s="240">
        <f t="shared" ca="1" si="23"/>
        <v>23796.142144388203</v>
      </c>
      <c r="F38" s="240">
        <f t="shared" ca="1" si="23"/>
        <v>24127.154173169452</v>
      </c>
      <c r="G38" s="240">
        <f t="shared" ca="1" si="23"/>
        <v>24447.353745154767</v>
      </c>
      <c r="H38" s="240">
        <f t="shared" ca="1" si="23"/>
        <v>24772.101942591144</v>
      </c>
      <c r="I38" s="240">
        <f t="shared" ca="1" si="23"/>
        <v>25101.468487241447</v>
      </c>
      <c r="J38" s="240">
        <v>25000</v>
      </c>
      <c r="K38" s="180">
        <f>RATE(8,,-B38,J38)</f>
        <v>1.6570335351475191E-2</v>
      </c>
      <c r="L38" s="2"/>
      <c r="M38" s="172" t="str">
        <f t="shared" si="15"/>
        <v>Total Assets</v>
      </c>
      <c r="N38" s="91">
        <f t="shared" si="16"/>
        <v>1</v>
      </c>
      <c r="O38" s="93">
        <f t="shared" ca="1" si="16"/>
        <v>1</v>
      </c>
      <c r="P38" s="17">
        <f t="shared" ca="1" si="16"/>
        <v>1</v>
      </c>
      <c r="Q38" s="17">
        <f t="shared" ca="1" si="16"/>
        <v>1</v>
      </c>
      <c r="R38" s="17">
        <f t="shared" ca="1" si="16"/>
        <v>1</v>
      </c>
      <c r="S38" s="17">
        <f t="shared" ca="1" si="16"/>
        <v>1</v>
      </c>
      <c r="T38" s="17">
        <f t="shared" ca="1" si="16"/>
        <v>1</v>
      </c>
      <c r="U38" s="17">
        <f t="shared" ca="1" si="16"/>
        <v>1</v>
      </c>
      <c r="V38" s="17">
        <f t="shared" si="16"/>
        <v>1</v>
      </c>
      <c r="W38" s="17">
        <f t="shared" ca="1" si="17"/>
        <v>1</v>
      </c>
      <c r="X38" s="2"/>
    </row>
    <row r="39" spans="1:24" ht="13.5" thickTop="1" x14ac:dyDescent="0.2">
      <c r="B39" s="86"/>
      <c r="C39" s="2"/>
      <c r="D39" s="2"/>
      <c r="E39" s="2"/>
      <c r="F39" s="2"/>
      <c r="G39" s="2"/>
      <c r="H39" s="2"/>
      <c r="I39" s="2"/>
      <c r="J39" s="2"/>
      <c r="K39" s="71"/>
      <c r="L39" s="2"/>
      <c r="N39" s="92"/>
      <c r="O39" s="94"/>
      <c r="P39" s="71"/>
      <c r="Q39" s="71"/>
      <c r="R39" s="71"/>
      <c r="S39" s="71"/>
      <c r="T39" s="71"/>
      <c r="U39" s="71"/>
      <c r="V39" s="71"/>
      <c r="W39" s="71"/>
      <c r="X39" s="2"/>
    </row>
    <row r="40" spans="1:24" ht="12.75" customHeight="1" x14ac:dyDescent="0.2">
      <c r="B40" s="77"/>
      <c r="C40" s="2"/>
      <c r="D40" s="2"/>
      <c r="E40" s="2"/>
      <c r="F40" s="2"/>
      <c r="G40" s="2"/>
      <c r="H40" s="2"/>
      <c r="I40" s="2"/>
      <c r="J40" s="2"/>
      <c r="K40" s="18"/>
      <c r="L40" s="2"/>
      <c r="N40" s="90"/>
      <c r="O40" s="18"/>
      <c r="P40" s="18"/>
      <c r="Q40" s="18"/>
      <c r="R40" s="18"/>
      <c r="S40" s="18"/>
      <c r="T40" s="18"/>
      <c r="U40" s="18"/>
      <c r="V40" s="18"/>
      <c r="W40" s="18"/>
      <c r="X40" s="2"/>
    </row>
    <row r="41" spans="1:24" ht="12.75" customHeight="1" x14ac:dyDescent="0.2">
      <c r="A41" s="172" t="str">
        <f>Historical!A41</f>
        <v>Current Liabilities:</v>
      </c>
      <c r="B41" s="77"/>
      <c r="C41" s="2"/>
      <c r="D41" s="2"/>
      <c r="E41" s="2"/>
      <c r="F41" s="2"/>
      <c r="G41" s="2"/>
      <c r="H41" s="2"/>
      <c r="I41" s="2"/>
      <c r="J41" s="2"/>
      <c r="K41" s="5"/>
      <c r="L41" s="2"/>
      <c r="M41" s="172" t="str">
        <f t="shared" ref="M41:M48" si="24">A41</f>
        <v>Current Liabilities:</v>
      </c>
      <c r="N41" s="90"/>
      <c r="O41" s="5"/>
      <c r="P41" s="5"/>
      <c r="Q41" s="5"/>
      <c r="R41" s="5"/>
      <c r="S41" s="5"/>
      <c r="T41" s="5"/>
      <c r="U41" s="5"/>
      <c r="V41" s="5"/>
      <c r="W41" s="5"/>
      <c r="X41" s="2"/>
    </row>
    <row r="42" spans="1:24" ht="12.75" customHeight="1" x14ac:dyDescent="0.2">
      <c r="A42" s="52" t="str">
        <f>Historical!A42</f>
        <v>Current Maturities LTD</v>
      </c>
      <c r="B42" s="77">
        <f>Historical!S42</f>
        <v>588</v>
      </c>
      <c r="C42" s="2">
        <f>Assumptions!$C$38*(Forecast!C50)</f>
        <v>199.85817946058512</v>
      </c>
      <c r="D42" s="2">
        <f>Assumptions!$C$38*(Forecast!D50)</f>
        <v>193.02909895155804</v>
      </c>
      <c r="E42" s="2">
        <f>Assumptions!$C$38*(Forecast!E50)</f>
        <v>186.43336561263249</v>
      </c>
      <c r="F42" s="2">
        <f>Assumptions!$C$38*(Forecast!F50)</f>
        <v>180.06300605680235</v>
      </c>
      <c r="G42" s="2">
        <f>Assumptions!$C$38*(Forecast!G50)</f>
        <v>173.91031934476393</v>
      </c>
      <c r="H42" s="2">
        <f>Assumptions!$C$38*(Forecast!H50)</f>
        <v>167.967867675478</v>
      </c>
      <c r="I42" s="2">
        <f>Assumptions!$C$38*(Forecast!I50)</f>
        <v>162.22846739483217</v>
      </c>
      <c r="J42" s="2">
        <f>Assumptions!$C$38*(Forecast!J50)</f>
        <v>156.6851803115338</v>
      </c>
      <c r="K42" s="5">
        <f t="shared" ref="K42:K48" si="25">RATE(8,,-B42,J42)</f>
        <v>-0.15236998976049673</v>
      </c>
      <c r="L42" s="2"/>
      <c r="M42" s="52" t="str">
        <f t="shared" si="24"/>
        <v>Current Maturities LTD</v>
      </c>
      <c r="N42" s="90">
        <f t="shared" ref="N42:V48" si="26">B42/B$38</f>
        <v>2.6824817518248174E-2</v>
      </c>
      <c r="O42" s="95">
        <f t="shared" ca="1" si="26"/>
        <v>8.8512290646993487E-3</v>
      </c>
      <c r="P42" s="18">
        <f t="shared" ca="1" si="26"/>
        <v>8.2542491020919963E-3</v>
      </c>
      <c r="Q42" s="18">
        <f t="shared" ca="1" si="26"/>
        <v>7.8346046380714986E-3</v>
      </c>
      <c r="R42" s="18">
        <f t="shared" ca="1" si="26"/>
        <v>7.4630851514614601E-3</v>
      </c>
      <c r="S42" s="18">
        <f t="shared" ca="1" si="26"/>
        <v>7.1136664179545939E-3</v>
      </c>
      <c r="T42" s="18">
        <f t="shared" ca="1" si="26"/>
        <v>6.7805254501511507E-3</v>
      </c>
      <c r="U42" s="18">
        <f t="shared" ca="1" si="26"/>
        <v>6.4629074381560387E-3</v>
      </c>
      <c r="V42" s="18">
        <f t="shared" si="26"/>
        <v>6.2674072124613523E-3</v>
      </c>
      <c r="W42" s="18">
        <f t="shared" ref="W42:W48" ca="1" si="27">SUM(C42:J42)/SUM($C$38:$J$38)</f>
        <v>7.3504489874738673E-3</v>
      </c>
      <c r="X42" s="2"/>
    </row>
    <row r="43" spans="1:24" ht="12.75" customHeight="1" x14ac:dyDescent="0.2">
      <c r="A43" s="52" t="str">
        <f>Historical!A43</f>
        <v>Short-term Debt</v>
      </c>
      <c r="B43" s="77">
        <f>Historical!S43</f>
        <v>80</v>
      </c>
      <c r="C43" s="2">
        <f ca="1">C38*Assumptions!$C$39</f>
        <v>188.53558327642276</v>
      </c>
      <c r="D43" s="2">
        <f ca="1">D38*Assumptions!$C$39</f>
        <v>195.26310646930568</v>
      </c>
      <c r="E43" s="2">
        <f ca="1">E38*Assumptions!$C$39</f>
        <v>198.69252850450945</v>
      </c>
      <c r="F43" s="2">
        <f ca="1">F38*Assumptions!$C$39</f>
        <v>201.45640579877349</v>
      </c>
      <c r="G43" s="2">
        <f ca="1">G38*Assumptions!$C$39</f>
        <v>204.1300014680962</v>
      </c>
      <c r="H43" s="2">
        <f ca="1">H38*Assumptions!$C$39</f>
        <v>206.84157715479344</v>
      </c>
      <c r="I43" s="2">
        <f ca="1">I38*Assumptions!$C$39</f>
        <v>209.5917150201783</v>
      </c>
      <c r="J43" s="2">
        <f>J38*Assumptions!$C$39</f>
        <v>208.74447557391852</v>
      </c>
      <c r="K43" s="5"/>
      <c r="L43" s="2"/>
      <c r="M43" s="52" t="str">
        <f t="shared" si="24"/>
        <v>Short-term Debt</v>
      </c>
      <c r="N43" s="90">
        <f t="shared" si="26"/>
        <v>3.6496350364963502E-3</v>
      </c>
      <c r="O43" s="95">
        <f t="shared" ca="1" si="26"/>
        <v>8.3497790229567406E-3</v>
      </c>
      <c r="P43" s="18">
        <f t="shared" ca="1" si="26"/>
        <v>8.3497790229567406E-3</v>
      </c>
      <c r="Q43" s="18">
        <f t="shared" ca="1" si="26"/>
        <v>8.3497790229567406E-3</v>
      </c>
      <c r="R43" s="18">
        <f t="shared" ca="1" si="26"/>
        <v>8.3497790229567406E-3</v>
      </c>
      <c r="S43" s="18">
        <f t="shared" ca="1" si="26"/>
        <v>8.3497790229567406E-3</v>
      </c>
      <c r="T43" s="18">
        <f t="shared" ca="1" si="26"/>
        <v>8.3497790229567406E-3</v>
      </c>
      <c r="U43" s="18">
        <f t="shared" ca="1" si="26"/>
        <v>8.3497790229567406E-3</v>
      </c>
      <c r="V43" s="18">
        <f t="shared" si="26"/>
        <v>8.3497790229567406E-3</v>
      </c>
      <c r="W43" s="18">
        <f t="shared" ca="1" si="27"/>
        <v>8.3497790229567406E-3</v>
      </c>
      <c r="X43" s="2"/>
    </row>
    <row r="44" spans="1:24" ht="12.75" customHeight="1" x14ac:dyDescent="0.2">
      <c r="A44" s="52" t="str">
        <f>Historical!A44</f>
        <v>Accounts Payable</v>
      </c>
      <c r="B44" s="77">
        <f>Historical!S44</f>
        <v>453</v>
      </c>
      <c r="C44" s="2">
        <f>Assumptions!$C$40*Forecast!C80</f>
        <v>445.25649585431381</v>
      </c>
      <c r="D44" s="2">
        <f>Assumptions!$C$40*Forecast!D80</f>
        <v>457.50104949030748</v>
      </c>
      <c r="E44" s="2">
        <f>Assumptions!$C$40*Forecast!E80</f>
        <v>470.08232835129093</v>
      </c>
      <c r="F44" s="2">
        <f>Assumptions!$C$40*Forecast!F80</f>
        <v>492.66978422857056</v>
      </c>
      <c r="G44" s="2">
        <f>Assumptions!$C$40*Forecast!G80</f>
        <v>506.21820329485627</v>
      </c>
      <c r="H44" s="2">
        <f>Assumptions!$C$40*Forecast!H80</f>
        <v>520.13920388546489</v>
      </c>
      <c r="I44" s="2">
        <f>Assumptions!$C$40*Forecast!I80</f>
        <v>534.44303199231524</v>
      </c>
      <c r="J44" s="2">
        <f>Assumptions!$C$40*Forecast!J80</f>
        <v>549.14021537210397</v>
      </c>
      <c r="K44" s="5">
        <f t="shared" si="25"/>
        <v>2.4349432008202405E-2</v>
      </c>
      <c r="L44" s="2"/>
      <c r="M44" s="52" t="str">
        <f t="shared" si="24"/>
        <v>Accounts Payable</v>
      </c>
      <c r="N44" s="90">
        <f t="shared" si="26"/>
        <v>2.0666058394160584E-2</v>
      </c>
      <c r="O44" s="95">
        <f t="shared" ca="1" si="26"/>
        <v>1.9719319209195146E-2</v>
      </c>
      <c r="P44" s="18">
        <f t="shared" ca="1" si="26"/>
        <v>1.9563514762658718E-2</v>
      </c>
      <c r="Q44" s="18">
        <f t="shared" ca="1" si="26"/>
        <v>1.9754560445090864E-2</v>
      </c>
      <c r="R44" s="18">
        <f t="shared" ca="1" si="26"/>
        <v>2.0419722139316494E-2</v>
      </c>
      <c r="S44" s="18">
        <f t="shared" ca="1" si="26"/>
        <v>2.0706462080591601E-2</v>
      </c>
      <c r="T44" s="18">
        <f t="shared" ca="1" si="26"/>
        <v>2.0996974947498488E-2</v>
      </c>
      <c r="U44" s="18">
        <f t="shared" ca="1" si="26"/>
        <v>2.1291305417607799E-2</v>
      </c>
      <c r="V44" s="18">
        <f t="shared" si="26"/>
        <v>2.1965608614884159E-2</v>
      </c>
      <c r="W44" s="18">
        <f t="shared" ca="1" si="27"/>
        <v>2.0575868994097454E-2</v>
      </c>
      <c r="X44" s="2"/>
    </row>
    <row r="45" spans="1:24" x14ac:dyDescent="0.2">
      <c r="A45" s="52" t="str">
        <f>Historical!A45</f>
        <v>Accrued Expenses</v>
      </c>
      <c r="B45" s="77">
        <f>Historical!S45</f>
        <v>251</v>
      </c>
      <c r="C45" s="2">
        <f ca="1">Assumptions!$C$41*Forecast!C38</f>
        <v>253.58582720196</v>
      </c>
      <c r="D45" s="2">
        <f ca="1">Assumptions!$C$41*Forecast!D38</f>
        <v>262.63454100038564</v>
      </c>
      <c r="E45" s="2">
        <f ca="1">Assumptions!$C$41*Forecast!E38</f>
        <v>267.24721309394329</v>
      </c>
      <c r="F45" s="2">
        <f ca="1">Assumptions!$C$41*Forecast!F38</f>
        <v>270.96470820956324</v>
      </c>
      <c r="G45" s="2">
        <f ca="1">Assumptions!$C$41*Forecast!G38</f>
        <v>274.56077192139185</v>
      </c>
      <c r="H45" s="2">
        <f ca="1">Assumptions!$C$41*Forecast!H38</f>
        <v>278.2079198580426</v>
      </c>
      <c r="I45" s="2">
        <f ca="1">Assumptions!$C$41*Forecast!I38</f>
        <v>281.90693504336468</v>
      </c>
      <c r="J45" s="2">
        <f>Assumptions!$C$41*Forecast!J38</f>
        <v>280.7673734174677</v>
      </c>
      <c r="K45" s="5">
        <f t="shared" si="25"/>
        <v>1.4107780414293296E-2</v>
      </c>
      <c r="L45" s="2"/>
      <c r="M45" s="52" t="str">
        <f t="shared" si="24"/>
        <v>Accrued Expenses</v>
      </c>
      <c r="N45" s="90">
        <f t="shared" si="26"/>
        <v>1.1450729927007299E-2</v>
      </c>
      <c r="O45" s="95">
        <f t="shared" ca="1" si="26"/>
        <v>1.1230694936698708E-2</v>
      </c>
      <c r="P45" s="18">
        <f t="shared" ca="1" si="26"/>
        <v>1.1230694936698708E-2</v>
      </c>
      <c r="Q45" s="18">
        <f t="shared" ca="1" si="26"/>
        <v>1.1230694936698706E-2</v>
      </c>
      <c r="R45" s="18">
        <f t="shared" ca="1" si="26"/>
        <v>1.1230694936698708E-2</v>
      </c>
      <c r="S45" s="18">
        <f t="shared" ca="1" si="26"/>
        <v>1.1230694936698708E-2</v>
      </c>
      <c r="T45" s="18">
        <f t="shared" ca="1" si="26"/>
        <v>1.1230694936698709E-2</v>
      </c>
      <c r="U45" s="18">
        <f t="shared" ca="1" si="26"/>
        <v>1.1230694936698708E-2</v>
      </c>
      <c r="V45" s="18">
        <f t="shared" si="26"/>
        <v>1.1230694936698708E-2</v>
      </c>
      <c r="W45" s="18">
        <f t="shared" ca="1" si="27"/>
        <v>1.1230694936698708E-2</v>
      </c>
      <c r="X45" s="2"/>
    </row>
    <row r="46" spans="1:24" x14ac:dyDescent="0.2">
      <c r="A46" s="52" t="str">
        <f>Historical!A46</f>
        <v>Derivative Contacts</v>
      </c>
      <c r="B46" s="77">
        <f>Historical!S46</f>
        <v>0</v>
      </c>
      <c r="C46" s="2">
        <f>Assumptions!$C$42*Forecast!C80</f>
        <v>0</v>
      </c>
      <c r="D46" s="2">
        <f>Assumptions!$C$42*Forecast!D80</f>
        <v>0</v>
      </c>
      <c r="E46" s="2">
        <f>Assumptions!$C$42*Forecast!E80</f>
        <v>0</v>
      </c>
      <c r="F46" s="2">
        <f>Assumptions!$C$42*Forecast!F80</f>
        <v>0</v>
      </c>
      <c r="G46" s="2">
        <f>Assumptions!$C$42*Forecast!G80</f>
        <v>0</v>
      </c>
      <c r="H46" s="2">
        <f>Assumptions!$C$42*Forecast!H80</f>
        <v>0</v>
      </c>
      <c r="I46" s="2">
        <f>Assumptions!$C$42*Forecast!I80</f>
        <v>0</v>
      </c>
      <c r="J46" s="2">
        <f>Assumptions!$C$42*Forecast!J80</f>
        <v>0</v>
      </c>
      <c r="K46" s="5"/>
      <c r="L46" s="2"/>
      <c r="M46" s="52" t="str">
        <f t="shared" si="24"/>
        <v>Derivative Contacts</v>
      </c>
      <c r="N46" s="90">
        <f t="shared" si="26"/>
        <v>0</v>
      </c>
      <c r="O46" s="95">
        <f t="shared" ca="1" si="26"/>
        <v>0</v>
      </c>
      <c r="P46" s="18">
        <f t="shared" ca="1" si="26"/>
        <v>0</v>
      </c>
      <c r="Q46" s="18">
        <f t="shared" ca="1" si="26"/>
        <v>0</v>
      </c>
      <c r="R46" s="18">
        <f t="shared" ca="1" si="26"/>
        <v>0</v>
      </c>
      <c r="S46" s="18">
        <f t="shared" ca="1" si="26"/>
        <v>0</v>
      </c>
      <c r="T46" s="18">
        <f t="shared" ca="1" si="26"/>
        <v>0</v>
      </c>
      <c r="U46" s="18">
        <f t="shared" ca="1" si="26"/>
        <v>0</v>
      </c>
      <c r="V46" s="18">
        <f t="shared" si="26"/>
        <v>0</v>
      </c>
      <c r="W46" s="18">
        <f t="shared" ca="1" si="27"/>
        <v>0</v>
      </c>
      <c r="X46" s="2"/>
    </row>
    <row r="47" spans="1:24" x14ac:dyDescent="0.2">
      <c r="A47" s="52" t="str">
        <f>Historical!A47</f>
        <v xml:space="preserve">Other </v>
      </c>
      <c r="B47" s="77">
        <f>Historical!S47</f>
        <v>245</v>
      </c>
      <c r="C47" s="3">
        <f ca="1">Assumptions!$C$43*Forecast!C38</f>
        <v>253.39398670781435</v>
      </c>
      <c r="D47" s="3">
        <f ca="1">Assumptions!$C$43*Forecast!D38</f>
        <v>262.43585505377274</v>
      </c>
      <c r="E47" s="3">
        <f ca="1">Assumptions!$C$43*Forecast!E38</f>
        <v>267.04503760967162</v>
      </c>
      <c r="F47" s="3">
        <f ca="1">Assumptions!$C$43*Forecast!F38</f>
        <v>270.7597203989568</v>
      </c>
      <c r="G47" s="3">
        <f ca="1">Assumptions!$C$43*Forecast!G38</f>
        <v>274.35306364865596</v>
      </c>
      <c r="H47" s="3">
        <f ca="1">Assumptions!$C$43*Forecast!H38</f>
        <v>277.99745247739401</v>
      </c>
      <c r="I47" s="3">
        <f ca="1">Assumptions!$C$43*Forecast!I38</f>
        <v>281.69366931665382</v>
      </c>
      <c r="J47" s="3">
        <f>Assumptions!$C$43*Forecast!J38</f>
        <v>280.5549697817807</v>
      </c>
      <c r="K47" s="5">
        <f t="shared" si="25"/>
        <v>1.7083210452522552E-2</v>
      </c>
      <c r="L47" s="2"/>
      <c r="M47" s="52" t="str">
        <f t="shared" si="24"/>
        <v xml:space="preserve">Other </v>
      </c>
      <c r="N47" s="90">
        <f t="shared" si="26"/>
        <v>1.1177007299270073E-2</v>
      </c>
      <c r="O47" s="95">
        <f t="shared" ca="1" si="26"/>
        <v>1.1222198791271228E-2</v>
      </c>
      <c r="P47" s="18">
        <f t="shared" ca="1" si="26"/>
        <v>1.1222198791271228E-2</v>
      </c>
      <c r="Q47" s="18">
        <f t="shared" ca="1" si="26"/>
        <v>1.1222198791271228E-2</v>
      </c>
      <c r="R47" s="18">
        <f t="shared" ca="1" si="26"/>
        <v>1.1222198791271228E-2</v>
      </c>
      <c r="S47" s="18">
        <f t="shared" ca="1" si="26"/>
        <v>1.1222198791271228E-2</v>
      </c>
      <c r="T47" s="18">
        <f t="shared" ca="1" si="26"/>
        <v>1.122219879127123E-2</v>
      </c>
      <c r="U47" s="18">
        <f t="shared" ca="1" si="26"/>
        <v>1.122219879127123E-2</v>
      </c>
      <c r="V47" s="18">
        <f t="shared" si="26"/>
        <v>1.1222198791271228E-2</v>
      </c>
      <c r="W47" s="18">
        <f t="shared" ca="1" si="27"/>
        <v>1.1222198791271228E-2</v>
      </c>
      <c r="X47" s="2"/>
    </row>
    <row r="48" spans="1:24" x14ac:dyDescent="0.2">
      <c r="A48" s="172" t="str">
        <f>Historical!A48</f>
        <v>Total Current Liabilities</v>
      </c>
      <c r="B48" s="237">
        <f>SUM(B42:B47)</f>
        <v>1617</v>
      </c>
      <c r="C48" s="172">
        <f t="shared" ref="C48:J48" ca="1" si="28">SUM(C41:C47)</f>
        <v>1340.630072501096</v>
      </c>
      <c r="D48" s="172">
        <f t="shared" ca="1" si="28"/>
        <v>1370.8636509653297</v>
      </c>
      <c r="E48" s="172">
        <f t="shared" ca="1" si="28"/>
        <v>1389.5004731720478</v>
      </c>
      <c r="F48" s="172">
        <f t="shared" ca="1" si="28"/>
        <v>1415.9136246926664</v>
      </c>
      <c r="G48" s="172">
        <f t="shared" ca="1" si="28"/>
        <v>1433.1723596777642</v>
      </c>
      <c r="H48" s="172">
        <f t="shared" ca="1" si="28"/>
        <v>1451.154021051173</v>
      </c>
      <c r="I48" s="172">
        <f t="shared" ca="1" si="28"/>
        <v>1469.8638187673441</v>
      </c>
      <c r="J48" s="172">
        <f t="shared" si="28"/>
        <v>1475.8922144568048</v>
      </c>
      <c r="K48" s="180">
        <f t="shared" si="25"/>
        <v>-1.1348845750025732E-2</v>
      </c>
      <c r="L48" s="2"/>
      <c r="M48" s="172" t="str">
        <f t="shared" si="24"/>
        <v>Total Current Liabilities</v>
      </c>
      <c r="N48" s="91">
        <f t="shared" si="26"/>
        <v>7.3768248175182488E-2</v>
      </c>
      <c r="O48" s="93">
        <f t="shared" ca="1" si="26"/>
        <v>5.937322102482117E-2</v>
      </c>
      <c r="P48" s="17">
        <f t="shared" ca="1" si="26"/>
        <v>5.8620436615677396E-2</v>
      </c>
      <c r="Q48" s="17">
        <f t="shared" ca="1" si="26"/>
        <v>5.8391837834089043E-2</v>
      </c>
      <c r="R48" s="17">
        <f t="shared" ca="1" si="26"/>
        <v>5.8685480041704631E-2</v>
      </c>
      <c r="S48" s="17">
        <f t="shared" ca="1" si="26"/>
        <v>5.8622801249472875E-2</v>
      </c>
      <c r="T48" s="17">
        <f t="shared" ca="1" si="26"/>
        <v>5.8580173148576317E-2</v>
      </c>
      <c r="U48" s="17">
        <f t="shared" ca="1" si="26"/>
        <v>5.8556885606690513E-2</v>
      </c>
      <c r="V48" s="17">
        <f t="shared" si="26"/>
        <v>5.903568857827219E-2</v>
      </c>
      <c r="W48" s="17">
        <f t="shared" ca="1" si="27"/>
        <v>5.8728990732497995E-2</v>
      </c>
      <c r="X48" s="2"/>
    </row>
    <row r="49" spans="1:24" x14ac:dyDescent="0.2">
      <c r="B49" s="77"/>
      <c r="C49" s="2"/>
      <c r="D49" s="2"/>
      <c r="E49" s="2"/>
      <c r="F49" s="2"/>
      <c r="G49" s="2"/>
      <c r="H49" s="2"/>
      <c r="I49" s="2"/>
      <c r="J49" s="2"/>
      <c r="K49" s="5"/>
      <c r="L49" s="2"/>
      <c r="N49" s="90"/>
      <c r="O49" s="95"/>
      <c r="P49" s="18"/>
      <c r="Q49" s="18"/>
      <c r="R49" s="18"/>
      <c r="S49" s="18"/>
      <c r="T49" s="18"/>
      <c r="U49" s="18"/>
      <c r="V49" s="18"/>
      <c r="W49" s="18"/>
      <c r="X49" s="2"/>
    </row>
    <row r="50" spans="1:24" x14ac:dyDescent="0.2">
      <c r="A50" s="172" t="str">
        <f>Historical!A50</f>
        <v>Long-Term Debt</v>
      </c>
      <c r="B50" s="77">
        <f>Historical!S50</f>
        <v>6437</v>
      </c>
      <c r="C50" s="2">
        <f t="shared" ref="C50:J50" si="29">B50-B42</f>
        <v>5849</v>
      </c>
      <c r="D50" s="2">
        <f t="shared" si="29"/>
        <v>5649.1418205394148</v>
      </c>
      <c r="E50" s="2">
        <f t="shared" si="29"/>
        <v>5456.1127215878569</v>
      </c>
      <c r="F50" s="2">
        <f t="shared" si="29"/>
        <v>5269.6793559752241</v>
      </c>
      <c r="G50" s="2">
        <f t="shared" si="29"/>
        <v>5089.6163499184222</v>
      </c>
      <c r="H50" s="2">
        <f t="shared" si="29"/>
        <v>4915.7060305736586</v>
      </c>
      <c r="I50" s="2">
        <f t="shared" si="29"/>
        <v>4747.7381628981802</v>
      </c>
      <c r="J50" s="2">
        <f t="shared" si="29"/>
        <v>4585.5096955033478</v>
      </c>
      <c r="K50" s="5">
        <f>RATE(8,,-B50,J50)</f>
        <v>-4.1509057267151921E-2</v>
      </c>
      <c r="L50" s="2"/>
      <c r="M50" s="52" t="str">
        <f>A50</f>
        <v>Long-Term Debt</v>
      </c>
      <c r="N50" s="90">
        <f t="shared" ref="N50:V52" si="30">B50/B$38</f>
        <v>0.29365875912408756</v>
      </c>
      <c r="O50" s="95">
        <f t="shared" ca="1" si="30"/>
        <v>0.25903787845538956</v>
      </c>
      <c r="P50" s="18">
        <f t="shared" ca="1" si="30"/>
        <v>0.24156681066764851</v>
      </c>
      <c r="Q50" s="18">
        <f t="shared" ca="1" si="30"/>
        <v>0.22928559967753265</v>
      </c>
      <c r="R50" s="18">
        <f t="shared" ca="1" si="30"/>
        <v>0.2184128023617207</v>
      </c>
      <c r="S50" s="18">
        <f t="shared" ca="1" si="30"/>
        <v>0.20818680021460956</v>
      </c>
      <c r="T50" s="18">
        <f t="shared" ca="1" si="30"/>
        <v>0.1984371791285903</v>
      </c>
      <c r="U50" s="18">
        <f t="shared" ca="1" si="30"/>
        <v>0.18914184902414599</v>
      </c>
      <c r="V50" s="18">
        <f t="shared" si="30"/>
        <v>0.18342038782013392</v>
      </c>
      <c r="W50" s="18">
        <f ca="1">SUM(C50:J50)/SUM($C$38:$J$38)</f>
        <v>0.21511642027247346</v>
      </c>
      <c r="X50" s="2"/>
    </row>
    <row r="51" spans="1:24" x14ac:dyDescent="0.2">
      <c r="A51" s="52" t="str">
        <f>Historical!A51</f>
        <v>Deferred Income Taxes</v>
      </c>
      <c r="B51" s="77">
        <f>Historical!S51</f>
        <v>2582</v>
      </c>
      <c r="C51" s="2">
        <f>C28*Assumptions!$C$47</f>
        <v>2663.9376785033583</v>
      </c>
      <c r="D51" s="2">
        <f>D28*Assumptions!$C$47</f>
        <v>2763.4885463692021</v>
      </c>
      <c r="E51" s="2">
        <f>E28*Assumptions!$C$47</f>
        <v>2811.1427041524876</v>
      </c>
      <c r="F51" s="2">
        <f>F28*Assumptions!$C$47</f>
        <v>2846.1536836125106</v>
      </c>
      <c r="G51" s="2">
        <f>G28*Assumptions!$C$47</f>
        <v>2881.6079920382645</v>
      </c>
      <c r="H51" s="2">
        <f>H28*Assumptions!$C$47</f>
        <v>2917.5111312798003</v>
      </c>
      <c r="I51" s="2">
        <f>I28*Assumptions!$C$47</f>
        <v>2953.8686695724036</v>
      </c>
      <c r="J51" s="2">
        <f>J28*Assumptions!$C$47</f>
        <v>2990.6862423048556</v>
      </c>
      <c r="K51" s="5">
        <f>RATE(8,,-B51,J51)</f>
        <v>1.8537039399083997E-2</v>
      </c>
      <c r="L51" s="2"/>
      <c r="M51" s="52" t="str">
        <f>A51</f>
        <v>Deferred Income Taxes</v>
      </c>
      <c r="N51" s="90">
        <f t="shared" si="30"/>
        <v>0.11779197080291971</v>
      </c>
      <c r="O51" s="95">
        <f t="shared" ca="1" si="30"/>
        <v>0.11797927245287837</v>
      </c>
      <c r="P51" s="18">
        <f t="shared" ca="1" si="30"/>
        <v>0.1181714206635444</v>
      </c>
      <c r="Q51" s="18">
        <f t="shared" ca="1" si="30"/>
        <v>0.1181343886372537</v>
      </c>
      <c r="R51" s="18">
        <f t="shared" ca="1" si="30"/>
        <v>0.11796474889597917</v>
      </c>
      <c r="S51" s="18">
        <f t="shared" ca="1" si="30"/>
        <v>0.11786993480263162</v>
      </c>
      <c r="T51" s="18">
        <f t="shared" ca="1" si="30"/>
        <v>0.11777406447143947</v>
      </c>
      <c r="U51" s="18">
        <f t="shared" ca="1" si="30"/>
        <v>0.11767712598463287</v>
      </c>
      <c r="V51" s="18">
        <f t="shared" si="30"/>
        <v>0.11962744969219423</v>
      </c>
      <c r="W51" s="18">
        <f ca="1">SUM(C51:J51)/SUM($C$38:$J$38)</f>
        <v>0.11815368369661625</v>
      </c>
      <c r="X51" s="2"/>
    </row>
    <row r="52" spans="1:24" hidden="1" x14ac:dyDescent="0.2">
      <c r="A52" s="52" t="str">
        <f>Historical!A52</f>
        <v>Derivative Contracts</v>
      </c>
      <c r="B52" s="77">
        <f>Historical!S52</f>
        <v>0</v>
      </c>
      <c r="C52" s="2">
        <f>Assumptions!$C$48*Forecast!C83</f>
        <v>0</v>
      </c>
      <c r="D52" s="2">
        <f>Assumptions!$C$48*Forecast!D83</f>
        <v>0</v>
      </c>
      <c r="E52" s="2">
        <f>Assumptions!$C$48*Forecast!E83</f>
        <v>0</v>
      </c>
      <c r="F52" s="2">
        <f>Assumptions!$C$48*Forecast!F83</f>
        <v>0</v>
      </c>
      <c r="G52" s="2">
        <f>Assumptions!$C$48*Forecast!G83</f>
        <v>0</v>
      </c>
      <c r="H52" s="2">
        <f>Assumptions!$C$48*Forecast!H83</f>
        <v>0</v>
      </c>
      <c r="I52" s="2">
        <f>Assumptions!$C$48*Forecast!I83</f>
        <v>0</v>
      </c>
      <c r="J52" s="2">
        <f>Assumptions!$C$48*Forecast!J83</f>
        <v>0</v>
      </c>
      <c r="K52" s="5"/>
      <c r="L52" s="2"/>
      <c r="M52" s="52" t="str">
        <f>A52</f>
        <v>Derivative Contracts</v>
      </c>
      <c r="N52" s="90">
        <f t="shared" si="30"/>
        <v>0</v>
      </c>
      <c r="O52" s="95">
        <f t="shared" ca="1" si="30"/>
        <v>0</v>
      </c>
      <c r="P52" s="18">
        <f t="shared" ca="1" si="30"/>
        <v>0</v>
      </c>
      <c r="Q52" s="18">
        <f t="shared" ca="1" si="30"/>
        <v>0</v>
      </c>
      <c r="R52" s="18">
        <f t="shared" ca="1" si="30"/>
        <v>0</v>
      </c>
      <c r="S52" s="18">
        <f t="shared" ca="1" si="30"/>
        <v>0</v>
      </c>
      <c r="T52" s="18">
        <f t="shared" ca="1" si="30"/>
        <v>0</v>
      </c>
      <c r="U52" s="18">
        <f t="shared" ca="1" si="30"/>
        <v>0</v>
      </c>
      <c r="V52" s="18">
        <f t="shared" si="30"/>
        <v>0</v>
      </c>
      <c r="W52" s="18">
        <f ca="1">SUM(C52:J52)/SUM($C$38:$J$38)</f>
        <v>0</v>
      </c>
      <c r="X52" s="2"/>
    </row>
    <row r="53" spans="1:24" ht="12.75" customHeight="1" x14ac:dyDescent="0.2">
      <c r="A53" s="52" t="str">
        <f>Historical!A53</f>
        <v>Other Long-term Liabilities</v>
      </c>
      <c r="B53" s="77">
        <f>Historical!S53</f>
        <v>3729</v>
      </c>
      <c r="C53" s="2">
        <f ca="1">C38*Assumptions!$C$49+1825-61*(C9-$B$9)</f>
        <v>3683.3926143606577</v>
      </c>
      <c r="D53" s="2">
        <f ca="1">D38*Assumptions!$C$49+1825-61*(D9-$B$9)</f>
        <v>3690.882382206908</v>
      </c>
      <c r="E53" s="2">
        <f ca="1">E38*Assumptions!$C$49+1825-61*(E9-$B$9)</f>
        <v>3664.7957243543419</v>
      </c>
      <c r="F53" s="2">
        <f ca="1">F38*Assumptions!$C$49+1825-61*(F9-$B$9)</f>
        <v>3631.9334667020639</v>
      </c>
      <c r="G53" s="2">
        <f ca="1">G38*Assumptions!$C$49+1825-61*(G9-$B$9)</f>
        <v>3598.1520940418209</v>
      </c>
      <c r="H53" s="2">
        <f ca="1">H38*Assumptions!$C$49+1825-61*(H9-$B$9)</f>
        <v>3564.7573781790647</v>
      </c>
      <c r="I53" s="2">
        <f ca="1">I38*Assumptions!$C$49+1825-61*(I9-$B$9)</f>
        <v>3531.7552458259061</v>
      </c>
      <c r="J53" s="2">
        <f>J38*Assumptions!$C$49+1825-61*(J9-$B$9)</f>
        <v>3462.1298971915221</v>
      </c>
      <c r="K53" s="5">
        <f>RATE(8,,-B53,J53)</f>
        <v>-9.2390706050926273E-3</v>
      </c>
      <c r="L53" s="2"/>
      <c r="N53" s="90"/>
      <c r="O53" s="95"/>
      <c r="P53" s="18"/>
      <c r="Q53" s="18"/>
      <c r="R53" s="18"/>
      <c r="S53" s="18"/>
      <c r="T53" s="18"/>
      <c r="U53" s="18"/>
      <c r="V53" s="18"/>
      <c r="W53" s="18"/>
      <c r="X53" s="2"/>
    </row>
    <row r="54" spans="1:24" ht="12.75" customHeight="1" x14ac:dyDescent="0.2">
      <c r="A54" s="87" t="s">
        <v>135</v>
      </c>
      <c r="B54" s="77">
        <v>0</v>
      </c>
      <c r="C54" s="3">
        <f t="shared" ref="C54:J54" ca="1" si="31">C68</f>
        <v>1356.3978072681023</v>
      </c>
      <c r="D54" s="3">
        <f t="shared" ca="1" si="31"/>
        <v>2053.7717883975429</v>
      </c>
      <c r="E54" s="3">
        <f t="shared" ca="1" si="31"/>
        <v>2478.6688461624958</v>
      </c>
      <c r="F54" s="3">
        <f t="shared" ca="1" si="31"/>
        <v>2758.6713405957771</v>
      </c>
      <c r="G54" s="3">
        <f t="shared" ca="1" si="31"/>
        <v>3140.8600125837688</v>
      </c>
      <c r="H54" s="3">
        <f t="shared" ca="1" si="31"/>
        <v>3479.8814337234721</v>
      </c>
      <c r="I54" s="3">
        <f t="shared" ca="1" si="31"/>
        <v>3797.7307067269307</v>
      </c>
      <c r="J54" s="3">
        <f t="shared" ca="1" si="31"/>
        <v>3696.1861804812638</v>
      </c>
      <c r="K54" s="5"/>
      <c r="L54" s="2"/>
      <c r="M54" s="52" t="str">
        <f>A54</f>
        <v>Additonal Loans</v>
      </c>
      <c r="N54" s="90">
        <f t="shared" ref="N54:V55" si="32">B54/B$38</f>
        <v>0</v>
      </c>
      <c r="O54" s="95">
        <f t="shared" ca="1" si="32"/>
        <v>6.0071535362672526E-2</v>
      </c>
      <c r="P54" s="18">
        <f t="shared" ca="1" si="32"/>
        <v>8.7822737775596196E-2</v>
      </c>
      <c r="Q54" s="18">
        <f t="shared" ca="1" si="32"/>
        <v>0.10416263405734595</v>
      </c>
      <c r="R54" s="18">
        <f t="shared" ca="1" si="32"/>
        <v>0.11433886154976169</v>
      </c>
      <c r="S54" s="18">
        <f t="shared" ca="1" si="32"/>
        <v>0.12847443716505544</v>
      </c>
      <c r="T54" s="18">
        <f t="shared" ca="1" si="32"/>
        <v>0.14047582404545358</v>
      </c>
      <c r="U54" s="18">
        <f t="shared" ca="1" si="32"/>
        <v>0.15129516062605014</v>
      </c>
      <c r="V54" s="18">
        <f t="shared" ca="1" si="32"/>
        <v>0.14784744721925056</v>
      </c>
      <c r="W54" s="18">
        <f ca="1">SUM(C54:J54)/SUM($C$38:$J$38)</f>
        <v>0.11781090250485078</v>
      </c>
      <c r="X54" s="2"/>
    </row>
    <row r="55" spans="1:24" ht="12.75" customHeight="1" x14ac:dyDescent="0.2">
      <c r="A55" s="172" t="str">
        <f>Historical!A54</f>
        <v>Total LTD &amp; Deferrals</v>
      </c>
      <c r="B55" s="237">
        <f t="shared" ref="B55:J55" si="33">SUM(B50:B54)</f>
        <v>12748</v>
      </c>
      <c r="C55" s="172">
        <f t="shared" ca="1" si="33"/>
        <v>13552.728100132117</v>
      </c>
      <c r="D55" s="172">
        <f t="shared" ca="1" si="33"/>
        <v>14157.284537513067</v>
      </c>
      <c r="E55" s="172">
        <f t="shared" ca="1" si="33"/>
        <v>14410.719996257183</v>
      </c>
      <c r="F55" s="172">
        <f t="shared" ca="1" si="33"/>
        <v>14506.437846885576</v>
      </c>
      <c r="G55" s="172">
        <f t="shared" ca="1" si="33"/>
        <v>14710.236448582276</v>
      </c>
      <c r="H55" s="172">
        <f t="shared" ca="1" si="33"/>
        <v>14877.855973755997</v>
      </c>
      <c r="I55" s="172">
        <f t="shared" ca="1" si="33"/>
        <v>15031.09278502342</v>
      </c>
      <c r="J55" s="172">
        <f t="shared" ca="1" si="33"/>
        <v>14734.512015480988</v>
      </c>
      <c r="K55" s="180">
        <f ca="1">RATE(8,,-B55,J55)</f>
        <v>1.826710182301066E-2</v>
      </c>
      <c r="L55" s="2"/>
      <c r="M55" s="52" t="str">
        <f>A55</f>
        <v>Total LTD &amp; Deferrals</v>
      </c>
      <c r="N55" s="91">
        <f t="shared" si="32"/>
        <v>0.58156934306569341</v>
      </c>
      <c r="O55" s="93">
        <f t="shared" ca="1" si="32"/>
        <v>0.60021711990784177</v>
      </c>
      <c r="P55" s="17">
        <f t="shared" ca="1" si="32"/>
        <v>0.60538931081657477</v>
      </c>
      <c r="Q55" s="17">
        <f t="shared" ca="1" si="32"/>
        <v>0.60559059988871489</v>
      </c>
      <c r="R55" s="17">
        <f t="shared" ca="1" si="32"/>
        <v>0.60124943633084693</v>
      </c>
      <c r="S55" s="17">
        <f t="shared" ca="1" si="32"/>
        <v>0.60171078644852127</v>
      </c>
      <c r="T55" s="17">
        <f t="shared" ca="1" si="32"/>
        <v>0.60058916309302834</v>
      </c>
      <c r="U55" s="17">
        <f t="shared" ca="1" si="32"/>
        <v>0.59881328427710956</v>
      </c>
      <c r="V55" s="17">
        <f t="shared" ca="1" si="32"/>
        <v>0.58938048061923953</v>
      </c>
      <c r="W55" s="17">
        <f ca="1">SUM(C55:J55)/SUM($C$38:$J$38)</f>
        <v>0.60028599331415411</v>
      </c>
      <c r="X55" s="2"/>
    </row>
    <row r="56" spans="1:24" ht="12.75" customHeight="1" x14ac:dyDescent="0.2">
      <c r="B56" s="77"/>
      <c r="C56" s="2"/>
      <c r="D56" s="2"/>
      <c r="E56" s="2"/>
      <c r="F56" s="2"/>
      <c r="G56" s="2"/>
      <c r="H56" s="2"/>
      <c r="I56" s="2"/>
      <c r="J56" s="2"/>
      <c r="K56" s="18"/>
      <c r="L56" s="2"/>
      <c r="N56" s="90"/>
      <c r="O56" s="95"/>
      <c r="P56" s="18"/>
      <c r="Q56" s="18"/>
      <c r="R56" s="18"/>
      <c r="S56" s="18"/>
      <c r="T56" s="18"/>
      <c r="U56" s="18"/>
      <c r="V56" s="18"/>
      <c r="W56" s="18"/>
      <c r="X56" s="2"/>
    </row>
    <row r="57" spans="1:24" ht="12.75" customHeight="1" x14ac:dyDescent="0.2">
      <c r="A57" s="52" t="str">
        <f>Historical!A56</f>
        <v>Total Liabilities</v>
      </c>
      <c r="B57" s="77">
        <f t="shared" ref="B57:J57" si="34">B48+B55</f>
        <v>14365</v>
      </c>
      <c r="C57" s="2">
        <f t="shared" ca="1" si="34"/>
        <v>14893.358172633212</v>
      </c>
      <c r="D57" s="2">
        <f t="shared" ca="1" si="34"/>
        <v>15528.148188478397</v>
      </c>
      <c r="E57" s="2">
        <f t="shared" ca="1" si="34"/>
        <v>15800.22046942923</v>
      </c>
      <c r="F57" s="2">
        <f t="shared" ca="1" si="34"/>
        <v>15922.351471578242</v>
      </c>
      <c r="G57" s="2">
        <f t="shared" ca="1" si="34"/>
        <v>16143.408808260041</v>
      </c>
      <c r="H57" s="2">
        <f t="shared" ca="1" si="34"/>
        <v>16329.009994807169</v>
      </c>
      <c r="I57" s="2">
        <f t="shared" ca="1" si="34"/>
        <v>16500.956603790764</v>
      </c>
      <c r="J57" s="2">
        <f t="shared" ca="1" si="34"/>
        <v>16210.404229937792</v>
      </c>
      <c r="K57" s="5">
        <f ca="1">RATE(8,,-B57,J57)</f>
        <v>1.5222014943861214E-2</v>
      </c>
      <c r="L57" s="2"/>
      <c r="M57" s="52" t="str">
        <f>A57</f>
        <v>Total Liabilities</v>
      </c>
      <c r="N57" s="90">
        <f t="shared" ref="N57:V57" si="35">B57/B$38</f>
        <v>0.65533759124087587</v>
      </c>
      <c r="O57" s="95">
        <f t="shared" ca="1" si="35"/>
        <v>0.65959034093266289</v>
      </c>
      <c r="P57" s="18">
        <f t="shared" ca="1" si="35"/>
        <v>0.66400974743225216</v>
      </c>
      <c r="Q57" s="18">
        <f t="shared" ca="1" si="35"/>
        <v>0.66398243772280396</v>
      </c>
      <c r="R57" s="18">
        <f t="shared" ca="1" si="35"/>
        <v>0.65993491637255164</v>
      </c>
      <c r="S57" s="18">
        <f t="shared" ca="1" si="35"/>
        <v>0.66033358769799411</v>
      </c>
      <c r="T57" s="18">
        <f t="shared" ca="1" si="35"/>
        <v>0.65916933624160468</v>
      </c>
      <c r="U57" s="18">
        <f t="shared" ca="1" si="35"/>
        <v>0.65737016988380004</v>
      </c>
      <c r="V57" s="18">
        <f t="shared" ca="1" si="35"/>
        <v>0.64841616919751166</v>
      </c>
      <c r="W57" s="18">
        <f ca="1">SUM(C57:J57)/SUM($C$38:$J$38)</f>
        <v>0.65901498404665215</v>
      </c>
      <c r="X57" s="2"/>
    </row>
    <row r="58" spans="1:24" ht="12.75" customHeight="1" x14ac:dyDescent="0.2">
      <c r="B58" s="77"/>
      <c r="C58" s="2"/>
      <c r="D58" s="2"/>
      <c r="E58" s="2"/>
      <c r="F58" s="2"/>
      <c r="G58" s="2"/>
      <c r="H58" s="2"/>
      <c r="I58" s="2"/>
      <c r="J58" s="2"/>
      <c r="K58" s="5"/>
      <c r="L58" s="2"/>
      <c r="N58" s="90"/>
      <c r="O58" s="95"/>
      <c r="P58" s="18"/>
      <c r="Q58" s="18"/>
      <c r="R58" s="18"/>
      <c r="S58" s="18"/>
      <c r="T58" s="18"/>
      <c r="U58" s="18"/>
      <c r="V58" s="18"/>
      <c r="W58" s="18"/>
      <c r="X58" s="2"/>
    </row>
    <row r="59" spans="1:24" ht="12.75" customHeight="1" x14ac:dyDescent="0.2">
      <c r="A59" s="52" t="str">
        <f>Historical!A58</f>
        <v>Preferred Stock</v>
      </c>
      <c r="B59" s="77">
        <f>Historical!S58</f>
        <v>2</v>
      </c>
      <c r="C59" s="2">
        <f>Assumptions!$C$53</f>
        <v>2</v>
      </c>
      <c r="D59" s="2">
        <f>Assumptions!$C$53</f>
        <v>2</v>
      </c>
      <c r="E59" s="2">
        <f>Assumptions!$C$53</f>
        <v>2</v>
      </c>
      <c r="F59" s="2">
        <f>Assumptions!$C$53</f>
        <v>2</v>
      </c>
      <c r="G59" s="2">
        <f>Assumptions!$C$53</f>
        <v>2</v>
      </c>
      <c r="H59" s="2">
        <f>Assumptions!$C$53</f>
        <v>2</v>
      </c>
      <c r="I59" s="2">
        <f>Assumptions!$C$53</f>
        <v>2</v>
      </c>
      <c r="J59" s="2">
        <f>Assumptions!$C$53</f>
        <v>2</v>
      </c>
      <c r="K59" s="5">
        <f>RATE(8,,-B59,J59)</f>
        <v>3.1899074321543544E-12</v>
      </c>
      <c r="L59" s="2"/>
      <c r="M59" s="52" t="str">
        <f>A59</f>
        <v>Preferred Stock</v>
      </c>
      <c r="N59" s="90">
        <f t="shared" ref="N59:V59" si="36">B59/B$38</f>
        <v>9.1240875912408753E-5</v>
      </c>
      <c r="O59" s="95">
        <f t="shared" ca="1" si="36"/>
        <v>8.8575099488934721E-5</v>
      </c>
      <c r="P59" s="18">
        <f t="shared" ca="1" si="36"/>
        <v>8.5523365616118382E-5</v>
      </c>
      <c r="Q59" s="18">
        <f t="shared" ca="1" si="36"/>
        <v>8.4047237063242033E-5</v>
      </c>
      <c r="R59" s="18">
        <f t="shared" ca="1" si="36"/>
        <v>8.2894152606862175E-5</v>
      </c>
      <c r="S59" s="18">
        <f t="shared" ca="1" si="36"/>
        <v>8.1808445234952314E-5</v>
      </c>
      <c r="T59" s="18">
        <f t="shared" ca="1" si="36"/>
        <v>8.0735982947065233E-5</v>
      </c>
      <c r="U59" s="18">
        <f t="shared" ca="1" si="36"/>
        <v>7.967661338286078E-5</v>
      </c>
      <c r="V59" s="18">
        <f t="shared" si="36"/>
        <v>8.0000000000000007E-5</v>
      </c>
      <c r="W59" s="18">
        <f ca="1">SUM(C59:J59)/SUM($C$38:$J$38)</f>
        <v>8.2811726478623397E-5</v>
      </c>
      <c r="X59" s="2"/>
    </row>
    <row r="60" spans="1:24" ht="12.75" customHeight="1" x14ac:dyDescent="0.2">
      <c r="B60" s="77"/>
      <c r="C60" s="2"/>
      <c r="D60" s="2"/>
      <c r="E60" s="2"/>
      <c r="F60" s="2"/>
      <c r="G60" s="2"/>
      <c r="H60" s="2"/>
      <c r="I60" s="2"/>
      <c r="J60" s="2"/>
      <c r="K60" s="5"/>
      <c r="L60" s="2"/>
      <c r="N60" s="90"/>
      <c r="O60" s="95"/>
      <c r="P60" s="18"/>
      <c r="Q60" s="18"/>
      <c r="R60" s="18"/>
      <c r="S60" s="18"/>
      <c r="T60" s="18"/>
      <c r="U60" s="18"/>
      <c r="V60" s="18"/>
      <c r="W60" s="18"/>
      <c r="X60" s="2"/>
    </row>
    <row r="61" spans="1:24" ht="12.75" customHeight="1" x14ac:dyDescent="0.2">
      <c r="A61" s="172" t="str">
        <f>Historical!A60</f>
        <v>Common Equity:</v>
      </c>
      <c r="B61" s="77"/>
      <c r="C61" s="2"/>
      <c r="D61" s="2"/>
      <c r="E61" s="2"/>
      <c r="F61" s="2"/>
      <c r="G61" s="2"/>
      <c r="H61" s="2"/>
      <c r="I61" s="2"/>
      <c r="J61" s="2"/>
      <c r="K61" s="5"/>
      <c r="L61" s="2"/>
      <c r="M61" s="172" t="str">
        <f>A61</f>
        <v>Common Equity:</v>
      </c>
      <c r="N61" s="90"/>
      <c r="O61" s="95"/>
      <c r="P61" s="18"/>
      <c r="Q61" s="18"/>
      <c r="R61" s="18"/>
      <c r="S61" s="18"/>
      <c r="T61" s="18"/>
      <c r="U61" s="18"/>
      <c r="V61" s="18"/>
      <c r="W61" s="18"/>
      <c r="X61" s="2"/>
    </row>
    <row r="62" spans="1:24" ht="12.75" customHeight="1" x14ac:dyDescent="0.2">
      <c r="A62" s="52" t="str">
        <f>Historical!A61</f>
        <v>Common Stock</v>
      </c>
      <c r="B62" s="77">
        <f>Historical!S61</f>
        <v>4479</v>
      </c>
      <c r="C62" s="2">
        <f>B62</f>
        <v>4479</v>
      </c>
      <c r="D62" s="2">
        <f t="shared" ref="D62:J62" si="37">C62</f>
        <v>4479</v>
      </c>
      <c r="E62" s="2">
        <f t="shared" si="37"/>
        <v>4479</v>
      </c>
      <c r="F62" s="2">
        <f t="shared" si="37"/>
        <v>4479</v>
      </c>
      <c r="G62" s="2">
        <f t="shared" si="37"/>
        <v>4479</v>
      </c>
      <c r="H62" s="2">
        <f t="shared" si="37"/>
        <v>4479</v>
      </c>
      <c r="I62" s="2">
        <f t="shared" si="37"/>
        <v>4479</v>
      </c>
      <c r="J62" s="2">
        <f t="shared" si="37"/>
        <v>4479</v>
      </c>
      <c r="K62" s="5">
        <f>RATE(8,,-B62,J62)</f>
        <v>-9.5574488083283431E-17</v>
      </c>
      <c r="L62" s="2"/>
      <c r="M62" s="52" t="str">
        <f>A62</f>
        <v>Common Stock</v>
      </c>
      <c r="N62" s="90">
        <f t="shared" ref="N62:V65" si="38">B62/B$38</f>
        <v>0.20433394160583943</v>
      </c>
      <c r="O62" s="95">
        <f t="shared" ca="1" si="38"/>
        <v>0.19836393530546931</v>
      </c>
      <c r="P62" s="18">
        <f t="shared" ca="1" si="38"/>
        <v>0.19152957729729714</v>
      </c>
      <c r="Q62" s="18">
        <f t="shared" ca="1" si="38"/>
        <v>0.18822378740313053</v>
      </c>
      <c r="R62" s="18">
        <f t="shared" ca="1" si="38"/>
        <v>0.18564145476306781</v>
      </c>
      <c r="S62" s="18">
        <f t="shared" ca="1" si="38"/>
        <v>0.18321001310367568</v>
      </c>
      <c r="T62" s="18">
        <f t="shared" ca="1" si="38"/>
        <v>0.18080823380995259</v>
      </c>
      <c r="U62" s="18">
        <f t="shared" ca="1" si="38"/>
        <v>0.1784357756709167</v>
      </c>
      <c r="V62" s="18">
        <f t="shared" si="38"/>
        <v>0.17916000000000001</v>
      </c>
      <c r="W62" s="18">
        <f ca="1">SUM(C62:J62)/SUM($C$38:$J$38)</f>
        <v>0.1854568614488771</v>
      </c>
      <c r="X62" s="2"/>
    </row>
    <row r="63" spans="1:24" ht="12.75" customHeight="1" x14ac:dyDescent="0.2">
      <c r="A63" s="52" t="str">
        <f>Historical!A62</f>
        <v>Retained Earnings</v>
      </c>
      <c r="B63" s="77">
        <f>Historical!S62</f>
        <v>3074</v>
      </c>
      <c r="C63" s="3">
        <f t="shared" ref="C63:J63" ca="1" si="39">B63+(IF(C102&gt;C104,(C102-C104-C105),C102))</f>
        <v>3205.3511281339829</v>
      </c>
      <c r="D63" s="3">
        <f t="shared" ca="1" si="39"/>
        <v>3376.2737947675696</v>
      </c>
      <c r="E63" s="3">
        <f t="shared" ca="1" si="39"/>
        <v>3514.9215450079109</v>
      </c>
      <c r="F63" s="3">
        <f t="shared" ca="1" si="39"/>
        <v>3723.8024748821049</v>
      </c>
      <c r="G63" s="3">
        <f t="shared" ca="1" si="39"/>
        <v>3822.8557075771687</v>
      </c>
      <c r="H63" s="3">
        <f t="shared" ca="1" si="39"/>
        <v>3961.9051445684991</v>
      </c>
      <c r="I63" s="3">
        <f t="shared" ca="1" si="39"/>
        <v>4119.164578701103</v>
      </c>
      <c r="J63" s="3">
        <f t="shared" ca="1" si="39"/>
        <v>4308.1245589486662</v>
      </c>
      <c r="K63" s="5">
        <f ca="1">RATE(8,,-B63,J63)</f>
        <v>4.3093042228898079E-2</v>
      </c>
      <c r="L63" s="2"/>
      <c r="M63" s="52" t="str">
        <f>A63</f>
        <v>Retained Earnings</v>
      </c>
      <c r="N63" s="90">
        <f t="shared" si="38"/>
        <v>0.14023722627737226</v>
      </c>
      <c r="O63" s="95">
        <f t="shared" ca="1" si="38"/>
        <v>0.14195714753571834</v>
      </c>
      <c r="P63" s="18">
        <f t="shared" ca="1" si="38"/>
        <v>0.14437514908501314</v>
      </c>
      <c r="Q63" s="18">
        <f t="shared" ca="1" si="38"/>
        <v>0.14770972217598843</v>
      </c>
      <c r="R63" s="18">
        <f t="shared" ca="1" si="38"/>
        <v>0.15434072531534412</v>
      </c>
      <c r="S63" s="18">
        <f t="shared" ca="1" si="38"/>
        <v>0.15637094089722584</v>
      </c>
      <c r="T63" s="18">
        <f t="shared" ca="1" si="38"/>
        <v>0.15993415309488618</v>
      </c>
      <c r="U63" s="18">
        <f t="shared" ca="1" si="38"/>
        <v>0.1641005417987712</v>
      </c>
      <c r="V63" s="18">
        <f t="shared" ca="1" si="38"/>
        <v>0.17232498235794666</v>
      </c>
      <c r="W63" s="102">
        <f ca="1">SUM(C63:J63)/SUM($C$38:$J$38)</f>
        <v>0.15543967536889353</v>
      </c>
      <c r="X63" s="2"/>
    </row>
    <row r="64" spans="1:24" ht="12.75" customHeight="1" x14ac:dyDescent="0.2">
      <c r="A64" s="172" t="str">
        <f>Historical!A63</f>
        <v>Total Common Equity</v>
      </c>
      <c r="B64" s="239">
        <f>SUM(B62:B63)</f>
        <v>7553</v>
      </c>
      <c r="C64" s="175">
        <f ca="1">SUM(C61:C63)</f>
        <v>7684.3511281339834</v>
      </c>
      <c r="D64" s="175">
        <f t="shared" ref="D64:J64" ca="1" si="40">SUM(D61:D63)</f>
        <v>7855.2737947675696</v>
      </c>
      <c r="E64" s="175">
        <f t="shared" ca="1" si="40"/>
        <v>7993.9215450079109</v>
      </c>
      <c r="F64" s="175">
        <f t="shared" ca="1" si="40"/>
        <v>8202.8024748821044</v>
      </c>
      <c r="G64" s="175">
        <f t="shared" ca="1" si="40"/>
        <v>8301.8557075771678</v>
      </c>
      <c r="H64" s="175">
        <f t="shared" ca="1" si="40"/>
        <v>8440.9051445685</v>
      </c>
      <c r="I64" s="175">
        <f t="shared" ca="1" si="40"/>
        <v>8598.1645787011039</v>
      </c>
      <c r="J64" s="175">
        <f t="shared" ca="1" si="40"/>
        <v>8787.1245589486662</v>
      </c>
      <c r="K64" s="180">
        <f ca="1">RATE(8,,-B64,J64)</f>
        <v>1.9097913092866178E-2</v>
      </c>
      <c r="L64" s="2"/>
      <c r="M64" s="172" t="str">
        <f>A64</f>
        <v>Total Common Equity</v>
      </c>
      <c r="N64" s="242">
        <f t="shared" si="38"/>
        <v>0.34457116788321168</v>
      </c>
      <c r="O64" s="243">
        <f t="shared" ca="1" si="38"/>
        <v>0.34032108284118767</v>
      </c>
      <c r="P64" s="180">
        <f t="shared" ca="1" si="38"/>
        <v>0.33590472638231028</v>
      </c>
      <c r="Q64" s="180">
        <f t="shared" ca="1" si="38"/>
        <v>0.33593350957911899</v>
      </c>
      <c r="R64" s="180">
        <f t="shared" ca="1" si="38"/>
        <v>0.33998218007841191</v>
      </c>
      <c r="S64" s="180">
        <f t="shared" ca="1" si="38"/>
        <v>0.33958095400090149</v>
      </c>
      <c r="T64" s="180">
        <f t="shared" ca="1" si="38"/>
        <v>0.34074238690483877</v>
      </c>
      <c r="U64" s="180">
        <f t="shared" ca="1" si="38"/>
        <v>0.34253631746968793</v>
      </c>
      <c r="V64" s="180">
        <f t="shared" ca="1" si="38"/>
        <v>0.35148498235794667</v>
      </c>
      <c r="W64" s="180">
        <f ca="1">SUM(C64:J64)/SUM($C$38:$J$38)</f>
        <v>0.34089653681777066</v>
      </c>
      <c r="X64" s="2"/>
    </row>
    <row r="65" spans="1:24" ht="12.75" customHeight="1" thickBot="1" x14ac:dyDescent="0.25">
      <c r="A65" s="172" t="str">
        <f>Historical!A64</f>
        <v>Total Liabilities &amp; Equity</v>
      </c>
      <c r="B65" s="237">
        <f t="shared" ref="B65:J65" si="41">B57+B59+B64</f>
        <v>21920</v>
      </c>
      <c r="C65" s="271">
        <f t="shared" ca="1" si="41"/>
        <v>22579.709300767194</v>
      </c>
      <c r="D65" s="272">
        <f t="shared" ca="1" si="41"/>
        <v>23385.421983245968</v>
      </c>
      <c r="E65" s="272">
        <f t="shared" ca="1" si="41"/>
        <v>23796.14201443714</v>
      </c>
      <c r="F65" s="272">
        <f t="shared" ca="1" si="41"/>
        <v>24127.153946460348</v>
      </c>
      <c r="G65" s="272">
        <f t="shared" ca="1" si="41"/>
        <v>24447.264515837211</v>
      </c>
      <c r="H65" s="272">
        <f t="shared" ca="1" si="41"/>
        <v>24771.915139375669</v>
      </c>
      <c r="I65" s="272">
        <f t="shared" ca="1" si="41"/>
        <v>25101.121182491868</v>
      </c>
      <c r="J65" s="272">
        <f t="shared" ca="1" si="41"/>
        <v>24999.528788886459</v>
      </c>
      <c r="K65" s="180">
        <f ca="1">RATE(8,,-B65,J65)</f>
        <v>1.6567940235525977E-2</v>
      </c>
      <c r="L65" s="2"/>
      <c r="M65" s="172" t="str">
        <f>A65</f>
        <v>Total Liabilities &amp; Equity</v>
      </c>
      <c r="N65" s="242">
        <f t="shared" si="38"/>
        <v>1</v>
      </c>
      <c r="O65" s="243">
        <f t="shared" ca="1" si="38"/>
        <v>0.99999999887333935</v>
      </c>
      <c r="P65" s="180">
        <f t="shared" ca="1" si="38"/>
        <v>0.99999999718017862</v>
      </c>
      <c r="Q65" s="180">
        <f t="shared" ca="1" si="38"/>
        <v>0.99999999453898614</v>
      </c>
      <c r="R65" s="180">
        <f t="shared" ca="1" si="38"/>
        <v>0.99999999060357048</v>
      </c>
      <c r="S65" s="180">
        <f t="shared" ca="1" si="38"/>
        <v>0.99999635014413069</v>
      </c>
      <c r="T65" s="180">
        <f t="shared" ca="1" si="38"/>
        <v>0.9999924591293905</v>
      </c>
      <c r="U65" s="180">
        <f t="shared" ca="1" si="38"/>
        <v>0.9999861639668709</v>
      </c>
      <c r="V65" s="180">
        <f t="shared" ca="1" si="38"/>
        <v>0.9999811515554583</v>
      </c>
      <c r="W65" s="180">
        <f ca="1">SUM(C65:J65)/SUM($C$38:$J$38)</f>
        <v>0.99999433259090142</v>
      </c>
      <c r="X65" s="2"/>
    </row>
    <row r="66" spans="1:24" ht="12.75" customHeight="1" thickTop="1" x14ac:dyDescent="0.2">
      <c r="B66" s="86"/>
      <c r="C66" s="2"/>
      <c r="D66" s="2"/>
      <c r="E66" s="2"/>
      <c r="F66" s="2"/>
      <c r="G66" s="2"/>
      <c r="H66" s="2"/>
      <c r="I66" s="2"/>
      <c r="J66" s="2"/>
      <c r="K66" s="71"/>
      <c r="L66" s="2"/>
      <c r="N66" s="71"/>
      <c r="O66" s="126"/>
      <c r="P66" s="126"/>
      <c r="Q66" s="126"/>
      <c r="R66" s="126"/>
      <c r="S66" s="126"/>
      <c r="T66" s="126"/>
      <c r="U66" s="126"/>
      <c r="V66" s="126"/>
      <c r="W66" s="71"/>
      <c r="X66" s="2"/>
    </row>
    <row r="67" spans="1:24" ht="12.75" customHeight="1" x14ac:dyDescent="0.2">
      <c r="B67" s="77"/>
      <c r="C67" s="2">
        <f t="shared" ref="C67:J67" ca="1" si="42">IF(C38&lt;C65,(((C65-C38)*0.1)+C13),0)</f>
        <v>0</v>
      </c>
      <c r="D67" s="2">
        <f t="shared" ca="1" si="42"/>
        <v>0</v>
      </c>
      <c r="E67" s="2">
        <f t="shared" ca="1" si="42"/>
        <v>0</v>
      </c>
      <c r="F67" s="2">
        <f t="shared" ca="1" si="42"/>
        <v>0</v>
      </c>
      <c r="G67" s="2">
        <f t="shared" ca="1" si="42"/>
        <v>0</v>
      </c>
      <c r="H67" s="2">
        <f t="shared" ca="1" si="42"/>
        <v>0</v>
      </c>
      <c r="I67" s="2">
        <f t="shared" ca="1" si="42"/>
        <v>0</v>
      </c>
      <c r="J67" s="2">
        <f t="shared" ca="1" si="42"/>
        <v>0</v>
      </c>
      <c r="K67" s="5"/>
      <c r="L67" s="2"/>
    </row>
    <row r="68" spans="1:24" ht="12.75" customHeight="1" x14ac:dyDescent="0.2">
      <c r="A68" s="110"/>
      <c r="B68" s="77"/>
      <c r="C68" s="2">
        <f t="shared" ref="C68:J68" ca="1" si="43">IF(C38&gt;C65,(((C38-C65)*0.1)+C54),0)</f>
        <v>1356.3978098120692</v>
      </c>
      <c r="D68" s="2">
        <f t="shared" ca="1" si="43"/>
        <v>2053.7717949918142</v>
      </c>
      <c r="E68" s="2">
        <f t="shared" ca="1" si="43"/>
        <v>2478.6688591576021</v>
      </c>
      <c r="F68" s="2">
        <f t="shared" ca="1" si="43"/>
        <v>2758.6713632666874</v>
      </c>
      <c r="G68" s="2">
        <f t="shared" ca="1" si="43"/>
        <v>3140.8689355155243</v>
      </c>
      <c r="H68" s="2">
        <f t="shared" ca="1" si="43"/>
        <v>3479.9001140450196</v>
      </c>
      <c r="I68" s="2">
        <f t="shared" ca="1" si="43"/>
        <v>3797.7654372018887</v>
      </c>
      <c r="J68" s="2">
        <f t="shared" ca="1" si="43"/>
        <v>3696.2333015926179</v>
      </c>
      <c r="K68" s="5"/>
      <c r="L68" s="2"/>
    </row>
    <row r="69" spans="1:24" ht="12.75" customHeight="1" x14ac:dyDescent="0.2">
      <c r="A69" s="110"/>
      <c r="B69" s="19"/>
      <c r="C69" s="2"/>
      <c r="D69" s="2"/>
      <c r="E69" s="2"/>
      <c r="F69" s="2"/>
      <c r="G69" s="2"/>
      <c r="H69" s="2"/>
      <c r="I69" s="2"/>
      <c r="J69" s="2"/>
      <c r="K69" s="5"/>
      <c r="L69" s="2"/>
    </row>
    <row r="70" spans="1:24" ht="12.75" customHeight="1" x14ac:dyDescent="0.2">
      <c r="A70" s="110"/>
      <c r="B70" s="19"/>
      <c r="C70" s="2"/>
      <c r="D70" s="2"/>
      <c r="E70" s="2"/>
      <c r="F70" s="2"/>
      <c r="G70" s="2"/>
      <c r="H70" s="2"/>
      <c r="I70" s="2"/>
      <c r="J70" s="2"/>
      <c r="K70" s="247" t="s">
        <v>199</v>
      </c>
      <c r="L70" s="2"/>
      <c r="W70" s="247" t="s">
        <v>199</v>
      </c>
    </row>
    <row r="71" spans="1:24" ht="12.75" customHeight="1" x14ac:dyDescent="0.2">
      <c r="A71" s="110"/>
      <c r="B71" s="19"/>
      <c r="C71" s="2"/>
      <c r="D71" s="2"/>
      <c r="E71" s="2"/>
      <c r="F71" s="2"/>
      <c r="G71" s="2"/>
      <c r="H71" s="2"/>
      <c r="I71" s="2"/>
      <c r="J71" s="2"/>
      <c r="K71" s="248" t="s">
        <v>194</v>
      </c>
      <c r="L71" s="2"/>
      <c r="N71"/>
      <c r="O71"/>
      <c r="P71"/>
      <c r="Q71"/>
      <c r="R71"/>
      <c r="S71"/>
      <c r="T71"/>
      <c r="U71"/>
      <c r="V71"/>
      <c r="W71" s="248" t="s">
        <v>197</v>
      </c>
      <c r="X71"/>
    </row>
    <row r="72" spans="1:24" ht="12.75" customHeight="1" x14ac:dyDescent="0.25">
      <c r="A72" s="104" t="str">
        <f>A4</f>
        <v>PacifiCorp</v>
      </c>
      <c r="B72" s="106"/>
      <c r="C72" s="10"/>
      <c r="D72" s="10"/>
      <c r="E72" s="12"/>
      <c r="F72" s="12"/>
      <c r="G72" s="12"/>
      <c r="H72" s="12"/>
      <c r="I72" s="12"/>
      <c r="J72" s="12"/>
      <c r="K72" s="13"/>
      <c r="L72" s="2"/>
      <c r="M72" s="104" t="str">
        <f>A72</f>
        <v>PacifiCorp</v>
      </c>
      <c r="N72" s="108"/>
      <c r="O72" s="12"/>
      <c r="P72" s="12"/>
      <c r="Q72" s="12"/>
      <c r="R72" s="12"/>
      <c r="S72" s="12"/>
      <c r="T72" s="12"/>
      <c r="U72" s="12"/>
      <c r="V72" s="12"/>
      <c r="W72" s="13"/>
      <c r="X72" s="2"/>
    </row>
    <row r="73" spans="1:24" ht="12.75" customHeight="1" x14ac:dyDescent="0.2">
      <c r="A73" s="106" t="s">
        <v>143</v>
      </c>
      <c r="B73" s="106"/>
      <c r="C73" s="10"/>
      <c r="D73" s="10"/>
      <c r="E73" s="12"/>
      <c r="F73" s="12"/>
      <c r="G73" s="12"/>
      <c r="H73" s="12"/>
      <c r="I73" s="12"/>
      <c r="J73" s="12"/>
      <c r="K73" s="13"/>
      <c r="L73" s="2"/>
      <c r="M73" s="106" t="s">
        <v>181</v>
      </c>
      <c r="N73" s="108"/>
      <c r="O73" s="10"/>
      <c r="P73" s="12"/>
      <c r="Q73" s="12"/>
      <c r="R73" s="12"/>
      <c r="S73" s="12"/>
      <c r="T73" s="12"/>
      <c r="U73" s="12"/>
      <c r="V73" s="12"/>
      <c r="W73" s="13"/>
      <c r="X73" s="2"/>
    </row>
    <row r="74" spans="1:24" ht="12.75" customHeight="1" x14ac:dyDescent="0.2">
      <c r="A74" s="130">
        <f ca="1">A6</f>
        <v>43263.391814351853</v>
      </c>
      <c r="B74" s="106"/>
      <c r="C74" s="12"/>
      <c r="D74" s="12"/>
      <c r="E74" s="12"/>
      <c r="F74" s="12"/>
      <c r="G74" s="12"/>
      <c r="H74" s="12"/>
      <c r="I74" s="12"/>
      <c r="J74" s="12"/>
      <c r="K74" s="13"/>
      <c r="L74" s="2"/>
      <c r="M74" s="106"/>
      <c r="N74" s="108"/>
      <c r="O74" s="10"/>
      <c r="P74" s="12"/>
      <c r="Q74" s="12"/>
      <c r="R74" s="12"/>
      <c r="S74" s="12"/>
      <c r="T74" s="12"/>
      <c r="U74" s="12"/>
      <c r="V74" s="12"/>
      <c r="W74" s="13"/>
      <c r="X74" s="2"/>
    </row>
    <row r="75" spans="1:24" ht="12.75" customHeight="1" x14ac:dyDescent="0.2">
      <c r="A75" s="103"/>
      <c r="B75" s="103"/>
      <c r="C75" s="2"/>
      <c r="D75" s="2"/>
      <c r="E75" s="2"/>
      <c r="F75" s="2"/>
      <c r="G75" s="2"/>
      <c r="H75" s="2"/>
      <c r="I75" s="2"/>
      <c r="J75" s="2"/>
      <c r="K75" s="5"/>
      <c r="L75" s="2"/>
      <c r="M75" s="103"/>
      <c r="N75" s="107"/>
      <c r="O75" s="2"/>
      <c r="P75" s="2"/>
      <c r="Q75" s="2"/>
      <c r="R75" s="2"/>
      <c r="S75" s="2"/>
      <c r="T75" s="2"/>
      <c r="U75" s="2"/>
      <c r="V75" s="2"/>
      <c r="W75" s="5"/>
      <c r="X75" s="2"/>
    </row>
    <row r="76" spans="1:24" ht="12.75" customHeight="1" x14ac:dyDescent="0.2">
      <c r="B76" s="74" t="s">
        <v>121</v>
      </c>
      <c r="C76" s="14" t="s">
        <v>122</v>
      </c>
      <c r="D76" s="14" t="s">
        <v>122</v>
      </c>
      <c r="E76" s="14" t="s">
        <v>122</v>
      </c>
      <c r="F76" s="14" t="s">
        <v>122</v>
      </c>
      <c r="G76" s="14" t="s">
        <v>122</v>
      </c>
      <c r="H76" s="14" t="s">
        <v>122</v>
      </c>
      <c r="I76" s="14" t="s">
        <v>122</v>
      </c>
      <c r="J76" s="14" t="s">
        <v>122</v>
      </c>
      <c r="K76" s="15" t="s">
        <v>4</v>
      </c>
      <c r="L76" s="2"/>
      <c r="N76" s="74" t="str">
        <f>B8</f>
        <v>Historical</v>
      </c>
      <c r="O76" s="14" t="s">
        <v>122</v>
      </c>
      <c r="P76" s="14" t="s">
        <v>122</v>
      </c>
      <c r="Q76" s="14" t="s">
        <v>122</v>
      </c>
      <c r="R76" s="14" t="s">
        <v>122</v>
      </c>
      <c r="S76" s="14" t="s">
        <v>122</v>
      </c>
      <c r="T76" s="14" t="s">
        <v>122</v>
      </c>
      <c r="U76" s="14" t="s">
        <v>122</v>
      </c>
      <c r="V76" s="14" t="s">
        <v>122</v>
      </c>
      <c r="W76" s="15"/>
      <c r="X76" s="2"/>
    </row>
    <row r="77" spans="1:24" ht="12.75" customHeight="1" x14ac:dyDescent="0.2">
      <c r="B77" s="88">
        <f>B9</f>
        <v>2017</v>
      </c>
      <c r="C77" s="4">
        <f>C9</f>
        <v>2018</v>
      </c>
      <c r="D77" s="4">
        <f t="shared" ref="D77:J77" si="44">D9</f>
        <v>2019</v>
      </c>
      <c r="E77" s="4">
        <f t="shared" si="44"/>
        <v>2020</v>
      </c>
      <c r="F77" s="4">
        <f t="shared" si="44"/>
        <v>2021</v>
      </c>
      <c r="G77" s="4">
        <f t="shared" si="44"/>
        <v>2022</v>
      </c>
      <c r="H77" s="4">
        <f t="shared" si="44"/>
        <v>2023</v>
      </c>
      <c r="I77" s="4">
        <f t="shared" si="44"/>
        <v>2024</v>
      </c>
      <c r="J77" s="4">
        <f t="shared" si="44"/>
        <v>2025</v>
      </c>
      <c r="K77" s="16" t="s">
        <v>23</v>
      </c>
      <c r="L77" s="2"/>
      <c r="N77" s="98">
        <f>B9</f>
        <v>2017</v>
      </c>
      <c r="O77" s="4">
        <f t="shared" ref="O77:V77" si="45">C9</f>
        <v>2018</v>
      </c>
      <c r="P77" s="4">
        <f t="shared" si="45"/>
        <v>2019</v>
      </c>
      <c r="Q77" s="4">
        <f t="shared" si="45"/>
        <v>2020</v>
      </c>
      <c r="R77" s="4">
        <f t="shared" si="45"/>
        <v>2021</v>
      </c>
      <c r="S77" s="4">
        <f t="shared" si="45"/>
        <v>2022</v>
      </c>
      <c r="T77" s="4">
        <f t="shared" si="45"/>
        <v>2023</v>
      </c>
      <c r="U77" s="4">
        <f t="shared" si="45"/>
        <v>2024</v>
      </c>
      <c r="V77" s="4">
        <f t="shared" si="45"/>
        <v>2025</v>
      </c>
      <c r="W77" s="16" t="s">
        <v>3</v>
      </c>
      <c r="X77" s="2"/>
    </row>
    <row r="78" spans="1:24" ht="12.75" customHeight="1" x14ac:dyDescent="0.2">
      <c r="A78" s="172" t="str">
        <f>Historical!A76</f>
        <v>Operating Sales and Revenues:</v>
      </c>
      <c r="B78" s="85"/>
      <c r="C78" s="2"/>
      <c r="D78" s="2"/>
      <c r="E78" s="2"/>
      <c r="F78" s="2"/>
      <c r="G78" s="2"/>
      <c r="H78" s="2"/>
      <c r="I78" s="2"/>
      <c r="J78" s="2"/>
      <c r="K78" s="5"/>
      <c r="L78" s="2"/>
      <c r="M78" s="52" t="str">
        <f>A78</f>
        <v>Operating Sales and Revenues:</v>
      </c>
      <c r="N78" s="91"/>
      <c r="O78" s="5"/>
      <c r="P78" s="5"/>
      <c r="Q78" s="5"/>
      <c r="R78" s="5"/>
      <c r="S78" s="5"/>
      <c r="T78" s="5"/>
      <c r="U78" s="5"/>
      <c r="V78" s="5"/>
      <c r="W78" s="5"/>
      <c r="X78" s="2"/>
    </row>
    <row r="79" spans="1:24" ht="12.75" customHeight="1" x14ac:dyDescent="0.2">
      <c r="A79" s="52" t="str">
        <f>Historical!A77</f>
        <v>Revenues</v>
      </c>
      <c r="B79" s="77">
        <f>Historical!S77</f>
        <v>5237</v>
      </c>
      <c r="C79" s="2">
        <f>5039</f>
        <v>5039</v>
      </c>
      <c r="D79" s="2">
        <f>(1+Assumptions!$C$61)*Forecast!C79</f>
        <v>5177.5725000000002</v>
      </c>
      <c r="E79" s="2">
        <f>(1+Assumptions!$C$61)*Forecast!D79</f>
        <v>5319.9557437500007</v>
      </c>
      <c r="F79" s="2">
        <f>(1+Assumptions!$C$61)*Forecast!E79*1.02</f>
        <v>5575.5796172371893</v>
      </c>
      <c r="G79" s="2">
        <f>(1+Assumptions!$C$61)*Forecast!F79</f>
        <v>5728.9080567112123</v>
      </c>
      <c r="H79" s="2">
        <f>(1+Assumptions!$C$61)*Forecast!G79</f>
        <v>5886.453028270771</v>
      </c>
      <c r="I79" s="2">
        <f>(1+Assumptions!$C$61)*Forecast!H79</f>
        <v>6048.3304865482178</v>
      </c>
      <c r="J79" s="2">
        <f>(1+Assumptions!$C$61)*Forecast!I79</f>
        <v>6214.6595749282942</v>
      </c>
      <c r="K79" s="5">
        <f>RATE(8,,-B79,J79)</f>
        <v>2.1625786470473161E-2</v>
      </c>
      <c r="L79" s="2"/>
      <c r="M79" s="52" t="str">
        <f t="shared" ref="M79:M105" si="46">A79</f>
        <v>Revenues</v>
      </c>
      <c r="N79" s="90">
        <f t="shared" ref="N79:V80" si="47">B79/B$80</f>
        <v>1</v>
      </c>
      <c r="O79" s="95">
        <f t="shared" si="47"/>
        <v>1</v>
      </c>
      <c r="P79" s="18">
        <f t="shared" si="47"/>
        <v>1</v>
      </c>
      <c r="Q79" s="18">
        <f t="shared" si="47"/>
        <v>1</v>
      </c>
      <c r="R79" s="18">
        <f t="shared" si="47"/>
        <v>1</v>
      </c>
      <c r="S79" s="18">
        <f t="shared" si="47"/>
        <v>1</v>
      </c>
      <c r="T79" s="18">
        <f t="shared" si="47"/>
        <v>1</v>
      </c>
      <c r="U79" s="18">
        <f t="shared" si="47"/>
        <v>1</v>
      </c>
      <c r="V79" s="18">
        <f t="shared" si="47"/>
        <v>1</v>
      </c>
      <c r="W79" s="18">
        <f>SUM(C79:J79)/SUM(C$80:J$80)</f>
        <v>1</v>
      </c>
      <c r="X79" s="2"/>
    </row>
    <row r="80" spans="1:24" ht="12.75" customHeight="1" x14ac:dyDescent="0.2">
      <c r="A80" s="172" t="str">
        <f>Historical!A78</f>
        <v>Total Revenues</v>
      </c>
      <c r="B80" s="237">
        <f>B79</f>
        <v>5237</v>
      </c>
      <c r="C80" s="195">
        <f t="shared" ref="C80:J80" si="48">SUM(C78:C79)</f>
        <v>5039</v>
      </c>
      <c r="D80" s="195">
        <f t="shared" si="48"/>
        <v>5177.5725000000002</v>
      </c>
      <c r="E80" s="195">
        <f t="shared" si="48"/>
        <v>5319.9557437500007</v>
      </c>
      <c r="F80" s="195">
        <f t="shared" si="48"/>
        <v>5575.5796172371893</v>
      </c>
      <c r="G80" s="195">
        <f t="shared" si="48"/>
        <v>5728.9080567112123</v>
      </c>
      <c r="H80" s="195">
        <f t="shared" si="48"/>
        <v>5886.453028270771</v>
      </c>
      <c r="I80" s="195">
        <f t="shared" si="48"/>
        <v>6048.3304865482178</v>
      </c>
      <c r="J80" s="195">
        <f t="shared" si="48"/>
        <v>6214.6595749282942</v>
      </c>
      <c r="K80" s="180">
        <f>RATE(8,,-B80,J80)</f>
        <v>2.1625786470473161E-2</v>
      </c>
      <c r="L80" s="172"/>
      <c r="M80" s="52" t="str">
        <f t="shared" si="46"/>
        <v>Total Revenues</v>
      </c>
      <c r="N80" s="91">
        <f t="shared" si="47"/>
        <v>1</v>
      </c>
      <c r="O80" s="93">
        <f t="shared" si="47"/>
        <v>1</v>
      </c>
      <c r="P80" s="17">
        <f t="shared" si="47"/>
        <v>1</v>
      </c>
      <c r="Q80" s="17">
        <f t="shared" si="47"/>
        <v>1</v>
      </c>
      <c r="R80" s="17">
        <f t="shared" si="47"/>
        <v>1</v>
      </c>
      <c r="S80" s="17">
        <f t="shared" si="47"/>
        <v>1</v>
      </c>
      <c r="T80" s="17">
        <f t="shared" si="47"/>
        <v>1</v>
      </c>
      <c r="U80" s="17">
        <f t="shared" si="47"/>
        <v>1</v>
      </c>
      <c r="V80" s="17">
        <f t="shared" si="47"/>
        <v>1</v>
      </c>
      <c r="W80" s="17">
        <f>SUM(C80:J80)/SUM(C$80:J$80)</f>
        <v>1</v>
      </c>
      <c r="X80" s="2"/>
    </row>
    <row r="81" spans="1:24" ht="12.75" customHeight="1" x14ac:dyDescent="0.2">
      <c r="B81" s="77"/>
      <c r="C81" s="2"/>
      <c r="D81" s="2"/>
      <c r="E81" s="2"/>
      <c r="F81" s="2"/>
      <c r="G81" s="2"/>
      <c r="H81" s="2"/>
      <c r="I81" s="2"/>
      <c r="J81" s="2"/>
      <c r="K81" s="5"/>
      <c r="L81" s="2"/>
      <c r="N81" s="90"/>
      <c r="O81" s="5"/>
      <c r="P81" s="5"/>
      <c r="Q81" s="5"/>
      <c r="R81" s="5"/>
      <c r="S81" s="5"/>
      <c r="T81" s="5"/>
      <c r="U81" s="5"/>
      <c r="V81" s="5"/>
      <c r="W81" s="5"/>
      <c r="X81" s="2"/>
    </row>
    <row r="82" spans="1:24" ht="12.75" customHeight="1" x14ac:dyDescent="0.2">
      <c r="A82" s="52" t="str">
        <f>Historical!A80</f>
        <v>Operating Expenses:</v>
      </c>
      <c r="B82" s="77"/>
      <c r="C82" s="275"/>
      <c r="D82" s="2"/>
      <c r="E82" s="2"/>
      <c r="F82" s="2"/>
      <c r="G82" s="2"/>
      <c r="H82" s="2"/>
      <c r="I82" s="2"/>
      <c r="J82" s="2"/>
      <c r="K82" s="5"/>
      <c r="L82" s="2"/>
      <c r="M82" s="52" t="str">
        <f t="shared" si="46"/>
        <v>Operating Expenses:</v>
      </c>
      <c r="N82" s="90"/>
      <c r="O82" s="95"/>
      <c r="P82" s="18"/>
      <c r="Q82" s="18"/>
      <c r="R82" s="18"/>
      <c r="S82" s="18"/>
      <c r="T82" s="18"/>
      <c r="U82" s="18"/>
      <c r="V82" s="18"/>
      <c r="W82" s="5"/>
      <c r="X82" s="2"/>
    </row>
    <row r="83" spans="1:24" ht="12.75" customHeight="1" x14ac:dyDescent="0.2">
      <c r="A83" s="52" t="str">
        <f>Historical!A81</f>
        <v>Energy Costs</v>
      </c>
      <c r="B83" s="77">
        <f>Historical!S81</f>
        <v>1770</v>
      </c>
      <c r="C83" s="2">
        <v>1738</v>
      </c>
      <c r="D83" s="2">
        <f>(1+Assumptions!$C$65)*Forecast!C83</f>
        <v>1781.4499999999998</v>
      </c>
      <c r="E83" s="2">
        <f>(1+Assumptions!$C$4)*Forecast!D83</f>
        <v>1825.9862499999997</v>
      </c>
      <c r="F83" s="2">
        <f>(1+Assumptions!$C$4)*Forecast!E83</f>
        <v>1871.6359062499996</v>
      </c>
      <c r="G83" s="2">
        <f>(1+Assumptions!$C$4)*Forecast!F83</f>
        <v>1918.4268039062495</v>
      </c>
      <c r="H83" s="2">
        <f>(1+Assumptions!$C$4)*Forecast!G83</f>
        <v>1966.3874740039055</v>
      </c>
      <c r="I83" s="2">
        <f>(1+Assumptions!$C$4)*Forecast!H83</f>
        <v>2015.5471608540029</v>
      </c>
      <c r="J83" s="2">
        <f>(1+Assumptions!$C$4)*Forecast!I83</f>
        <v>2065.9358398753529</v>
      </c>
      <c r="K83" s="5">
        <f>RATE(8,,-B83,J83)</f>
        <v>1.9513416725033886E-2</v>
      </c>
      <c r="L83" s="2"/>
      <c r="M83" s="52" t="str">
        <f t="shared" si="46"/>
        <v>Energy Costs</v>
      </c>
      <c r="N83" s="90">
        <f t="shared" ref="N83:V89" si="49">B83/B$80</f>
        <v>0.33797975940423908</v>
      </c>
      <c r="O83" s="95">
        <f t="shared" si="49"/>
        <v>0.34490970430640999</v>
      </c>
      <c r="P83" s="18">
        <f t="shared" si="49"/>
        <v>0.34407050794556709</v>
      </c>
      <c r="Q83" s="18">
        <f t="shared" si="49"/>
        <v>0.34323335342501821</v>
      </c>
      <c r="R83" s="18">
        <f t="shared" si="49"/>
        <v>0.33568454487919813</v>
      </c>
      <c r="S83" s="18">
        <f t="shared" si="49"/>
        <v>0.33486779416173046</v>
      </c>
      <c r="T83" s="18">
        <f t="shared" si="49"/>
        <v>0.33405303067228581</v>
      </c>
      <c r="U83" s="18">
        <f t="shared" si="49"/>
        <v>0.33324024957575948</v>
      </c>
      <c r="V83" s="18">
        <f t="shared" si="49"/>
        <v>0.33242944604881114</v>
      </c>
      <c r="W83" s="18">
        <f t="shared" ref="W83:W89" si="50">SUM(C83:J83)/SUM(C$80:J$80)</f>
        <v>0.33747976281763969</v>
      </c>
      <c r="X83" s="2"/>
    </row>
    <row r="84" spans="1:24" ht="12.75" customHeight="1" x14ac:dyDescent="0.2">
      <c r="A84" s="52" t="str">
        <f>Historical!A82</f>
        <v>Other operations and maintenance</v>
      </c>
      <c r="B84" s="77">
        <f>Historical!S82</f>
        <v>1012</v>
      </c>
      <c r="C84" s="2">
        <f>B84*(1+Assumptions!$C$66)</f>
        <v>1037.3</v>
      </c>
      <c r="D84" s="2">
        <f>C84*(1+Assumptions!$C$66)</f>
        <v>1063.2324999999998</v>
      </c>
      <c r="E84" s="2">
        <f>D84*(1+Assumptions!$C$66+Assumptions!$E$66)</f>
        <v>1089.8133124999997</v>
      </c>
      <c r="F84" s="2">
        <f>E84*(1+Assumptions!$C$66+Assumptions!$E$66*2)</f>
        <v>1117.0586453124995</v>
      </c>
      <c r="G84" s="2">
        <f>F84*(1+Assumptions!$C$66+Assumptions!$E$66*3)</f>
        <v>1144.985111445312</v>
      </c>
      <c r="H84" s="2">
        <f>G84*(1+Assumptions!$C$4)</f>
        <v>1173.6097392314448</v>
      </c>
      <c r="I84" s="2">
        <f>H84*(1+Assumptions!$C$4)</f>
        <v>1202.9499827122308</v>
      </c>
      <c r="J84" s="2">
        <f>I84*(1+Assumptions!$C$4)</f>
        <v>1233.0237322800365</v>
      </c>
      <c r="K84" s="5">
        <f>RATE(8,,-B84,J84)</f>
        <v>2.5000000000011739E-2</v>
      </c>
      <c r="L84" s="2"/>
      <c r="M84" s="52" t="str">
        <f t="shared" si="46"/>
        <v>Other operations and maintenance</v>
      </c>
      <c r="N84" s="90">
        <f t="shared" si="49"/>
        <v>0.19324040481191521</v>
      </c>
      <c r="O84" s="95">
        <f t="shared" si="49"/>
        <v>0.20585433617781304</v>
      </c>
      <c r="P84" s="18">
        <f t="shared" si="49"/>
        <v>0.20535347404599352</v>
      </c>
      <c r="Q84" s="18">
        <f t="shared" si="49"/>
        <v>0.20485383055683049</v>
      </c>
      <c r="R84" s="18">
        <f t="shared" si="49"/>
        <v>0.20034843406397707</v>
      </c>
      <c r="S84" s="18">
        <f t="shared" si="49"/>
        <v>0.19986096828766567</v>
      </c>
      <c r="T84" s="18">
        <f t="shared" si="49"/>
        <v>0.19937468855947182</v>
      </c>
      <c r="U84" s="18">
        <f t="shared" si="49"/>
        <v>0.19888959199363368</v>
      </c>
      <c r="V84" s="18">
        <f t="shared" si="49"/>
        <v>0.19840567571141068</v>
      </c>
      <c r="W84" s="18">
        <f t="shared" si="50"/>
        <v>0.20141988375761657</v>
      </c>
      <c r="X84" s="2"/>
    </row>
    <row r="85" spans="1:24" ht="12.75" customHeight="1" x14ac:dyDescent="0.2">
      <c r="A85" s="52" t="str">
        <f>Historical!A83</f>
        <v>Depreciation and amortization</v>
      </c>
      <c r="B85" s="77">
        <f>Historical!S83</f>
        <v>796</v>
      </c>
      <c r="C85" s="2">
        <f>Assumptions!$C$67*Forecast!C20</f>
        <v>801.50321719489261</v>
      </c>
      <c r="D85" s="2">
        <f>Assumptions!$C$67*Forecast!D20</f>
        <v>835.20165422239575</v>
      </c>
      <c r="E85" s="2">
        <f>Assumptions!$C$67*Forecast!E20</f>
        <v>852.35511891572196</v>
      </c>
      <c r="F85" s="2">
        <f>Assumptions!$C$67*Forecast!F20</f>
        <v>864.07500180081308</v>
      </c>
      <c r="G85" s="2">
        <f>Assumptions!$C$67*Forecast!G20</f>
        <v>875.95603307557428</v>
      </c>
      <c r="H85" s="2">
        <f>Assumptions!$C$67*Forecast!H20</f>
        <v>888.00042853036337</v>
      </c>
      <c r="I85" s="2">
        <f>Assumptions!$C$67*Forecast!I20</f>
        <v>900.21043442265579</v>
      </c>
      <c r="J85" s="2">
        <f>Assumptions!$C$67*Forecast!J20</f>
        <v>912.58832789596727</v>
      </c>
      <c r="K85" s="5">
        <f>RATE(8,,-B85,J85)</f>
        <v>1.7232507192007789E-2</v>
      </c>
      <c r="L85" s="2"/>
      <c r="M85" s="52" t="str">
        <f t="shared" si="46"/>
        <v>Depreciation and amortization</v>
      </c>
      <c r="N85" s="90">
        <f t="shared" si="49"/>
        <v>0.1519954172236013</v>
      </c>
      <c r="O85" s="95">
        <f t="shared" si="49"/>
        <v>0.15905997562907176</v>
      </c>
      <c r="P85" s="18">
        <f t="shared" si="49"/>
        <v>0.16131143585577909</v>
      </c>
      <c r="Q85" s="18">
        <f t="shared" si="49"/>
        <v>0.16021846044811316</v>
      </c>
      <c r="R85" s="18">
        <f t="shared" si="49"/>
        <v>0.15497491940200819</v>
      </c>
      <c r="S85" s="18">
        <f t="shared" si="49"/>
        <v>0.15290104578470637</v>
      </c>
      <c r="T85" s="18">
        <f t="shared" si="49"/>
        <v>0.15085492473405943</v>
      </c>
      <c r="U85" s="18">
        <f t="shared" si="49"/>
        <v>0.14883618486535544</v>
      </c>
      <c r="V85" s="18">
        <f t="shared" si="49"/>
        <v>0.14684445976375091</v>
      </c>
      <c r="W85" s="18">
        <f t="shared" si="50"/>
        <v>0.15403021816051093</v>
      </c>
      <c r="X85" s="2"/>
    </row>
    <row r="86" spans="1:24" ht="12.75" customHeight="1" x14ac:dyDescent="0.2">
      <c r="A86" s="52" t="str">
        <f>Historical!A84</f>
        <v>Taxes, other than income taxes</v>
      </c>
      <c r="B86" s="77">
        <f>Historical!S84</f>
        <v>197</v>
      </c>
      <c r="C86" s="2">
        <f>C28*Assumptions!$C$68</f>
        <v>203.25163542415245</v>
      </c>
      <c r="D86" s="2">
        <f>D28*Assumptions!$C$68</f>
        <v>210.84711217456734</v>
      </c>
      <c r="E86" s="2">
        <f>E28*Assumptions!$C$68</f>
        <v>214.48300260187457</v>
      </c>
      <c r="F86" s="2">
        <f>F28*Assumptions!$C$68</f>
        <v>217.15425084107849</v>
      </c>
      <c r="G86" s="2">
        <f>G28*Assumptions!$C$68</f>
        <v>219.85932394714877</v>
      </c>
      <c r="H86" s="2">
        <f>H28*Assumptions!$C$68</f>
        <v>222.59864169718077</v>
      </c>
      <c r="I86" s="2">
        <f>I28*Assumptions!$C$68</f>
        <v>225.37262893329338</v>
      </c>
      <c r="J86" s="2">
        <f>J28*Assumptions!$C$68</f>
        <v>228.18171562124576</v>
      </c>
      <c r="K86" s="5">
        <f>RATE(8,,-B86,J86)</f>
        <v>1.8537039399083889E-2</v>
      </c>
      <c r="L86" s="2"/>
      <c r="M86" s="52" t="str">
        <f t="shared" si="46"/>
        <v>Taxes, other than income taxes</v>
      </c>
      <c r="N86" s="90">
        <f t="shared" si="49"/>
        <v>3.7616956272675195E-2</v>
      </c>
      <c r="O86" s="95">
        <f t="shared" si="49"/>
        <v>4.0335708558077485E-2</v>
      </c>
      <c r="P86" s="18">
        <f t="shared" si="49"/>
        <v>4.0723159777012748E-2</v>
      </c>
      <c r="Q86" s="18">
        <f t="shared" si="49"/>
        <v>4.0316689260780761E-2</v>
      </c>
      <c r="R86" s="18">
        <f t="shared" si="49"/>
        <v>3.8947385877108637E-2</v>
      </c>
      <c r="S86" s="18">
        <f t="shared" si="49"/>
        <v>3.8377177949223913E-2</v>
      </c>
      <c r="T86" s="18">
        <f t="shared" si="49"/>
        <v>3.781541118702722E-2</v>
      </c>
      <c r="U86" s="18">
        <f t="shared" si="49"/>
        <v>3.7261956739059333E-2</v>
      </c>
      <c r="V86" s="18">
        <f t="shared" si="49"/>
        <v>3.6716687836256673E-2</v>
      </c>
      <c r="W86" s="18">
        <f t="shared" si="50"/>
        <v>3.8713726191419634E-2</v>
      </c>
      <c r="X86" s="2"/>
    </row>
    <row r="87" spans="1:24" ht="12.75" hidden="1" customHeight="1" x14ac:dyDescent="0.2">
      <c r="A87" s="52" t="str">
        <f>Historical!A85</f>
        <v>Other Operating Expenses</v>
      </c>
      <c r="B87" s="77">
        <f>Historical!R85</f>
        <v>0</v>
      </c>
      <c r="C87" s="2">
        <f>B87*(1+Assumptions!$C$16)</f>
        <v>0</v>
      </c>
      <c r="D87" s="2">
        <f>C87*(1+Assumptions!$C$16)</f>
        <v>0</v>
      </c>
      <c r="E87" s="2">
        <f>D87*(1+Assumptions!$C$16)</f>
        <v>0</v>
      </c>
      <c r="F87" s="2">
        <f>E87*(1+Assumptions!$C$16)</f>
        <v>0</v>
      </c>
      <c r="G87" s="2">
        <f>F87*(1+Assumptions!$C$16)</f>
        <v>0</v>
      </c>
      <c r="H87" s="2">
        <f>G87*(1+Assumptions!$C$16)</f>
        <v>0</v>
      </c>
      <c r="I87" s="2">
        <f>H87*(1+Assumptions!$C$16)</f>
        <v>0</v>
      </c>
      <c r="J87" s="2">
        <f>I87*(1+Assumptions!$C$16)</f>
        <v>0</v>
      </c>
      <c r="K87" s="5"/>
      <c r="L87" s="2"/>
      <c r="M87" s="52" t="str">
        <f t="shared" si="46"/>
        <v>Other Operating Expenses</v>
      </c>
      <c r="N87" s="90">
        <f t="shared" si="49"/>
        <v>0</v>
      </c>
      <c r="O87" s="95">
        <f t="shared" si="49"/>
        <v>0</v>
      </c>
      <c r="P87" s="18">
        <f t="shared" si="49"/>
        <v>0</v>
      </c>
      <c r="Q87" s="18">
        <f t="shared" si="49"/>
        <v>0</v>
      </c>
      <c r="R87" s="18">
        <f t="shared" si="49"/>
        <v>0</v>
      </c>
      <c r="S87" s="18">
        <f t="shared" si="49"/>
        <v>0</v>
      </c>
      <c r="T87" s="18">
        <f t="shared" si="49"/>
        <v>0</v>
      </c>
      <c r="U87" s="18">
        <f t="shared" si="49"/>
        <v>0</v>
      </c>
      <c r="V87" s="18">
        <f t="shared" si="49"/>
        <v>0</v>
      </c>
      <c r="W87" s="18">
        <f t="shared" si="50"/>
        <v>0</v>
      </c>
      <c r="X87" s="2"/>
    </row>
    <row r="88" spans="1:24" ht="12.75" customHeight="1" x14ac:dyDescent="0.2">
      <c r="A88" s="52" t="str">
        <f>Historical!A86</f>
        <v>Total Operating Expenses</v>
      </c>
      <c r="B88" s="85">
        <f>SUM(B83:B87)</f>
        <v>3775</v>
      </c>
      <c r="C88" s="20">
        <f t="shared" ref="C88:J88" si="51">SUM(C82:C87)</f>
        <v>3780.0548526190451</v>
      </c>
      <c r="D88" s="20">
        <f t="shared" si="51"/>
        <v>3890.7312663969628</v>
      </c>
      <c r="E88" s="20">
        <f t="shared" si="51"/>
        <v>3982.6376840175958</v>
      </c>
      <c r="F88" s="20">
        <f t="shared" si="51"/>
        <v>4069.9238042043908</v>
      </c>
      <c r="G88" s="20">
        <f t="shared" si="51"/>
        <v>4159.2272723742844</v>
      </c>
      <c r="H88" s="20">
        <f t="shared" si="51"/>
        <v>4250.5962834628945</v>
      </c>
      <c r="I88" s="20">
        <f t="shared" si="51"/>
        <v>4344.0802069221827</v>
      </c>
      <c r="J88" s="20">
        <f t="shared" si="51"/>
        <v>4439.7296156726024</v>
      </c>
      <c r="K88" s="17">
        <f>RATE(8,,-B88,J88)</f>
        <v>2.0481053110600066E-2</v>
      </c>
      <c r="L88" s="2"/>
      <c r="M88" s="52" t="str">
        <f t="shared" si="46"/>
        <v>Total Operating Expenses</v>
      </c>
      <c r="N88" s="129">
        <f t="shared" si="49"/>
        <v>0.72083253771243083</v>
      </c>
      <c r="O88" s="96">
        <f t="shared" si="49"/>
        <v>0.75015972467137226</v>
      </c>
      <c r="P88" s="97">
        <f t="shared" si="49"/>
        <v>0.75145857762435242</v>
      </c>
      <c r="Q88" s="97">
        <f t="shared" si="49"/>
        <v>0.7486223336907426</v>
      </c>
      <c r="R88" s="97">
        <f t="shared" si="49"/>
        <v>0.72995528422229206</v>
      </c>
      <c r="S88" s="97">
        <f t="shared" si="49"/>
        <v>0.72600698618332637</v>
      </c>
      <c r="T88" s="97">
        <f t="shared" si="49"/>
        <v>0.72209805515284431</v>
      </c>
      <c r="U88" s="97">
        <f t="shared" si="49"/>
        <v>0.71822798317380787</v>
      </c>
      <c r="V88" s="97">
        <f t="shared" si="49"/>
        <v>0.71439626936022937</v>
      </c>
      <c r="W88" s="97">
        <f t="shared" si="50"/>
        <v>0.73164359092718678</v>
      </c>
      <c r="X88" s="2"/>
    </row>
    <row r="89" spans="1:24" ht="12.75" customHeight="1" x14ac:dyDescent="0.2">
      <c r="A89" s="52" t="str">
        <f>Historical!A87</f>
        <v>Earnings From Operations</v>
      </c>
      <c r="B89" s="85">
        <f t="shared" ref="B89:J89" si="52">B80-B88</f>
        <v>1462</v>
      </c>
      <c r="C89" s="20">
        <f t="shared" si="52"/>
        <v>1258.9451473809549</v>
      </c>
      <c r="D89" s="20">
        <f t="shared" si="52"/>
        <v>1286.8412336030374</v>
      </c>
      <c r="E89" s="20">
        <f t="shared" si="52"/>
        <v>1337.3180597324049</v>
      </c>
      <c r="F89" s="20">
        <f t="shared" si="52"/>
        <v>1505.6558130327985</v>
      </c>
      <c r="G89" s="20">
        <f t="shared" si="52"/>
        <v>1569.6807843369279</v>
      </c>
      <c r="H89" s="20">
        <f t="shared" si="52"/>
        <v>1635.8567448078766</v>
      </c>
      <c r="I89" s="20">
        <f t="shared" si="52"/>
        <v>1704.2502796260351</v>
      </c>
      <c r="J89" s="20">
        <f t="shared" si="52"/>
        <v>1774.9299592556918</v>
      </c>
      <c r="K89" s="17">
        <f>RATE(8,,-B89,J89)</f>
        <v>2.4540736424680413E-2</v>
      </c>
      <c r="L89" s="2"/>
      <c r="M89" s="52" t="str">
        <f t="shared" si="46"/>
        <v>Earnings From Operations</v>
      </c>
      <c r="N89" s="91">
        <f t="shared" si="49"/>
        <v>0.27916746228756922</v>
      </c>
      <c r="O89" s="93">
        <f t="shared" si="49"/>
        <v>0.24984027532862768</v>
      </c>
      <c r="P89" s="17">
        <f t="shared" si="49"/>
        <v>0.24854142237564752</v>
      </c>
      <c r="Q89" s="17">
        <f t="shared" si="49"/>
        <v>0.2513776663092574</v>
      </c>
      <c r="R89" s="17">
        <f t="shared" si="49"/>
        <v>0.27004471577770794</v>
      </c>
      <c r="S89" s="17">
        <f t="shared" si="49"/>
        <v>0.27399301381667363</v>
      </c>
      <c r="T89" s="17">
        <f t="shared" si="49"/>
        <v>0.27790194484715569</v>
      </c>
      <c r="U89" s="17">
        <f t="shared" si="49"/>
        <v>0.28177201682619213</v>
      </c>
      <c r="V89" s="17">
        <f t="shared" si="49"/>
        <v>0.28560373063977057</v>
      </c>
      <c r="W89" s="17">
        <f t="shared" si="50"/>
        <v>0.26835640907281322</v>
      </c>
      <c r="X89" s="2"/>
    </row>
    <row r="90" spans="1:24" ht="12.75" customHeight="1" x14ac:dyDescent="0.2">
      <c r="B90" s="77"/>
      <c r="C90" s="2"/>
      <c r="D90" s="2"/>
      <c r="E90" s="2"/>
      <c r="F90" s="2"/>
      <c r="G90" s="2"/>
      <c r="H90" s="2"/>
      <c r="I90" s="2"/>
      <c r="J90" s="2"/>
      <c r="K90" s="5"/>
      <c r="L90" s="2"/>
      <c r="N90" s="90"/>
      <c r="O90" s="95"/>
      <c r="P90" s="18"/>
      <c r="Q90" s="18"/>
      <c r="R90" s="18"/>
      <c r="S90" s="18"/>
      <c r="T90" s="18"/>
      <c r="U90" s="18"/>
      <c r="V90" s="18"/>
      <c r="W90" s="18"/>
      <c r="X90" s="2"/>
    </row>
    <row r="91" spans="1:24" ht="12.75" customHeight="1" x14ac:dyDescent="0.2">
      <c r="A91" s="52" t="str">
        <f>Historical!A89</f>
        <v>Interest expense (net)</v>
      </c>
      <c r="B91" s="77">
        <f>Historical!S89</f>
        <v>381</v>
      </c>
      <c r="C91" s="2">
        <f ca="1">AVERAGE(B43:C43)*Assumptions!$C$6+(AVERAGE(Forecast!B42:C42)+AVERAGE(Forecast!B50:C50))*Assumptions!$C$73</f>
        <v>355.90835884177636</v>
      </c>
      <c r="D91" s="2">
        <f ca="1">AVERAGE(C43:D43)*Assumptions!$C$6+(AVERAGE(Forecast!C42:D42)+AVERAGE(Forecast!C50:D50))*Assumptions!$C$73</f>
        <v>326.49948447053339</v>
      </c>
      <c r="E91" s="2">
        <f ca="1">AVERAGE(D43:E43)*Assumptions!$C$6+(AVERAGE(Forecast!D42:E42)+AVERAGE(Forecast!D50:E50))*Assumptions!$C$73</f>
        <v>315.80854123919812</v>
      </c>
      <c r="F91" s="2">
        <f ca="1">AVERAGE(E43:F43)*Assumptions!$C$6+(AVERAGE(Forecast!E42:F42)+AVERAGE(Forecast!E50:F50))*Assumptions!$C$73</f>
        <v>305.41057187097687</v>
      </c>
      <c r="G91" s="2">
        <f ca="1">AVERAGE(F43:G43)*Assumptions!$C$6+(AVERAGE(Forecast!F42:G42)+AVERAGE(Forecast!F50:G50))*Assumptions!$C$73</f>
        <v>295.35701322088113</v>
      </c>
      <c r="H91" s="2">
        <f ca="1">AVERAGE(G43:H43)*Assumptions!$C$6+(AVERAGE(Forecast!G42:H42)+AVERAGE(Forecast!G50:H50))*Assumptions!$C$73</f>
        <v>285.64965087028997</v>
      </c>
      <c r="I91" s="2">
        <f ca="1">AVERAGE(H43:I43)*Assumptions!$C$6+(AVERAGE(Forecast!H42:I42)+AVERAGE(Forecast!H50:I50))*Assumptions!$C$73</f>
        <v>276.27919655247609</v>
      </c>
      <c r="J91" s="2">
        <f ca="1">AVERAGE(I43:J43)*Assumptions!$C$6+(AVERAGE(Forecast!I42:J42)+AVERAGE(Forecast!I50:J50))*Assumptions!$C$73</f>
        <v>267.16148340562626</v>
      </c>
      <c r="K91" s="5">
        <f ca="1">RATE(8,,-B91,J91)</f>
        <v>-4.3398387039260376E-2</v>
      </c>
      <c r="L91" s="2"/>
      <c r="M91" s="52" t="str">
        <f t="shared" si="46"/>
        <v>Interest expense (net)</v>
      </c>
      <c r="N91" s="90">
        <f t="shared" ref="N91:V94" si="53">B91/B$80</f>
        <v>7.2751575329387058E-2</v>
      </c>
      <c r="O91" s="95">
        <f t="shared" ca="1" si="53"/>
        <v>7.0630751903507913E-2</v>
      </c>
      <c r="P91" s="18">
        <f t="shared" ca="1" si="53"/>
        <v>6.3060340433771497E-2</v>
      </c>
      <c r="Q91" s="18">
        <f t="shared" ca="1" si="53"/>
        <v>5.9363001583277612E-2</v>
      </c>
      <c r="R91" s="18">
        <f t="shared" ca="1" si="53"/>
        <v>5.4776470400814382E-2</v>
      </c>
      <c r="S91" s="18">
        <f t="shared" ca="1" si="53"/>
        <v>5.1555551301766991E-2</v>
      </c>
      <c r="T91" s="18">
        <f t="shared" ca="1" si="53"/>
        <v>4.8526616877499082E-2</v>
      </c>
      <c r="U91" s="18">
        <f t="shared" ca="1" si="53"/>
        <v>4.5678588028040881E-2</v>
      </c>
      <c r="V91" s="18">
        <f t="shared" ca="1" si="53"/>
        <v>4.2988916799792498E-2</v>
      </c>
      <c r="W91" s="5">
        <f t="shared" ref="W91:W96" ca="1" si="54">SUM(C91:J91)/SUM(C$80:J$80)</f>
        <v>5.3968649221158752E-2</v>
      </c>
      <c r="X91" s="2"/>
    </row>
    <row r="92" spans="1:24" ht="12.75" customHeight="1" x14ac:dyDescent="0.2">
      <c r="A92" s="52" t="str">
        <f>Historical!A90</f>
        <v>Interest income</v>
      </c>
      <c r="B92" s="77">
        <f>Historical!S90</f>
        <v>-11</v>
      </c>
      <c r="C92" s="2">
        <f>B92</f>
        <v>-11</v>
      </c>
      <c r="D92" s="2">
        <f>C92-AVERAGE(C12:D12)*Assumptions!$C$7</f>
        <v>-11.210345599023432</v>
      </c>
      <c r="E92" s="2">
        <f>D92-AVERAGE(D12:E12)*Assumptions!$C$7</f>
        <v>-11.426475702020008</v>
      </c>
      <c r="F92" s="2">
        <f>E92-AVERAGE(E12:F12)*Assumptions!$C$7</f>
        <v>-11.650800240625086</v>
      </c>
      <c r="G92" s="2">
        <f>F92-AVERAGE(F12:G12)*Assumptions!$C$7</f>
        <v>-11.883544561817901</v>
      </c>
      <c r="H92" s="2">
        <f>G92-AVERAGE(G12:H12)*Assumptions!$C$7</f>
        <v>-12.122689351843517</v>
      </c>
      <c r="I92" s="2">
        <f>H92-AVERAGE(H12:I12)*Assumptions!$C$7</f>
        <v>-12.368410623594839</v>
      </c>
      <c r="J92" s="2">
        <f>I92-AVERAGE(I12:J12)*Assumptions!$C$7</f>
        <v>-12.620889230319321</v>
      </c>
      <c r="K92" s="5">
        <f>RATE(8,,-B92,J92)</f>
        <v>1.7330719526379847E-2</v>
      </c>
      <c r="L92" s="2"/>
      <c r="M92" s="52" t="str">
        <f t="shared" si="46"/>
        <v>Interest income</v>
      </c>
      <c r="N92" s="90">
        <f t="shared" si="53"/>
        <v>-2.1004391827382091E-3</v>
      </c>
      <c r="O92" s="95">
        <f t="shared" si="53"/>
        <v>-2.1829728120658859E-3</v>
      </c>
      <c r="P92" s="18">
        <f t="shared" si="53"/>
        <v>-2.1651740461429429E-3</v>
      </c>
      <c r="Q92" s="18">
        <f t="shared" si="53"/>
        <v>-2.1478516462179369E-3</v>
      </c>
      <c r="R92" s="18">
        <f t="shared" si="53"/>
        <v>-2.0896123883884722E-3</v>
      </c>
      <c r="S92" s="18">
        <f t="shared" si="53"/>
        <v>-2.0743123199362138E-3</v>
      </c>
      <c r="T92" s="18">
        <f t="shared" si="53"/>
        <v>-2.0594217423671058E-3</v>
      </c>
      <c r="U92" s="18">
        <f t="shared" si="53"/>
        <v>-2.0449296960711369E-3</v>
      </c>
      <c r="V92" s="18">
        <f t="shared" si="53"/>
        <v>-2.0308255147611916E-3</v>
      </c>
      <c r="W92" s="5">
        <f t="shared" si="54"/>
        <v>-2.0956255479331904E-3</v>
      </c>
      <c r="X92" s="2"/>
    </row>
    <row r="93" spans="1:24" ht="15" customHeight="1" x14ac:dyDescent="0.2">
      <c r="A93" s="52" t="str">
        <f>Historical!A91</f>
        <v>Loss (Gain) on Sale of Assets</v>
      </c>
      <c r="B93" s="77">
        <f>Historical!S91</f>
        <v>0</v>
      </c>
      <c r="C93" s="2">
        <f>Assumptions!$C$22</f>
        <v>0</v>
      </c>
      <c r="D93" s="2">
        <f>Assumptions!$C$22</f>
        <v>0</v>
      </c>
      <c r="E93" s="2">
        <f>Assumptions!$C$22</f>
        <v>0</v>
      </c>
      <c r="F93" s="2">
        <f>Assumptions!$C$22</f>
        <v>0</v>
      </c>
      <c r="G93" s="2">
        <f>Assumptions!$C$22</f>
        <v>0</v>
      </c>
      <c r="H93" s="2">
        <f>Assumptions!$C$22</f>
        <v>0</v>
      </c>
      <c r="I93" s="2">
        <f>Assumptions!$C$22</f>
        <v>0</v>
      </c>
      <c r="J93" s="2">
        <f>Assumptions!$C$22</f>
        <v>0</v>
      </c>
      <c r="K93" s="5"/>
      <c r="L93" s="2"/>
      <c r="M93" s="52" t="str">
        <f t="shared" si="46"/>
        <v>Loss (Gain) on Sale of Assets</v>
      </c>
      <c r="N93" s="90">
        <f t="shared" si="53"/>
        <v>0</v>
      </c>
      <c r="O93" s="95">
        <f t="shared" si="53"/>
        <v>0</v>
      </c>
      <c r="P93" s="18">
        <f t="shared" si="53"/>
        <v>0</v>
      </c>
      <c r="Q93" s="18">
        <f t="shared" si="53"/>
        <v>0</v>
      </c>
      <c r="R93" s="18">
        <f t="shared" si="53"/>
        <v>0</v>
      </c>
      <c r="S93" s="18">
        <f t="shared" si="53"/>
        <v>0</v>
      </c>
      <c r="T93" s="18">
        <f t="shared" si="53"/>
        <v>0</v>
      </c>
      <c r="U93" s="18">
        <f t="shared" si="53"/>
        <v>0</v>
      </c>
      <c r="V93" s="18">
        <f t="shared" si="53"/>
        <v>0</v>
      </c>
      <c r="W93" s="5">
        <f t="shared" si="54"/>
        <v>0</v>
      </c>
      <c r="X93" s="2"/>
    </row>
    <row r="94" spans="1:24" ht="28.5" customHeight="1" x14ac:dyDescent="0.2">
      <c r="A94" s="112" t="s">
        <v>182</v>
      </c>
      <c r="B94" s="77">
        <v>0</v>
      </c>
      <c r="C94" s="2">
        <f ca="1">((B13+C13)/2)*-Assumptions!$C$7+((B54+C54)/2)*Assumptions!$C$5</f>
        <v>47.473923254383585</v>
      </c>
      <c r="D94" s="2">
        <f ca="1">((C13+D13)/2)*-Assumptions!$C$7+((C54+D54)/2)*Assumptions!$C$5</f>
        <v>119.35593584829758</v>
      </c>
      <c r="E94" s="2">
        <f ca="1">((D13+E13)/2)*-Assumptions!$C$7+((D54+E54)/2)*Assumptions!$C$5</f>
        <v>158.63542220960136</v>
      </c>
      <c r="F94" s="2">
        <f ca="1">((E13+F13)/2)*-Assumptions!$C$7+((E54+F54)/2)*Assumptions!$C$5</f>
        <v>183.30690653653954</v>
      </c>
      <c r="G94" s="2">
        <f ca="1">((F13+G13)/2)*-Assumptions!$C$7+((F54+G54)/2)*Assumptions!$C$5</f>
        <v>206.4835973612841</v>
      </c>
      <c r="H94" s="2">
        <f ca="1">((G13+H13)/2)*-Assumptions!$C$7+((G54+H54)/2)*Assumptions!$C$5</f>
        <v>231.72595062075345</v>
      </c>
      <c r="I94" s="2">
        <f ca="1">((H13+I13)/2)*-Assumptions!$C$7+((H54+I54)/2)*Assumptions!$C$5</f>
        <v>254.71642491576412</v>
      </c>
      <c r="J94" s="2">
        <f ca="1">((I13+J13)/2)*-Assumptions!$C$7+((I54+J54)/2)*Assumptions!$C$5</f>
        <v>262.28709105228683</v>
      </c>
      <c r="K94" s="5"/>
      <c r="L94" s="2"/>
      <c r="M94" s="112" t="str">
        <f t="shared" si="46"/>
        <v>Interest Expense (Income) on Additional Loans (Surplus Cash)</v>
      </c>
      <c r="N94" s="90">
        <f>B94/B$80</f>
        <v>0</v>
      </c>
      <c r="O94" s="95">
        <f ca="1">C94/C$80</f>
        <v>9.4212985224019809E-3</v>
      </c>
      <c r="P94" s="18">
        <f t="shared" ca="1" si="53"/>
        <v>2.305248953023788E-2</v>
      </c>
      <c r="Q94" s="18">
        <f t="shared" ref="Q94:V94" ca="1" si="55">E94/E$80</f>
        <v>2.9818936444343486E-2</v>
      </c>
      <c r="R94" s="18">
        <f t="shared" ca="1" si="55"/>
        <v>3.2876744503806718E-2</v>
      </c>
      <c r="S94" s="18">
        <f t="shared" ca="1" si="55"/>
        <v>3.6042400282440545E-2</v>
      </c>
      <c r="T94" s="18">
        <f t="shared" ca="1" si="55"/>
        <v>3.9365972939535414E-2</v>
      </c>
      <c r="U94" s="18">
        <f t="shared" ca="1" si="55"/>
        <v>4.2113509749883191E-2</v>
      </c>
      <c r="V94" s="18">
        <f t="shared" ca="1" si="55"/>
        <v>4.2204579010317413E-2</v>
      </c>
      <c r="W94" s="5">
        <f t="shared" ca="1" si="54"/>
        <v>3.2539904773068187E-2</v>
      </c>
      <c r="X94" s="2"/>
    </row>
    <row r="95" spans="1:24" ht="12.75" customHeight="1" x14ac:dyDescent="0.2">
      <c r="A95" s="52" t="str">
        <f>Historical!A92</f>
        <v>Other (Income) Expense</v>
      </c>
      <c r="B95" s="77">
        <f>Historical!S92</f>
        <v>-36</v>
      </c>
      <c r="C95" s="2">
        <f>C79*Assumptions!$C$77</f>
        <v>-30.860202259641195</v>
      </c>
      <c r="D95" s="2">
        <f>D79*Assumptions!$C$77</f>
        <v>-31.708857821781326</v>
      </c>
      <c r="E95" s="2">
        <f>E79*Assumptions!$C$77</f>
        <v>-32.580851411880317</v>
      </c>
      <c r="F95" s="2">
        <f>F79*Assumptions!$C$77</f>
        <v>-34.146361322221175</v>
      </c>
      <c r="G95" s="2">
        <f>G79*Assumptions!$C$77</f>
        <v>-35.085386258582254</v>
      </c>
      <c r="H95" s="2">
        <f>H79*Assumptions!$C$77</f>
        <v>-36.050234380693269</v>
      </c>
      <c r="I95" s="2">
        <f>I79*Assumptions!$C$77</f>
        <v>-37.041615826162342</v>
      </c>
      <c r="J95" s="2">
        <f>J79*Assumptions!$C$77</f>
        <v>-38.060260261381806</v>
      </c>
      <c r="K95" s="5">
        <f>RATE(8,,-B95,J95)</f>
        <v>6.9807226408295422E-3</v>
      </c>
      <c r="L95" s="2"/>
      <c r="M95" s="52" t="str">
        <f t="shared" si="46"/>
        <v>Other (Income) Expense</v>
      </c>
      <c r="N95" s="90">
        <f>B95/B$80</f>
        <v>-6.8741645980523198E-3</v>
      </c>
      <c r="O95" s="95">
        <f t="shared" ref="O95:V96" si="56">C95/C$80</f>
        <v>-6.1242711370591771E-3</v>
      </c>
      <c r="P95" s="18">
        <f t="shared" si="56"/>
        <v>-6.1242711370591771E-3</v>
      </c>
      <c r="Q95" s="18">
        <f t="shared" si="56"/>
        <v>-6.1242711370591771E-3</v>
      </c>
      <c r="R95" s="18">
        <f t="shared" si="56"/>
        <v>-6.1242711370591771E-3</v>
      </c>
      <c r="S95" s="18">
        <f t="shared" si="56"/>
        <v>-6.1242711370591762E-3</v>
      </c>
      <c r="T95" s="18">
        <f t="shared" si="56"/>
        <v>-6.1242711370591762E-3</v>
      </c>
      <c r="U95" s="18">
        <f t="shared" si="56"/>
        <v>-6.124271137059178E-3</v>
      </c>
      <c r="V95" s="18">
        <f t="shared" si="56"/>
        <v>-6.1242711370591771E-3</v>
      </c>
      <c r="W95" s="5">
        <f t="shared" si="54"/>
        <v>-6.1242711370591771E-3</v>
      </c>
      <c r="X95" s="2"/>
    </row>
    <row r="96" spans="1:24" ht="12.75" customHeight="1" x14ac:dyDescent="0.2">
      <c r="A96" s="52" t="str">
        <f>Historical!A93</f>
        <v>Total Other (Income)/Expense</v>
      </c>
      <c r="B96" s="85">
        <f>SUM(B91:B95)</f>
        <v>334</v>
      </c>
      <c r="C96" s="20">
        <f ca="1">SUM(C91:C95)</f>
        <v>361.52207983651874</v>
      </c>
      <c r="D96" s="20">
        <f t="shared" ref="D96:J96" ca="1" si="57">SUM(D91:D95)</f>
        <v>402.9362168980262</v>
      </c>
      <c r="E96" s="20">
        <f t="shared" ca="1" si="57"/>
        <v>430.43663633489916</v>
      </c>
      <c r="F96" s="20">
        <f t="shared" ca="1" si="57"/>
        <v>442.92031684467014</v>
      </c>
      <c r="G96" s="20">
        <f t="shared" ca="1" si="57"/>
        <v>454.87167976176499</v>
      </c>
      <c r="H96" s="20">
        <f t="shared" ca="1" si="57"/>
        <v>469.20267775850664</v>
      </c>
      <c r="I96" s="20">
        <f t="shared" ca="1" si="57"/>
        <v>481.58559501848299</v>
      </c>
      <c r="J96" s="20">
        <f t="shared" ca="1" si="57"/>
        <v>478.76742496621193</v>
      </c>
      <c r="K96" s="17">
        <f ca="1">RATE(8,,-B96,J96)</f>
        <v>4.6037528343415776E-2</v>
      </c>
      <c r="L96" s="2"/>
      <c r="M96" s="52" t="str">
        <f t="shared" si="46"/>
        <v>Total Other (Income)/Expense</v>
      </c>
      <c r="N96" s="91">
        <f>B96/B$80</f>
        <v>6.3776971548596531E-2</v>
      </c>
      <c r="O96" s="93">
        <f t="shared" ca="1" si="56"/>
        <v>7.1744806476784828E-2</v>
      </c>
      <c r="P96" s="17">
        <f t="shared" ca="1" si="56"/>
        <v>7.7823384780807262E-2</v>
      </c>
      <c r="Q96" s="17">
        <f t="shared" ca="1" si="56"/>
        <v>8.0909815244343986E-2</v>
      </c>
      <c r="R96" s="17">
        <f t="shared" ca="1" si="56"/>
        <v>7.9439331379173445E-2</v>
      </c>
      <c r="S96" s="17">
        <f t="shared" ca="1" si="56"/>
        <v>7.9399368127212128E-2</v>
      </c>
      <c r="T96" s="17">
        <f t="shared" ca="1" si="56"/>
        <v>7.9708896937608215E-2</v>
      </c>
      <c r="U96" s="17">
        <f t="shared" ca="1" si="56"/>
        <v>7.9622896944793756E-2</v>
      </c>
      <c r="V96" s="17">
        <f t="shared" ca="1" si="56"/>
        <v>7.7038399158289542E-2</v>
      </c>
      <c r="W96" s="17">
        <f t="shared" ca="1" si="54"/>
        <v>7.8288657309234566E-2</v>
      </c>
      <c r="X96" s="19"/>
    </row>
    <row r="97" spans="1:24" ht="12.75" customHeight="1" x14ac:dyDescent="0.2">
      <c r="B97" s="77"/>
      <c r="C97" s="19"/>
      <c r="D97" s="19"/>
      <c r="E97" s="19"/>
      <c r="F97" s="19"/>
      <c r="G97" s="19"/>
      <c r="H97" s="19"/>
      <c r="I97" s="19"/>
      <c r="J97" s="19"/>
      <c r="K97" s="18"/>
      <c r="L97" s="19"/>
      <c r="N97" s="90"/>
      <c r="O97" s="95"/>
      <c r="P97" s="18"/>
      <c r="Q97" s="18"/>
      <c r="R97" s="18"/>
      <c r="S97" s="18"/>
      <c r="T97" s="18"/>
      <c r="U97" s="18"/>
      <c r="V97" s="18"/>
      <c r="W97" s="18"/>
      <c r="X97" s="19"/>
    </row>
    <row r="98" spans="1:24" ht="12.75" customHeight="1" x14ac:dyDescent="0.2">
      <c r="A98" s="172" t="str">
        <f>Historical!A95</f>
        <v>Earnings Before Taxes</v>
      </c>
      <c r="B98" s="238">
        <f>B89-B96</f>
        <v>1128</v>
      </c>
      <c r="C98" s="244">
        <f ca="1">C89-C96</f>
        <v>897.42306754443621</v>
      </c>
      <c r="D98" s="103">
        <f t="shared" ref="D98:J98" ca="1" si="58">D89-D96</f>
        <v>883.90501670501112</v>
      </c>
      <c r="E98" s="103">
        <f t="shared" ca="1" si="58"/>
        <v>906.88142339750573</v>
      </c>
      <c r="F98" s="103">
        <f t="shared" ca="1" si="58"/>
        <v>1062.7354961881283</v>
      </c>
      <c r="G98" s="103">
        <f t="shared" ca="1" si="58"/>
        <v>1114.809104575163</v>
      </c>
      <c r="H98" s="103">
        <f t="shared" ca="1" si="58"/>
        <v>1166.65406704937</v>
      </c>
      <c r="I98" s="103">
        <f t="shared" ca="1" si="58"/>
        <v>1222.6646846075521</v>
      </c>
      <c r="J98" s="103">
        <f t="shared" ca="1" si="58"/>
        <v>1296.1625342894799</v>
      </c>
      <c r="K98" s="179">
        <f ca="1">RATE(8,,-B98,J98)</f>
        <v>1.7521970933445624E-2</v>
      </c>
      <c r="L98" s="172"/>
      <c r="M98" s="172" t="str">
        <f t="shared" si="46"/>
        <v>Earnings Before Taxes</v>
      </c>
      <c r="N98" s="90">
        <f>B98/B$80</f>
        <v>0.21539049073897271</v>
      </c>
      <c r="O98" s="95">
        <f ca="1">C98/C$80</f>
        <v>0.17809546885184288</v>
      </c>
      <c r="P98" s="18">
        <f t="shared" ref="P98:W98" ca="1" si="59">D98/D$80</f>
        <v>0.17071803759484025</v>
      </c>
      <c r="Q98" s="18">
        <f t="shared" ca="1" si="59"/>
        <v>0.17046785106491341</v>
      </c>
      <c r="R98" s="18">
        <f t="shared" ca="1" si="59"/>
        <v>0.1906053843985345</v>
      </c>
      <c r="S98" s="18">
        <f t="shared" ca="1" si="59"/>
        <v>0.1945936456894615</v>
      </c>
      <c r="T98" s="18">
        <f t="shared" ca="1" si="59"/>
        <v>0.19819304790954753</v>
      </c>
      <c r="U98" s="18">
        <f t="shared" ca="1" si="59"/>
        <v>0.20214911988139836</v>
      </c>
      <c r="V98" s="18">
        <f t="shared" ca="1" si="59"/>
        <v>0.20856533148148107</v>
      </c>
      <c r="W98" s="18">
        <f t="shared" ca="1" si="59"/>
        <v>0.81023508473873562</v>
      </c>
      <c r="X98" s="172"/>
    </row>
    <row r="99" spans="1:24" ht="12.75" customHeight="1" x14ac:dyDescent="0.2">
      <c r="B99" s="77"/>
      <c r="C99" s="19"/>
      <c r="D99" s="19"/>
      <c r="E99" s="19"/>
      <c r="F99" s="19"/>
      <c r="G99" s="19"/>
      <c r="H99" s="19"/>
      <c r="I99" s="19"/>
      <c r="J99" s="19"/>
      <c r="K99" s="18"/>
      <c r="L99" s="2"/>
      <c r="N99" s="90"/>
      <c r="O99" s="95"/>
      <c r="P99" s="18"/>
      <c r="Q99" s="18"/>
      <c r="R99" s="18"/>
      <c r="S99" s="18"/>
      <c r="T99" s="18"/>
      <c r="U99" s="18"/>
      <c r="V99" s="18"/>
      <c r="W99" s="5"/>
      <c r="X99" s="172"/>
    </row>
    <row r="100" spans="1:24" ht="12.75" customHeight="1" x14ac:dyDescent="0.2">
      <c r="A100" s="2" t="s">
        <v>236</v>
      </c>
      <c r="B100" s="77">
        <f>Historical!S97</f>
        <v>0</v>
      </c>
      <c r="C100" s="19">
        <f>(Historical!$S$53-Historical!$R$53)/30</f>
        <v>60.833333333333336</v>
      </c>
      <c r="D100" s="19">
        <f>(Historical!$S$53-Historical!$R$53)/30</f>
        <v>60.833333333333336</v>
      </c>
      <c r="E100" s="19">
        <f>(Historical!$S$53-Historical!$R$53)/30</f>
        <v>60.833333333333336</v>
      </c>
      <c r="F100" s="19">
        <f>(Historical!$S$53-Historical!$R$53)/30</f>
        <v>60.833333333333336</v>
      </c>
      <c r="G100" s="19">
        <f>(Historical!$S$53-Historical!$R$53)/30</f>
        <v>60.833333333333336</v>
      </c>
      <c r="H100" s="19">
        <f>(Historical!$S$53-Historical!$R$53)/30</f>
        <v>60.833333333333336</v>
      </c>
      <c r="I100" s="19">
        <f>(Historical!$S$53-Historical!$R$53)/30</f>
        <v>60.833333333333336</v>
      </c>
      <c r="J100" s="19">
        <f>(Historical!$S$53-Historical!$R$53)/30</f>
        <v>60.833333333333336</v>
      </c>
      <c r="K100" s="18"/>
      <c r="L100" s="2"/>
      <c r="M100" s="52" t="str">
        <f t="shared" si="46"/>
        <v>Amort. Of Excess Def. Inc. Tax</v>
      </c>
      <c r="N100" s="91">
        <f t="shared" ref="N100:V102" si="60">B100/B$80</f>
        <v>0</v>
      </c>
      <c r="O100" s="93">
        <f t="shared" si="60"/>
        <v>1.2072501157637097E-2</v>
      </c>
      <c r="P100" s="17">
        <f t="shared" si="60"/>
        <v>1.1749392854148026E-2</v>
      </c>
      <c r="Q100" s="17">
        <f t="shared" si="60"/>
        <v>1.143493221814893E-2</v>
      </c>
      <c r="R100" s="17">
        <f t="shared" si="60"/>
        <v>1.0910674317207126E-2</v>
      </c>
      <c r="S100" s="17">
        <f t="shared" si="60"/>
        <v>1.0618661135968004E-2</v>
      </c>
      <c r="T100" s="17">
        <f t="shared" si="60"/>
        <v>1.033446339266959E-2</v>
      </c>
      <c r="U100" s="17">
        <f t="shared" si="60"/>
        <v>1.00578719150069E-2</v>
      </c>
      <c r="V100" s="17">
        <f t="shared" si="60"/>
        <v>9.7886831289604858E-3</v>
      </c>
      <c r="W100" s="17">
        <f>SUM(C100:J100)/SUM(C$80:J$80)</f>
        <v>1.0817108280360638E-2</v>
      </c>
      <c r="X100" s="2"/>
    </row>
    <row r="101" spans="1:24" ht="12.75" customHeight="1" x14ac:dyDescent="0.2">
      <c r="A101" s="52" t="str">
        <f>Historical!A98</f>
        <v>Income Taxes</v>
      </c>
      <c r="B101" s="77">
        <f>Historical!S98</f>
        <v>360</v>
      </c>
      <c r="C101" s="100">
        <f ca="1">C98*(Assumptions!$C$83)</f>
        <v>205.10860615318819</v>
      </c>
      <c r="D101" s="100">
        <f ca="1">D98*(Assumptions!$C$83)</f>
        <v>202.0190170108352</v>
      </c>
      <c r="E101" s="100">
        <f ca="1">E98*(Assumptions!$C$83)</f>
        <v>207.27034040728108</v>
      </c>
      <c r="F101" s="100">
        <f ca="1">F98*(Assumptions!$C$83)</f>
        <v>242.89123404092871</v>
      </c>
      <c r="G101" s="100">
        <f ca="1">G98*(Assumptions!$C$83)</f>
        <v>254.79280601952374</v>
      </c>
      <c r="H101" s="100">
        <f ca="1">H98*(Assumptions!$C$83)</f>
        <v>266.64212032146798</v>
      </c>
      <c r="I101" s="100">
        <f ca="1">I98*(Assumptions!$C$83)</f>
        <v>279.44350699472636</v>
      </c>
      <c r="J101" s="100">
        <f ca="1">J98*(Assumptions!$C$83)</f>
        <v>296.2416505333872</v>
      </c>
      <c r="K101" s="102">
        <f ca="1">RATE(8,,-B101,J101)</f>
        <v>-2.4071609262179543E-2</v>
      </c>
      <c r="L101" s="2"/>
      <c r="M101" s="52" t="str">
        <f t="shared" si="46"/>
        <v>Income Taxes</v>
      </c>
      <c r="N101" s="90">
        <f t="shared" si="60"/>
        <v>6.8741645980523194E-2</v>
      </c>
      <c r="O101" s="95">
        <f t="shared" ca="1" si="60"/>
        <v>4.0704228250285412E-2</v>
      </c>
      <c r="P101" s="18">
        <f t="shared" ca="1" si="60"/>
        <v>3.901809525812245E-2</v>
      </c>
      <c r="Q101" s="18">
        <f t="shared" ca="1" si="60"/>
        <v>3.8960914411889001E-2</v>
      </c>
      <c r="R101" s="18">
        <f t="shared" ca="1" si="60"/>
        <v>4.356340519109763E-2</v>
      </c>
      <c r="S101" s="18">
        <f t="shared" ca="1" si="60"/>
        <v>4.447493370417125E-2</v>
      </c>
      <c r="T101" s="18">
        <f t="shared" ca="1" si="60"/>
        <v>4.5297587365578262E-2</v>
      </c>
      <c r="U101" s="18">
        <f t="shared" ca="1" si="60"/>
        <v>4.6201758917807541E-2</v>
      </c>
      <c r="V101" s="18">
        <f t="shared" ca="1" si="60"/>
        <v>4.7668202411039591E-2</v>
      </c>
      <c r="W101" s="102">
        <f ca="1">SUM(C101:J101)/SUM(C$80:J$80)</f>
        <v>4.3440527716285218E-2</v>
      </c>
      <c r="X101" s="2"/>
    </row>
    <row r="102" spans="1:24" ht="12.75" customHeight="1" thickBot="1" x14ac:dyDescent="0.25">
      <c r="A102" s="52" t="str">
        <f>Historical!A99</f>
        <v>Net Income</v>
      </c>
      <c r="B102" s="85">
        <f>B98-B100-B101</f>
        <v>768</v>
      </c>
      <c r="C102" s="20">
        <f t="shared" ref="C102:J102" ca="1" si="61">C98-C100-C101</f>
        <v>631.4811280579147</v>
      </c>
      <c r="D102" s="20">
        <f t="shared" ca="1" si="61"/>
        <v>621.05266636084252</v>
      </c>
      <c r="E102" s="20">
        <f t="shared" ca="1" si="61"/>
        <v>638.77774965689127</v>
      </c>
      <c r="F102" s="20">
        <f t="shared" ca="1" si="61"/>
        <v>759.01092881386626</v>
      </c>
      <c r="G102" s="20">
        <f t="shared" ca="1" si="61"/>
        <v>799.18296522230605</v>
      </c>
      <c r="H102" s="20">
        <f t="shared" ca="1" si="61"/>
        <v>839.17861339456886</v>
      </c>
      <c r="I102" s="20">
        <f t="shared" ca="1" si="61"/>
        <v>882.38784427949247</v>
      </c>
      <c r="J102" s="20">
        <f t="shared" ca="1" si="61"/>
        <v>939.08755042275948</v>
      </c>
      <c r="K102" s="5">
        <f ca="1">RATE(8,,-B102,J102)</f>
        <v>2.545854389917648E-2</v>
      </c>
      <c r="L102" s="2"/>
      <c r="M102" s="52" t="str">
        <f t="shared" si="46"/>
        <v>Net Income</v>
      </c>
      <c r="N102" s="91">
        <f t="shared" si="60"/>
        <v>0.1466488447584495</v>
      </c>
      <c r="O102" s="93">
        <f t="shared" ca="1" si="60"/>
        <v>0.12531873944392036</v>
      </c>
      <c r="P102" s="17">
        <f t="shared" ca="1" si="60"/>
        <v>0.11995054948256978</v>
      </c>
      <c r="Q102" s="17">
        <f t="shared" ca="1" si="60"/>
        <v>0.12007200443487547</v>
      </c>
      <c r="R102" s="17">
        <f t="shared" ca="1" si="60"/>
        <v>0.13613130489022973</v>
      </c>
      <c r="S102" s="17">
        <f t="shared" ca="1" si="60"/>
        <v>0.13950005084932227</v>
      </c>
      <c r="T102" s="17">
        <f t="shared" ca="1" si="60"/>
        <v>0.14256099715129969</v>
      </c>
      <c r="U102" s="17">
        <f t="shared" ca="1" si="60"/>
        <v>0.14588948904858393</v>
      </c>
      <c r="V102" s="17">
        <f t="shared" ca="1" si="60"/>
        <v>0.15110844594148101</v>
      </c>
      <c r="W102" s="72">
        <f ca="1">SUM(C102:J102)/SUM(C$80:J$80)</f>
        <v>0.13581011576693275</v>
      </c>
      <c r="X102" s="2"/>
    </row>
    <row r="103" spans="1:24" ht="12.75" customHeight="1" thickTop="1" x14ac:dyDescent="0.2">
      <c r="B103" s="86"/>
      <c r="C103" s="78"/>
      <c r="D103" s="78"/>
      <c r="E103" s="78"/>
      <c r="F103" s="78"/>
      <c r="G103" s="78"/>
      <c r="H103" s="78"/>
      <c r="I103" s="78"/>
      <c r="J103" s="78"/>
      <c r="K103" s="71"/>
      <c r="L103" s="2"/>
      <c r="N103" s="92"/>
      <c r="O103" s="94"/>
      <c r="P103" s="71"/>
      <c r="Q103" s="71"/>
      <c r="R103" s="71"/>
      <c r="S103" s="71"/>
      <c r="T103" s="71"/>
      <c r="U103" s="71"/>
      <c r="V103" s="71"/>
      <c r="W103" s="71"/>
      <c r="X103" s="2"/>
    </row>
    <row r="104" spans="1:24" ht="12.75" customHeight="1" x14ac:dyDescent="0.2">
      <c r="A104" s="52" t="str">
        <f>Historical!A101</f>
        <v>Preferred Stock Dividends</v>
      </c>
      <c r="B104" s="77">
        <f>Historical!S101</f>
        <v>0.1</v>
      </c>
      <c r="C104" s="83">
        <v>0.13</v>
      </c>
      <c r="D104" s="83">
        <v>0.13</v>
      </c>
      <c r="E104" s="83">
        <v>0.13</v>
      </c>
      <c r="F104" s="83">
        <v>0.13</v>
      </c>
      <c r="G104" s="83">
        <v>0.13</v>
      </c>
      <c r="H104" s="83">
        <v>0.13</v>
      </c>
      <c r="I104" s="83">
        <v>0.13</v>
      </c>
      <c r="J104" s="83">
        <v>0.13</v>
      </c>
      <c r="K104" s="5"/>
      <c r="L104" s="2"/>
      <c r="M104" s="52" t="str">
        <f t="shared" si="46"/>
        <v>Preferred Stock Dividends</v>
      </c>
      <c r="N104" s="90">
        <f t="shared" ref="N104:V105" si="62">B104/B$80</f>
        <v>1.9094901661256445E-5</v>
      </c>
      <c r="O104" s="95">
        <f t="shared" si="62"/>
        <v>2.579876959714229E-5</v>
      </c>
      <c r="P104" s="18">
        <f t="shared" si="62"/>
        <v>2.5108291578727289E-5</v>
      </c>
      <c r="Q104" s="18">
        <f t="shared" si="62"/>
        <v>2.4436293507277166E-5</v>
      </c>
      <c r="R104" s="18">
        <f t="shared" si="62"/>
        <v>2.3315961554579611E-5</v>
      </c>
      <c r="S104" s="18">
        <f t="shared" si="62"/>
        <v>2.2691933386452174E-5</v>
      </c>
      <c r="T104" s="18">
        <f t="shared" si="62"/>
        <v>2.2084606702143234E-5</v>
      </c>
      <c r="U104" s="18">
        <f t="shared" si="62"/>
        <v>2.1493534503302417E-5</v>
      </c>
      <c r="V104" s="18">
        <f t="shared" si="62"/>
        <v>2.0918281755038844E-5</v>
      </c>
      <c r="W104" s="5"/>
      <c r="X104" s="2"/>
    </row>
    <row r="105" spans="1:24" ht="12.75" customHeight="1" x14ac:dyDescent="0.2">
      <c r="A105" s="52" t="str">
        <f>Historical!A102</f>
        <v>Common Stock Dividends</v>
      </c>
      <c r="B105" s="77">
        <f>Historical!S102</f>
        <v>600</v>
      </c>
      <c r="C105" s="2">
        <v>500</v>
      </c>
      <c r="D105" s="2">
        <v>450</v>
      </c>
      <c r="E105" s="2">
        <v>500</v>
      </c>
      <c r="F105" s="2">
        <v>550</v>
      </c>
      <c r="G105" s="2">
        <v>700</v>
      </c>
      <c r="H105" s="2">
        <v>700</v>
      </c>
      <c r="I105" s="2">
        <v>725</v>
      </c>
      <c r="J105" s="2">
        <v>750</v>
      </c>
      <c r="K105" s="5">
        <f>RATE(8,,-B105,J105)</f>
        <v>2.8285594297894668E-2</v>
      </c>
      <c r="L105" s="2"/>
      <c r="M105" s="52" t="str">
        <f t="shared" si="46"/>
        <v>Common Stock Dividends</v>
      </c>
      <c r="N105" s="90">
        <f t="shared" si="62"/>
        <v>0.11456940996753867</v>
      </c>
      <c r="O105" s="95">
        <f t="shared" si="62"/>
        <v>9.922603691208573E-2</v>
      </c>
      <c r="P105" s="18">
        <f t="shared" si="62"/>
        <v>8.6913317003286764E-2</v>
      </c>
      <c r="Q105" s="18">
        <f t="shared" si="62"/>
        <v>9.398574425875833E-2</v>
      </c>
      <c r="R105" s="18">
        <f t="shared" si="62"/>
        <v>9.8644452730913726E-2</v>
      </c>
      <c r="S105" s="18">
        <f t="shared" si="62"/>
        <v>0.12218733361935785</v>
      </c>
      <c r="T105" s="18">
        <f t="shared" si="62"/>
        <v>0.11891711301154048</v>
      </c>
      <c r="U105" s="18">
        <f t="shared" si="62"/>
        <v>0.11986778857610962</v>
      </c>
      <c r="V105" s="18">
        <f t="shared" si="62"/>
        <v>0.12068239474060873</v>
      </c>
      <c r="W105" s="5"/>
      <c r="X105" s="2"/>
    </row>
    <row r="106" spans="1:24" ht="12.75" customHeight="1" x14ac:dyDescent="0.2">
      <c r="B106" s="19"/>
      <c r="C106" s="2"/>
      <c r="D106" s="2"/>
      <c r="E106" s="2"/>
      <c r="F106" s="2"/>
      <c r="G106" s="2"/>
      <c r="H106" s="2"/>
      <c r="I106" s="2"/>
      <c r="J106" s="2"/>
      <c r="K106" s="2"/>
      <c r="L106" s="2"/>
      <c r="N106" s="18"/>
      <c r="O106" s="18"/>
      <c r="P106" s="18"/>
      <c r="Q106" s="18"/>
      <c r="R106" s="18"/>
      <c r="S106" s="18"/>
      <c r="T106" s="18"/>
      <c r="U106" s="18"/>
      <c r="V106" s="18"/>
      <c r="W106" s="5"/>
      <c r="X106" s="2"/>
    </row>
    <row r="107" spans="1:24" ht="12.75" customHeight="1" x14ac:dyDescent="0.2">
      <c r="B107" s="19"/>
      <c r="C107" s="2"/>
      <c r="D107" s="2"/>
      <c r="E107" s="2"/>
      <c r="F107" s="2"/>
      <c r="G107" s="2"/>
      <c r="H107" s="2"/>
      <c r="I107" s="2"/>
      <c r="J107" s="318"/>
      <c r="K107" s="2"/>
      <c r="L107" s="2"/>
      <c r="N107" s="18"/>
      <c r="O107" s="18"/>
      <c r="P107" s="18"/>
      <c r="Q107" s="18"/>
      <c r="R107" s="18"/>
      <c r="S107" s="18"/>
      <c r="T107" s="18"/>
      <c r="U107" s="18"/>
      <c r="V107" s="18"/>
      <c r="W107" s="5"/>
      <c r="X107" s="2"/>
    </row>
    <row r="108" spans="1:24" ht="12.75" customHeight="1" x14ac:dyDescent="0.2">
      <c r="B108" s="19"/>
      <c r="C108" s="2"/>
      <c r="D108" s="2"/>
      <c r="E108" s="2"/>
      <c r="F108" s="2"/>
      <c r="G108" s="2"/>
      <c r="H108" s="2"/>
      <c r="I108" s="2"/>
      <c r="J108" s="2"/>
      <c r="K108" s="247" t="s">
        <v>199</v>
      </c>
      <c r="L108" s="2"/>
      <c r="N108" s="18"/>
      <c r="O108" s="18"/>
      <c r="P108" s="18"/>
      <c r="Q108" s="18"/>
      <c r="R108" s="18"/>
      <c r="S108" s="18"/>
      <c r="T108" s="18"/>
      <c r="U108" s="18"/>
      <c r="V108" s="18"/>
      <c r="W108" s="5"/>
      <c r="X108" s="2"/>
    </row>
    <row r="109" spans="1:24" ht="12.75" customHeight="1" x14ac:dyDescent="0.2">
      <c r="A109" s="110"/>
      <c r="B109" s="19"/>
      <c r="C109" s="2"/>
      <c r="D109" s="2"/>
      <c r="E109" s="2"/>
      <c r="F109" s="2"/>
      <c r="G109" s="2"/>
      <c r="H109" s="2"/>
      <c r="I109" s="2"/>
      <c r="J109" s="2"/>
      <c r="K109" s="248" t="s">
        <v>195</v>
      </c>
      <c r="L109" s="2"/>
      <c r="M109" s="110"/>
      <c r="N109" s="19"/>
      <c r="O109" s="2"/>
      <c r="P109" s="2"/>
      <c r="Q109" s="2"/>
      <c r="R109" s="2"/>
      <c r="S109" s="2"/>
      <c r="T109" s="2"/>
      <c r="U109" s="2"/>
      <c r="V109" s="2"/>
      <c r="W109" s="5"/>
      <c r="X109" s="2"/>
    </row>
    <row r="110" spans="1:24" ht="15.95" customHeight="1" x14ac:dyDescent="0.25">
      <c r="A110" s="11" t="str">
        <f>A4</f>
        <v>PacifiCorp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73"/>
      <c r="X110" s="2"/>
    </row>
    <row r="111" spans="1:24" ht="12.75" customHeight="1" x14ac:dyDescent="0.25">
      <c r="A111" s="194" t="s">
        <v>144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73"/>
      <c r="X111" s="2"/>
    </row>
    <row r="112" spans="1:24" ht="12.75" customHeight="1" x14ac:dyDescent="0.2">
      <c r="A112" s="130">
        <f ca="1">A6</f>
        <v>43263.391814351853</v>
      </c>
      <c r="B112" s="105"/>
      <c r="C112" s="12"/>
      <c r="D112" s="12"/>
      <c r="E112" s="12"/>
      <c r="F112" s="12"/>
      <c r="G112" s="12"/>
      <c r="H112" s="12"/>
      <c r="I112" s="12"/>
      <c r="J112" s="12"/>
      <c r="K112" s="13"/>
      <c r="L112" s="2"/>
      <c r="X112" s="2"/>
    </row>
    <row r="113" spans="1:12" ht="12.75" customHeight="1" x14ac:dyDescent="0.2">
      <c r="B113" s="105"/>
      <c r="C113" s="10"/>
      <c r="D113" s="12"/>
      <c r="E113" s="12"/>
      <c r="F113" s="12"/>
      <c r="G113" s="12"/>
      <c r="H113" s="12"/>
      <c r="I113" s="12"/>
      <c r="J113" s="12"/>
      <c r="K113" s="13"/>
      <c r="L113" s="2"/>
    </row>
    <row r="114" spans="1:12" ht="12.75" customHeight="1" x14ac:dyDescent="0.2">
      <c r="A114" s="106"/>
      <c r="B114" s="105"/>
      <c r="C114" s="10"/>
      <c r="D114" s="10"/>
      <c r="E114" s="12"/>
      <c r="F114" s="12"/>
      <c r="G114" s="12"/>
      <c r="H114" s="12"/>
      <c r="I114" s="12"/>
      <c r="J114" s="12"/>
      <c r="K114" s="13"/>
      <c r="L114" s="2"/>
    </row>
    <row r="115" spans="1:12" ht="12.75" customHeight="1" x14ac:dyDescent="0.2">
      <c r="A115" s="110"/>
      <c r="B115" s="19"/>
      <c r="C115" s="10"/>
      <c r="D115" s="10"/>
      <c r="E115" s="12"/>
      <c r="F115" s="12"/>
      <c r="G115" s="12"/>
      <c r="H115" s="12"/>
      <c r="I115" s="12"/>
      <c r="J115" s="12"/>
      <c r="K115" s="13"/>
      <c r="L115" s="2"/>
    </row>
    <row r="116" spans="1:12" ht="12.75" customHeight="1" x14ac:dyDescent="0.2">
      <c r="A116" s="110"/>
      <c r="B116" s="19"/>
      <c r="C116" s="10"/>
      <c r="D116" s="10"/>
      <c r="E116" s="12"/>
      <c r="F116" s="12"/>
      <c r="G116" s="12"/>
      <c r="H116" s="12"/>
      <c r="I116" s="12"/>
      <c r="J116" s="12"/>
      <c r="K116" s="13"/>
      <c r="L116" s="2"/>
    </row>
    <row r="117" spans="1:12" ht="12.75" customHeight="1" x14ac:dyDescent="0.2">
      <c r="A117" s="110"/>
      <c r="B117" s="19"/>
      <c r="C117" s="2"/>
      <c r="D117" s="2"/>
      <c r="E117" s="2"/>
      <c r="F117" s="2"/>
      <c r="G117" s="2"/>
      <c r="H117" s="2"/>
      <c r="I117" s="2"/>
      <c r="J117" s="2"/>
      <c r="K117" s="99" t="s">
        <v>122</v>
      </c>
      <c r="L117" s="2"/>
    </row>
    <row r="118" spans="1:12" ht="12.75" customHeight="1" x14ac:dyDescent="0.2">
      <c r="B118" s="74" t="s">
        <v>121</v>
      </c>
      <c r="C118" s="14" t="s">
        <v>122</v>
      </c>
      <c r="D118" s="14" t="s">
        <v>122</v>
      </c>
      <c r="E118" s="14" t="s">
        <v>122</v>
      </c>
      <c r="F118" s="14" t="s">
        <v>122</v>
      </c>
      <c r="G118" s="14" t="s">
        <v>122</v>
      </c>
      <c r="H118" s="14" t="s">
        <v>122</v>
      </c>
      <c r="I118" s="14" t="s">
        <v>122</v>
      </c>
      <c r="J118" s="14" t="s">
        <v>122</v>
      </c>
      <c r="K118" s="99" t="s">
        <v>136</v>
      </c>
      <c r="L118" s="2"/>
    </row>
    <row r="119" spans="1:12" ht="12.75" customHeight="1" x14ac:dyDescent="0.2">
      <c r="A119" s="172" t="str">
        <f>Historical!A114</f>
        <v>Ratio Group And Name</v>
      </c>
      <c r="B119" s="98" t="s">
        <v>3</v>
      </c>
      <c r="C119" s="4">
        <f t="shared" ref="C119:J119" si="63">O77</f>
        <v>2018</v>
      </c>
      <c r="D119" s="4">
        <f t="shared" si="63"/>
        <v>2019</v>
      </c>
      <c r="E119" s="4">
        <f t="shared" si="63"/>
        <v>2020</v>
      </c>
      <c r="F119" s="4">
        <f t="shared" si="63"/>
        <v>2021</v>
      </c>
      <c r="G119" s="4">
        <f t="shared" si="63"/>
        <v>2022</v>
      </c>
      <c r="H119" s="4">
        <f t="shared" si="63"/>
        <v>2023</v>
      </c>
      <c r="I119" s="4">
        <f t="shared" si="63"/>
        <v>2024</v>
      </c>
      <c r="J119" s="4">
        <f t="shared" si="63"/>
        <v>2025</v>
      </c>
      <c r="K119" s="79" t="s">
        <v>3</v>
      </c>
      <c r="L119" s="2"/>
    </row>
    <row r="120" spans="1:12" ht="6.95" customHeight="1" x14ac:dyDescent="0.2">
      <c r="A120" s="234"/>
      <c r="B120" s="85"/>
      <c r="C120" s="22"/>
      <c r="D120" s="22"/>
      <c r="E120" s="22"/>
      <c r="F120" s="22"/>
      <c r="G120" s="22"/>
      <c r="H120" s="22"/>
      <c r="I120" s="22"/>
      <c r="J120" s="22"/>
      <c r="K120" s="80"/>
      <c r="L120" s="2"/>
    </row>
    <row r="121" spans="1:12" ht="12.75" customHeight="1" x14ac:dyDescent="0.2">
      <c r="A121" s="172" t="str">
        <f>Historical!A116</f>
        <v>Short-term Liquidity Ratios:</v>
      </c>
      <c r="B121" s="89"/>
      <c r="C121" s="8"/>
      <c r="D121" s="8"/>
      <c r="E121" s="8"/>
      <c r="F121" s="8"/>
      <c r="H121" s="2"/>
      <c r="I121" s="2"/>
      <c r="K121" s="8"/>
      <c r="L121" s="2"/>
    </row>
    <row r="122" spans="1:12" ht="12.75" customHeight="1" x14ac:dyDescent="0.2">
      <c r="A122" s="52" t="str">
        <f>Historical!A117</f>
        <v>Current</v>
      </c>
      <c r="B122" s="89">
        <f>Historical!U117</f>
        <v>1.1400000868528859</v>
      </c>
      <c r="C122" s="8">
        <f t="shared" ref="C122:J122" ca="1" si="64">C17/C48</f>
        <v>0.99650790981444071</v>
      </c>
      <c r="D122" s="8">
        <f t="shared" ca="1" si="64"/>
        <v>1.001632630180419</v>
      </c>
      <c r="E122" s="8">
        <f t="shared" ca="1" si="64"/>
        <v>1.013175432244523</v>
      </c>
      <c r="F122" s="8">
        <f t="shared" ca="1" si="64"/>
        <v>1.0297259306716811</v>
      </c>
      <c r="G122" s="8">
        <f t="shared" ca="1" si="64"/>
        <v>1.0424922914609362</v>
      </c>
      <c r="H122" s="8">
        <f t="shared" ca="1" si="64"/>
        <v>1.0550680099012877</v>
      </c>
      <c r="I122" s="8">
        <f t="shared" ca="1" si="64"/>
        <v>1.0674542661504334</v>
      </c>
      <c r="J122" s="8">
        <f t="shared" ca="1" si="64"/>
        <v>1.0870318540668218</v>
      </c>
      <c r="K122" s="8">
        <f ca="1">AVERAGE(C122:J122)</f>
        <v>1.036636040561318</v>
      </c>
      <c r="L122" s="2"/>
    </row>
    <row r="123" spans="1:12" ht="12.75" customHeight="1" x14ac:dyDescent="0.2">
      <c r="A123" s="52" t="str">
        <f>Historical!A118</f>
        <v>Quick</v>
      </c>
      <c r="B123" s="89">
        <f>Historical!U118</f>
        <v>0.59625559477235246</v>
      </c>
      <c r="C123" s="8">
        <f t="shared" ref="C123:J123" ca="1" si="65">SUM(C12:C14)/C48</f>
        <v>0.52650718782998063</v>
      </c>
      <c r="D123" s="8">
        <f t="shared" ca="1" si="65"/>
        <v>0.52905500962145002</v>
      </c>
      <c r="E123" s="8">
        <f t="shared" ca="1" si="65"/>
        <v>0.53631287588291032</v>
      </c>
      <c r="F123" s="8">
        <f t="shared" ca="1" si="65"/>
        <v>0.55159734131211124</v>
      </c>
      <c r="G123" s="8">
        <f t="shared" ca="1" si="65"/>
        <v>0.55994108157268274</v>
      </c>
      <c r="H123" s="8">
        <f t="shared" ca="1" si="65"/>
        <v>0.56821026674522113</v>
      </c>
      <c r="I123" s="8">
        <f t="shared" ca="1" si="65"/>
        <v>0.57640443926881446</v>
      </c>
      <c r="J123" s="8">
        <f t="shared" ca="1" si="65"/>
        <v>0.58983644778599487</v>
      </c>
      <c r="K123" s="8">
        <f ca="1">AVERAGE(C123:J123)</f>
        <v>0.55473308125239562</v>
      </c>
      <c r="L123" s="2"/>
    </row>
    <row r="124" spans="1:12" ht="12.75" customHeight="1" x14ac:dyDescent="0.2">
      <c r="A124" s="52" t="str">
        <f>Historical!A119</f>
        <v>Days Revenues Cash</v>
      </c>
      <c r="B124" s="89">
        <f>Historical!U119</f>
        <v>2.7449131374056286</v>
      </c>
      <c r="C124" s="158">
        <f ca="1">((C80/365)/((B12+B13+C12+C13)/2))^-1</f>
        <v>1.0080359216593267</v>
      </c>
      <c r="D124" s="158">
        <f t="shared" ref="D124:J124" ca="1" si="66">((D80/365)/((C12+C13+D12+D13)/2))^-1</f>
        <v>0.98857323122695617</v>
      </c>
      <c r="E124" s="158">
        <f t="shared" ca="1" si="66"/>
        <v>0.98857323122695595</v>
      </c>
      <c r="F124" s="158">
        <f t="shared" ca="1" si="66"/>
        <v>0.97901279283110543</v>
      </c>
      <c r="G124" s="158">
        <f t="shared" ca="1" si="66"/>
        <v>0.98857323122695617</v>
      </c>
      <c r="H124" s="158">
        <f t="shared" ca="1" si="66"/>
        <v>0.98857323122695617</v>
      </c>
      <c r="I124" s="158">
        <f t="shared" ca="1" si="66"/>
        <v>0.98857323122695595</v>
      </c>
      <c r="J124" s="158">
        <f t="shared" ca="1" si="66"/>
        <v>0.98857323122695617</v>
      </c>
      <c r="K124" s="8">
        <f ca="1">AVERAGE(C124:J124)</f>
        <v>0.98981101273152117</v>
      </c>
      <c r="L124" s="2"/>
    </row>
    <row r="125" spans="1:12" ht="12.75" customHeight="1" x14ac:dyDescent="0.2">
      <c r="A125" s="52" t="str">
        <f>Historical!A120</f>
        <v>Days Revenues Receivable</v>
      </c>
      <c r="B125" s="89">
        <f>Historical!U120</f>
        <v>50.247818034204663</v>
      </c>
      <c r="C125" s="8">
        <f t="shared" ref="C125:J125" si="67">365*(((B14+C14)/2)/((B80+C80)/2))</f>
        <v>48.875706871341897</v>
      </c>
      <c r="D125" s="8">
        <f t="shared" si="67"/>
        <v>50.126367098612697</v>
      </c>
      <c r="E125" s="8">
        <f t="shared" si="67"/>
        <v>50.126367098612704</v>
      </c>
      <c r="F125" s="8">
        <f t="shared" si="67"/>
        <v>50.126367098612711</v>
      </c>
      <c r="G125" s="8">
        <f t="shared" si="67"/>
        <v>50.126367098612704</v>
      </c>
      <c r="H125" s="8">
        <f t="shared" si="67"/>
        <v>50.126367098612704</v>
      </c>
      <c r="I125" s="8">
        <f t="shared" si="67"/>
        <v>50.126367098612704</v>
      </c>
      <c r="J125" s="8">
        <f t="shared" si="67"/>
        <v>50.126367098612704</v>
      </c>
      <c r="K125" s="8">
        <f>AVERAGE(C125:J125)</f>
        <v>49.970034570203858</v>
      </c>
      <c r="L125" s="2"/>
    </row>
    <row r="126" spans="1:12" ht="6.95" customHeight="1" x14ac:dyDescent="0.2">
      <c r="B126" s="89"/>
      <c r="C126" s="8"/>
      <c r="D126" s="8"/>
      <c r="E126" s="8"/>
      <c r="F126" s="8"/>
      <c r="G126" s="8"/>
      <c r="H126" s="8"/>
      <c r="I126" s="81"/>
      <c r="J126" s="81"/>
      <c r="K126" s="8"/>
      <c r="L126" s="2"/>
    </row>
    <row r="127" spans="1:12" ht="12.75" customHeight="1" x14ac:dyDescent="0.2">
      <c r="A127" s="172" t="str">
        <f>Historical!A122</f>
        <v>Long-term Solvency Ratios:</v>
      </c>
      <c r="B127" s="89"/>
      <c r="C127" s="8"/>
      <c r="D127" s="8"/>
      <c r="E127" s="8"/>
      <c r="F127" s="8"/>
      <c r="G127" s="8"/>
      <c r="H127" s="8"/>
      <c r="I127" s="81"/>
      <c r="J127" s="81"/>
      <c r="K127" s="8"/>
      <c r="L127" s="2"/>
    </row>
    <row r="128" spans="1:12" ht="12.75" customHeight="1" x14ac:dyDescent="0.2">
      <c r="A128" s="52" t="str">
        <f>Historical!A123</f>
        <v>Net Worth/Total Debt</v>
      </c>
      <c r="B128" s="89">
        <f>Historical!U123</f>
        <v>0.52675282673174861</v>
      </c>
      <c r="C128" s="8">
        <f t="shared" ref="C128:J128" ca="1" si="68">C64/(C57+C59)</f>
        <v>0.51588897957836344</v>
      </c>
      <c r="D128" s="8">
        <f t="shared" ca="1" si="68"/>
        <v>0.5058080386248528</v>
      </c>
      <c r="E128" s="8">
        <f t="shared" ca="1" si="68"/>
        <v>0.50587330815139853</v>
      </c>
      <c r="F128" s="8">
        <f t="shared" ca="1" si="68"/>
        <v>0.51511061467856034</v>
      </c>
      <c r="G128" s="8">
        <f t="shared" ca="1" si="68"/>
        <v>0.51419297003677678</v>
      </c>
      <c r="H128" s="8">
        <f t="shared" ca="1" si="68"/>
        <v>0.51686363227090582</v>
      </c>
      <c r="I128" s="8">
        <f t="shared" ca="1" si="68"/>
        <v>0.52100752520467075</v>
      </c>
      <c r="J128" s="8">
        <f t="shared" ca="1" si="68"/>
        <v>0.54200009044447461</v>
      </c>
      <c r="K128" s="8">
        <f ca="1">AVERAGE(C128:J128)</f>
        <v>0.51709314487375035</v>
      </c>
      <c r="L128" s="2"/>
    </row>
    <row r="129" spans="1:12" ht="12.75" customHeight="1" x14ac:dyDescent="0.2">
      <c r="A129" s="52" t="str">
        <f>Historical!A124</f>
        <v>Net Worth/Non Current Debt</v>
      </c>
      <c r="B129" s="89">
        <f>Historical!U124</f>
        <v>0.57752646047099865</v>
      </c>
      <c r="C129" s="8">
        <f t="shared" ref="C129:J129" ca="1" si="69">C64/(C55+C59)</f>
        <v>0.56691296729582386</v>
      </c>
      <c r="D129" s="8">
        <f t="shared" ca="1" si="69"/>
        <v>0.55477900553210213</v>
      </c>
      <c r="E129" s="8">
        <f t="shared" ca="1" si="69"/>
        <v>0.55464350567303322</v>
      </c>
      <c r="F129" s="8">
        <f t="shared" ca="1" si="69"/>
        <v>0.56538150843324197</v>
      </c>
      <c r="G129" s="8">
        <f t="shared" ca="1" si="69"/>
        <v>0.56428237383155733</v>
      </c>
      <c r="H129" s="8">
        <f t="shared" ca="1" si="69"/>
        <v>0.56727062139955864</v>
      </c>
      <c r="I129" s="8">
        <f t="shared" ca="1" si="69"/>
        <v>0.57194914590475665</v>
      </c>
      <c r="J129" s="8">
        <f t="shared" ca="1" si="69"/>
        <v>0.59628252260220216</v>
      </c>
      <c r="K129" s="8">
        <f ca="1">AVERAGE(C129:J129)</f>
        <v>0.56768770633403454</v>
      </c>
      <c r="L129" s="2"/>
    </row>
    <row r="130" spans="1:12" ht="12.75" customHeight="1" x14ac:dyDescent="0.2">
      <c r="A130" s="52" t="str">
        <f>Historical!A125</f>
        <v>Net Worth/Fixed Assets</v>
      </c>
      <c r="B130" s="89">
        <f>Historical!U125</f>
        <v>0.40484456639879657</v>
      </c>
      <c r="C130" s="8">
        <f t="shared" ref="C130:J130" ca="1" si="70">C64/C28</f>
        <v>0.38785580579485385</v>
      </c>
      <c r="D130" s="8">
        <f t="shared" ca="1" si="70"/>
        <v>0.38220011554418004</v>
      </c>
      <c r="E130" s="8">
        <f t="shared" ca="1" si="70"/>
        <v>0.38235268568524733</v>
      </c>
      <c r="F130" s="8">
        <f t="shared" ca="1" si="70"/>
        <v>0.38751727080375653</v>
      </c>
      <c r="G130" s="8">
        <f t="shared" ca="1" si="70"/>
        <v>0.38737129617081939</v>
      </c>
      <c r="H130" s="8">
        <f t="shared" ca="1" si="70"/>
        <v>0.38901258743253664</v>
      </c>
      <c r="I130" s="8">
        <f t="shared" ca="1" si="70"/>
        <v>0.39138279224350481</v>
      </c>
      <c r="J130" s="8">
        <f t="shared" ca="1" si="70"/>
        <v>0.39506002398554924</v>
      </c>
      <c r="K130" s="8">
        <f ca="1">AVERAGE(C130:J130)</f>
        <v>0.3878440722075559</v>
      </c>
      <c r="L130" s="2"/>
    </row>
    <row r="131" spans="1:12" ht="12.75" customHeight="1" x14ac:dyDescent="0.2">
      <c r="A131" s="52" t="str">
        <f>Historical!A126</f>
        <v>Times Interest Earned</v>
      </c>
      <c r="B131" s="89">
        <f>Historical!U126</f>
        <v>3.7582144100003276</v>
      </c>
      <c r="C131" s="8">
        <f ca="1">(C98+C91+C94)/(C91+C94)</f>
        <v>3.2247458735198111</v>
      </c>
      <c r="D131" s="8">
        <f t="shared" ref="D131:J131" ca="1" si="71">(D98+D91+D94)/(D91+D94)</f>
        <v>2.9824924772091617</v>
      </c>
      <c r="E131" s="8">
        <f t="shared" ca="1" si="71"/>
        <v>2.9114616124636887</v>
      </c>
      <c r="F131" s="8">
        <f t="shared" ca="1" si="71"/>
        <v>3.1745395717195279</v>
      </c>
      <c r="G131" s="8">
        <f t="shared" ca="1" si="71"/>
        <v>3.2214405950166478</v>
      </c>
      <c r="H131" s="8">
        <f t="shared" ca="1" si="71"/>
        <v>3.2549460463291027</v>
      </c>
      <c r="I131" s="8">
        <f t="shared" ca="1" si="71"/>
        <v>3.3025890142498695</v>
      </c>
      <c r="J131" s="8">
        <f t="shared" ca="1" si="71"/>
        <v>3.4481367914090293</v>
      </c>
      <c r="K131" s="8">
        <f ca="1">AVERAGE(C131:J131)</f>
        <v>3.1900439977396049</v>
      </c>
      <c r="L131" s="2"/>
    </row>
    <row r="132" spans="1:12" ht="12.75" customHeight="1" x14ac:dyDescent="0.2">
      <c r="A132" s="52" t="str">
        <f>Historical!A127</f>
        <v>Times Interest Earned plus Depr.</v>
      </c>
      <c r="B132" s="89">
        <f>Historical!U127</f>
        <v>5.7746413273983075</v>
      </c>
      <c r="C132" s="8">
        <f ca="1">(C98+C91+C94+C85)/(C91+C94)</f>
        <v>5.2117027944582155</v>
      </c>
      <c r="D132" s="8">
        <f t="shared" ref="D132:J132" ca="1" si="72">(D98+D91+D94+D85)/(D91+D94)</f>
        <v>4.85574917918027</v>
      </c>
      <c r="E132" s="8">
        <f t="shared" ca="1" si="72"/>
        <v>4.7079964713326543</v>
      </c>
      <c r="F132" s="8">
        <f t="shared" ca="1" si="72"/>
        <v>4.9425856105401511</v>
      </c>
      <c r="G132" s="8">
        <f t="shared" ca="1" si="72"/>
        <v>4.9669271391594432</v>
      </c>
      <c r="H132" s="8">
        <f t="shared" ca="1" si="72"/>
        <v>4.9713014870789234</v>
      </c>
      <c r="I132" s="8">
        <f t="shared" ca="1" si="72"/>
        <v>4.9979145461883636</v>
      </c>
      <c r="J132" s="8">
        <f t="shared" ca="1" si="72"/>
        <v>5.1717948989605311</v>
      </c>
      <c r="K132" s="8">
        <f ca="1">AVERAGE(C132:J132)</f>
        <v>4.9782465158623186</v>
      </c>
      <c r="L132" s="2"/>
    </row>
    <row r="133" spans="1:12" ht="6.95" customHeight="1" x14ac:dyDescent="0.2">
      <c r="B133" s="89"/>
      <c r="C133" s="8"/>
      <c r="D133" s="8"/>
      <c r="E133" s="8"/>
      <c r="F133" s="8"/>
      <c r="G133" s="8"/>
      <c r="H133" s="8"/>
      <c r="I133" s="81"/>
      <c r="J133" s="81"/>
      <c r="K133" s="8"/>
      <c r="L133" s="2"/>
    </row>
    <row r="134" spans="1:12" ht="12.75" customHeight="1" x14ac:dyDescent="0.2">
      <c r="A134" s="172" t="str">
        <f>Historical!A129</f>
        <v>Profitability Ratios:</v>
      </c>
      <c r="B134" s="89"/>
      <c r="C134" s="8"/>
      <c r="D134" s="8"/>
      <c r="E134" s="8"/>
      <c r="F134" s="8"/>
      <c r="G134" s="8"/>
      <c r="H134" s="8"/>
      <c r="I134" s="81"/>
      <c r="J134" s="81"/>
      <c r="K134" s="8"/>
      <c r="L134" s="2"/>
    </row>
    <row r="135" spans="1:12" ht="12.75" customHeight="1" x14ac:dyDescent="0.2">
      <c r="A135" s="52" t="str">
        <f>Historical!A130</f>
        <v>Return On Total Assets</v>
      </c>
      <c r="B135" s="90">
        <f>Historical!U130</f>
        <v>4.2868557980116517E-2</v>
      </c>
      <c r="C135" s="5">
        <f ca="1">(C102+((C91+C94)*(1-(C101/C98))))/((B38+C38)/2)</f>
        <v>4.2367433465684799E-2</v>
      </c>
      <c r="D135" s="5">
        <f t="shared" ref="D135:J135" ca="1" si="73">(D102+((D91+D94)*(1-(D101/D98))))/((C38+D38)/2)</f>
        <v>4.1988634759335369E-2</v>
      </c>
      <c r="E135" s="5">
        <f t="shared" ca="1" si="73"/>
        <v>4.2592322102032981E-2</v>
      </c>
      <c r="F135" s="5">
        <f t="shared" ca="1" si="73"/>
        <v>4.7410371092502859E-2</v>
      </c>
      <c r="G135" s="5">
        <f t="shared" ca="1" si="73"/>
        <v>4.8845640286067513E-2</v>
      </c>
      <c r="H135" s="5">
        <f t="shared" ca="1" si="73"/>
        <v>5.0317766649220753E-2</v>
      </c>
      <c r="I135" s="5">
        <f t="shared" ca="1" si="73"/>
        <v>5.1811927166857792E-2</v>
      </c>
      <c r="J135" s="5">
        <f t="shared" ca="1" si="73"/>
        <v>5.3792001758242183E-2</v>
      </c>
      <c r="K135" s="5">
        <f ca="1">AVERAGE(C135:J135)</f>
        <v>4.7390762159993036E-2</v>
      </c>
      <c r="L135" s="2"/>
    </row>
    <row r="136" spans="1:12" ht="12.75" customHeight="1" x14ac:dyDescent="0.2">
      <c r="A136" s="52" t="str">
        <f>Historical!A131</f>
        <v>Return On Total Capital</v>
      </c>
      <c r="B136" s="90">
        <f>Historical!U131</f>
        <v>6.4264693761595479E-2</v>
      </c>
      <c r="C136" s="5">
        <f ca="1">(C102+((C91+C94)*(1-(C101/C98))))/((B42+B43+B50+B54+B59+B64+C42+C43+C50+C54+C59+C64)/2)</f>
        <v>6.2970256792983292E-2</v>
      </c>
      <c r="D136" s="5">
        <f t="shared" ref="D136:J136" ca="1" si="74">(D102+((D91+D92+D93)*(1-(D101/D98))))/((C42+C43+C50+C54+C59+C64+D42+D43+D50+D54+D59+D64)/2)</f>
        <v>5.5351886049491608E-2</v>
      </c>
      <c r="E136" s="5">
        <f t="shared" ca="1" si="74"/>
        <v>5.4152248222623517E-2</v>
      </c>
      <c r="F136" s="5">
        <f t="shared" ca="1" si="74"/>
        <v>5.9861284689223471E-2</v>
      </c>
      <c r="G136" s="5">
        <f t="shared" ca="1" si="74"/>
        <v>6.0719205255243616E-2</v>
      </c>
      <c r="H136" s="5">
        <f t="shared" ca="1" si="74"/>
        <v>6.1548392724523358E-2</v>
      </c>
      <c r="I136" s="5">
        <f t="shared" ca="1" si="74"/>
        <v>6.2537140045020076E-2</v>
      </c>
      <c r="J136" s="5">
        <f t="shared" ca="1" si="74"/>
        <v>6.4968918520648539E-2</v>
      </c>
      <c r="K136" s="5">
        <f ca="1">AVERAGE(C136:J136)</f>
        <v>6.0263666537469687E-2</v>
      </c>
      <c r="L136" s="2"/>
    </row>
    <row r="137" spans="1:12" ht="12.75" customHeight="1" x14ac:dyDescent="0.2">
      <c r="A137" s="52" t="str">
        <f>Historical!A132</f>
        <v>Return On Common Equity</v>
      </c>
      <c r="B137" s="90">
        <f>Historical!U132</f>
        <v>9.108627317917041E-2</v>
      </c>
      <c r="C137" s="5">
        <f t="shared" ref="C137:J137" ca="1" si="75">(C102-C104)/((C64+B64)/2)</f>
        <v>8.2868882228775156E-2</v>
      </c>
      <c r="D137" s="5">
        <f t="shared" ca="1" si="75"/>
        <v>7.991475591482991E-2</v>
      </c>
      <c r="E137" s="5">
        <f t="shared" ca="1" si="75"/>
        <v>8.0590558191194372E-2</v>
      </c>
      <c r="F137" s="5">
        <f t="shared" ca="1" si="75"/>
        <v>9.3707953272765529E-2</v>
      </c>
      <c r="G137" s="5">
        <f t="shared" ca="1" si="75"/>
        <v>9.6827569088527882E-2</v>
      </c>
      <c r="H137" s="5">
        <f t="shared" ca="1" si="75"/>
        <v>0.10022822649193375</v>
      </c>
      <c r="I137" s="5">
        <f t="shared" ca="1" si="75"/>
        <v>0.10355704373632872</v>
      </c>
      <c r="J137" s="5">
        <f t="shared" ca="1" si="75"/>
        <v>0.10801747879928471</v>
      </c>
      <c r="K137" s="5">
        <f ca="1">AVERAGE(C137:J137)</f>
        <v>9.3214058465454996E-2</v>
      </c>
      <c r="L137" s="2"/>
    </row>
    <row r="138" spans="1:12" ht="6.95" customHeight="1" x14ac:dyDescent="0.2">
      <c r="B138" s="89"/>
      <c r="C138" s="8"/>
      <c r="D138" s="8"/>
      <c r="E138" s="8"/>
      <c r="F138" s="8"/>
      <c r="G138" s="8"/>
      <c r="H138" s="8"/>
      <c r="I138" s="81"/>
      <c r="J138" s="81"/>
      <c r="K138" s="8"/>
      <c r="L138" s="2"/>
    </row>
    <row r="139" spans="1:12" ht="12.75" customHeight="1" x14ac:dyDescent="0.2">
      <c r="A139" s="172" t="str">
        <f>Historical!A134</f>
        <v>Asset-Utilization Ratios:</v>
      </c>
      <c r="B139" s="89"/>
      <c r="C139" s="8"/>
      <c r="D139" s="8"/>
      <c r="E139" s="8"/>
      <c r="F139" s="8"/>
      <c r="G139" s="8"/>
      <c r="H139" s="8"/>
      <c r="I139" s="81"/>
      <c r="J139" s="81"/>
      <c r="K139" s="8"/>
      <c r="L139" s="2"/>
    </row>
    <row r="140" spans="1:12" ht="12.75" customHeight="1" x14ac:dyDescent="0.2">
      <c r="A140" s="52" t="str">
        <f>Historical!A135</f>
        <v>Revenues/Fixed Assets</v>
      </c>
      <c r="B140" s="89">
        <f>Historical!U135</f>
        <v>0.27724552598357416</v>
      </c>
      <c r="C140" s="8">
        <f t="shared" ref="C140:J140" si="76">C80/((B28+C28)/2)</f>
        <v>0.25830831304752522</v>
      </c>
      <c r="D140" s="8">
        <f t="shared" si="76"/>
        <v>0.25653664563662104</v>
      </c>
      <c r="E140" s="8">
        <f t="shared" si="76"/>
        <v>0.25663094671684394</v>
      </c>
      <c r="F140" s="8">
        <f t="shared" si="76"/>
        <v>0.26503195568579702</v>
      </c>
      <c r="G140" s="8">
        <f t="shared" si="76"/>
        <v>0.26897013733047154</v>
      </c>
      <c r="H140" s="8">
        <f t="shared" si="76"/>
        <v>0.2729661564209982</v>
      </c>
      <c r="I140" s="8">
        <f t="shared" si="76"/>
        <v>0.27702087115380486</v>
      </c>
      <c r="J140" s="8">
        <f t="shared" si="76"/>
        <v>0.2811351526955797</v>
      </c>
      <c r="K140" s="101">
        <f>AVERAGE(C140:J140)</f>
        <v>0.2670750223359552</v>
      </c>
      <c r="L140" s="2"/>
    </row>
    <row r="141" spans="1:12" ht="12.75" customHeight="1" x14ac:dyDescent="0.2">
      <c r="A141" s="52" t="str">
        <f>Historical!A136</f>
        <v>Revenues/Total Assets</v>
      </c>
      <c r="B141" s="89">
        <f>Historical!U136</f>
        <v>0.23518391090897303</v>
      </c>
      <c r="C141" s="8">
        <f ca="1">C80/((B38+C38)/2)</f>
        <v>0.22647338943548653</v>
      </c>
      <c r="D141" s="8">
        <f t="shared" ref="D141:J141" ca="1" si="77">D80/((C38+D38)/2)</f>
        <v>0.22528261510730624</v>
      </c>
      <c r="E141" s="8">
        <f t="shared" ca="1" si="77"/>
        <v>0.22550993527570412</v>
      </c>
      <c r="F141" s="8">
        <f t="shared" ca="1" si="77"/>
        <v>0.2326876507113082</v>
      </c>
      <c r="G141" s="8">
        <f t="shared" ca="1" si="77"/>
        <v>0.23588125962466178</v>
      </c>
      <c r="H141" s="8">
        <f t="shared" ca="1" si="77"/>
        <v>0.23919212214028249</v>
      </c>
      <c r="I141" s="8">
        <f t="shared" ca="1" si="77"/>
        <v>0.24254652050859879</v>
      </c>
      <c r="J141" s="8">
        <f t="shared" ca="1" si="77"/>
        <v>0.24808293100274628</v>
      </c>
      <c r="K141" s="101">
        <f ca="1">AVERAGE(C141:J141)</f>
        <v>0.2344570529757618</v>
      </c>
      <c r="L141" s="2"/>
    </row>
    <row r="142" spans="1:12" ht="6.95" customHeight="1" x14ac:dyDescent="0.2">
      <c r="B142" s="89"/>
      <c r="C142" s="2"/>
      <c r="D142" s="2"/>
      <c r="E142" s="2"/>
      <c r="F142" s="2"/>
      <c r="G142" s="2"/>
      <c r="H142" s="2"/>
      <c r="I142" s="2"/>
      <c r="J142" s="2"/>
      <c r="K142" s="5"/>
      <c r="L142" s="2"/>
    </row>
    <row r="143" spans="1:12" ht="12.75" customHeight="1" x14ac:dyDescent="0.2">
      <c r="A143" s="172" t="str">
        <f>Historical!A138</f>
        <v>Regulatory Capital Structure</v>
      </c>
      <c r="B143" s="89"/>
      <c r="C143" s="2"/>
      <c r="D143" s="2"/>
      <c r="E143" s="2"/>
      <c r="F143" s="2"/>
      <c r="G143" s="2"/>
      <c r="H143" s="2"/>
      <c r="I143" s="2"/>
      <c r="J143" s="2"/>
      <c r="K143" s="5"/>
      <c r="L143" s="2"/>
    </row>
    <row r="144" spans="1:12" ht="12.75" customHeight="1" x14ac:dyDescent="0.2">
      <c r="A144" s="52" t="str">
        <f>Historical!A139</f>
        <v>Common Equity</v>
      </c>
      <c r="B144" s="90">
        <f>Historical!U139</f>
        <v>0.52009289616828869</v>
      </c>
      <c r="C144" s="133">
        <f t="shared" ref="C144:J144" ca="1" si="78">C64/C$148</f>
        <v>0.5091804385735571</v>
      </c>
      <c r="D144" s="133">
        <f t="shared" ca="1" si="78"/>
        <v>0.49864570812462156</v>
      </c>
      <c r="E144" s="133">
        <f t="shared" ca="1" si="78"/>
        <v>0.49598894706451352</v>
      </c>
      <c r="F144" s="133">
        <f t="shared" ca="1" si="78"/>
        <v>0.49976813791627117</v>
      </c>
      <c r="G144" s="133">
        <f t="shared" ca="1" si="78"/>
        <v>0.49687215899324383</v>
      </c>
      <c r="H144" s="133">
        <f t="shared" ca="1" si="78"/>
        <v>0.49633577731513212</v>
      </c>
      <c r="I144" s="133">
        <f t="shared" ca="1" si="78"/>
        <v>0.49677898728762049</v>
      </c>
      <c r="J144" s="133">
        <f t="shared" ca="1" si="78"/>
        <v>0.51006502440739987</v>
      </c>
      <c r="K144" s="5">
        <f ca="1">AVERAGE(C144:J144)</f>
        <v>0.50045439746029496</v>
      </c>
      <c r="L144" s="2"/>
    </row>
    <row r="145" spans="1:12" ht="12.75" customHeight="1" x14ac:dyDescent="0.2">
      <c r="A145" s="52" t="str">
        <f>Historical!A140</f>
        <v>Preferred Stock</v>
      </c>
      <c r="B145" s="90">
        <f>Historical!U140</f>
        <v>5.8504876549033606E-4</v>
      </c>
      <c r="C145" s="133">
        <f t="shared" ref="C145:J145" ca="1" si="79">C59/C$148</f>
        <v>1.3252399066183824E-4</v>
      </c>
      <c r="D145" s="133">
        <f t="shared" ca="1" si="79"/>
        <v>1.2695819933272639E-4</v>
      </c>
      <c r="E145" s="133">
        <f t="shared" ca="1" si="79"/>
        <v>1.2409152235782236E-4</v>
      </c>
      <c r="F145" s="133">
        <f t="shared" ca="1" si="79"/>
        <v>1.2185302265819931E-4</v>
      </c>
      <c r="G145" s="133">
        <f t="shared" ca="1" si="79"/>
        <v>1.1970146832105134E-4</v>
      </c>
      <c r="H145" s="133">
        <f t="shared" ca="1" si="79"/>
        <v>1.1760250087267267E-4</v>
      </c>
      <c r="I145" s="133">
        <f t="shared" ca="1" si="79"/>
        <v>1.1555465884386857E-4</v>
      </c>
      <c r="J145" s="133">
        <f t="shared" ca="1" si="79"/>
        <v>1.1609372804166247E-4</v>
      </c>
      <c r="K145" s="5">
        <f ca="1">AVERAGE(C145:J145)</f>
        <v>1.2179738638623018E-4</v>
      </c>
      <c r="L145" s="2"/>
    </row>
    <row r="146" spans="1:12" ht="12.75" customHeight="1" x14ac:dyDescent="0.2">
      <c r="A146" s="52" t="str">
        <f>Historical!A141</f>
        <v>Long Term Debt (incl. current portion)</v>
      </c>
      <c r="B146" s="90">
        <f>Historical!U141</f>
        <v>0.479322055066221</v>
      </c>
      <c r="C146" s="160">
        <f t="shared" ref="C146:J146" ca="1" si="80">(C42+C50+C54)/C$148</f>
        <v>0.4906870376168771</v>
      </c>
      <c r="D146" s="160">
        <f t="shared" ca="1" si="80"/>
        <v>0.50122733411394871</v>
      </c>
      <c r="E146" s="160">
        <f t="shared" ca="1" si="80"/>
        <v>0.50388696223804685</v>
      </c>
      <c r="F146" s="160">
        <f t="shared" ca="1" si="80"/>
        <v>0.50011001044708969</v>
      </c>
      <c r="G146" s="160">
        <f t="shared" ca="1" si="80"/>
        <v>0.50300871307748451</v>
      </c>
      <c r="H146" s="160">
        <f t="shared" ca="1" si="80"/>
        <v>0.50354776170074478</v>
      </c>
      <c r="I146" s="160">
        <f t="shared" ca="1" si="80"/>
        <v>0.50310749754750117</v>
      </c>
      <c r="J146" s="160">
        <f t="shared" ca="1" si="80"/>
        <v>0.48982155773078062</v>
      </c>
      <c r="K146" s="102">
        <f ca="1">AVERAGE(C146:J146)</f>
        <v>0.49942460930905919</v>
      </c>
      <c r="L146" s="2"/>
    </row>
    <row r="147" spans="1:12" ht="7.5" customHeight="1" x14ac:dyDescent="0.2">
      <c r="B147" s="18"/>
      <c r="C147" s="249"/>
      <c r="D147" s="249"/>
      <c r="E147" s="249"/>
      <c r="F147" s="249"/>
      <c r="G147" s="249"/>
      <c r="H147" s="249"/>
      <c r="I147" s="249"/>
      <c r="J147" s="249"/>
      <c r="K147" s="286"/>
      <c r="L147" s="2"/>
    </row>
    <row r="148" spans="1:12" ht="12.75" customHeight="1" x14ac:dyDescent="0.2">
      <c r="A148" s="2" t="s">
        <v>225</v>
      </c>
      <c r="B148" s="109"/>
      <c r="C148" s="132">
        <f t="shared" ref="C148:J148" ca="1" si="81">C42+C50+C54+C59+C64</f>
        <v>15091.607114862671</v>
      </c>
      <c r="D148" s="132">
        <f t="shared" ca="1" si="81"/>
        <v>15753.216502656085</v>
      </c>
      <c r="E148" s="132">
        <f t="shared" ca="1" si="81"/>
        <v>16117.136478370896</v>
      </c>
      <c r="F148" s="132">
        <f t="shared" ca="1" si="81"/>
        <v>16413.216177509908</v>
      </c>
      <c r="G148" s="132">
        <f t="shared" ca="1" si="81"/>
        <v>16708.242389424122</v>
      </c>
      <c r="H148" s="132">
        <f t="shared" ca="1" si="81"/>
        <v>17006.46047654111</v>
      </c>
      <c r="I148" s="132">
        <f t="shared" ca="1" si="81"/>
        <v>17307.861915721049</v>
      </c>
      <c r="J148" s="132">
        <f t="shared" ca="1" si="81"/>
        <v>17227.505615244812</v>
      </c>
      <c r="K148" s="18"/>
      <c r="L148" s="2"/>
    </row>
    <row r="149" spans="1:12" x14ac:dyDescent="0.2">
      <c r="E149" s="2"/>
      <c r="F149" s="2"/>
      <c r="G149" s="2"/>
      <c r="H149" s="2"/>
      <c r="I149" s="2"/>
      <c r="J149" s="2"/>
      <c r="K149" s="5"/>
      <c r="L149" s="2"/>
    </row>
    <row r="150" spans="1:12" x14ac:dyDescent="0.2">
      <c r="C150" s="55">
        <f ca="1">SUM(C144:C146)</f>
        <v>1.000000000181096</v>
      </c>
      <c r="D150" s="55">
        <f t="shared" ref="D150:J150" ca="1" si="82">SUM(D144:D146)</f>
        <v>1.000000000437903</v>
      </c>
      <c r="E150" s="55">
        <f t="shared" ca="1" si="82"/>
        <v>1.0000000008249181</v>
      </c>
      <c r="F150" s="55">
        <f t="shared" ca="1" si="82"/>
        <v>1.0000000013860191</v>
      </c>
      <c r="G150" s="55">
        <f t="shared" ca="1" si="82"/>
        <v>1.0000005735390494</v>
      </c>
      <c r="H150" s="55">
        <f t="shared" ca="1" si="82"/>
        <v>1.0000011415167496</v>
      </c>
      <c r="I150" s="55">
        <f t="shared" ca="1" si="82"/>
        <v>1.0000020394939655</v>
      </c>
      <c r="J150" s="55">
        <f t="shared" ca="1" si="82"/>
        <v>1.0000026758662222</v>
      </c>
      <c r="K150" s="55">
        <f ca="1">SUM(K144:K146)</f>
        <v>1.0000008041557402</v>
      </c>
      <c r="L150" s="2"/>
    </row>
    <row r="151" spans="1:12" x14ac:dyDescent="0.2">
      <c r="E151" s="2"/>
      <c r="F151" s="2"/>
      <c r="G151" s="2"/>
      <c r="H151" s="2"/>
      <c r="I151" s="2"/>
      <c r="J151" s="2"/>
      <c r="K151" s="5"/>
      <c r="L151" s="2"/>
    </row>
    <row r="152" spans="1:12" x14ac:dyDescent="0.2">
      <c r="B152" s="19"/>
      <c r="E152" s="2"/>
      <c r="F152" s="2"/>
      <c r="G152" s="2"/>
      <c r="H152" s="2"/>
      <c r="I152" s="2"/>
      <c r="J152" s="2"/>
      <c r="K152" s="5"/>
      <c r="L152" s="2"/>
    </row>
    <row r="153" spans="1:12" x14ac:dyDescent="0.2">
      <c r="A153" s="52" t="s">
        <v>145</v>
      </c>
      <c r="B153" s="19"/>
      <c r="E153" s="2"/>
      <c r="F153" s="2"/>
      <c r="G153" s="2"/>
      <c r="H153" s="2"/>
      <c r="I153" s="2"/>
      <c r="J153" s="2"/>
      <c r="K153" s="5"/>
      <c r="L153" s="2"/>
    </row>
    <row r="154" spans="1:12" x14ac:dyDescent="0.2">
      <c r="A154" s="234"/>
      <c r="B154" s="20" t="s">
        <v>125</v>
      </c>
      <c r="C154" s="20" t="s">
        <v>126</v>
      </c>
      <c r="D154" s="20"/>
      <c r="E154" s="20"/>
      <c r="F154" s="2"/>
      <c r="G154" s="2"/>
      <c r="H154" s="2"/>
      <c r="I154" s="2"/>
      <c r="J154" s="2"/>
      <c r="K154" s="5"/>
      <c r="L154" s="2"/>
    </row>
    <row r="155" spans="1:12" x14ac:dyDescent="0.2">
      <c r="B155" s="8"/>
      <c r="C155" s="83"/>
      <c r="D155" s="82"/>
      <c r="E155" s="2"/>
      <c r="F155" s="2"/>
      <c r="G155" s="2"/>
      <c r="H155" s="2"/>
      <c r="I155" s="2"/>
      <c r="J155" s="2"/>
      <c r="K155" s="5"/>
      <c r="L155" s="2"/>
    </row>
    <row r="156" spans="1:12" x14ac:dyDescent="0.2">
      <c r="A156" s="235">
        <f>B9</f>
        <v>2017</v>
      </c>
      <c r="B156" s="8">
        <f>B102-C156</f>
        <v>0</v>
      </c>
      <c r="C156" s="2">
        <f>B$102</f>
        <v>768</v>
      </c>
      <c r="D156" s="82"/>
      <c r="E156" s="2"/>
      <c r="F156" s="2"/>
      <c r="G156" s="2"/>
      <c r="H156" s="2"/>
      <c r="I156" s="2"/>
      <c r="J156" s="2"/>
      <c r="K156" s="5"/>
      <c r="L156" s="2"/>
    </row>
    <row r="157" spans="1:12" x14ac:dyDescent="0.2">
      <c r="A157" s="235">
        <f t="shared" ref="A157:A164" si="83">A156+1</f>
        <v>2018</v>
      </c>
      <c r="B157" s="8">
        <f ca="1">C102-C157</f>
        <v>-7.6068090493208729E-8</v>
      </c>
      <c r="C157" s="2">
        <f ca="1">C$102</f>
        <v>631.4811280579147</v>
      </c>
      <c r="D157" s="82"/>
      <c r="E157" s="2"/>
      <c r="F157" s="2"/>
      <c r="G157" s="2"/>
      <c r="H157" s="2" t="s">
        <v>213</v>
      </c>
      <c r="I157" s="2"/>
      <c r="J157" s="2"/>
      <c r="K157" s="5"/>
      <c r="L157" s="2"/>
    </row>
    <row r="158" spans="1:12" x14ac:dyDescent="0.2">
      <c r="A158" s="235">
        <f t="shared" si="83"/>
        <v>2019</v>
      </c>
      <c r="B158" s="8">
        <f ca="1">D102-C158</f>
        <v>-2.7274393232801231E-7</v>
      </c>
      <c r="C158" s="2">
        <f ca="1">D$102</f>
        <v>621.05266636084252</v>
      </c>
      <c r="D158" s="82"/>
      <c r="E158" s="2"/>
      <c r="F158" s="2"/>
      <c r="G158" s="2"/>
      <c r="H158" s="2"/>
      <c r="I158" s="2"/>
      <c r="J158" s="2"/>
      <c r="K158" s="5"/>
      <c r="L158" s="2"/>
    </row>
    <row r="159" spans="1:12" x14ac:dyDescent="0.2">
      <c r="A159" s="235">
        <f t="shared" si="83"/>
        <v>2020</v>
      </c>
      <c r="B159" s="8">
        <f ca="1">E102-C159</f>
        <v>-5.8345017350802664E-7</v>
      </c>
      <c r="C159" s="2">
        <f ca="1">E$102</f>
        <v>638.77774965689127</v>
      </c>
      <c r="D159" s="2"/>
      <c r="E159" s="2"/>
      <c r="F159" s="2"/>
      <c r="G159" s="2"/>
      <c r="H159" s="2"/>
      <c r="I159" s="2"/>
      <c r="J159" s="2"/>
      <c r="K159" s="5"/>
      <c r="L159" s="2"/>
    </row>
    <row r="160" spans="1:12" x14ac:dyDescent="0.2">
      <c r="A160" s="235">
        <f t="shared" si="83"/>
        <v>2021</v>
      </c>
      <c r="B160" s="8">
        <f ca="1">F102-C160</f>
        <v>-1.0603278042253805E-6</v>
      </c>
      <c r="C160" s="2">
        <f ca="1">F$102</f>
        <v>759.01092881386626</v>
      </c>
      <c r="D160" s="2"/>
      <c r="E160" s="2"/>
      <c r="F160" s="2"/>
      <c r="G160" s="2"/>
      <c r="H160" s="2"/>
      <c r="I160" s="2"/>
      <c r="J160" s="2"/>
      <c r="K160" s="5"/>
      <c r="L160" s="2"/>
    </row>
    <row r="161" spans="1:12" x14ac:dyDescent="0.2">
      <c r="A161" s="235">
        <f t="shared" si="83"/>
        <v>2022</v>
      </c>
      <c r="B161" s="8">
        <f ca="1">G102-C161</f>
        <v>-2.6747275785510283E-4</v>
      </c>
      <c r="C161" s="2">
        <f ca="1">G$102</f>
        <v>799.18296522230605</v>
      </c>
      <c r="D161" s="2"/>
      <c r="E161" s="2"/>
      <c r="F161" s="2"/>
      <c r="G161" s="2"/>
      <c r="H161" s="2"/>
      <c r="I161" s="2"/>
      <c r="J161" s="2"/>
      <c r="K161" s="5"/>
      <c r="L161" s="2"/>
    </row>
    <row r="162" spans="1:12" x14ac:dyDescent="0.2">
      <c r="A162" s="235">
        <f t="shared" si="83"/>
        <v>2023</v>
      </c>
      <c r="B162" s="8">
        <f ca="1">H102-C162</f>
        <v>-8.2359676139276417E-4</v>
      </c>
      <c r="C162" s="2">
        <f ca="1">H$102</f>
        <v>839.17861339456886</v>
      </c>
      <c r="D162" s="2"/>
      <c r="E162" s="2"/>
      <c r="F162" s="2"/>
      <c r="G162" s="2"/>
      <c r="H162" s="2"/>
      <c r="I162" s="2"/>
      <c r="J162" s="2"/>
      <c r="K162" s="5"/>
      <c r="L162" s="2"/>
    </row>
    <row r="163" spans="1:12" x14ac:dyDescent="0.2">
      <c r="A163" s="235">
        <f t="shared" si="83"/>
        <v>2024</v>
      </c>
      <c r="B163" s="8">
        <f ca="1">I102-C163</f>
        <v>-1.5898531111133707E-3</v>
      </c>
      <c r="C163" s="2">
        <f ca="1">I$102</f>
        <v>882.38784427949247</v>
      </c>
      <c r="D163" s="2"/>
      <c r="E163" s="2"/>
      <c r="F163" s="2"/>
      <c r="G163" s="2"/>
      <c r="H163" s="2"/>
      <c r="I163" s="2"/>
      <c r="J163" s="2"/>
      <c r="K163" s="5"/>
      <c r="L163" s="2"/>
    </row>
    <row r="164" spans="1:12" x14ac:dyDescent="0.2">
      <c r="A164" s="235">
        <f t="shared" si="83"/>
        <v>2025</v>
      </c>
      <c r="B164" s="8">
        <f ca="1">J102-C164</f>
        <v>-2.4298248041532133E-3</v>
      </c>
      <c r="C164" s="2">
        <f ca="1">J$102</f>
        <v>939.08755042275948</v>
      </c>
      <c r="D164" s="2"/>
      <c r="E164" s="2"/>
      <c r="F164" s="2"/>
      <c r="G164" s="2"/>
      <c r="H164" s="2"/>
      <c r="I164" s="2"/>
      <c r="J164" s="2"/>
      <c r="K164" s="5"/>
      <c r="L164" s="2"/>
    </row>
    <row r="165" spans="1:12" x14ac:dyDescent="0.2">
      <c r="A165" s="235"/>
      <c r="B165" s="8"/>
      <c r="C165" s="2"/>
      <c r="D165" s="2"/>
      <c r="E165" s="2"/>
      <c r="F165" s="2"/>
      <c r="G165" s="2"/>
      <c r="H165" s="2"/>
      <c r="I165" s="2"/>
      <c r="J165" s="2"/>
      <c r="K165" s="5"/>
      <c r="L165" s="2"/>
    </row>
    <row r="166" spans="1:12" x14ac:dyDescent="0.2">
      <c r="A166" s="236" t="s">
        <v>127</v>
      </c>
      <c r="B166" s="3"/>
      <c r="C166" s="2"/>
      <c r="D166" s="2"/>
      <c r="E166" s="2"/>
      <c r="F166" s="2"/>
      <c r="G166" s="2"/>
      <c r="H166" s="2"/>
      <c r="I166" s="2"/>
      <c r="J166" s="2"/>
      <c r="K166" s="5"/>
      <c r="L166" s="2"/>
    </row>
    <row r="167" spans="1:12" x14ac:dyDescent="0.2">
      <c r="A167" s="52" t="s">
        <v>128</v>
      </c>
      <c r="B167" s="2" t="s">
        <v>125</v>
      </c>
      <c r="C167" s="82" t="s">
        <v>129</v>
      </c>
      <c r="D167" s="2"/>
      <c r="E167" s="2"/>
      <c r="F167" s="2"/>
      <c r="G167" s="2"/>
      <c r="H167" s="2"/>
      <c r="I167" s="2"/>
      <c r="J167" s="2"/>
      <c r="K167" s="5"/>
      <c r="L167" s="2"/>
    </row>
    <row r="168" spans="1:12" x14ac:dyDescent="0.2">
      <c r="A168" s="235">
        <f t="shared" ref="A168:A176" si="84">A156</f>
        <v>2017</v>
      </c>
      <c r="B168" s="8">
        <f>$C168-B$65</f>
        <v>0</v>
      </c>
      <c r="C168" s="2">
        <f>B$38</f>
        <v>21920</v>
      </c>
      <c r="D168" s="2"/>
      <c r="E168" s="2"/>
      <c r="F168" s="2"/>
      <c r="G168" s="2"/>
      <c r="H168" s="2"/>
      <c r="I168" s="2"/>
      <c r="J168" s="2"/>
      <c r="K168" s="5"/>
      <c r="L168" s="2"/>
    </row>
    <row r="169" spans="1:12" x14ac:dyDescent="0.2">
      <c r="A169" s="235">
        <f t="shared" si="84"/>
        <v>2018</v>
      </c>
      <c r="B169" s="8">
        <f ca="1">$C169-C$65</f>
        <v>2.5439669116167352E-5</v>
      </c>
      <c r="C169" s="2">
        <f ca="1">C$38</f>
        <v>22579.709326206863</v>
      </c>
      <c r="D169" s="2"/>
      <c r="E169" s="2"/>
      <c r="F169" s="2"/>
      <c r="G169" s="2"/>
      <c r="H169" s="2"/>
      <c r="I169" s="2"/>
      <c r="J169" s="2"/>
      <c r="K169" s="5"/>
      <c r="L169" s="2"/>
    </row>
    <row r="170" spans="1:12" x14ac:dyDescent="0.2">
      <c r="A170" s="235">
        <f t="shared" si="84"/>
        <v>2019</v>
      </c>
      <c r="B170" s="8">
        <f ca="1">$C170-D$65</f>
        <v>6.5942713263211772E-5</v>
      </c>
      <c r="C170" s="2">
        <f ca="1">D$38</f>
        <v>23385.422049188681</v>
      </c>
      <c r="D170" s="2"/>
      <c r="E170" s="2"/>
      <c r="F170" s="2"/>
      <c r="G170" s="2"/>
      <c r="H170" s="2"/>
      <c r="I170" s="2"/>
      <c r="J170" s="2"/>
      <c r="K170" s="5"/>
      <c r="L170" s="2"/>
    </row>
    <row r="171" spans="1:12" x14ac:dyDescent="0.2">
      <c r="A171" s="235">
        <f t="shared" si="84"/>
        <v>2020</v>
      </c>
      <c r="B171" s="8">
        <f ca="1">$C171-E$65</f>
        <v>1.2995106226298958E-4</v>
      </c>
      <c r="C171" s="2">
        <f ca="1">E$38</f>
        <v>23796.142144388203</v>
      </c>
      <c r="D171" s="2"/>
      <c r="E171" s="2"/>
      <c r="F171" s="2"/>
      <c r="G171" s="2"/>
      <c r="H171" s="2"/>
      <c r="I171" s="2"/>
      <c r="J171" s="2"/>
      <c r="K171" s="5"/>
      <c r="L171" s="2"/>
    </row>
    <row r="172" spans="1:12" x14ac:dyDescent="0.2">
      <c r="A172" s="235">
        <f t="shared" si="84"/>
        <v>2021</v>
      </c>
      <c r="B172" s="8">
        <f ca="1">$C172-F$65</f>
        <v>2.2670910402666777E-4</v>
      </c>
      <c r="C172" s="2">
        <f ca="1">F$38</f>
        <v>24127.154173169452</v>
      </c>
      <c r="D172" s="2"/>
      <c r="E172" s="2"/>
      <c r="F172" s="2"/>
      <c r="G172" s="2"/>
      <c r="H172" s="2"/>
      <c r="I172" s="2"/>
      <c r="J172" s="2"/>
      <c r="K172" s="5"/>
      <c r="L172" s="2"/>
    </row>
    <row r="173" spans="1:12" x14ac:dyDescent="0.2">
      <c r="A173" s="235">
        <f t="shared" si="84"/>
        <v>2022</v>
      </c>
      <c r="B173" s="8">
        <f ca="1">$C173-G$65</f>
        <v>8.9229317556601018E-2</v>
      </c>
      <c r="C173" s="2">
        <f ca="1">G$38</f>
        <v>24447.353745154767</v>
      </c>
      <c r="D173" s="2"/>
      <c r="E173" s="2"/>
      <c r="F173" s="2"/>
      <c r="G173" s="2"/>
      <c r="H173" s="2"/>
      <c r="I173" s="2"/>
      <c r="J173" s="2"/>
      <c r="K173" s="5"/>
      <c r="L173" s="2"/>
    </row>
    <row r="174" spans="1:12" x14ac:dyDescent="0.2">
      <c r="A174" s="235">
        <f t="shared" si="84"/>
        <v>2023</v>
      </c>
      <c r="B174" s="8">
        <f ca="1">$C174-H$65</f>
        <v>0.18680321547435597</v>
      </c>
      <c r="C174" s="2">
        <f ca="1">H$38</f>
        <v>24772.101942591144</v>
      </c>
      <c r="D174" s="2"/>
      <c r="E174" s="2"/>
      <c r="F174" s="2"/>
      <c r="G174" s="2"/>
      <c r="H174" s="2"/>
      <c r="I174" s="2"/>
      <c r="J174" s="2"/>
      <c r="K174" s="5"/>
      <c r="L174" s="2"/>
    </row>
    <row r="175" spans="1:12" x14ac:dyDescent="0.2">
      <c r="A175" s="235">
        <f t="shared" si="84"/>
        <v>2024</v>
      </c>
      <c r="B175" s="8">
        <f ca="1">$C175-I$65</f>
        <v>0.34730474957905244</v>
      </c>
      <c r="C175" s="2">
        <f ca="1">I$38</f>
        <v>25101.468487241447</v>
      </c>
      <c r="D175" s="2"/>
      <c r="E175" s="2"/>
      <c r="F175" s="2"/>
      <c r="G175" s="2"/>
      <c r="H175" s="2"/>
      <c r="I175" s="2"/>
      <c r="J175" s="2"/>
      <c r="K175" s="5"/>
      <c r="L175" s="2"/>
    </row>
    <row r="176" spans="1:12" x14ac:dyDescent="0.2">
      <c r="A176" s="235">
        <f t="shared" si="84"/>
        <v>2025</v>
      </c>
      <c r="B176" s="8">
        <f ca="1">$C176-J$65</f>
        <v>0.47121111354135792</v>
      </c>
      <c r="C176" s="2">
        <f>J$38</f>
        <v>25000</v>
      </c>
      <c r="D176" s="2"/>
      <c r="E176" s="2"/>
      <c r="F176" s="2"/>
      <c r="G176" s="2"/>
      <c r="H176" s="2"/>
      <c r="I176" s="2"/>
      <c r="J176" s="2"/>
      <c r="K176" s="5"/>
      <c r="L176" s="2"/>
    </row>
    <row r="177" spans="2:12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5"/>
      <c r="L177" s="2"/>
    </row>
    <row r="178" spans="2:12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5"/>
      <c r="L178" s="2"/>
    </row>
    <row r="179" spans="2:12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5"/>
      <c r="L179" s="2"/>
    </row>
    <row r="180" spans="2:12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5"/>
      <c r="L180" s="2"/>
    </row>
    <row r="181" spans="2:12" x14ac:dyDescent="0.2">
      <c r="B181" s="2"/>
      <c r="C181" s="2"/>
      <c r="D181" s="2"/>
      <c r="E181" s="2"/>
      <c r="F181" s="2"/>
      <c r="G181" s="2"/>
      <c r="H181" s="2"/>
      <c r="I181" s="2"/>
      <c r="J181" s="2"/>
      <c r="K181" s="5"/>
      <c r="L181" s="2"/>
    </row>
    <row r="182" spans="2:12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5"/>
      <c r="L182" s="2"/>
    </row>
    <row r="183" spans="2:12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5"/>
    </row>
    <row r="184" spans="2:12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5"/>
    </row>
    <row r="185" spans="2:12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5"/>
    </row>
    <row r="186" spans="2:12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5"/>
    </row>
    <row r="187" spans="2:12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5"/>
    </row>
    <row r="188" spans="2:12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5"/>
    </row>
    <row r="189" spans="2:12" x14ac:dyDescent="0.2">
      <c r="B189" s="2"/>
      <c r="C189" s="2"/>
      <c r="D189" s="2"/>
      <c r="E189" s="2"/>
      <c r="F189" s="2"/>
      <c r="G189" s="2"/>
      <c r="H189" s="2"/>
      <c r="I189" s="2"/>
      <c r="J189" s="2"/>
      <c r="K189" s="5"/>
    </row>
    <row r="190" spans="2:12" x14ac:dyDescent="0.2">
      <c r="B190" s="2"/>
      <c r="C190" s="2"/>
      <c r="D190" s="2"/>
      <c r="E190" s="2"/>
      <c r="F190" s="2"/>
      <c r="G190" s="2"/>
      <c r="H190" s="2"/>
      <c r="I190" s="2"/>
      <c r="J190" s="2"/>
      <c r="K190" s="5"/>
    </row>
    <row r="191" spans="2:12" x14ac:dyDescent="0.2">
      <c r="B191" s="2"/>
      <c r="C191" s="2"/>
      <c r="D191" s="2"/>
      <c r="E191" s="2"/>
      <c r="F191" s="2"/>
      <c r="G191" s="2"/>
      <c r="H191" s="2"/>
      <c r="I191" s="2"/>
      <c r="J191" s="2"/>
      <c r="K191" s="5"/>
    </row>
    <row r="192" spans="2:12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5"/>
    </row>
    <row r="193" spans="2:11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5"/>
    </row>
    <row r="194" spans="2:11" x14ac:dyDescent="0.2">
      <c r="B194" s="2"/>
      <c r="C194" s="2"/>
      <c r="D194" s="2"/>
      <c r="E194" s="2"/>
      <c r="F194" s="2"/>
      <c r="G194" s="2"/>
      <c r="H194" s="2"/>
      <c r="I194" s="2"/>
      <c r="J194" s="2"/>
      <c r="K194" s="5"/>
    </row>
    <row r="195" spans="2:11" x14ac:dyDescent="0.2">
      <c r="B195" s="2"/>
      <c r="C195" s="2"/>
      <c r="D195" s="2"/>
      <c r="E195" s="2"/>
      <c r="F195" s="2"/>
      <c r="G195" s="2"/>
      <c r="H195" s="2"/>
      <c r="I195" s="2"/>
      <c r="J195" s="2"/>
      <c r="K195" s="5"/>
    </row>
    <row r="196" spans="2:11" x14ac:dyDescent="0.2">
      <c r="B196" s="2"/>
      <c r="C196" s="2"/>
      <c r="D196" s="2"/>
      <c r="E196" s="2"/>
      <c r="F196" s="2"/>
      <c r="G196" s="2"/>
      <c r="H196" s="2"/>
      <c r="I196" s="2"/>
      <c r="J196" s="2"/>
      <c r="K196" s="5"/>
    </row>
    <row r="197" spans="2:11" x14ac:dyDescent="0.2">
      <c r="B197" s="2"/>
      <c r="C197" s="2"/>
      <c r="D197" s="2"/>
      <c r="E197" s="2"/>
      <c r="F197" s="2"/>
      <c r="G197" s="2"/>
      <c r="H197" s="2"/>
      <c r="I197" s="2"/>
      <c r="J197" s="2"/>
      <c r="K197" s="5"/>
    </row>
    <row r="198" spans="2:11" x14ac:dyDescent="0.2">
      <c r="B198" s="2"/>
      <c r="C198" s="2"/>
      <c r="D198" s="2"/>
      <c r="E198" s="2"/>
      <c r="F198" s="2"/>
      <c r="G198" s="2"/>
      <c r="H198" s="2"/>
      <c r="I198" s="2"/>
      <c r="J198" s="2"/>
      <c r="K198" s="5"/>
    </row>
    <row r="199" spans="2:11" x14ac:dyDescent="0.2">
      <c r="B199" s="2"/>
      <c r="C199" s="2"/>
      <c r="D199" s="2"/>
      <c r="E199" s="2"/>
      <c r="F199" s="2"/>
      <c r="G199" s="2"/>
      <c r="H199" s="2"/>
      <c r="I199" s="2"/>
      <c r="J199" s="2"/>
      <c r="K199" s="5"/>
    </row>
    <row r="200" spans="2:11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5"/>
    </row>
    <row r="201" spans="2:11" x14ac:dyDescent="0.2">
      <c r="B201" s="2"/>
      <c r="C201" s="2"/>
      <c r="D201" s="2"/>
      <c r="E201" s="2"/>
      <c r="F201" s="2"/>
      <c r="G201" s="2"/>
      <c r="H201" s="2"/>
      <c r="I201" s="2"/>
      <c r="J201" s="2"/>
      <c r="K201" s="5"/>
    </row>
    <row r="202" spans="2:11" x14ac:dyDescent="0.2">
      <c r="B202" s="2"/>
      <c r="C202" s="2"/>
      <c r="D202" s="2"/>
      <c r="E202" s="2"/>
      <c r="F202" s="2"/>
      <c r="G202" s="2"/>
      <c r="H202" s="2"/>
      <c r="I202" s="2"/>
      <c r="J202" s="2"/>
      <c r="K202" s="5"/>
    </row>
    <row r="203" spans="2:11" x14ac:dyDescent="0.2">
      <c r="B203" s="2"/>
      <c r="C203" s="2"/>
      <c r="D203" s="2"/>
      <c r="E203" s="2"/>
      <c r="F203" s="2"/>
      <c r="G203" s="2"/>
      <c r="H203" s="2"/>
      <c r="I203" s="2"/>
      <c r="J203" s="2"/>
      <c r="K203" s="5"/>
    </row>
    <row r="204" spans="2:11" x14ac:dyDescent="0.2">
      <c r="C204" s="2"/>
      <c r="D204" s="2"/>
      <c r="E204" s="2"/>
      <c r="F204" s="2"/>
      <c r="G204" s="2"/>
      <c r="H204" s="2"/>
      <c r="I204" s="2"/>
      <c r="J204" s="2"/>
      <c r="K204" s="5"/>
    </row>
  </sheetData>
  <phoneticPr fontId="6" type="noConversion"/>
  <printOptions horizontalCentered="1"/>
  <pageMargins left="0.5" right="0.5" top="0.59" bottom="1" header="0.5" footer="0.5"/>
  <pageSetup scale="56" fitToHeight="2" orientation="portrait" r:id="rId1"/>
  <headerFooter alignWithMargins="0"/>
  <rowBreaks count="2" manualBreakCount="2">
    <brk id="68" max="23" man="1"/>
    <brk id="10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38"/>
  <sheetViews>
    <sheetView topLeftCell="A45" zoomScaleNormal="100" workbookViewId="0">
      <selection activeCell="C30" sqref="C30"/>
    </sheetView>
  </sheetViews>
  <sheetFormatPr defaultRowHeight="12.75" x14ac:dyDescent="0.2"/>
  <cols>
    <col min="1" max="1" width="25.140625" style="52" customWidth="1"/>
    <col min="2" max="3" width="12.7109375" style="52" customWidth="1"/>
    <col min="4" max="4" width="26.42578125" style="122" customWidth="1"/>
    <col min="5" max="5" width="50.140625" style="112" customWidth="1"/>
    <col min="6" max="6" width="7.85546875" style="52" customWidth="1"/>
    <col min="7" max="13" width="10.7109375" style="52" customWidth="1"/>
    <col min="14" max="15" width="10.7109375" style="2" customWidth="1"/>
    <col min="16" max="19" width="9.140625" style="2"/>
    <col min="20" max="25" width="9.140625" style="52"/>
    <col min="27" max="53" width="9.140625" style="52"/>
  </cols>
  <sheetData>
    <row r="1" spans="1:54" x14ac:dyDescent="0.2">
      <c r="A1" s="52" t="s">
        <v>130</v>
      </c>
    </row>
    <row r="2" spans="1:54" x14ac:dyDescent="0.2">
      <c r="A2" s="52" t="s">
        <v>131</v>
      </c>
      <c r="D2" s="122" t="s">
        <v>172</v>
      </c>
      <c r="E2" s="112" t="s">
        <v>173</v>
      </c>
      <c r="Z2" s="52"/>
      <c r="AA2"/>
      <c r="BB2" s="52"/>
    </row>
    <row r="3" spans="1:54" x14ac:dyDescent="0.2">
      <c r="G3" s="84">
        <f>Historical!M10</f>
        <v>2011</v>
      </c>
      <c r="H3" s="84">
        <f>Historical!N10</f>
        <v>2012</v>
      </c>
      <c r="I3" s="84">
        <f>Historical!O10</f>
        <v>2013</v>
      </c>
      <c r="J3" s="84">
        <f>Historical!P10</f>
        <v>2014</v>
      </c>
      <c r="K3" s="84">
        <f>Historical!Q10</f>
        <v>2015</v>
      </c>
      <c r="L3" s="84">
        <f>Historical!R10</f>
        <v>2016</v>
      </c>
      <c r="M3" s="84">
        <f>Historical!S10</f>
        <v>2017</v>
      </c>
      <c r="N3" s="335" t="s">
        <v>179</v>
      </c>
      <c r="Z3" s="52"/>
      <c r="AA3"/>
      <c r="BB3" s="52"/>
    </row>
    <row r="4" spans="1:54" x14ac:dyDescent="0.2">
      <c r="A4" s="116" t="s">
        <v>132</v>
      </c>
      <c r="B4" s="116"/>
      <c r="C4" s="117">
        <v>2.5000000000000001E-2</v>
      </c>
      <c r="E4" s="254" t="s">
        <v>218</v>
      </c>
      <c r="F4" s="84"/>
      <c r="Y4"/>
      <c r="Z4" s="52"/>
      <c r="BA4"/>
    </row>
    <row r="5" spans="1:54" x14ac:dyDescent="0.2">
      <c r="A5" s="116" t="s">
        <v>188</v>
      </c>
      <c r="B5" s="116"/>
      <c r="C5" s="117">
        <v>7.0000000000000007E-2</v>
      </c>
      <c r="E5" s="113"/>
      <c r="Y5"/>
      <c r="Z5" s="52"/>
      <c r="BA5"/>
    </row>
    <row r="6" spans="1:54" x14ac:dyDescent="0.2">
      <c r="A6" s="118" t="s">
        <v>137</v>
      </c>
      <c r="B6" s="116"/>
      <c r="C6" s="117">
        <v>0.04</v>
      </c>
      <c r="E6" s="113"/>
      <c r="Y6"/>
      <c r="Z6" s="52"/>
      <c r="BA6"/>
    </row>
    <row r="7" spans="1:54" x14ac:dyDescent="0.2">
      <c r="A7" s="116" t="s">
        <v>138</v>
      </c>
      <c r="B7" s="116"/>
      <c r="C7" s="117">
        <v>1.4999999999999999E-2</v>
      </c>
      <c r="E7" s="113"/>
      <c r="Y7"/>
      <c r="Z7" s="52"/>
      <c r="BA7"/>
    </row>
    <row r="8" spans="1:54" x14ac:dyDescent="0.2">
      <c r="A8" s="116"/>
      <c r="B8" s="116"/>
      <c r="C8" s="116"/>
      <c r="Y8"/>
      <c r="Z8" s="52"/>
      <c r="BA8"/>
    </row>
    <row r="9" spans="1:54" x14ac:dyDescent="0.2">
      <c r="A9" s="172" t="str">
        <f>Historical!A12</f>
        <v>Current Assets:</v>
      </c>
      <c r="B9" s="116"/>
      <c r="C9" s="117"/>
      <c r="D9" s="123"/>
      <c r="E9" s="128"/>
      <c r="N9" s="336"/>
      <c r="Y9"/>
      <c r="Z9" s="52"/>
      <c r="BA9"/>
    </row>
    <row r="10" spans="1:54" x14ac:dyDescent="0.2">
      <c r="A10" s="52" t="str">
        <f>Historical!A13</f>
        <v>Cash &amp; Equivalents</v>
      </c>
      <c r="B10" s="116"/>
      <c r="C10" s="117">
        <f>N10</f>
        <v>2.7451554687044845E-3</v>
      </c>
      <c r="D10" s="122" t="s">
        <v>177</v>
      </c>
      <c r="E10" s="257" t="s">
        <v>237</v>
      </c>
      <c r="F10" s="55"/>
      <c r="G10" s="55">
        <f>Historical!M13/Historical!M78</f>
        <v>1.0248582642825993E-2</v>
      </c>
      <c r="H10" s="55">
        <f>Historical!N13/Historical!N78</f>
        <v>1.6386726751331421E-2</v>
      </c>
      <c r="I10" s="55">
        <f>Historical!O13/Historical!O78</f>
        <v>1.0297260540120458E-2</v>
      </c>
      <c r="J10" s="55">
        <f>Historical!P13/Historical!P78</f>
        <v>4.3792840822543793E-3</v>
      </c>
      <c r="K10" s="55">
        <f>Historical!Q13/Historical!Q78</f>
        <v>2.2935779816513763E-3</v>
      </c>
      <c r="L10" s="55">
        <f>Historical!R13/Historical!R78</f>
        <v>3.2686021918861756E-3</v>
      </c>
      <c r="M10" s="55">
        <f>Historical!S13/Historical!S78</f>
        <v>2.6732862325759021E-3</v>
      </c>
      <c r="N10" s="5">
        <f>AVERAGE(K10:M10)</f>
        <v>2.7451554687044845E-3</v>
      </c>
      <c r="Y10"/>
      <c r="Z10" s="52"/>
      <c r="BA10"/>
    </row>
    <row r="11" spans="1:54" x14ac:dyDescent="0.2">
      <c r="A11" s="52" t="s">
        <v>134</v>
      </c>
      <c r="B11" s="116"/>
      <c r="C11" s="117"/>
      <c r="D11" s="241" t="s">
        <v>175</v>
      </c>
      <c r="E11" s="123"/>
      <c r="N11" s="5"/>
      <c r="Y11"/>
      <c r="Z11" s="52"/>
      <c r="BA11"/>
    </row>
    <row r="12" spans="1:54" x14ac:dyDescent="0.2">
      <c r="A12" s="52" t="str">
        <f>Historical!A14</f>
        <v>Accounts Receivable</v>
      </c>
      <c r="B12" s="116"/>
      <c r="C12" s="117">
        <f>N12</f>
        <v>0.13733251259893892</v>
      </c>
      <c r="D12" s="255" t="s">
        <v>206</v>
      </c>
      <c r="E12" s="269" t="s">
        <v>238</v>
      </c>
      <c r="F12" s="117"/>
      <c r="G12" s="117">
        <f>Historical!M14/Historical!M78</f>
        <v>0.14238988225032709</v>
      </c>
      <c r="H12" s="117">
        <f>Historical!N14/Historical!N78</f>
        <v>0.1374436706267923</v>
      </c>
      <c r="I12" s="117">
        <f>Historical!O14/Historical!O78</f>
        <v>0.13600155430347777</v>
      </c>
      <c r="J12" s="117">
        <f>Historical!P14/Historical!P78</f>
        <v>0.13347296268088346</v>
      </c>
      <c r="K12" s="117">
        <f>Historical!Q14/Historical!Q78</f>
        <v>0.14143730886850153</v>
      </c>
      <c r="L12" s="117">
        <f>Historical!R14/Historical!R78</f>
        <v>0.13997308209959622</v>
      </c>
      <c r="M12" s="117">
        <f>Historical!S14/Historical!S78</f>
        <v>0.13060912736299407</v>
      </c>
      <c r="N12" s="5">
        <f>AVERAGE(G12:M12)</f>
        <v>0.13733251259893892</v>
      </c>
      <c r="Y12"/>
      <c r="Z12" s="52"/>
      <c r="BA12"/>
    </row>
    <row r="13" spans="1:54" x14ac:dyDescent="0.2">
      <c r="A13" s="52" t="str">
        <f>Historical!A15</f>
        <v>Material, Supplies, Fuel</v>
      </c>
      <c r="B13" s="116"/>
      <c r="C13" s="117">
        <f>AVERAGE(C65:C66)</f>
        <v>2.5000000000000001E-2</v>
      </c>
      <c r="D13" s="255" t="s">
        <v>216</v>
      </c>
      <c r="E13" s="256"/>
      <c r="F13" s="84"/>
      <c r="G13" s="84"/>
      <c r="H13" s="84"/>
      <c r="I13" s="111"/>
      <c r="J13" s="111"/>
      <c r="K13" s="111"/>
      <c r="L13" s="111"/>
      <c r="M13" s="111"/>
      <c r="N13" s="5"/>
      <c r="Y13"/>
      <c r="Z13" s="52"/>
      <c r="BA13"/>
    </row>
    <row r="14" spans="1:54" x14ac:dyDescent="0.2">
      <c r="A14" s="52" t="str">
        <f>Historical!A16</f>
        <v>Other Current Assets</v>
      </c>
      <c r="B14" s="116"/>
      <c r="C14" s="117">
        <f>N14</f>
        <v>8.2495349828706505E-3</v>
      </c>
      <c r="D14" s="253" t="s">
        <v>207</v>
      </c>
      <c r="E14" s="268" t="s">
        <v>239</v>
      </c>
      <c r="F14" s="55"/>
      <c r="G14" s="55">
        <f>Historical!AI16</f>
        <v>1.6582962190846207E-2</v>
      </c>
      <c r="H14" s="55">
        <f>Historical!AJ16</f>
        <v>1.1459867452135493E-2</v>
      </c>
      <c r="I14" s="55">
        <f>Historical!AK16</f>
        <v>1.0849993074472505E-2</v>
      </c>
      <c r="J14" s="55">
        <f>Historical!AL16</f>
        <v>1.6032425129475343E-2</v>
      </c>
      <c r="K14" s="55">
        <f>Historical!AM16</f>
        <v>8.9417445343586525E-3</v>
      </c>
      <c r="L14" s="55">
        <f>Historical!AN16</f>
        <v>7.412699830311691E-3</v>
      </c>
      <c r="M14" s="55">
        <f>Historical!AO16</f>
        <v>8.3941605839416063E-3</v>
      </c>
      <c r="N14" s="5">
        <f>AVERAGE(K14:M14)</f>
        <v>8.2495349828706505E-3</v>
      </c>
      <c r="Y14"/>
      <c r="Z14" s="52"/>
      <c r="BA14"/>
    </row>
    <row r="15" spans="1:54" x14ac:dyDescent="0.2">
      <c r="A15" s="52" t="str">
        <f>Historical!A17</f>
        <v>Total Current Assets</v>
      </c>
      <c r="B15" s="116"/>
      <c r="C15" s="117"/>
      <c r="D15" s="241" t="s">
        <v>175</v>
      </c>
      <c r="E15" s="114"/>
      <c r="F15" s="55"/>
      <c r="G15" s="55"/>
      <c r="H15" s="55"/>
      <c r="I15" s="55"/>
      <c r="J15" s="55"/>
      <c r="K15" s="55"/>
      <c r="L15" s="55"/>
      <c r="M15" s="55"/>
      <c r="N15" s="5"/>
      <c r="Y15"/>
      <c r="Z15" s="52"/>
      <c r="BA15"/>
    </row>
    <row r="16" spans="1:54" x14ac:dyDescent="0.2">
      <c r="B16" s="116"/>
      <c r="C16" s="117"/>
    </row>
    <row r="17" spans="1:54" x14ac:dyDescent="0.2">
      <c r="A17" s="172" t="str">
        <f>Historical!A19</f>
        <v>Plant &amp; Equipment:</v>
      </c>
      <c r="B17" s="116"/>
      <c r="C17" s="116"/>
    </row>
    <row r="18" spans="1:54" ht="38.25" x14ac:dyDescent="0.2">
      <c r="A18" s="52" t="str">
        <f>Historical!A20</f>
        <v>Plant in Service</v>
      </c>
      <c r="B18" s="116"/>
      <c r="C18" s="117">
        <f>C61*0.5</f>
        <v>1.375E-2</v>
      </c>
      <c r="D18" s="255" t="s">
        <v>253</v>
      </c>
      <c r="E18" s="255" t="s">
        <v>249</v>
      </c>
      <c r="G18" s="84"/>
      <c r="H18" s="84"/>
      <c r="I18" s="84"/>
      <c r="J18" s="264"/>
      <c r="K18" s="84"/>
      <c r="L18" s="84"/>
      <c r="M18" s="84"/>
      <c r="N18" s="264"/>
    </row>
    <row r="19" spans="1:54" x14ac:dyDescent="0.2">
      <c r="A19" s="2"/>
      <c r="B19" s="116"/>
      <c r="C19" s="117"/>
      <c r="D19" s="255"/>
      <c r="G19" s="84"/>
      <c r="H19" s="84"/>
      <c r="I19" s="84"/>
      <c r="J19" s="84"/>
      <c r="K19" s="264"/>
      <c r="L19" s="264"/>
      <c r="M19" s="84"/>
      <c r="N19" s="264"/>
      <c r="O19" s="264"/>
      <c r="Z19" s="52"/>
      <c r="AA19"/>
      <c r="BB19" s="52"/>
    </row>
    <row r="20" spans="1:54" s="267" customFormat="1" ht="32.25" customHeight="1" x14ac:dyDescent="0.2">
      <c r="A20" s="112" t="str">
        <f>Historical!A21</f>
        <v>Construction Work in Progress</v>
      </c>
      <c r="B20" s="122"/>
      <c r="C20" s="274" t="s">
        <v>215</v>
      </c>
      <c r="D20" s="255" t="s">
        <v>251</v>
      </c>
      <c r="E20" s="255" t="s">
        <v>252</v>
      </c>
      <c r="F20" s="265"/>
      <c r="G20" s="266"/>
      <c r="H20" s="266"/>
      <c r="I20" s="266"/>
      <c r="J20" s="266"/>
      <c r="K20" s="266"/>
      <c r="L20" s="266"/>
      <c r="M20" s="266"/>
      <c r="N20" s="337"/>
      <c r="O20" s="257"/>
      <c r="P20" s="257"/>
      <c r="Q20" s="257"/>
      <c r="R20" s="257"/>
      <c r="S20" s="257"/>
      <c r="T20" s="112"/>
      <c r="U20" s="112"/>
      <c r="V20" s="112"/>
      <c r="W20" s="112"/>
      <c r="X20" s="112"/>
      <c r="Y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</row>
    <row r="21" spans="1:54" ht="6" hidden="1" customHeight="1" x14ac:dyDescent="0.2">
      <c r="A21" s="52" t="str">
        <f>Historical!A22</f>
        <v>Australian Electric Operations</v>
      </c>
      <c r="B21" s="116"/>
      <c r="C21" s="119">
        <v>0</v>
      </c>
      <c r="D21" s="123"/>
      <c r="F21" s="55"/>
      <c r="G21" s="55"/>
      <c r="H21" s="55"/>
      <c r="I21" s="55"/>
      <c r="J21" s="55"/>
      <c r="M21" s="55"/>
      <c r="N21" s="5"/>
      <c r="O21" s="5"/>
      <c r="Z21" s="52"/>
      <c r="AA21"/>
      <c r="BB21" s="52"/>
    </row>
    <row r="22" spans="1:54" ht="5.25" hidden="1" customHeight="1" x14ac:dyDescent="0.2">
      <c r="A22" s="52" t="str">
        <f>Historical!A23</f>
        <v>Other PP&amp;E</v>
      </c>
      <c r="B22" s="116"/>
      <c r="C22" s="119">
        <v>0</v>
      </c>
      <c r="Z22" s="52"/>
      <c r="AA22"/>
      <c r="BB22" s="52"/>
    </row>
    <row r="23" spans="1:54" x14ac:dyDescent="0.2">
      <c r="A23" s="52" t="str">
        <f>Historical!A24</f>
        <v>Total Plant &amp; Equipment:</v>
      </c>
      <c r="B23" s="116"/>
      <c r="C23" s="116"/>
      <c r="D23" s="241" t="s">
        <v>175</v>
      </c>
      <c r="Z23" s="52"/>
      <c r="AA23"/>
      <c r="BB23" s="52"/>
    </row>
    <row r="24" spans="1:54" ht="89.25" x14ac:dyDescent="0.2">
      <c r="A24" s="116" t="str">
        <f>Historical!A26</f>
        <v>Accumulated Depreciation &amp; Amort.</v>
      </c>
      <c r="B24" s="116"/>
      <c r="C24" s="117">
        <f>N24</f>
        <v>0.32030361467451252</v>
      </c>
      <c r="D24" s="255" t="s">
        <v>227</v>
      </c>
      <c r="E24" s="276" t="s">
        <v>220</v>
      </c>
      <c r="F24" s="317">
        <f>1+0.0156</f>
        <v>1.0156000000000001</v>
      </c>
      <c r="G24" s="55">
        <f>Historical!M26/Historical!M20</f>
        <v>0.29876382563435261</v>
      </c>
      <c r="H24" s="55">
        <f>Historical!N26/Historical!N20</f>
        <v>0.30061605061605062</v>
      </c>
      <c r="I24" s="55">
        <f>Historical!O26/Historical!O20</f>
        <v>0.30907189963004666</v>
      </c>
      <c r="J24" s="55">
        <f>Historical!P26/Historical!P20</f>
        <v>0.31092860186727617</v>
      </c>
      <c r="K24" s="55">
        <f>Historical!Q26/Historical!Q20</f>
        <v>0.31244160406622568</v>
      </c>
      <c r="L24" s="55">
        <f>Historical!R26/Historical!R20</f>
        <v>0.32203700311412348</v>
      </c>
      <c r="M24" s="55">
        <f>Historical!S26/Historical!S20</f>
        <v>0.33580724965042485</v>
      </c>
      <c r="N24" s="5">
        <f>AVERAGE(J24:M24)</f>
        <v>0.32030361467451252</v>
      </c>
    </row>
    <row r="25" spans="1:54" x14ac:dyDescent="0.2">
      <c r="A25" s="52" t="str">
        <f>Historical!A28</f>
        <v>Net Plant &amp; Equipment</v>
      </c>
      <c r="B25" s="116"/>
      <c r="C25" s="117"/>
      <c r="D25" s="241" t="s">
        <v>175</v>
      </c>
      <c r="E25" s="114"/>
    </row>
    <row r="26" spans="1:54" x14ac:dyDescent="0.2">
      <c r="B26" s="116"/>
      <c r="C26" s="117"/>
      <c r="D26" s="241"/>
      <c r="E26" s="114"/>
      <c r="G26" s="84">
        <f>G3</f>
        <v>2011</v>
      </c>
      <c r="H26" s="84">
        <f t="shared" ref="H26:N26" si="0">H3</f>
        <v>2012</v>
      </c>
      <c r="I26" s="84">
        <f t="shared" si="0"/>
        <v>2013</v>
      </c>
      <c r="J26" s="84">
        <f t="shared" si="0"/>
        <v>2014</v>
      </c>
      <c r="K26" s="84">
        <f t="shared" si="0"/>
        <v>2015</v>
      </c>
      <c r="L26" s="84">
        <f t="shared" si="0"/>
        <v>2016</v>
      </c>
      <c r="M26" s="84">
        <f t="shared" si="0"/>
        <v>2017</v>
      </c>
      <c r="N26" s="264" t="str">
        <f t="shared" si="0"/>
        <v xml:space="preserve">average </v>
      </c>
    </row>
    <row r="27" spans="1:54" x14ac:dyDescent="0.2">
      <c r="A27" s="172" t="str">
        <f>Historical!A30</f>
        <v>Other Assets:</v>
      </c>
      <c r="B27" s="116"/>
      <c r="C27" s="116"/>
    </row>
    <row r="28" spans="1:54" x14ac:dyDescent="0.2">
      <c r="A28" s="52" t="str">
        <f>Historical!A31</f>
        <v>Regulatory Assets</v>
      </c>
      <c r="B28" s="116"/>
      <c r="C28" s="57">
        <f>C61*0.5</f>
        <v>1.375E-2</v>
      </c>
      <c r="D28" s="255" t="s">
        <v>205</v>
      </c>
      <c r="E28" s="257" t="s">
        <v>254</v>
      </c>
      <c r="F28" s="55"/>
      <c r="Y28"/>
      <c r="Z28" s="52"/>
      <c r="BA28"/>
    </row>
    <row r="29" spans="1:54" hidden="1" x14ac:dyDescent="0.2">
      <c r="A29" s="52" t="str">
        <f>Historical!A32</f>
        <v>Intangible Assets-net</v>
      </c>
      <c r="B29" s="116"/>
      <c r="C29" s="116"/>
      <c r="F29" s="84"/>
      <c r="G29" s="84"/>
      <c r="H29" s="84"/>
      <c r="I29" s="84"/>
      <c r="J29" s="84"/>
      <c r="Y29"/>
      <c r="Z29" s="52"/>
      <c r="BA29"/>
    </row>
    <row r="30" spans="1:54" ht="12" customHeight="1" x14ac:dyDescent="0.2">
      <c r="A30" s="52" t="str">
        <f>Historical!A33</f>
        <v>Financial Assets/Derivatives</v>
      </c>
      <c r="B30" s="116"/>
      <c r="C30" s="117">
        <f>M30</f>
        <v>0</v>
      </c>
      <c r="D30" s="122" t="s">
        <v>174</v>
      </c>
      <c r="E30" s="256"/>
      <c r="F30" s="55"/>
      <c r="G30" s="55">
        <f>Historical!AI33</f>
        <v>1.895195678953852E-4</v>
      </c>
      <c r="H30" s="55">
        <f>Historical!AJ33</f>
        <v>4.6023564064801177E-5</v>
      </c>
      <c r="I30" s="55">
        <f>Historical!AK33</f>
        <v>0</v>
      </c>
      <c r="J30" s="55">
        <f>Historical!AL33</f>
        <v>0</v>
      </c>
      <c r="K30" s="55">
        <f>Historical!AM33</f>
        <v>0</v>
      </c>
      <c r="L30" s="55">
        <f>Historical!AN33</f>
        <v>0</v>
      </c>
      <c r="M30" s="55">
        <f>Historical!AO33</f>
        <v>0</v>
      </c>
      <c r="Y30"/>
      <c r="Z30" s="52"/>
      <c r="BA30"/>
    </row>
    <row r="31" spans="1:54" hidden="1" x14ac:dyDescent="0.2">
      <c r="A31" s="52" t="str">
        <f>Historical!A34</f>
        <v>Investments in Affiliates</v>
      </c>
      <c r="B31" s="116"/>
      <c r="C31" s="117"/>
      <c r="D31" s="122" t="s">
        <v>174</v>
      </c>
      <c r="E31" s="114"/>
      <c r="F31" s="55"/>
      <c r="G31" s="55"/>
      <c r="H31" s="55"/>
      <c r="I31" s="55"/>
      <c r="J31" s="55"/>
      <c r="K31" s="55"/>
      <c r="L31" s="55"/>
      <c r="M31" s="55"/>
      <c r="Y31"/>
      <c r="Z31" s="52"/>
      <c r="BA31"/>
    </row>
    <row r="32" spans="1:54" x14ac:dyDescent="0.2">
      <c r="A32" s="52" t="str">
        <f>Historical!A35</f>
        <v>Deferred Charges and Other</v>
      </c>
      <c r="B32" s="116"/>
      <c r="C32" s="117">
        <f>N32</f>
        <v>1.7148436201302616E-2</v>
      </c>
      <c r="D32" s="122" t="s">
        <v>174</v>
      </c>
      <c r="E32" s="257" t="s">
        <v>228</v>
      </c>
      <c r="G32" s="55">
        <f>Historical!AI35</f>
        <v>2.0610253008623139E-2</v>
      </c>
      <c r="H32" s="55">
        <f>Historical!AJ35</f>
        <v>1.9744108983799705E-2</v>
      </c>
      <c r="I32" s="55">
        <f>Historical!AK35</f>
        <v>1.9391476984163627E-2</v>
      </c>
      <c r="J32" s="55">
        <f>Historical!AL35</f>
        <v>1.8689484350371537E-2</v>
      </c>
      <c r="K32" s="55">
        <f>Historical!AM35</f>
        <v>1.7034023337953234E-2</v>
      </c>
      <c r="L32" s="55">
        <f>Historical!AN35</f>
        <v>1.7326069482897204E-2</v>
      </c>
      <c r="M32" s="55">
        <f>Historical!AO35</f>
        <v>1.6970802919708029E-2</v>
      </c>
      <c r="N32" s="5">
        <f>AVERAGE(L32:M32)</f>
        <v>1.7148436201302616E-2</v>
      </c>
      <c r="Y32"/>
      <c r="Z32" s="52"/>
      <c r="BA32"/>
    </row>
    <row r="33" spans="1:53" x14ac:dyDescent="0.2">
      <c r="A33" s="52" t="str">
        <f>Historical!A36</f>
        <v>Total Other Assets</v>
      </c>
      <c r="B33" s="116"/>
      <c r="C33" s="117"/>
      <c r="D33" s="241" t="s">
        <v>175</v>
      </c>
      <c r="E33" s="114"/>
      <c r="I33"/>
      <c r="J33"/>
      <c r="Y33"/>
      <c r="Z33" s="52"/>
      <c r="BA33"/>
    </row>
    <row r="34" spans="1:53" x14ac:dyDescent="0.2">
      <c r="A34" s="52" t="str">
        <f>Historical!A37</f>
        <v>Total Non-Current Assets</v>
      </c>
      <c r="B34" s="116"/>
      <c r="C34" s="116"/>
      <c r="D34" s="241" t="s">
        <v>175</v>
      </c>
      <c r="F34" s="84"/>
      <c r="G34" s="84"/>
      <c r="H34" s="84"/>
      <c r="I34" s="84"/>
      <c r="J34" s="84"/>
      <c r="K34" s="84"/>
      <c r="L34" s="84"/>
      <c r="M34" s="127"/>
    </row>
    <row r="35" spans="1:53" x14ac:dyDescent="0.2">
      <c r="A35" s="172" t="str">
        <f>Historical!A38</f>
        <v>Total Assets</v>
      </c>
      <c r="B35" s="116"/>
      <c r="C35" s="116"/>
      <c r="D35" s="241" t="s">
        <v>175</v>
      </c>
      <c r="E35" s="114"/>
      <c r="F35" s="116"/>
      <c r="G35" s="116"/>
      <c r="H35" s="116"/>
      <c r="I35" s="116"/>
      <c r="J35" s="116"/>
      <c r="K35" s="116"/>
      <c r="L35" s="116"/>
      <c r="M35" s="116"/>
      <c r="N35" s="338"/>
    </row>
    <row r="36" spans="1:53" x14ac:dyDescent="0.2">
      <c r="B36" s="116"/>
      <c r="C36" s="116"/>
      <c r="D36" s="123"/>
      <c r="E36" s="114"/>
      <c r="F36" s="116"/>
      <c r="G36" s="116"/>
      <c r="H36" s="116"/>
      <c r="I36" s="116"/>
      <c r="J36" s="116"/>
      <c r="K36" s="116"/>
      <c r="L36" s="116"/>
      <c r="M36" s="116"/>
      <c r="N36" s="338"/>
    </row>
    <row r="37" spans="1:53" x14ac:dyDescent="0.2">
      <c r="A37" s="52" t="str">
        <f>Historical!A41</f>
        <v>Current Liabilities:</v>
      </c>
      <c r="B37" s="116"/>
      <c r="C37" s="117"/>
      <c r="E37" s="114"/>
      <c r="F37" s="84"/>
      <c r="G37" s="84">
        <f t="shared" ref="G37:K37" si="1">G3</f>
        <v>2011</v>
      </c>
      <c r="H37" s="84">
        <f t="shared" si="1"/>
        <v>2012</v>
      </c>
      <c r="I37" s="84">
        <f t="shared" si="1"/>
        <v>2013</v>
      </c>
      <c r="J37" s="84">
        <f t="shared" si="1"/>
        <v>2014</v>
      </c>
      <c r="K37" s="84">
        <f t="shared" si="1"/>
        <v>2015</v>
      </c>
      <c r="L37" s="84">
        <f t="shared" ref="L37:M37" si="2">L3</f>
        <v>2016</v>
      </c>
      <c r="M37" s="84">
        <f t="shared" si="2"/>
        <v>2017</v>
      </c>
      <c r="N37" s="111" t="str">
        <f>N3</f>
        <v xml:space="preserve">average </v>
      </c>
      <c r="T37" s="2"/>
    </row>
    <row r="38" spans="1:53" x14ac:dyDescent="0.2">
      <c r="A38" s="52" t="str">
        <f>Historical!A42</f>
        <v>Current Maturities LTD</v>
      </c>
      <c r="B38" s="116"/>
      <c r="C38" s="117">
        <f>AVERAGE(H38:M38)</f>
        <v>3.4169632323574138E-2</v>
      </c>
      <c r="D38" s="122" t="s">
        <v>178</v>
      </c>
      <c r="E38" s="257" t="s">
        <v>217</v>
      </c>
      <c r="F38" s="55"/>
      <c r="G38" s="55">
        <f>Historical!M42/(Historical!M50)</f>
        <v>3.0674846625766872E-3</v>
      </c>
      <c r="H38" s="55">
        <f>Historical!N42/(Historical!N50)</f>
        <v>4.0491355777979979E-2</v>
      </c>
      <c r="I38" s="55">
        <f>Historical!O42/(Historical!O50)</f>
        <v>3.5848772405482753E-2</v>
      </c>
      <c r="J38" s="55">
        <f>Historical!P42/(Historical!P50)</f>
        <v>1.9462599854756717E-2</v>
      </c>
      <c r="K38" s="55">
        <f>Historical!Q42/(Historical!Q50)</f>
        <v>9.6072336818310254E-3</v>
      </c>
      <c r="L38" s="55">
        <f>Historical!R42/(Historical!R50)</f>
        <v>8.2609314912405647E-3</v>
      </c>
      <c r="M38" s="55">
        <f>Historical!S42/(Historical!S50)</f>
        <v>9.1346900730153793E-2</v>
      </c>
      <c r="N38" s="55">
        <f>AVERAGE(G38:M38)</f>
        <v>2.9726468372003077E-2</v>
      </c>
      <c r="T38" s="2"/>
    </row>
    <row r="39" spans="1:53" x14ac:dyDescent="0.2">
      <c r="A39" s="52" t="str">
        <f>Historical!A43</f>
        <v>Short-term Debt</v>
      </c>
      <c r="B39" s="116"/>
      <c r="C39" s="117">
        <f>AVERAGE(G39,I39:M39)</f>
        <v>8.3497790229567406E-3</v>
      </c>
      <c r="D39" s="255" t="s">
        <v>174</v>
      </c>
      <c r="E39" s="257" t="s">
        <v>224</v>
      </c>
      <c r="G39" s="55">
        <f>Historical!M43/Historical!M38</f>
        <v>3.2597365678006252E-2</v>
      </c>
      <c r="H39" s="55">
        <f>Historical!N43/Historical!N38</f>
        <v>0</v>
      </c>
      <c r="I39" s="55">
        <f>Historical!O43/Historical!O38</f>
        <v>0</v>
      </c>
      <c r="J39" s="55">
        <f>Historical!P43/Historical!P38</f>
        <v>9.0069804098176086E-4</v>
      </c>
      <c r="K39" s="55">
        <f>Historical!Q43/Historical!Q38</f>
        <v>8.9417445343586532E-4</v>
      </c>
      <c r="L39" s="55">
        <f>Historical!R43/Historical!R38</f>
        <v>1.205680092882022E-2</v>
      </c>
      <c r="M39" s="55">
        <f>Historical!S43/Historical!S38</f>
        <v>3.6496350364963502E-3</v>
      </c>
      <c r="N39" s="55">
        <f t="shared" ref="N39:N48" si="3">AVERAGE(G39:M39)</f>
        <v>7.156953448248635E-3</v>
      </c>
      <c r="T39" s="2"/>
    </row>
    <row r="40" spans="1:53" x14ac:dyDescent="0.2">
      <c r="A40" s="52" t="str">
        <f>Historical!A44</f>
        <v>Accounts Payable</v>
      </c>
      <c r="B40" s="120"/>
      <c r="C40" s="117">
        <f>AVERAGE(I40:M40)</f>
        <v>8.8362074985972178E-2</v>
      </c>
      <c r="D40" s="255" t="s">
        <v>206</v>
      </c>
      <c r="E40" s="254" t="s">
        <v>219</v>
      </c>
      <c r="F40" s="55"/>
      <c r="G40" s="55">
        <f>Historical!M44/Historical!M78</f>
        <v>0.12690798081116442</v>
      </c>
      <c r="H40" s="55">
        <f>Historical!N44/Historical!N78</f>
        <v>9.5657517410897175E-2</v>
      </c>
      <c r="I40" s="55">
        <f>Historical!O44/Historical!O78</f>
        <v>9.7921119098503984E-2</v>
      </c>
      <c r="J40" s="55">
        <f>Historical!P44/Historical!P78</f>
        <v>8.8537699923838531E-2</v>
      </c>
      <c r="K40" s="55">
        <f>Historical!Q44/Historical!Q78</f>
        <v>9.0405198776758414E-2</v>
      </c>
      <c r="L40" s="55">
        <f>Historical!R44/Historical!R78</f>
        <v>7.8446452605268224E-2</v>
      </c>
      <c r="M40" s="55">
        <f>Historical!S44/Historical!S78</f>
        <v>8.6499904525491694E-2</v>
      </c>
      <c r="N40" s="55">
        <f t="shared" si="3"/>
        <v>9.4910839021703206E-2</v>
      </c>
      <c r="T40" s="2"/>
    </row>
    <row r="41" spans="1:53" x14ac:dyDescent="0.2">
      <c r="A41" s="52" t="str">
        <f>Historical!A45</f>
        <v>Accrued Expenses</v>
      </c>
      <c r="B41" s="120"/>
      <c r="C41" s="117">
        <f>N41</f>
        <v>1.1230694936698708E-2</v>
      </c>
      <c r="D41" s="255" t="s">
        <v>208</v>
      </c>
      <c r="E41" s="254"/>
      <c r="F41" s="55"/>
      <c r="G41" s="55">
        <f>Historical!M45/Historical!M$38</f>
        <v>1.1513313749644651E-2</v>
      </c>
      <c r="H41" s="55">
        <f>Historical!N45/Historical!N$38</f>
        <v>1.1229749631811487E-2</v>
      </c>
      <c r="I41" s="55">
        <f>Historical!O45/Historical!O$38</f>
        <v>1.1404035274020037E-2</v>
      </c>
      <c r="J41" s="55">
        <f>Historical!P45/Historical!P$38</f>
        <v>1.1033551002026571E-2</v>
      </c>
      <c r="K41" s="55">
        <f>Historical!Q45/Historical!Q$38</f>
        <v>1.1043054499932937E-2</v>
      </c>
      <c r="L41" s="55">
        <f>Historical!R45/Historical!R$38</f>
        <v>1.0940430472447978E-2</v>
      </c>
      <c r="M41" s="55">
        <f>Historical!S45/Historical!S$38</f>
        <v>1.1450729927007299E-2</v>
      </c>
      <c r="N41" s="55">
        <f t="shared" si="3"/>
        <v>1.1230694936698708E-2</v>
      </c>
      <c r="T41" s="2"/>
    </row>
    <row r="42" spans="1:53" x14ac:dyDescent="0.2">
      <c r="A42" s="52" t="str">
        <f>Historical!A46</f>
        <v>Derivative Contacts</v>
      </c>
      <c r="B42" s="120"/>
      <c r="C42" s="117">
        <v>0</v>
      </c>
      <c r="D42" s="255" t="s">
        <v>206</v>
      </c>
      <c r="E42" s="254" t="s">
        <v>220</v>
      </c>
      <c r="F42" s="55"/>
      <c r="G42" s="55">
        <f>Historical!M46/Historical!M78</f>
        <v>1.9624945486262538E-2</v>
      </c>
      <c r="H42" s="55">
        <f>Historical!N46/Historical!N78</f>
        <v>1.0036870135190496E-2</v>
      </c>
      <c r="I42" s="55">
        <f>Historical!O46/Historical!O78</f>
        <v>5.2457742374198563E-3</v>
      </c>
      <c r="J42" s="55">
        <f>Historical!P46/Historical!P78</f>
        <v>0</v>
      </c>
      <c r="K42" s="55">
        <f>Historical!Q46/Historical!Q78</f>
        <v>0</v>
      </c>
      <c r="L42" s="55">
        <f>Historical!R46/Historical!R78</f>
        <v>0</v>
      </c>
      <c r="M42" s="55">
        <f>Historical!S46/Historical!S78</f>
        <v>0</v>
      </c>
      <c r="N42" s="55">
        <f t="shared" si="3"/>
        <v>4.9867985512675557E-3</v>
      </c>
      <c r="T42" s="2"/>
    </row>
    <row r="43" spans="1:53" x14ac:dyDescent="0.2">
      <c r="A43" s="52" t="str">
        <f>Historical!A47</f>
        <v xml:space="preserve">Other </v>
      </c>
      <c r="B43" s="120"/>
      <c r="C43" s="117">
        <f>AVERAGE(I43:M43)</f>
        <v>1.1222198791271228E-2</v>
      </c>
      <c r="D43" s="122" t="s">
        <v>133</v>
      </c>
      <c r="E43" s="254" t="s">
        <v>219</v>
      </c>
      <c r="G43" s="55">
        <f>Historical!AI47</f>
        <v>9.0969392589784898E-3</v>
      </c>
      <c r="H43" s="55">
        <f>Historical!AJ47</f>
        <v>1.1828055964653902E-2</v>
      </c>
      <c r="I43" s="55">
        <f>Historical!AK47</f>
        <v>1.1911907290271943E-2</v>
      </c>
      <c r="J43" s="55">
        <f>Historical!AL47</f>
        <v>1.1528934924566539E-2</v>
      </c>
      <c r="K43" s="55">
        <f>Historical!AM47</f>
        <v>1.1758394062681629E-2</v>
      </c>
      <c r="L43" s="55">
        <f>Historical!AN47</f>
        <v>9.7347503795659554E-3</v>
      </c>
      <c r="M43" s="55">
        <f>Historical!AO47</f>
        <v>1.1177007299270073E-2</v>
      </c>
      <c r="N43" s="55">
        <f t="shared" si="3"/>
        <v>1.1005141311426932E-2</v>
      </c>
      <c r="T43" s="2"/>
    </row>
    <row r="44" spans="1:53" x14ac:dyDescent="0.2">
      <c r="A44" s="172" t="str">
        <f>Historical!A48</f>
        <v>Total Current Liabilities</v>
      </c>
      <c r="B44" s="120"/>
      <c r="C44" s="117"/>
      <c r="D44" s="241" t="s">
        <v>175</v>
      </c>
      <c r="E44" s="113"/>
      <c r="F44" s="84"/>
      <c r="G44" s="84"/>
      <c r="H44" s="84"/>
      <c r="I44" s="84"/>
      <c r="N44" s="55"/>
      <c r="T44" s="2"/>
    </row>
    <row r="45" spans="1:53" x14ac:dyDescent="0.2">
      <c r="B45" s="120"/>
      <c r="C45" s="117"/>
      <c r="F45" s="84"/>
      <c r="G45" s="84">
        <f t="shared" ref="G45:K45" si="4">G37</f>
        <v>2011</v>
      </c>
      <c r="H45" s="84">
        <f t="shared" si="4"/>
        <v>2012</v>
      </c>
      <c r="I45" s="84">
        <f t="shared" si="4"/>
        <v>2013</v>
      </c>
      <c r="J45" s="84">
        <f t="shared" si="4"/>
        <v>2014</v>
      </c>
      <c r="K45" s="84">
        <f t="shared" si="4"/>
        <v>2015</v>
      </c>
      <c r="L45" s="84">
        <f t="shared" ref="L45:M45" si="5">L37</f>
        <v>2016</v>
      </c>
      <c r="M45" s="84">
        <f t="shared" si="5"/>
        <v>2017</v>
      </c>
      <c r="N45" s="55"/>
      <c r="T45" s="2"/>
    </row>
    <row r="46" spans="1:53" ht="25.5" x14ac:dyDescent="0.2">
      <c r="A46" s="172" t="str">
        <f>Historical!A50</f>
        <v>Long-Term Debt</v>
      </c>
      <c r="B46" s="120"/>
      <c r="C46" s="117"/>
      <c r="D46" s="122" t="s">
        <v>187</v>
      </c>
      <c r="F46" s="55"/>
      <c r="G46" s="55">
        <f>Historical!M50/Historical!M28</f>
        <v>0.35650972717854262</v>
      </c>
      <c r="H46" s="55">
        <f>Historical!N50/Historical!N28</f>
        <v>0.36517693969097859</v>
      </c>
      <c r="I46" s="55">
        <f>Historical!O50/Historical!O28</f>
        <v>0.35872912951856056</v>
      </c>
      <c r="J46" s="55">
        <f>Historical!P50/Historical!P28</f>
        <v>0.36780810940755382</v>
      </c>
      <c r="K46" s="55">
        <f>Historical!Q50/Historical!Q28</f>
        <v>0.37201723956690846</v>
      </c>
      <c r="L46" s="55">
        <f>Historical!R50/Historical!R28</f>
        <v>0.36640225446195596</v>
      </c>
      <c r="M46" s="55">
        <f>Historical!S50/Historical!S28</f>
        <v>0.33520804041035257</v>
      </c>
      <c r="N46" s="55">
        <f t="shared" si="3"/>
        <v>0.36026449146212175</v>
      </c>
      <c r="T46" s="2"/>
    </row>
    <row r="47" spans="1:53" x14ac:dyDescent="0.2">
      <c r="A47" s="52" t="str">
        <f>Historical!A51</f>
        <v>Deferred Income Taxes</v>
      </c>
      <c r="B47" s="120"/>
      <c r="C47" s="117">
        <f>M47</f>
        <v>0.13445815757954485</v>
      </c>
      <c r="D47" s="258" t="s">
        <v>214</v>
      </c>
      <c r="E47" s="319">
        <v>2016</v>
      </c>
      <c r="F47" s="84"/>
      <c r="G47" s="55">
        <f>Historical!M51/Historical!M28</f>
        <v>0.22234373201335328</v>
      </c>
      <c r="H47" s="55">
        <f>Historical!N51/Historical!N28</f>
        <v>0.23082461095420059</v>
      </c>
      <c r="I47" s="55">
        <f>Historical!O51/Historical!O28</f>
        <v>0.2355325012157562</v>
      </c>
      <c r="J47" s="55">
        <f>Historical!P51/Historical!P28</f>
        <v>0.2447246113574443</v>
      </c>
      <c r="K47" s="55">
        <f>Historical!Q51/Historical!Q28</f>
        <v>0.24965836224114371</v>
      </c>
      <c r="L47" s="55">
        <f>Historical!R51/Historical!R28</f>
        <v>0.25467070243189643</v>
      </c>
      <c r="M47" s="55">
        <f>Historical!S51/Historical!S28</f>
        <v>0.13445815757954485</v>
      </c>
      <c r="N47" s="55">
        <f t="shared" si="3"/>
        <v>0.22460181111333419</v>
      </c>
      <c r="T47" s="2"/>
    </row>
    <row r="48" spans="1:53" x14ac:dyDescent="0.2">
      <c r="A48" s="52" t="str">
        <f>Historical!A52</f>
        <v>Derivative Contracts</v>
      </c>
      <c r="B48" s="120"/>
      <c r="C48" s="117">
        <v>0</v>
      </c>
      <c r="D48" s="255" t="s">
        <v>206</v>
      </c>
      <c r="E48" s="254" t="s">
        <v>229</v>
      </c>
      <c r="F48" s="55"/>
      <c r="G48" s="55">
        <f>Historical!M46/Historical!M81</f>
        <v>5.5012224938875302E-2</v>
      </c>
      <c r="H48" s="55">
        <f>Historical!N46/Historical!N81</f>
        <v>2.6952695269526952E-2</v>
      </c>
      <c r="I48" s="55">
        <f>Historical!O46/Historical!O81</f>
        <v>1.4033264033264034E-2</v>
      </c>
      <c r="J48" s="55">
        <f>Historical!P46/Historical!P81</f>
        <v>0</v>
      </c>
      <c r="K48" s="55">
        <f>Historical!Q46/Historical!Q81</f>
        <v>0</v>
      </c>
      <c r="L48" s="55">
        <f>Historical!R46/Historical!R81</f>
        <v>0</v>
      </c>
      <c r="M48" s="55">
        <f>Historical!S46/Historical!S81</f>
        <v>0</v>
      </c>
      <c r="N48" s="55">
        <f t="shared" si="3"/>
        <v>1.371402632023804E-2</v>
      </c>
      <c r="T48" s="2"/>
    </row>
    <row r="49" spans="1:55" x14ac:dyDescent="0.2">
      <c r="A49" s="52" t="str">
        <f>Historical!A53</f>
        <v>Other Long-term Liabilities</v>
      </c>
      <c r="B49" s="120"/>
      <c r="C49" s="117">
        <f>N49</f>
        <v>8.5005195887660881E-2</v>
      </c>
      <c r="D49" s="258" t="s">
        <v>174</v>
      </c>
      <c r="E49" s="269" t="s">
        <v>245</v>
      </c>
      <c r="G49" s="55">
        <f>Historical!AI53</f>
        <v>8.7984459395432577E-2</v>
      </c>
      <c r="H49" s="55">
        <f>Historical!AJ53</f>
        <v>9.2599410898379975E-2</v>
      </c>
      <c r="I49" s="55">
        <f>Historical!AK53</f>
        <v>7.267186850731798E-2</v>
      </c>
      <c r="J49" s="55">
        <f>Historical!AL53</f>
        <v>8.3900022517451031E-2</v>
      </c>
      <c r="K49" s="55">
        <f>Historical!AM53</f>
        <v>8.7852640050073774E-2</v>
      </c>
      <c r="L49" s="55">
        <f>Historical!AN53</f>
        <v>8.5022773957309991E-2</v>
      </c>
      <c r="M49" s="55">
        <f>Historical!AO53</f>
        <v>0.17011861313868612</v>
      </c>
      <c r="N49" s="55">
        <f>AVERAGE(G49:L49)</f>
        <v>8.5005195887660881E-2</v>
      </c>
      <c r="T49" s="2"/>
    </row>
    <row r="50" spans="1:55" x14ac:dyDescent="0.2">
      <c r="A50" s="52" t="str">
        <f>Historical!A54</f>
        <v>Total LTD &amp; Deferrals</v>
      </c>
      <c r="B50" s="120"/>
      <c r="C50" s="116"/>
      <c r="D50" s="241" t="s">
        <v>175</v>
      </c>
      <c r="N50" s="52"/>
      <c r="O50" s="52"/>
      <c r="T50" s="2"/>
      <c r="U50" s="2"/>
      <c r="Z50" s="52"/>
      <c r="AB50"/>
      <c r="BB50" s="52"/>
      <c r="BC50" s="52"/>
    </row>
    <row r="51" spans="1:55" x14ac:dyDescent="0.2">
      <c r="A51" s="52" t="str">
        <f>Historical!A56</f>
        <v>Total Liabilities</v>
      </c>
      <c r="B51" s="116"/>
      <c r="C51" s="117"/>
      <c r="D51" s="241" t="s">
        <v>175</v>
      </c>
      <c r="N51" s="52"/>
      <c r="O51" s="52"/>
      <c r="T51" s="2"/>
      <c r="U51" s="2"/>
      <c r="Z51" s="52"/>
      <c r="AB51"/>
      <c r="BB51" s="52"/>
      <c r="BC51" s="52"/>
    </row>
    <row r="52" spans="1:55" x14ac:dyDescent="0.2">
      <c r="B52" s="120"/>
      <c r="C52" s="116"/>
      <c r="D52" s="124"/>
      <c r="N52" s="52"/>
      <c r="O52" s="52"/>
      <c r="T52" s="2"/>
      <c r="U52" s="2"/>
      <c r="Z52" s="52"/>
      <c r="AB52"/>
      <c r="BB52" s="52"/>
      <c r="BC52" s="52"/>
    </row>
    <row r="53" spans="1:55" x14ac:dyDescent="0.2">
      <c r="A53" s="52" t="str">
        <f>Historical!A58</f>
        <v>Preferred Stock</v>
      </c>
      <c r="B53" s="116"/>
      <c r="C53" s="116">
        <v>2</v>
      </c>
      <c r="D53" s="253" t="s">
        <v>230</v>
      </c>
      <c r="E53" s="123"/>
      <c r="N53" s="52"/>
      <c r="O53" s="52"/>
      <c r="T53" s="2"/>
      <c r="U53" s="2"/>
      <c r="Z53" s="52"/>
      <c r="AB53"/>
      <c r="BB53" s="52"/>
      <c r="BC53" s="52"/>
    </row>
    <row r="54" spans="1:55" x14ac:dyDescent="0.2">
      <c r="B54" s="116"/>
      <c r="C54" s="117"/>
      <c r="D54" s="241"/>
      <c r="N54" s="52"/>
      <c r="O54" s="52"/>
      <c r="T54" s="2"/>
      <c r="U54" s="2"/>
      <c r="Z54" s="52"/>
      <c r="AB54"/>
      <c r="BB54" s="52"/>
      <c r="BC54" s="52"/>
    </row>
    <row r="55" spans="1:55" x14ac:dyDescent="0.2">
      <c r="A55" s="172" t="str">
        <f>Historical!A60</f>
        <v>Common Equity:</v>
      </c>
      <c r="B55" s="116"/>
      <c r="C55" s="116"/>
      <c r="D55" s="241"/>
    </row>
    <row r="56" spans="1:55" x14ac:dyDescent="0.2">
      <c r="A56" s="52" t="str">
        <f>Historical!A61</f>
        <v>Common Stock</v>
      </c>
      <c r="B56" s="116"/>
      <c r="C56" s="117"/>
      <c r="D56" s="241" t="s">
        <v>180</v>
      </c>
      <c r="E56" s="115"/>
    </row>
    <row r="57" spans="1:55" x14ac:dyDescent="0.2">
      <c r="A57" s="52" t="str">
        <f>Historical!A62</f>
        <v>Retained Earnings</v>
      </c>
      <c r="B57" s="116"/>
      <c r="C57" s="117"/>
      <c r="D57" s="241" t="s">
        <v>175</v>
      </c>
    </row>
    <row r="58" spans="1:55" x14ac:dyDescent="0.2">
      <c r="A58" s="172" t="str">
        <f>Historical!A63</f>
        <v>Total Common Equity</v>
      </c>
      <c r="B58" s="116"/>
      <c r="C58" s="121"/>
      <c r="D58" s="241" t="s">
        <v>175</v>
      </c>
      <c r="E58" s="114"/>
    </row>
    <row r="59" spans="1:55" x14ac:dyDescent="0.2">
      <c r="A59" s="172" t="str">
        <f>Historical!A64</f>
        <v>Total Liabilities &amp; Equity</v>
      </c>
      <c r="B59" s="116"/>
      <c r="C59" s="117"/>
      <c r="D59" s="241" t="s">
        <v>175</v>
      </c>
    </row>
    <row r="60" spans="1:55" x14ac:dyDescent="0.2">
      <c r="B60" s="116"/>
      <c r="C60" s="117"/>
      <c r="D60" s="125"/>
    </row>
    <row r="61" spans="1:55" x14ac:dyDescent="0.2">
      <c r="A61" s="52" t="str">
        <f>Historical!A77</f>
        <v>Revenues</v>
      </c>
      <c r="B61" s="55"/>
      <c r="C61" s="55">
        <f>+C4+0.0025</f>
        <v>2.75E-2</v>
      </c>
      <c r="D61" s="255" t="s">
        <v>246</v>
      </c>
      <c r="E61" s="255" t="s">
        <v>250</v>
      </c>
    </row>
    <row r="62" spans="1:55" x14ac:dyDescent="0.2">
      <c r="A62" s="172" t="str">
        <f>Historical!A78</f>
        <v>Total Revenues</v>
      </c>
      <c r="B62" s="55"/>
      <c r="C62" s="55"/>
      <c r="D62" s="241" t="s">
        <v>175</v>
      </c>
    </row>
    <row r="63" spans="1:55" x14ac:dyDescent="0.2">
      <c r="B63" s="55"/>
      <c r="C63" s="55"/>
    </row>
    <row r="64" spans="1:55" x14ac:dyDescent="0.2">
      <c r="A64" s="172" t="str">
        <f>Historical!A80</f>
        <v>Operating Expenses:</v>
      </c>
      <c r="B64" s="55"/>
      <c r="C64" s="55"/>
      <c r="G64" s="84">
        <f t="shared" ref="G64:K64" si="6">G45</f>
        <v>2011</v>
      </c>
      <c r="H64" s="84">
        <f t="shared" si="6"/>
        <v>2012</v>
      </c>
      <c r="I64" s="84">
        <f t="shared" si="6"/>
        <v>2013</v>
      </c>
      <c r="J64" s="84">
        <f t="shared" si="6"/>
        <v>2014</v>
      </c>
      <c r="K64" s="84">
        <f t="shared" si="6"/>
        <v>2015</v>
      </c>
      <c r="L64" s="84">
        <f t="shared" ref="L64:M64" si="7">L45</f>
        <v>2016</v>
      </c>
      <c r="M64" s="84">
        <f t="shared" si="7"/>
        <v>2017</v>
      </c>
      <c r="N64" s="264" t="s">
        <v>3</v>
      </c>
      <c r="T64" s="2"/>
    </row>
    <row r="65" spans="1:54" x14ac:dyDescent="0.2">
      <c r="A65" s="52" t="str">
        <f>Historical!A81</f>
        <v>Energy Costs</v>
      </c>
      <c r="B65" s="55"/>
      <c r="C65" s="55">
        <f>+C4</f>
        <v>2.5000000000000001E-2</v>
      </c>
      <c r="D65" s="255" t="s">
        <v>223</v>
      </c>
      <c r="F65" s="84"/>
      <c r="N65" s="52"/>
      <c r="O65" s="264"/>
      <c r="P65" s="264"/>
      <c r="T65" s="2"/>
    </row>
    <row r="66" spans="1:54" x14ac:dyDescent="0.2">
      <c r="A66" s="52" t="str">
        <f>Historical!A82</f>
        <v>Other operations and maintenance</v>
      </c>
      <c r="B66" s="55"/>
      <c r="C66" s="55">
        <f>+C4</f>
        <v>2.5000000000000001E-2</v>
      </c>
      <c r="D66" s="255" t="s">
        <v>240</v>
      </c>
      <c r="E66" s="320">
        <f>(0.025-C66)/3</f>
        <v>0</v>
      </c>
      <c r="N66" s="52"/>
      <c r="T66" s="2"/>
    </row>
    <row r="67" spans="1:54" x14ac:dyDescent="0.2">
      <c r="A67" s="52" t="str">
        <f>Historical!A83</f>
        <v>Depreciation and amortization</v>
      </c>
      <c r="B67" s="55"/>
      <c r="C67" s="55">
        <f>AVERAGE(K67:M67)</f>
        <v>2.8347209738841733E-2</v>
      </c>
      <c r="D67" s="255" t="s">
        <v>241</v>
      </c>
      <c r="E67" s="254"/>
      <c r="F67" s="55"/>
      <c r="G67" s="55">
        <f>Historical!M83/Historical!M20</f>
        <v>2.6501843417913683E-2</v>
      </c>
      <c r="H67" s="55">
        <f>Historical!N83/Historical!N20</f>
        <v>2.664002664002664E-2</v>
      </c>
      <c r="I67" s="55">
        <f>Historical!O83/Historical!O20</f>
        <v>2.7143316712240632E-2</v>
      </c>
      <c r="J67" s="55">
        <f>Historical!P83/Historical!P20</f>
        <v>2.8125363189090768E-2</v>
      </c>
      <c r="K67" s="55">
        <f>Historical!Q83/Historical!Q20</f>
        <v>2.8291661994991963E-2</v>
      </c>
      <c r="L67" s="55">
        <f>Historical!R83/Historical!R20</f>
        <v>2.8210294925810588E-2</v>
      </c>
      <c r="M67" s="55">
        <f>Historical!S83/Historical!S20</f>
        <v>2.8539672295722636E-2</v>
      </c>
      <c r="N67" s="55">
        <f>AVERAGE(J67:M67)</f>
        <v>2.8291748101403988E-2</v>
      </c>
      <c r="T67" s="2"/>
    </row>
    <row r="68" spans="1:54" x14ac:dyDescent="0.2">
      <c r="A68" s="52" t="str">
        <f>Historical!A84</f>
        <v>Taxes, other than income taxes</v>
      </c>
      <c r="B68" s="55"/>
      <c r="C68" s="55">
        <f>M68</f>
        <v>1.025881372702182E-2</v>
      </c>
      <c r="D68" s="255" t="s">
        <v>209</v>
      </c>
      <c r="E68" s="319" t="s">
        <v>239</v>
      </c>
      <c r="G68" s="55">
        <f>Historical!M84/Historical!M28</f>
        <v>8.7487049614366295E-3</v>
      </c>
      <c r="H68" s="55">
        <f>Historical!N84/Historical!N28</f>
        <v>8.9162097801406652E-3</v>
      </c>
      <c r="I68" s="55">
        <f>Historical!O84/Historical!O28</f>
        <v>9.1857135138055865E-3</v>
      </c>
      <c r="J68" s="55">
        <f>Historical!P84/Historical!P28</f>
        <v>9.1885250280463703E-3</v>
      </c>
      <c r="K68" s="55">
        <f>Historical!Q84/Historical!Q28</f>
        <v>9.7235362136024392E-3</v>
      </c>
      <c r="L68" s="55">
        <f>Historical!R84/Historical!R28</f>
        <v>9.9154576766517059E-3</v>
      </c>
      <c r="M68" s="55">
        <f>Historical!S84/Historical!S28</f>
        <v>1.025881372702182E-2</v>
      </c>
      <c r="N68" s="55">
        <f>AVERAGE(K68:M68)</f>
        <v>9.9659358724253216E-3</v>
      </c>
      <c r="T68" s="2"/>
    </row>
    <row r="69" spans="1:54" ht="12.75" hidden="1" customHeight="1" x14ac:dyDescent="0.2">
      <c r="A69" s="52" t="str">
        <f>Historical!A85</f>
        <v>Other Operating Expenses</v>
      </c>
      <c r="B69" s="55"/>
      <c r="C69" s="55"/>
      <c r="N69" s="55" t="e">
        <f>AVERAGE(G69:M69)</f>
        <v>#DIV/0!</v>
      </c>
      <c r="T69" s="2"/>
    </row>
    <row r="70" spans="1:54" x14ac:dyDescent="0.2">
      <c r="A70" s="52" t="str">
        <f>Historical!A86</f>
        <v>Total Operating Expenses</v>
      </c>
      <c r="B70" s="55"/>
      <c r="C70" s="55"/>
      <c r="D70" s="241" t="s">
        <v>175</v>
      </c>
      <c r="N70" s="55"/>
      <c r="T70" s="2"/>
    </row>
    <row r="71" spans="1:54" x14ac:dyDescent="0.2">
      <c r="A71" s="52" t="str">
        <f>Historical!A87</f>
        <v>Earnings From Operations</v>
      </c>
      <c r="B71" s="55"/>
      <c r="C71" s="55"/>
      <c r="D71" s="241" t="s">
        <v>175</v>
      </c>
      <c r="N71" s="55"/>
      <c r="T71" s="2"/>
    </row>
    <row r="72" spans="1:54" x14ac:dyDescent="0.2">
      <c r="B72" s="55"/>
      <c r="C72" s="55"/>
      <c r="N72" s="55"/>
      <c r="T72" s="2"/>
    </row>
    <row r="73" spans="1:54" ht="25.5" x14ac:dyDescent="0.2">
      <c r="A73" s="52" t="str">
        <f>Forecast!A91</f>
        <v>Interest expense (net)</v>
      </c>
      <c r="B73" s="55"/>
      <c r="C73" s="55">
        <f>M73</f>
        <v>5.362420830401126E-2</v>
      </c>
      <c r="D73" s="255" t="s">
        <v>242</v>
      </c>
      <c r="E73" s="254"/>
      <c r="G73" s="55">
        <f>Historical!M89/(Historical!M42+Historical!M43+Historical!M50)</f>
        <v>5.3180698449500075E-2</v>
      </c>
      <c r="H73" s="55">
        <f>Historical!N89/(Historical!N42+Historical!N43+Historical!N50)</f>
        <v>5.1158723218189768E-2</v>
      </c>
      <c r="I73" s="55">
        <f>Historical!O89/(Historical!O42+Historical!O43+Historical!O50)</f>
        <v>5.0894285298822159E-2</v>
      </c>
      <c r="J73" s="55">
        <f>Historical!P89/(Historical!P42+Historical!P43+Historical!P50)</f>
        <v>5.0291234550362267E-2</v>
      </c>
      <c r="K73" s="55">
        <f>Historical!Q89/(Historical!Q42+Historical!Q43+Historical!Q50)</f>
        <v>5.0376779235277704E-2</v>
      </c>
      <c r="L73" s="55">
        <f>Historical!R89/(Historical!R42+Historical!R43+Historical!R50)</f>
        <v>4.9666621309021636E-2</v>
      </c>
      <c r="M73" s="55">
        <f>Historical!S89/(Historical!S42+Historical!S43+Historical!S50)</f>
        <v>5.362420830401126E-2</v>
      </c>
      <c r="N73" s="55">
        <f>AVERAGE(G73:M73)</f>
        <v>5.1313221480740703E-2</v>
      </c>
      <c r="T73" s="2"/>
    </row>
    <row r="74" spans="1:54" x14ac:dyDescent="0.2">
      <c r="A74" s="52" t="str">
        <f>Forecast!A92</f>
        <v>Interest income</v>
      </c>
      <c r="C74" s="55">
        <f>C7</f>
        <v>1.4999999999999999E-2</v>
      </c>
      <c r="D74" s="122" t="s">
        <v>183</v>
      </c>
      <c r="N74" s="55"/>
      <c r="T74" s="2"/>
    </row>
    <row r="75" spans="1:54" hidden="1" x14ac:dyDescent="0.2">
      <c r="A75" s="52" t="str">
        <f>Forecast!A93</f>
        <v>Loss (Gain) on Sale of Assets</v>
      </c>
      <c r="N75" s="55"/>
      <c r="T75" s="2"/>
      <c r="Z75" s="52"/>
      <c r="AA75"/>
      <c r="BB75" s="52"/>
    </row>
    <row r="76" spans="1:54" ht="51" x14ac:dyDescent="0.2">
      <c r="A76" s="112" t="str">
        <f>Forecast!A94</f>
        <v>Interest Expense (Income) on Additional Loans (Surplus Cash)</v>
      </c>
      <c r="D76" s="122" t="s">
        <v>184</v>
      </c>
      <c r="N76" s="55"/>
      <c r="T76" s="2"/>
      <c r="Z76" s="52"/>
      <c r="AA76"/>
      <c r="BB76" s="52"/>
    </row>
    <row r="77" spans="1:54" ht="25.5" x14ac:dyDescent="0.2">
      <c r="A77" s="52" t="str">
        <f>Forecast!A95</f>
        <v>Other (Income) Expense</v>
      </c>
      <c r="C77" s="55">
        <f>N77</f>
        <v>-6.1242711370591771E-3</v>
      </c>
      <c r="D77" s="255" t="s">
        <v>243</v>
      </c>
      <c r="E77" s="254"/>
      <c r="G77" s="55">
        <f>Historical!AI92</f>
        <v>-1.0248582642825993E-2</v>
      </c>
      <c r="H77" s="55">
        <f>Historical!AJ92</f>
        <v>-1.1880376894715281E-2</v>
      </c>
      <c r="I77" s="55">
        <f>Historical!AK92</f>
        <v>-1.1074412278997475E-2</v>
      </c>
      <c r="J77" s="55">
        <f>Historical!AL92</f>
        <v>-9.7105864432597104E-3</v>
      </c>
      <c r="K77" s="55">
        <f>Historical!AM92</f>
        <v>-6.3073394495412848E-3</v>
      </c>
      <c r="L77" s="55">
        <f>Historical!AN92</f>
        <v>-5.1913093635839258E-3</v>
      </c>
      <c r="M77" s="55">
        <f>Historical!AO92</f>
        <v>-6.8741645980523198E-3</v>
      </c>
      <c r="N77" s="55">
        <f>AVERAGE(K77:M77)</f>
        <v>-6.1242711370591771E-3</v>
      </c>
      <c r="T77" s="2"/>
    </row>
    <row r="78" spans="1:54" x14ac:dyDescent="0.2">
      <c r="A78" s="52" t="str">
        <f>Forecast!A96</f>
        <v>Total Other (Income)/Expense</v>
      </c>
      <c r="D78" s="241" t="s">
        <v>175</v>
      </c>
      <c r="N78" s="55"/>
      <c r="T78" s="2"/>
    </row>
    <row r="79" spans="1:54" x14ac:dyDescent="0.2">
      <c r="N79" s="52"/>
      <c r="T79" s="2"/>
    </row>
    <row r="80" spans="1:54" x14ac:dyDescent="0.2">
      <c r="A80" s="52" t="str">
        <f>Forecast!A98</f>
        <v>Earnings Before Taxes</v>
      </c>
      <c r="D80" s="241" t="s">
        <v>175</v>
      </c>
      <c r="N80" s="52"/>
      <c r="T80" s="2"/>
    </row>
    <row r="81" spans="1:54" x14ac:dyDescent="0.2">
      <c r="F81" s="84"/>
      <c r="G81" s="84"/>
      <c r="H81" s="84"/>
      <c r="I81" s="84"/>
      <c r="J81" s="84"/>
      <c r="K81" s="84"/>
      <c r="L81" s="84"/>
      <c r="M81" s="84"/>
      <c r="N81" s="52"/>
      <c r="T81" s="2"/>
    </row>
    <row r="82" spans="1:54" x14ac:dyDescent="0.2">
      <c r="A82" s="52" t="str">
        <f>Forecast!A100</f>
        <v>Amort. Of Excess Def. Inc. Tax</v>
      </c>
      <c r="C82" s="52">
        <v>0</v>
      </c>
      <c r="D82" s="122" t="s">
        <v>185</v>
      </c>
      <c r="F82" s="84"/>
      <c r="G82" s="84">
        <f t="shared" ref="G82:K82" si="8">G64</f>
        <v>2011</v>
      </c>
      <c r="H82" s="84">
        <f t="shared" si="8"/>
        <v>2012</v>
      </c>
      <c r="I82" s="84">
        <f t="shared" si="8"/>
        <v>2013</v>
      </c>
      <c r="J82" s="84">
        <f t="shared" si="8"/>
        <v>2014</v>
      </c>
      <c r="K82" s="84">
        <f t="shared" si="8"/>
        <v>2015</v>
      </c>
      <c r="L82" s="84">
        <f t="shared" ref="L82:M82" si="9">L64</f>
        <v>2016</v>
      </c>
      <c r="M82" s="84">
        <f t="shared" si="9"/>
        <v>2017</v>
      </c>
      <c r="N82" s="52" t="s">
        <v>3</v>
      </c>
      <c r="T82" s="2"/>
    </row>
    <row r="83" spans="1:54" ht="38.25" x14ac:dyDescent="0.2">
      <c r="A83" s="116" t="str">
        <f>Forecast!A101</f>
        <v>Income Taxes</v>
      </c>
      <c r="B83" s="116"/>
      <c r="C83" s="346">
        <f>25.5%*31.37/35</f>
        <v>0.22855285714285717</v>
      </c>
      <c r="D83" s="122" t="s">
        <v>186</v>
      </c>
      <c r="E83" s="257" t="s">
        <v>244</v>
      </c>
      <c r="F83" s="55"/>
      <c r="G83" s="55">
        <f>+Historical!M98/Historical!M95</f>
        <v>0.27734375</v>
      </c>
      <c r="H83" s="55">
        <f>+Historical!N98/Historical!N95</f>
        <v>0.26839237057220711</v>
      </c>
      <c r="I83" s="55">
        <f>+Historical!O98/Historical!O95</f>
        <v>0.30337078651685395</v>
      </c>
      <c r="J83" s="55">
        <f>+Historical!P98/Historical!P95</f>
        <v>0.30685203574975173</v>
      </c>
      <c r="K83" s="55">
        <f>+Historical!Q98/Historical!Q95</f>
        <v>0.32062561094819159</v>
      </c>
      <c r="L83" s="55">
        <f>+Historical!R98/Historical!R95</f>
        <v>0.30825022665457841</v>
      </c>
      <c r="M83" s="55">
        <f>+Historical!S98/Historical!S95</f>
        <v>0.31914893617021278</v>
      </c>
      <c r="N83" s="55">
        <f>AVERAGE(J83:M83)</f>
        <v>0.31371920238068363</v>
      </c>
      <c r="O83" s="5"/>
      <c r="T83" s="2"/>
    </row>
    <row r="84" spans="1:54" x14ac:dyDescent="0.2">
      <c r="A84" s="52" t="str">
        <f>Forecast!A102</f>
        <v>Net Income</v>
      </c>
      <c r="D84" s="241" t="s">
        <v>175</v>
      </c>
      <c r="N84" s="52"/>
      <c r="T84" s="2"/>
    </row>
    <row r="85" spans="1:54" x14ac:dyDescent="0.2">
      <c r="N85" s="52"/>
      <c r="T85" s="2"/>
    </row>
    <row r="86" spans="1:54" x14ac:dyDescent="0.2">
      <c r="A86" s="52" t="str">
        <f>Forecast!A104</f>
        <v>Preferred Stock Dividends</v>
      </c>
      <c r="C86" s="52">
        <v>0</v>
      </c>
      <c r="D86" s="122" t="s">
        <v>176</v>
      </c>
      <c r="N86" s="52"/>
      <c r="T86" s="2"/>
      <c r="Z86" s="52"/>
      <c r="AA86"/>
      <c r="BB86" s="52"/>
    </row>
    <row r="87" spans="1:54" ht="38.25" x14ac:dyDescent="0.2">
      <c r="A87" s="52" t="str">
        <f>Forecast!A105</f>
        <v>Common Stock Dividends</v>
      </c>
      <c r="D87" s="122" t="s">
        <v>198</v>
      </c>
      <c r="N87" s="52"/>
      <c r="T87" s="2"/>
      <c r="Z87" s="52"/>
      <c r="AA87"/>
      <c r="BB87" s="52"/>
    </row>
    <row r="88" spans="1:54" x14ac:dyDescent="0.2">
      <c r="N88" s="52"/>
      <c r="T88" s="2"/>
      <c r="Z88" s="52"/>
      <c r="AA88"/>
      <c r="BB88" s="52"/>
    </row>
    <row r="89" spans="1:54" x14ac:dyDescent="0.2">
      <c r="N89" s="52"/>
      <c r="T89" s="2"/>
      <c r="Z89" s="52"/>
      <c r="AA89"/>
      <c r="BB89" s="52"/>
    </row>
    <row r="90" spans="1:54" x14ac:dyDescent="0.2">
      <c r="N90" s="52"/>
      <c r="T90" s="2"/>
      <c r="Z90" s="52"/>
      <c r="AA90"/>
      <c r="BB90" s="52"/>
    </row>
    <row r="91" spans="1:54" x14ac:dyDescent="0.2">
      <c r="N91" s="52"/>
      <c r="T91" s="2"/>
      <c r="Z91" s="52"/>
      <c r="AA91"/>
      <c r="BB91" s="52"/>
    </row>
    <row r="92" spans="1:54" x14ac:dyDescent="0.2">
      <c r="E92" s="113"/>
      <c r="N92" s="52"/>
      <c r="T92" s="2"/>
      <c r="Z92" s="52"/>
      <c r="AA92"/>
      <c r="BB92" s="52"/>
    </row>
    <row r="93" spans="1:54" x14ac:dyDescent="0.2">
      <c r="E93" s="113"/>
    </row>
    <row r="94" spans="1:54" x14ac:dyDescent="0.2">
      <c r="E94" s="113"/>
    </row>
    <row r="95" spans="1:54" x14ac:dyDescent="0.2">
      <c r="E95" s="113"/>
    </row>
    <row r="135" spans="5:5" x14ac:dyDescent="0.2">
      <c r="E135" s="113"/>
    </row>
    <row r="136" spans="5:5" x14ac:dyDescent="0.2">
      <c r="E136" s="113"/>
    </row>
    <row r="137" spans="5:5" x14ac:dyDescent="0.2">
      <c r="E137" s="113"/>
    </row>
    <row r="138" spans="5:5" x14ac:dyDescent="0.2">
      <c r="E138" s="113"/>
    </row>
  </sheetData>
  <phoneticPr fontId="6" type="noConversion"/>
  <pageMargins left="0.22" right="0.19" top="0.61" bottom="1" header="0.5" footer="0.5"/>
  <pageSetup scale="63" fitToHeight="2" orientation="landscape" r:id="rId1"/>
  <headerFooter alignWithMargins="0"/>
  <rowBreaks count="1" manualBreakCount="1"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Historical</vt:lpstr>
      <vt:lpstr>Historical CF</vt:lpstr>
      <vt:lpstr>Forecast</vt:lpstr>
      <vt:lpstr>Assumptions</vt:lpstr>
      <vt:lpstr>Assumptions!Print_Area</vt:lpstr>
      <vt:lpstr>Forecast!Print_Area</vt:lpstr>
      <vt:lpstr>Historical!Print_Area</vt:lpstr>
      <vt:lpstr>'Historical CF'!Print_Area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Peterson</dc:creator>
  <cp:lastModifiedBy>laurieharris</cp:lastModifiedBy>
  <cp:lastPrinted>2018-06-05T19:15:09Z</cp:lastPrinted>
  <dcterms:created xsi:type="dcterms:W3CDTF">2005-09-19T14:11:29Z</dcterms:created>
  <dcterms:modified xsi:type="dcterms:W3CDTF">2018-06-12T15:24:12Z</dcterms:modified>
</cp:coreProperties>
</file>