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120" windowHeight="9120" firstSheet="1" activeTab="2"/>
  </bookViews>
  <sheets>
    <sheet name="DDM 01 - LNP Revenue" sheetId="1" r:id="rId1"/>
    <sheet name="DDM 02 - page 1" sheetId="2" r:id="rId2"/>
    <sheet name="DDM 03" sheetId="3" r:id="rId3"/>
    <sheet name="DDM 04" sheetId="4" r:id="rId4"/>
    <sheet name="DDM 05 - page 1" sheetId="5" r:id="rId5"/>
    <sheet name="DDM 05 - page 2" sheetId="6" r:id="rId6"/>
    <sheet name="DDM 06 - page 1" sheetId="7" r:id="rId7"/>
    <sheet name="DDM 06 - page 2" sheetId="8" r:id="rId8"/>
  </sheets>
  <externalReferences>
    <externalReference r:id="rId11"/>
    <externalReference r:id="rId12"/>
    <externalReference r:id="rId13"/>
    <externalReference r:id="rId14"/>
    <externalReference r:id="rId15"/>
  </externalReferences>
  <definedNames>
    <definedName name="\0">'[4]COMPARE'!#REF!</definedName>
    <definedName name="\m">'[3]PLTSUM'!#REF!</definedName>
    <definedName name="_1">'[3]PLTSUM'!$A$1:$J$55</definedName>
    <definedName name="_Order1" hidden="1">0</definedName>
    <definedName name="_Order2" hidden="1">0</definedName>
    <definedName name="Acct_Desc">#REF!</definedName>
    <definedName name="Acct_Desc_2004">#REF!</definedName>
    <definedName name="BSF36EXP">#REF!</definedName>
    <definedName name="BSF36INV">#REF!</definedName>
    <definedName name="BSF69EXPER">#REF!</definedName>
    <definedName name="BSF69EXPRA">#REF!</definedName>
    <definedName name="BSF69EXPTI">#REF!</definedName>
    <definedName name="BSF69INVER">#REF!</definedName>
    <definedName name="BSF69INVRA">#REF!</definedName>
    <definedName name="BSF69INVTI">#REF!</definedName>
    <definedName name="BsfTitles">#REF!</definedName>
    <definedName name="CAP_W_O_TIER" localSheetId="2">'[5]RBASE:COSTCAP'!$B$34:$R$209</definedName>
    <definedName name="CAP_W_O_TIER" localSheetId="4">'[5]RBASE:COSTCAP'!$B$34:$R$209</definedName>
    <definedName name="CAP_W_O_TIER">'[1]RBASE:COSTCAP'!$B$34:$R$209</definedName>
    <definedName name="CAPITAL" localSheetId="2">'[5]RBASE:COSTCAP'!$B$37:$R$209</definedName>
    <definedName name="CAPITAL" localSheetId="4">'[5]RBASE:COSTCAP'!$B$37:$R$209</definedName>
    <definedName name="CAPITAL">'[1]RBASE:COSTCAP'!$B$37:$R$209</definedName>
    <definedName name="CompanyName">#REF!</definedName>
    <definedName name="DEPRECIATION" localSheetId="2">'[5]DEPR'!#REF!</definedName>
    <definedName name="DEPRECIATION" localSheetId="4">'[5]DEPR'!#REF!</definedName>
    <definedName name="DEPRECIATION">'[1]DEPR'!#REF!</definedName>
    <definedName name="FactorFileLoaded">#REF!</definedName>
    <definedName name="INPUT1">#REF!</definedName>
    <definedName name="INPUT2">#REF!</definedName>
    <definedName name="INPUT3">#REF!</definedName>
    <definedName name="InputTitles">#REF!</definedName>
    <definedName name="INTER1">#REF!</definedName>
    <definedName name="INTER2">#REF!</definedName>
    <definedName name="MENU1">'[3]PLTSUM'!#REF!</definedName>
    <definedName name="MM">'[4]COMPARE'!#REF!</definedName>
    <definedName name="MonthlyCostTitles">#REF!</definedName>
    <definedName name="MRS">#REF!</definedName>
    <definedName name="NetPlant36">#REF!</definedName>
    <definedName name="NetPlantEr">#REF!</definedName>
    <definedName name="NetPlantRaEr">#REF!</definedName>
    <definedName name="NetPlantRaRa">#REF!</definedName>
    <definedName name="OperExpense36">#REF!</definedName>
    <definedName name="OperExpense362">#REF!</definedName>
    <definedName name="OperExpenseEr">#REF!</definedName>
    <definedName name="OperExpenseEr2">#REF!</definedName>
    <definedName name="OperExpenseRaEr">#REF!</definedName>
    <definedName name="OperExpenseRaEr2">#REF!</definedName>
    <definedName name="OperExpenseRaRa">#REF!</definedName>
    <definedName name="OperExpenseRaRa2">#REF!</definedName>
    <definedName name="PART36">#REF!</definedName>
    <definedName name="PART361">#REF!</definedName>
    <definedName name="Part69Titles">#REF!</definedName>
    <definedName name="_xlnm.Print_Area" localSheetId="0">'DDM 01 - LNP Revenue'!$A$1:$I$62</definedName>
    <definedName name="_xlnm.Print_Area" localSheetId="1">'DDM 02 - page 1'!$A$1:$F$40</definedName>
    <definedName name="_xlnm.Print_Area" localSheetId="2">'DDM 03'!$A$1:$L$54</definedName>
    <definedName name="_xlnm.Print_Area" localSheetId="3">'DDM 04'!$A$1:$V$83</definedName>
    <definedName name="_xlnm.Print_Area" localSheetId="4">'DDM 05 - page 1'!$A$1:$Q$64</definedName>
    <definedName name="_xlnm.Print_Area" localSheetId="5">'DDM 05 - page 2'!$A$1:$O$50</definedName>
    <definedName name="_xlnm.Print_Area" localSheetId="6">'DDM 06 - page 1'!$A$1:$G$49</definedName>
    <definedName name="_xlnm.Print_Area" localSheetId="7">'DDM 06 - page 2'!$A$1:$J$31</definedName>
    <definedName name="_xlnm.Print_Titles" localSheetId="2">'DDM 03'!$A:$C</definedName>
    <definedName name="_xlnm.Print_Titles" localSheetId="4">'DDM 05 - page 1'!$A:$C</definedName>
    <definedName name="RAER1">#REF!</definedName>
    <definedName name="RAER2">#REF!</definedName>
    <definedName name="RARA1">#REF!</definedName>
    <definedName name="RARA2">#REF!</definedName>
    <definedName name="RevPaySummary">#REF!</definedName>
    <definedName name="RevReq36">#REF!</definedName>
    <definedName name="RevReqEr">#REF!</definedName>
    <definedName name="RevReqRaEr">#REF!</definedName>
    <definedName name="RevReqRaRa">#REF!</definedName>
    <definedName name="Ror36">#REF!</definedName>
    <definedName name="RorAnalysisSummary">#REF!</definedName>
    <definedName name="RorEr">#REF!</definedName>
    <definedName name="RorRaEr">#REF!</definedName>
    <definedName name="RorRaRa">#REF!</definedName>
    <definedName name="RorSummary">#REF!</definedName>
    <definedName name="SAC">#REF!</definedName>
    <definedName name="StudyPeriod">#REF!</definedName>
    <definedName name="TitleColumns">#REF!</definedName>
    <definedName name="TRP1A">#REF!</definedName>
    <definedName name="TRP1B">#REF!</definedName>
    <definedName name="TRP2A">#REF!</definedName>
    <definedName name="TRP2B">#REF!</definedName>
    <definedName name="TrpDescTitles">#REF!</definedName>
    <definedName name="TrpSummary">#REF!</definedName>
    <definedName name="TrpTitles">#REF!</definedName>
    <definedName name="Ver">#REF!</definedName>
    <definedName name="ZERO">'[4]COMPARE'!#REF!</definedName>
  </definedNames>
  <calcPr fullCalcOnLoad="1"/>
</workbook>
</file>

<file path=xl/comments1.xml><?xml version="1.0" encoding="utf-8"?>
<comments xmlns="http://schemas.openxmlformats.org/spreadsheetml/2006/main">
  <authors>
    <author>Scott Duncan</author>
  </authors>
  <commentList>
    <comment ref="B56" authorId="0">
      <text>
        <r>
          <rPr>
            <b/>
            <sz val="10"/>
            <rFont val="Tahoma"/>
            <family val="0"/>
          </rPr>
          <t>Scott Duncan:</t>
        </r>
        <r>
          <rPr>
            <sz val="10"/>
            <rFont val="Tahoma"/>
            <family val="0"/>
          </rPr>
          <t xml:space="preserve">
</t>
        </r>
      </text>
    </comment>
  </commentList>
</comments>
</file>

<file path=xl/comments4.xml><?xml version="1.0" encoding="utf-8"?>
<comments xmlns="http://schemas.openxmlformats.org/spreadsheetml/2006/main">
  <authors>
    <author>Natalie Collard</author>
    <author>Natalie</author>
  </authors>
  <commentList>
    <comment ref="M23" authorId="0">
      <text>
        <r>
          <rPr>
            <b/>
            <sz val="8"/>
            <rFont val="Tahoma"/>
            <family val="0"/>
          </rPr>
          <t>Natalie Collard:</t>
        </r>
        <r>
          <rPr>
            <sz val="8"/>
            <rFont val="Tahoma"/>
            <family val="0"/>
          </rPr>
          <t xml:space="preserve">
did not remove June's xtra depreciation.  Reduced August dpr by 522.90
</t>
        </r>
      </text>
    </comment>
    <comment ref="U25" authorId="1">
      <text>
        <r>
          <rPr>
            <b/>
            <sz val="8"/>
            <rFont val="Tahoma"/>
            <family val="0"/>
          </rPr>
          <t>Natalie:</t>
        </r>
        <r>
          <rPr>
            <sz val="8"/>
            <rFont val="Tahoma"/>
            <family val="0"/>
          </rPr>
          <t xml:space="preserve">
done in Dec. 2002 with a JE 40</t>
        </r>
      </text>
    </comment>
  </commentList>
</comments>
</file>

<file path=xl/sharedStrings.xml><?xml version="1.0" encoding="utf-8"?>
<sst xmlns="http://schemas.openxmlformats.org/spreadsheetml/2006/main" count="810" uniqueCount="486">
  <si>
    <t>CARBON/EMERY TELCOM</t>
  </si>
  <si>
    <t>Reply Exhbit DDM-01</t>
  </si>
  <si>
    <t>Local Number Portability</t>
  </si>
  <si>
    <t>LNP End User Charge Rate Development</t>
  </si>
  <si>
    <t>Year</t>
  </si>
  <si>
    <t>Line</t>
  </si>
  <si>
    <t>Item</t>
  </si>
  <si>
    <t>Source</t>
  </si>
  <si>
    <t>Investment</t>
  </si>
  <si>
    <t>LNP End User Investment</t>
  </si>
  <si>
    <t>Sup F  Line 33</t>
  </si>
  <si>
    <t>Present Value Factors</t>
  </si>
  <si>
    <t>See Box 2</t>
  </si>
  <si>
    <t>Present Value of Investment</t>
  </si>
  <si>
    <t>Line 1 * Line 2</t>
  </si>
  <si>
    <t>Sum of Present Value of Capital</t>
  </si>
  <si>
    <t>Sum of Line 3</t>
  </si>
  <si>
    <t>Expenses</t>
  </si>
  <si>
    <t>Expenses (NeuStar Regional Data Base &amp; SLA Admin)</t>
  </si>
  <si>
    <t>Sup F  Line 36</t>
  </si>
  <si>
    <t>Present Value of Expenses</t>
  </si>
  <si>
    <t>Line 5 * Line 2</t>
  </si>
  <si>
    <t>Sum Of Present Value of Expenses</t>
  </si>
  <si>
    <t>Sum of Line 6</t>
  </si>
  <si>
    <t>Access Lines</t>
  </si>
  <si>
    <t>PBX Lines at 9 to 1 Equivalency</t>
  </si>
  <si>
    <t>Input Line 1j</t>
  </si>
  <si>
    <t>ISDN-PRI Lines at 5 to 1 Equivalency per PRI Arrangement</t>
  </si>
  <si>
    <t>Input Line 1i</t>
  </si>
  <si>
    <t>Other</t>
  </si>
  <si>
    <t>Input Line 1h</t>
  </si>
  <si>
    <t>Total Chargeable Lines</t>
  </si>
  <si>
    <t xml:space="preserve">  SUM Lines 8, 9 and 10</t>
  </si>
  <si>
    <t>Present Value of Chargeable lines</t>
  </si>
  <si>
    <t>Line 11 * Line 2</t>
  </si>
  <si>
    <t>Sum of Present Value of Chargeable Lines</t>
  </si>
  <si>
    <t>Sum of Line 12</t>
  </si>
  <si>
    <t>Summary of Costs</t>
  </si>
  <si>
    <t>Sum Of Present Value of Investment and Expensests</t>
  </si>
  <si>
    <t>Line 4 + Line 7</t>
  </si>
  <si>
    <t>Rate Development</t>
  </si>
  <si>
    <t>LNP End User Basic Charge</t>
  </si>
  <si>
    <t>(Line 14 / Line 13)  / 12</t>
  </si>
  <si>
    <t>LNP End User PRI-ISDN Charge</t>
  </si>
  <si>
    <t>Line 15 * 5</t>
  </si>
  <si>
    <t>LNP End User PBX Charge</t>
  </si>
  <si>
    <t>Line 15 * 9</t>
  </si>
  <si>
    <t>Annual Revenue</t>
  </si>
  <si>
    <t>Line 10 * Line 15 * 12</t>
  </si>
  <si>
    <t>Line 9 * Line 16 * 12</t>
  </si>
  <si>
    <t>Line 8 * Line 17 * 12</t>
  </si>
  <si>
    <t xml:space="preserve">   Total</t>
  </si>
  <si>
    <t xml:space="preserve">  Sum Lines 18 thru 20</t>
  </si>
  <si>
    <t>CURRENT FCC PRESCRIBED RATE OF RETURN and RELATED CAPITAL STRUCTURE (Box 1)</t>
  </si>
  <si>
    <t>A</t>
  </si>
  <si>
    <t>B</t>
  </si>
  <si>
    <t>C</t>
  </si>
  <si>
    <t>Debt</t>
  </si>
  <si>
    <t>Equity</t>
  </si>
  <si>
    <t>Combined</t>
  </si>
  <si>
    <t>Cost</t>
  </si>
  <si>
    <t>FCC Prescription</t>
  </si>
  <si>
    <t>D/E Ratio</t>
  </si>
  <si>
    <t>Return</t>
  </si>
  <si>
    <t>Combined Federal and State Tax Rate</t>
  </si>
  <si>
    <t>35% Federal - No State</t>
  </si>
  <si>
    <t>Tax Gross Up Rate</t>
  </si>
  <si>
    <t>Line 4 / (1 - Line 4)</t>
  </si>
  <si>
    <t>Tax Increment for Equity</t>
  </si>
  <si>
    <t>Line 3 * Line 5</t>
  </si>
  <si>
    <t>Grossed Up Return Rate</t>
  </si>
  <si>
    <t>Line 3 + Line 6</t>
  </si>
  <si>
    <t>Rounded Return Rate</t>
  </si>
  <si>
    <t>DISCOUNT FACTORS (Box 2)</t>
  </si>
  <si>
    <t xml:space="preserve">n = Years </t>
  </si>
  <si>
    <t>PV Discount Factor</t>
  </si>
  <si>
    <t>"Interest" (Return Rate)</t>
  </si>
  <si>
    <t>Per Line 8  Column C</t>
  </si>
  <si>
    <t>PMT  = "Payment" Amount (Annuity)</t>
  </si>
  <si>
    <t>Input Value of 1 for Factor Development</t>
  </si>
  <si>
    <t>Year 1</t>
  </si>
  <si>
    <t>PV Factor = Line 2 /((1+ Line 1)^Col B)</t>
  </si>
  <si>
    <t>Year 2</t>
  </si>
  <si>
    <t xml:space="preserve">                 "                         "</t>
  </si>
  <si>
    <t>Year 3</t>
  </si>
  <si>
    <t>Year 4</t>
  </si>
  <si>
    <t>Year 5</t>
  </si>
  <si>
    <t>Carbon/Emery Telcom</t>
  </si>
  <si>
    <t>Reply Exhibit DDM - 02</t>
  </si>
  <si>
    <t>Plant Adjustment for Known and Measurable Additions</t>
  </si>
  <si>
    <t>Page 1</t>
  </si>
  <si>
    <t>Account Summary and Intrastate Portion</t>
  </si>
  <si>
    <t>Intrastate</t>
  </si>
  <si>
    <t>Account</t>
  </si>
  <si>
    <t>Description</t>
  </si>
  <si>
    <t>Plant Additions</t>
  </si>
  <si>
    <t>Factor</t>
  </si>
  <si>
    <t>Portion</t>
  </si>
  <si>
    <t>D</t>
  </si>
  <si>
    <t>E = C * D</t>
  </si>
  <si>
    <t>General Support Plant</t>
  </si>
  <si>
    <t>Land</t>
  </si>
  <si>
    <t>Motor Vehicles</t>
  </si>
  <si>
    <t>Other Work Equipment</t>
  </si>
  <si>
    <t>Buildings</t>
  </si>
  <si>
    <t>Office Furniture</t>
  </si>
  <si>
    <t>Communications Equipment</t>
  </si>
  <si>
    <t>General Purpose Computer</t>
  </si>
  <si>
    <t>Sub-Total</t>
  </si>
  <si>
    <t>Central Office Plant</t>
  </si>
  <si>
    <t>Central Office Switching</t>
  </si>
  <si>
    <t>Digital Electronic Switching</t>
  </si>
  <si>
    <t>Interexchange Circuit Equipment</t>
  </si>
  <si>
    <t>Mincrowave Transmission</t>
  </si>
  <si>
    <t>Subscriber Circuit Equipment</t>
  </si>
  <si>
    <t>Other Terminal Equipment</t>
  </si>
  <si>
    <t>Poles</t>
  </si>
  <si>
    <t>Aerial Cable</t>
  </si>
  <si>
    <t>Underground Cable</t>
  </si>
  <si>
    <t>Buried Cable</t>
  </si>
  <si>
    <t>Intrabuiliding Network</t>
  </si>
  <si>
    <t>Aerial Wire</t>
  </si>
  <si>
    <t>Conduit Systems</t>
  </si>
  <si>
    <t>Total</t>
  </si>
  <si>
    <t>Page 2</t>
  </si>
  <si>
    <t>Difference</t>
  </si>
  <si>
    <t>January</t>
  </si>
  <si>
    <t>E</t>
  </si>
  <si>
    <t>F</t>
  </si>
  <si>
    <t>G</t>
  </si>
  <si>
    <t>H</t>
  </si>
  <si>
    <t>J</t>
  </si>
  <si>
    <t>L</t>
  </si>
  <si>
    <t>M</t>
  </si>
  <si>
    <t>P</t>
  </si>
  <si>
    <t>Carbon/Emory Telcom</t>
  </si>
  <si>
    <t>Reply Exhibit DDM-03</t>
  </si>
  <si>
    <t>DEPRECIATION ADJUSTMENT = For  Known and Measurable Plant Additions</t>
  </si>
  <si>
    <t>Depreciation on Known and Measurable Plant Additions</t>
  </si>
  <si>
    <t>Additional</t>
  </si>
  <si>
    <t xml:space="preserve">Total </t>
  </si>
  <si>
    <t>Less  Deprec.</t>
  </si>
  <si>
    <t>Adjusted</t>
  </si>
  <si>
    <t>Ln</t>
  </si>
  <si>
    <t xml:space="preserve">Plant </t>
  </si>
  <si>
    <t>Depreciation</t>
  </si>
  <si>
    <t>Depr. Due to</t>
  </si>
  <si>
    <t>Deprec.</t>
  </si>
  <si>
    <t>on Fully Depr.</t>
  </si>
  <si>
    <t>Intraststate</t>
  </si>
  <si>
    <t>#</t>
  </si>
  <si>
    <t>Additons</t>
  </si>
  <si>
    <t>Deprec. Rates</t>
  </si>
  <si>
    <t>Expense</t>
  </si>
  <si>
    <t>Fully Deprec.</t>
  </si>
  <si>
    <t>for K &amp; M</t>
  </si>
  <si>
    <t>Accounts</t>
  </si>
  <si>
    <t>on K &amp; M</t>
  </si>
  <si>
    <t>D = Ex 5.1.2</t>
  </si>
  <si>
    <t>F = D * E</t>
  </si>
  <si>
    <t>G =  See Note A</t>
  </si>
  <si>
    <t>H = F + G</t>
  </si>
  <si>
    <t>I</t>
  </si>
  <si>
    <t>J = H + I</t>
  </si>
  <si>
    <t>Cable &amp; Wire Facilities</t>
  </si>
  <si>
    <t>Accumulated Deprecitaion Effect</t>
  </si>
  <si>
    <t>To Reply Exhibit DDM-05</t>
  </si>
  <si>
    <t>Intrastate Factor for Accumulated Depreciation</t>
  </si>
  <si>
    <t>Intrastate Portion of Addition to Accumulated Depreciation for Known and Measurable Plant Adds</t>
  </si>
  <si>
    <t/>
  </si>
  <si>
    <t>Reply Exhibit DDM 04</t>
  </si>
  <si>
    <t>Recalculation of 12/31/2004 Central Office Switching Equipment Accumulated Depreciation at Authorized Rates</t>
  </si>
  <si>
    <t>2001 Annual Accumulated Depreciation Activity for Account</t>
  </si>
  <si>
    <t>2001</t>
  </si>
  <si>
    <t>Depr</t>
  </si>
  <si>
    <t>February</t>
  </si>
  <si>
    <t>March</t>
  </si>
  <si>
    <t>April</t>
  </si>
  <si>
    <t>May</t>
  </si>
  <si>
    <t>June</t>
  </si>
  <si>
    <t>July</t>
  </si>
  <si>
    <t>August</t>
  </si>
  <si>
    <t>September</t>
  </si>
  <si>
    <t>October</t>
  </si>
  <si>
    <t>November</t>
  </si>
  <si>
    <t>December</t>
  </si>
  <si>
    <t>Total 2001</t>
  </si>
  <si>
    <t>Accum. Deprec.</t>
  </si>
  <si>
    <t>Adjustments/</t>
  </si>
  <si>
    <t>Rate</t>
  </si>
  <si>
    <t>At Acquisition</t>
  </si>
  <si>
    <t>Retirements</t>
  </si>
  <si>
    <t>at 12/31/2001</t>
  </si>
  <si>
    <t>Central Office - Digital as Booked</t>
  </si>
  <si>
    <t>Central Office - Switching</t>
  </si>
  <si>
    <t xml:space="preserve">  Depreciation Expense</t>
  </si>
  <si>
    <t xml:space="preserve">  Combined  </t>
  </si>
  <si>
    <t>Combined at Approved Rate</t>
  </si>
  <si>
    <t>Depreciation Expense</t>
  </si>
  <si>
    <t>Difference in Depreciation Expense</t>
  </si>
  <si>
    <t>Cumulative Difference in Accumulated Depreciation</t>
  </si>
  <si>
    <t>2002</t>
  </si>
  <si>
    <t>Total 2002</t>
  </si>
  <si>
    <t>At 12/31/2001</t>
  </si>
  <si>
    <t>at 12/31/2002</t>
  </si>
  <si>
    <t>2003 Annual Accumulated Depreciation Activity for Account</t>
  </si>
  <si>
    <t>2003</t>
  </si>
  <si>
    <t>Total 2003</t>
  </si>
  <si>
    <t>At 12/31/2002</t>
  </si>
  <si>
    <t>at 12/31/2003</t>
  </si>
  <si>
    <t>2004</t>
  </si>
  <si>
    <t>Total 2004</t>
  </si>
  <si>
    <t>At 12/31/2003</t>
  </si>
  <si>
    <t>at 12/31/2004</t>
  </si>
  <si>
    <t>RECAP OF RESTATED ACCUMULATED DEPRECIATION RESERVE FOR DIGITAL ELECTRONIC SWITCHING</t>
  </si>
  <si>
    <t>Per Books 12/31/2004</t>
  </si>
  <si>
    <t>Restated 12/31/2004</t>
  </si>
  <si>
    <t>Required Adjustment</t>
  </si>
  <si>
    <t>Total Company</t>
  </si>
  <si>
    <t>Intrastate Factor</t>
  </si>
  <si>
    <t>K</t>
  </si>
  <si>
    <t>L = J * K</t>
  </si>
  <si>
    <t>N = J - F</t>
  </si>
  <si>
    <t>O</t>
  </si>
  <si>
    <t>P = N * O</t>
  </si>
  <si>
    <t>Plant Investment Account 2210</t>
  </si>
  <si>
    <t>Plant Investment Accpimt 2212</t>
  </si>
  <si>
    <t xml:space="preserve">  Combined</t>
  </si>
  <si>
    <t>Accumulated Depreciation Account 2210</t>
  </si>
  <si>
    <t>Accumulated Depreciation Account 2212</t>
  </si>
  <si>
    <t>Net Plant 2210</t>
  </si>
  <si>
    <t>Net Plant 2212</t>
  </si>
  <si>
    <t>Depreciation Rate</t>
  </si>
  <si>
    <t>Annual Depreciation</t>
  </si>
  <si>
    <t>Remaining Years Annual Depreciation at 12/31/2004</t>
  </si>
  <si>
    <t>Months in Year</t>
  </si>
  <si>
    <t>Months of Depreciation</t>
  </si>
  <si>
    <t>Projected Completion of Capital Recovery</t>
  </si>
  <si>
    <t>7/02/2010</t>
  </si>
  <si>
    <t>Reply Exhibit DDM 05</t>
  </si>
  <si>
    <t>DEPRECIATION ADJUSTMENT = Pro Forma 2005 - Without Known and Measurable Plant Additions</t>
  </si>
  <si>
    <t>Plant in Service</t>
  </si>
  <si>
    <t>Accumulated Depreciation</t>
  </si>
  <si>
    <t>Depreciation Exense</t>
  </si>
  <si>
    <t>Compnay</t>
  </si>
  <si>
    <t>Reclass of</t>
  </si>
  <si>
    <t>Adjustment</t>
  </si>
  <si>
    <t>Depreciaton</t>
  </si>
  <si>
    <t>Pro Forma</t>
  </si>
  <si>
    <t>Proposed</t>
  </si>
  <si>
    <t>Balance</t>
  </si>
  <si>
    <t>Account 2210</t>
  </si>
  <si>
    <t xml:space="preserve">for </t>
  </si>
  <si>
    <t>Net Plant</t>
  </si>
  <si>
    <t>Per Books</t>
  </si>
  <si>
    <t>Rates</t>
  </si>
  <si>
    <t xml:space="preserve">from </t>
  </si>
  <si>
    <t>Accumulated</t>
  </si>
  <si>
    <t>to 2212</t>
  </si>
  <si>
    <t>Auth. Rate</t>
  </si>
  <si>
    <t>2004 Book</t>
  </si>
  <si>
    <t xml:space="preserve">I </t>
  </si>
  <si>
    <t>N</t>
  </si>
  <si>
    <t>Q</t>
  </si>
  <si>
    <t>See Exh 5.3.2</t>
  </si>
  <si>
    <t>D + E</t>
  </si>
  <si>
    <t>See Exh 5.3.2, 5.3.3</t>
  </si>
  <si>
    <t>G + H</t>
  </si>
  <si>
    <t>F - I</t>
  </si>
  <si>
    <t>If J = 0, M = 0,</t>
  </si>
  <si>
    <t>M - K</t>
  </si>
  <si>
    <t>I + M</t>
  </si>
  <si>
    <t>DDM 03 EX 5.2.1</t>
  </si>
  <si>
    <t>O + P</t>
  </si>
  <si>
    <t>If J &gt; 0  and J &lt; F * L ,</t>
  </si>
  <si>
    <t>M = J, else</t>
  </si>
  <si>
    <t>M = C * L</t>
  </si>
  <si>
    <t>LAND</t>
  </si>
  <si>
    <t>MOTOR VEHICLES</t>
  </si>
  <si>
    <t>OTHER WORK EQUIPM</t>
  </si>
  <si>
    <t>BUILDINGS</t>
  </si>
  <si>
    <t>OFFICE FURNITURE</t>
  </si>
  <si>
    <t>COMMUNICATIONS EQ</t>
  </si>
  <si>
    <t>GENERAL PURPOSE C</t>
  </si>
  <si>
    <t>CENTRAL OFFICE SW</t>
  </si>
  <si>
    <t>DIGITAL ELECTRONIC</t>
  </si>
  <si>
    <t>INTEREXCHANGE CIR</t>
  </si>
  <si>
    <t>MICROWAVE TRANSMI</t>
  </si>
  <si>
    <t>SUBSCRIBER CIRCUI</t>
  </si>
  <si>
    <t>OTHER TERMINAL EQ</t>
  </si>
  <si>
    <t>POLES</t>
  </si>
  <si>
    <t>AERIAL CABLE</t>
  </si>
  <si>
    <t>UNDERGROUND CABLE</t>
  </si>
  <si>
    <t>BURIED CABLE</t>
  </si>
  <si>
    <t>INTRABUILDING NET</t>
  </si>
  <si>
    <t>AERIAL WIRE</t>
  </si>
  <si>
    <t>CONDUIT SYSTEMS</t>
  </si>
  <si>
    <t>Intrastate Depreciation Expense Factor</t>
  </si>
  <si>
    <t>Intrastate Accumulated Depreciation Factor</t>
  </si>
  <si>
    <t>Intrastate Depreciation Expense Adjust,emt</t>
  </si>
  <si>
    <t>Intrastate Accumulated Depreciation Adjustment</t>
  </si>
  <si>
    <t>Company Recommended Adjustment</t>
  </si>
  <si>
    <t>Computation of Year End accumulated Depreciation  Adjustments</t>
  </si>
  <si>
    <t xml:space="preserve">Total Company </t>
  </si>
  <si>
    <t>Instrastate Factor</t>
  </si>
  <si>
    <t xml:space="preserve">Intrastate </t>
  </si>
  <si>
    <t xml:space="preserve">   December 31, 2004 balance - Columng G, Lines  43, 49  Above</t>
  </si>
  <si>
    <t xml:space="preserve">   Adjustment to Reserve for Depreciation of Account 2212 Over Authorized Rate - Column H - Lines 43. 49</t>
  </si>
  <si>
    <t xml:space="preserve">   2005 Known and Measurable addition amount to Reserve - See above - Column M, Lines 43, 49 Above</t>
  </si>
  <si>
    <t xml:space="preserve">   December 31, 2005 balance - Sum of Lines 52 through 54</t>
  </si>
  <si>
    <t xml:space="preserve">   Less amount on filing - See Exhibits S-1/S-9</t>
  </si>
  <si>
    <t xml:space="preserve">   Required adjustment  - Line 57 + Line 58  Corresponding to DPU 11</t>
  </si>
  <si>
    <t xml:space="preserve">   Accumulated Depreciation Adjustment for Known and Measurable Additions - Corresponding to DPU 10 from DDM 03 - Exh 5.2.1</t>
  </si>
  <si>
    <t>Proposed Adjusted Balance for Accumulated Depreciation</t>
  </si>
  <si>
    <t>Reply Exhibit DDM-05</t>
  </si>
  <si>
    <t>Summary of Adjustments for Rate Base Items and Depreciation Expense</t>
  </si>
  <si>
    <t>DEPRECIATION EXPENSE</t>
  </si>
  <si>
    <t>S-9 and S-1 Column M</t>
  </si>
  <si>
    <t>Eliminate 2004 Trial Bal. Depreciation</t>
  </si>
  <si>
    <t>Reverse Column G - Overstated Depreciation</t>
  </si>
  <si>
    <t>Reverse Column G - Depr Rate Increase</t>
  </si>
  <si>
    <t>Depreciation Calculated  at New Rates Without Additions</t>
  </si>
  <si>
    <t>DPU Adjustment    Column 10</t>
  </si>
  <si>
    <t xml:space="preserve"> Depreciation on Known and Measurable Additions</t>
  </si>
  <si>
    <t xml:space="preserve">Reverse S-1 Col F Depr on Plant Adjustments </t>
  </si>
  <si>
    <t>DPU Adjustment    Column 9</t>
  </si>
  <si>
    <t>DPU Proposed  Depreciation DPU 1.2 Page 4</t>
  </si>
  <si>
    <t>COMBINED ADJUSTMENTS</t>
  </si>
  <si>
    <t>PER STAFF</t>
  </si>
  <si>
    <t>Cols D+E+F+G</t>
  </si>
  <si>
    <t>Cols I + J</t>
  </si>
  <si>
    <t>Cols C + H + K</t>
  </si>
  <si>
    <t>S9 Depreciation</t>
  </si>
  <si>
    <t>DPU 5.3</t>
  </si>
  <si>
    <t>DPU 5.3 and 5.3.1</t>
  </si>
  <si>
    <t>DPU  Ex 5.3</t>
  </si>
  <si>
    <t>DPU  5.2.1</t>
  </si>
  <si>
    <t>DPU  5.2</t>
  </si>
  <si>
    <t>DPU 5.2</t>
  </si>
  <si>
    <t>S1 Depreciation</t>
  </si>
  <si>
    <t>PER COMPANY</t>
  </si>
  <si>
    <t>S-9 Col D Line 14</t>
  </si>
  <si>
    <t>CE Exh 5.3.1</t>
  </si>
  <si>
    <t>CE Exh 5.2.1 Ln 39</t>
  </si>
  <si>
    <t>Company Revised Intrastate Adjustments Over DPU Staff</t>
  </si>
  <si>
    <t>ACCUMULATED DEPRECIATION</t>
  </si>
  <si>
    <t>Eliminate Column M Amounts</t>
  </si>
  <si>
    <t>Adjustment for Understated Depreciation</t>
  </si>
  <si>
    <t>Add 12/31/2004 Accum Depr. Per Trial Bal.</t>
  </si>
  <si>
    <t>2005 Known and Measurable Depreciation</t>
  </si>
  <si>
    <t>Adjustment for Excess Depreciation Account 2212</t>
  </si>
  <si>
    <t>DPU Adjustment    Column 11</t>
  </si>
  <si>
    <t>Accumulated Depr. After DPU 11</t>
  </si>
  <si>
    <t>DPU Proposed Accum. Depr. DPU 1.2 Page 4</t>
  </si>
  <si>
    <t>Cols C + I</t>
  </si>
  <si>
    <t>Cols  K + L</t>
  </si>
  <si>
    <t>Cols J + Col M</t>
  </si>
  <si>
    <t>S9 Accumulated Depreciation</t>
  </si>
  <si>
    <t>DPU 5.3.1</t>
  </si>
  <si>
    <t>S1 Accumulated Depreciation</t>
  </si>
  <si>
    <t>DPU mehtodology did not need to adjust for this.</t>
  </si>
  <si>
    <t>CE 5.3.1</t>
  </si>
  <si>
    <t>CE Exh 5.2.1 Ln 38</t>
  </si>
  <si>
    <t>CE 5.3.2</t>
  </si>
  <si>
    <t>TEL. PLANT IN SERVICE</t>
  </si>
  <si>
    <t>Reverse Company Adjustments</t>
  </si>
  <si>
    <t>2005 Known and Measurable Additions</t>
  </si>
  <si>
    <t>DPU Adjustment    Column 8</t>
  </si>
  <si>
    <t>TEL. PLANT Under Construction</t>
  </si>
  <si>
    <t>Known and Meas.</t>
  </si>
  <si>
    <t>Cols B + C</t>
  </si>
  <si>
    <t>Cols L + M</t>
  </si>
  <si>
    <t>S9 Plant in Service</t>
  </si>
  <si>
    <t>S9 Tel. Plant Under Construction</t>
  </si>
  <si>
    <t>DPU 5.1</t>
  </si>
  <si>
    <t>S1 Plant in Service</t>
  </si>
  <si>
    <t>S1 Tel. Plant Under Construction</t>
  </si>
  <si>
    <t>CE EXH 5.1.2</t>
  </si>
  <si>
    <t>MATERIALS AND SUPPLIES</t>
  </si>
  <si>
    <t>DPU Clerical Correction / Company Proposed Adjustment</t>
  </si>
  <si>
    <t>DPU Adjustment    Column XX</t>
  </si>
  <si>
    <t>Cols D + E</t>
  </si>
  <si>
    <t>S9 -  Materials and Supplies</t>
  </si>
  <si>
    <t>S1 -  Materials and Supplies</t>
  </si>
  <si>
    <t>CARBON/EMERY RATE CASE</t>
  </si>
  <si>
    <t>Reply Exhibit DDM-06</t>
  </si>
  <si>
    <t>RETURN AND TAX CALCULATION</t>
  </si>
  <si>
    <t>CAPITAL STRUCTURE   - 50/50 DEBT TO EQUITY</t>
  </si>
  <si>
    <t>Capital</t>
  </si>
  <si>
    <t>Weighted</t>
  </si>
  <si>
    <t>Amount</t>
  </si>
  <si>
    <t>Ratio</t>
  </si>
  <si>
    <t>a</t>
  </si>
  <si>
    <t>LONG TERM DEBT</t>
  </si>
  <si>
    <t>50% of Total Capital</t>
  </si>
  <si>
    <t>b</t>
  </si>
  <si>
    <t>EQUITY</t>
  </si>
  <si>
    <t>c</t>
  </si>
  <si>
    <t>Total Capital (Total Net Investment)</t>
  </si>
  <si>
    <t>Schedule 1</t>
  </si>
  <si>
    <t xml:space="preserve">Apportioned Based on </t>
  </si>
  <si>
    <t>Capital Ratio</t>
  </si>
  <si>
    <t>INTEREST ADJUSTMENT BASED ON A 50/50 HYPOTHETICAL CAPITAL STRUCTURE</t>
  </si>
  <si>
    <t>Intrastate Only</t>
  </si>
  <si>
    <t>d</t>
  </si>
  <si>
    <t>Total Calculated Based on 1/2 Rate Base X Cost of Debt</t>
  </si>
  <si>
    <t>1/2 Rate Base * Cost of Debt</t>
  </si>
  <si>
    <t>CAPITAL STRUCTURE ANALYSIS - RETURN AND TAX CALCULATION</t>
  </si>
  <si>
    <t>GROSS-UP/DOWN</t>
  </si>
  <si>
    <t>REVENUE</t>
  </si>
  <si>
    <t>BAD DEBTS</t>
  </si>
  <si>
    <t>Not Used</t>
  </si>
  <si>
    <t>NET REV</t>
  </si>
  <si>
    <t>Ln 1 - Ln 2</t>
  </si>
  <si>
    <t>STATE TX 5%</t>
  </si>
  <si>
    <t>5 %  * Ln 5</t>
  </si>
  <si>
    <t>FED TXBL INC</t>
  </si>
  <si>
    <t>Ln 5 - Ln 6</t>
  </si>
  <si>
    <t>FED TAX RATE</t>
  </si>
  <si>
    <t>EXH 4</t>
  </si>
  <si>
    <t>EFFECTIVE FED TAX RATE</t>
  </si>
  <si>
    <t>LN 5 * LN 6</t>
  </si>
  <si>
    <t>NOI</t>
  </si>
  <si>
    <t>Ln 5 - Ln 7</t>
  </si>
  <si>
    <t xml:space="preserve">MULTIPLIER </t>
  </si>
  <si>
    <t>1 / Ln 7</t>
  </si>
  <si>
    <t>Net Investment</t>
  </si>
  <si>
    <t>Ln c</t>
  </si>
  <si>
    <t>Rate of Return - Composite</t>
  </si>
  <si>
    <t>Required Return</t>
  </si>
  <si>
    <t>Ln 10 * Ln 11</t>
  </si>
  <si>
    <t>Less Interest</t>
  </si>
  <si>
    <t>Ln d</t>
  </si>
  <si>
    <t>Return Net of Interest</t>
  </si>
  <si>
    <t>Ln 12 - L 13</t>
  </si>
  <si>
    <t>Gross Up for Taxes</t>
  </si>
  <si>
    <t>Ln 14 * Ln 9</t>
  </si>
  <si>
    <t>Total Return and Taxes</t>
  </si>
  <si>
    <t>Ln 13 + Ln 15</t>
  </si>
  <si>
    <t>Adjusted Test Year Revenue</t>
  </si>
  <si>
    <t>EXH 1 Col M Ln 41</t>
  </si>
  <si>
    <t>Adjusted Test Year Expense</t>
  </si>
  <si>
    <t>EXH 1 Col M Ln 44</t>
  </si>
  <si>
    <t>Adjusted Net Income Before Income Taxes</t>
  </si>
  <si>
    <t>Ln 13 - Ln 14</t>
  </si>
  <si>
    <t>Required Revenue Increase - State USF</t>
  </si>
  <si>
    <t>Ln 16 - Ln 19</t>
  </si>
  <si>
    <t>Rate of Return</t>
  </si>
  <si>
    <t>CARBON / EMERY TELCOM</t>
  </si>
  <si>
    <t>2004 RATE CASE</t>
  </si>
  <si>
    <t>INCOME TAX CALCULATION - INTRASTATE ONLY</t>
  </si>
  <si>
    <t>Net Operating Income Before Taxes</t>
  </si>
  <si>
    <t>EXH 1 Col K Ln 42</t>
  </si>
  <si>
    <t>Interest Deduction</t>
  </si>
  <si>
    <t>EXH 5 Ln d</t>
  </si>
  <si>
    <t>Taxable Income</t>
  </si>
  <si>
    <t>Tax Rate</t>
  </si>
  <si>
    <t>State Income Taxes</t>
  </si>
  <si>
    <t>5% * Ln 3</t>
  </si>
  <si>
    <t>Amount Subject to Federal Income Taxes</t>
  </si>
  <si>
    <t>Ln 3 - Ln 4</t>
  </si>
  <si>
    <t>Federal Income Taxes</t>
  </si>
  <si>
    <t>Taxable income Over</t>
  </si>
  <si>
    <t>But Not Over</t>
  </si>
  <si>
    <t>Rate Layer Amount</t>
  </si>
  <si>
    <t>Income in Layer</t>
  </si>
  <si>
    <t>Tax</t>
  </si>
  <si>
    <t>IRS Corporate Tax Rate Table</t>
  </si>
  <si>
    <t xml:space="preserve">     "                          "</t>
  </si>
  <si>
    <t>Ave Rate - First $335,000 of Income</t>
  </si>
  <si>
    <t>Residual at 34% Rate</t>
  </si>
  <si>
    <t>Ln  5 - Ln 10</t>
  </si>
  <si>
    <t>Total Taxable Income and Tax</t>
  </si>
  <si>
    <t>Ln 5 10 + Ln 11</t>
  </si>
  <si>
    <t>Return After Income Taxes</t>
  </si>
  <si>
    <t>Ln 1 - Ln 4 - Ln 12</t>
  </si>
  <si>
    <t>Rate Base</t>
  </si>
  <si>
    <t>SCH 1 Col K Ln 45</t>
  </si>
  <si>
    <t>Ln 13 / Ln 14</t>
  </si>
  <si>
    <t>Total Tax Requirement</t>
  </si>
  <si>
    <t>TAX ADJUSTMENT</t>
  </si>
  <si>
    <t xml:space="preserve">  STATE INCOME TAX</t>
  </si>
  <si>
    <t>Ln 4</t>
  </si>
  <si>
    <t xml:space="preserve">  FEDERAL INCOME TAX</t>
  </si>
  <si>
    <t>Ln 12</t>
  </si>
  <si>
    <t xml:space="preserve">      TOTAL TAXES</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</si>
</sst>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_(* #,##0_);_(* \(#,##0\);_(* &quot;-&quot;??_);_(@_)"/>
    <numFmt numFmtId="168" formatCode="0.0000%"/>
    <numFmt numFmtId="169" formatCode="_(&quot;$&quot;* #,##0_);_(&quot;$&quot;* \(#,##0\);_(&quot;$&quot;* &quot;-&quot;??_);_(@_)"/>
    <numFmt numFmtId="170" formatCode="0.0%"/>
    <numFmt numFmtId="171" formatCode="#,##0.0000_);\(#,##0.0000\)"/>
    <numFmt numFmtId="172" formatCode="_(* #,##0.0_);_(* \(#,##0.0\);_(* &quot;-&quot;??_);_(@_)"/>
    <numFmt numFmtId="173" formatCode="_(* #,##0.000_);_(* \(#,##0.000\);_(* &quot;-&quot;??_);_(@_)"/>
    <numFmt numFmtId="174" formatCode="0.00_);\(0.00\)"/>
    <numFmt numFmtId="175" formatCode="&quot;(&quot;\ ##\ &quot;)&quot;"/>
    <numFmt numFmtId="176" formatCode="_(* #,##0.0000_);_(* \(#,##0.0000\);_(* &quot;-&quot;??_);_(@_)"/>
    <numFmt numFmtId="177" formatCode="&quot;$&quot;#,##0.000000_);\(&quot;$&quot;#,##0.000000\)"/>
    <numFmt numFmtId="178" formatCode="&quot;$&quot;#,##0.000"/>
    <numFmt numFmtId="179" formatCode="&quot;$&quot;#,##0.0000"/>
    <numFmt numFmtId="180" formatCode="0.000"/>
    <numFmt numFmtId="181" formatCode="0.0000"/>
    <numFmt numFmtId="182" formatCode="&quot;$&quot;#,##0.000_);\(&quot;$&quot;#,##0.000\)"/>
    <numFmt numFmtId="183" formatCode="&quot;$&quot;#,##0.0000_);\(&quot;$&quot;#,##0.0000\)"/>
    <numFmt numFmtId="184" formatCode="&quot;$&quot;#,##0.00000_);\(&quot;$&quot;#,##0.00000\)"/>
    <numFmt numFmtId="185" formatCode="&quot;$&quot;#,##0.0_);\(&quot;$&quot;#,##0.0\)"/>
    <numFmt numFmtId="186" formatCode="0.0"/>
    <numFmt numFmtId="187" formatCode="0.000000"/>
    <numFmt numFmtId="188" formatCode="#,##0.0000"/>
    <numFmt numFmtId="189" formatCode="#,##0.000000_);\(#,##0.000000\)"/>
    <numFmt numFmtId="190" formatCode="#,##0.00000_);\(#,##0.00000\)"/>
    <numFmt numFmtId="191" formatCode="0.00000_)"/>
    <numFmt numFmtId="192" formatCode="0.00_)"/>
    <numFmt numFmtId="193" formatCode="0_)"/>
    <numFmt numFmtId="194" formatCode="0_);\(0\)"/>
    <numFmt numFmtId="195" formatCode="0.0_);\(0.0\)"/>
    <numFmt numFmtId="196" formatCode="&quot;$&quot;#,##0.00"/>
    <numFmt numFmtId="197" formatCode="&quot;$&quot;#,##0.00000"/>
    <numFmt numFmtId="198" formatCode="_(* #,##0.000000_);_(* \(#,##0.000000\);_(* &quot;-&quot;??_);_(@_)"/>
    <numFmt numFmtId="199" formatCode="&quot;$&quot;#,##0.0"/>
    <numFmt numFmtId="200" formatCode="&quot;$&quot;#,##0"/>
    <numFmt numFmtId="201" formatCode="#,##0.0_);\(#,##0.0\)"/>
    <numFmt numFmtId="202" formatCode="#,##0.000_);\(#,##0.000\)"/>
    <numFmt numFmtId="203" formatCode="#,##0.0000000_);\(#,##0.0000000\)"/>
    <numFmt numFmtId="204" formatCode="#,##0.00000000_);\(#,##0.00000000\)"/>
    <numFmt numFmtId="205" formatCode="_(&quot;$&quot;* #,##0.0_);_(&quot;$&quot;* \(#,##0.0\);_(&quot;$&quot;* &quot;-&quot;??_);_(@_)"/>
    <numFmt numFmtId="206" formatCode="General_)"/>
    <numFmt numFmtId="207" formatCode="0.00000%"/>
    <numFmt numFmtId="208" formatCode="_(&quot;$&quot;* #,##0.000_);_(&quot;$&quot;* \(#,##0.000\);_(&quot;$&quot;* &quot;-&quot;??_);_(@_)"/>
    <numFmt numFmtId="209" formatCode="_(&quot;$&quot;* #,##0.0000_);_(&quot;$&quot;* \(#,##0.0000\);_(&quot;$&quot;* &quot;-&quot;??_);_(@_)"/>
    <numFmt numFmtId="210" formatCode="0.000_)"/>
    <numFmt numFmtId="211" formatCode="#,##0.000000000_);\(#,##0.000000000\)"/>
    <numFmt numFmtId="212" formatCode="0.0000_)"/>
    <numFmt numFmtId="213" formatCode="0.0_)"/>
    <numFmt numFmtId="214" formatCode="0.000000_)"/>
    <numFmt numFmtId="215" formatCode="dd\-mmm\-yy_)"/>
    <numFmt numFmtId="216" formatCode="hh:mm\ AM/PM_)"/>
    <numFmt numFmtId="217" formatCode="#,##0.0000000000_);\(#,##0.0000000000\)"/>
    <numFmt numFmtId="218" formatCode="#,##0.000000000000"/>
    <numFmt numFmtId="219" formatCode="&quot;Yes&quot;;&quot;Yes&quot;;&quot;No&quot;"/>
    <numFmt numFmtId="220" formatCode="&quot;True&quot;;&quot;True&quot;;&quot;False&quot;"/>
    <numFmt numFmtId="221" formatCode="&quot;On&quot;;&quot;On&quot;;&quot;Off&quot;"/>
    <numFmt numFmtId="222" formatCode="[$€-2]\ #,##0.00_);[Red]\([$€-2]\ #,##0.00\)"/>
  </numFmts>
  <fonts count="58">
    <font>
      <sz val="10"/>
      <name val="Arial"/>
      <family val="0"/>
    </font>
    <font>
      <sz val="12"/>
      <name val="Times New Roman"/>
      <family val="0"/>
    </font>
    <font>
      <sz val="12"/>
      <name val="Arial"/>
      <family val="0"/>
    </font>
    <font>
      <u val="single"/>
      <sz val="6.5"/>
      <color indexed="36"/>
      <name val="Arial"/>
      <family val="0"/>
    </font>
    <font>
      <b/>
      <sz val="18"/>
      <name val="Arial"/>
      <family val="0"/>
    </font>
    <font>
      <b/>
      <sz val="12"/>
      <name val="Arial"/>
      <family val="0"/>
    </font>
    <font>
      <u val="single"/>
      <sz val="6.5"/>
      <color indexed="12"/>
      <name val="Arial"/>
      <family val="0"/>
    </font>
    <font>
      <sz val="12"/>
      <name val="Helv"/>
      <family val="0"/>
    </font>
    <font>
      <sz val="9"/>
      <name val="Arial"/>
      <family val="0"/>
    </font>
    <font>
      <sz val="10"/>
      <name val="Times New Roman"/>
      <family val="0"/>
    </font>
    <font>
      <b/>
      <i/>
      <sz val="14"/>
      <color indexed="10"/>
      <name val="Arial"/>
      <family val="2"/>
    </font>
    <font>
      <b/>
      <sz val="12"/>
      <name val="Times New Roman"/>
      <family val="1"/>
    </font>
    <font>
      <b/>
      <sz val="11"/>
      <name val="Arial"/>
      <family val="2"/>
    </font>
    <font>
      <b/>
      <sz val="9"/>
      <name val="Arial"/>
      <family val="2"/>
    </font>
    <font>
      <b/>
      <sz val="10"/>
      <name val="Times New Roman"/>
      <family val="1"/>
    </font>
    <font>
      <b/>
      <u val="single"/>
      <sz val="10"/>
      <name val="Times New Roman"/>
      <family val="1"/>
    </font>
    <font>
      <b/>
      <i/>
      <sz val="11"/>
      <name val="Times New Roman"/>
      <family val="1"/>
    </font>
    <font>
      <sz val="10"/>
      <color indexed="12"/>
      <name val="Times New Roman"/>
      <family val="1"/>
    </font>
    <font>
      <b/>
      <sz val="10"/>
      <color indexed="12"/>
      <name val="Times New Roman"/>
      <family val="1"/>
    </font>
    <font>
      <b/>
      <i/>
      <sz val="10"/>
      <name val="Arial"/>
      <family val="2"/>
    </font>
    <font>
      <b/>
      <sz val="10"/>
      <name val="Arial"/>
      <family val="2"/>
    </font>
    <font>
      <sz val="10"/>
      <color indexed="12"/>
      <name val="Arial"/>
      <family val="0"/>
    </font>
    <font>
      <b/>
      <sz val="9"/>
      <color indexed="12"/>
      <name val="Arial"/>
      <family val="2"/>
    </font>
    <font>
      <sz val="8"/>
      <name val="Arial"/>
      <family val="0"/>
    </font>
    <font>
      <b/>
      <sz val="10"/>
      <color indexed="8"/>
      <name val="Helv"/>
      <family val="0"/>
    </font>
    <font>
      <b/>
      <sz val="10"/>
      <color indexed="8"/>
      <name val="Arial"/>
      <family val="2"/>
    </font>
    <font>
      <sz val="10"/>
      <color indexed="8"/>
      <name val="Arial"/>
      <family val="0"/>
    </font>
    <font>
      <sz val="9"/>
      <color indexed="8"/>
      <name val="Arial"/>
      <family val="2"/>
    </font>
    <font>
      <b/>
      <sz val="8"/>
      <color indexed="8"/>
      <name val="Arial"/>
      <family val="2"/>
    </font>
    <font>
      <b/>
      <sz val="9"/>
      <color indexed="8"/>
      <name val="Arial"/>
      <family val="2"/>
    </font>
    <font>
      <sz val="9"/>
      <color indexed="12"/>
      <name val="Arial"/>
      <family val="2"/>
    </font>
    <font>
      <sz val="10"/>
      <name val="Helv"/>
      <family val="0"/>
    </font>
    <font>
      <b/>
      <sz val="10"/>
      <name val="Helv"/>
      <family val="0"/>
    </font>
    <font>
      <b/>
      <sz val="8"/>
      <name val="Arial"/>
      <family val="2"/>
    </font>
    <font>
      <sz val="10"/>
      <color indexed="10"/>
      <name val="Arial"/>
      <family val="2"/>
    </font>
    <font>
      <b/>
      <i/>
      <sz val="9"/>
      <color indexed="8"/>
      <name val="Arial"/>
      <family val="2"/>
    </font>
    <font>
      <b/>
      <sz val="14"/>
      <name val="Arial"/>
      <family val="2"/>
    </font>
    <font>
      <sz val="14"/>
      <name val="Times New Roman"/>
      <family val="0"/>
    </font>
    <font>
      <b/>
      <u val="single"/>
      <sz val="14"/>
      <name val="Times New Roman"/>
      <family val="1"/>
    </font>
    <font>
      <sz val="14"/>
      <name val="Arial"/>
      <family val="2"/>
    </font>
    <font>
      <b/>
      <sz val="20"/>
      <name val="Times New Roman"/>
      <family val="1"/>
    </font>
    <font>
      <u val="single"/>
      <sz val="12"/>
      <name val="Times New Roman"/>
      <family val="0"/>
    </font>
    <font>
      <sz val="12"/>
      <color indexed="10"/>
      <name val="Times New Roman"/>
      <family val="1"/>
    </font>
    <font>
      <b/>
      <i/>
      <sz val="10"/>
      <name val="Times New Roman"/>
      <family val="1"/>
    </font>
    <font>
      <b/>
      <sz val="10"/>
      <color indexed="8"/>
      <name val="Times New Roman"/>
      <family val="1"/>
    </font>
    <font>
      <sz val="10"/>
      <color indexed="8"/>
      <name val="Times New Roman"/>
      <family val="1"/>
    </font>
    <font>
      <b/>
      <sz val="10"/>
      <color indexed="54"/>
      <name val="Arial"/>
      <family val="2"/>
    </font>
    <font>
      <sz val="8"/>
      <color indexed="8"/>
      <name val="Arial"/>
      <family val="2"/>
    </font>
    <font>
      <b/>
      <i/>
      <sz val="10"/>
      <color indexed="16"/>
      <name val="Arial"/>
      <family val="0"/>
    </font>
    <font>
      <b/>
      <i/>
      <sz val="10"/>
      <color indexed="8"/>
      <name val="Arial"/>
      <family val="0"/>
    </font>
    <font>
      <i/>
      <sz val="10"/>
      <name val="Arial"/>
      <family val="2"/>
    </font>
    <font>
      <u val="single"/>
      <sz val="10"/>
      <name val="Arial"/>
      <family val="2"/>
    </font>
    <font>
      <sz val="10"/>
      <name val="Arial Unicode MS"/>
      <family val="0"/>
    </font>
    <font>
      <b/>
      <sz val="10"/>
      <name val="Arial Unicode MS"/>
      <family val="0"/>
    </font>
    <font>
      <b/>
      <sz val="10"/>
      <name val="Tahoma"/>
      <family val="0"/>
    </font>
    <font>
      <sz val="10"/>
      <name val="Tahoma"/>
      <family val="0"/>
    </font>
    <font>
      <b/>
      <sz val="8"/>
      <name val="Tahoma"/>
      <family val="0"/>
    </font>
    <font>
      <sz val="8"/>
      <name val="Tahoma"/>
      <family val="0"/>
    </font>
  </fonts>
  <fills count="13">
    <fill>
      <patternFill/>
    </fill>
    <fill>
      <patternFill patternType="gray125"/>
    </fill>
    <fill>
      <patternFill patternType="solid">
        <fgColor indexed="47"/>
        <bgColor indexed="64"/>
      </patternFill>
    </fill>
    <fill>
      <patternFill patternType="solid">
        <fgColor indexed="43"/>
        <bgColor indexed="64"/>
      </patternFill>
    </fill>
    <fill>
      <patternFill patternType="lightUp"/>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45">
    <border>
      <left/>
      <right/>
      <top/>
      <bottom/>
      <diagonal/>
    </border>
    <border>
      <left/>
      <right/>
      <top style="double"/>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style="medium"/>
      <top>
        <color indexed="63"/>
      </top>
      <bottom style="thin"/>
    </border>
    <border>
      <left style="thick">
        <color indexed="10"/>
      </left>
      <right style="medium"/>
      <top style="thick">
        <color indexed="10"/>
      </top>
      <bottom style="thick">
        <color indexed="10"/>
      </bottom>
    </border>
    <border>
      <left style="thin"/>
      <right>
        <color indexed="63"/>
      </right>
      <top style="thin"/>
      <bottom style="thin"/>
    </border>
    <border>
      <left>
        <color indexed="63"/>
      </left>
      <right>
        <color indexed="63"/>
      </right>
      <top style="thin"/>
      <bottom style="thin"/>
    </border>
    <border>
      <left style="thick">
        <color indexed="10"/>
      </left>
      <right style="thick">
        <color indexed="10"/>
      </right>
      <top style="thick">
        <color indexed="10"/>
      </top>
      <bottom style="thick">
        <color indexed="10"/>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style="thick">
        <color indexed="10"/>
      </left>
      <right style="thick">
        <color indexed="10"/>
      </right>
      <top style="thick">
        <color indexed="10"/>
      </top>
      <bottom style="medium"/>
    </border>
    <border>
      <left>
        <color indexed="63"/>
      </left>
      <right style="medium"/>
      <top style="thin"/>
      <bottom style="medium"/>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thick">
        <color indexed="21"/>
      </top>
      <bottom>
        <color indexed="63"/>
      </bottom>
    </border>
    <border>
      <left>
        <color indexed="63"/>
      </left>
      <right style="thin">
        <color indexed="21"/>
      </right>
      <top style="thick">
        <color indexed="21"/>
      </top>
      <bottom>
        <color indexed="63"/>
      </bottom>
    </border>
    <border>
      <left style="thin">
        <color indexed="21"/>
      </left>
      <right>
        <color indexed="63"/>
      </right>
      <top>
        <color indexed="63"/>
      </top>
      <bottom>
        <color indexed="63"/>
      </bottom>
    </border>
    <border>
      <left style="thin">
        <color indexed="21"/>
      </left>
      <right>
        <color indexed="63"/>
      </right>
      <top style="thick">
        <color indexed="21"/>
      </top>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1"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lignment/>
      <protection/>
    </xf>
    <xf numFmtId="2" fontId="2" fillId="0" borderId="0" applyFont="0" applyFill="0" applyBorder="0" applyAlignment="0" applyProtection="0"/>
    <xf numFmtId="0" fontId="3" fillId="0" borderId="0" applyNumberFormat="0" applyFill="0" applyBorder="0" applyAlignment="0" applyProtection="0"/>
    <xf numFmtId="0" fontId="4" fillId="0" borderId="0">
      <alignment/>
      <protection/>
    </xf>
    <xf numFmtId="0" fontId="5" fillId="0" borderId="0">
      <alignment/>
      <protection/>
    </xf>
    <xf numFmtId="0" fontId="6" fillId="0" borderId="0" applyNumberFormat="0" applyFill="0" applyBorder="0" applyAlignment="0" applyProtection="0"/>
    <xf numFmtId="37" fontId="7"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8" fillId="0" borderId="0">
      <alignment/>
      <protection/>
    </xf>
    <xf numFmtId="0" fontId="9" fillId="0" borderId="0">
      <alignment/>
      <protection/>
    </xf>
    <xf numFmtId="9" fontId="0" fillId="0" borderId="0" applyFont="0" applyFill="0" applyBorder="0" applyAlignment="0" applyProtection="0"/>
    <xf numFmtId="0" fontId="0" fillId="0" borderId="1">
      <alignment/>
      <protection/>
    </xf>
  </cellStyleXfs>
  <cellXfs count="499">
    <xf numFmtId="0" fontId="0" fillId="0" borderId="0" xfId="0" applyAlignment="1">
      <alignment/>
    </xf>
    <xf numFmtId="0" fontId="5" fillId="0" borderId="0" xfId="33" applyFont="1">
      <alignment/>
      <protection/>
    </xf>
    <xf numFmtId="0" fontId="8" fillId="0" borderId="0" xfId="33">
      <alignment/>
      <protection/>
    </xf>
    <xf numFmtId="0" fontId="10" fillId="0" borderId="0" xfId="33" applyFont="1">
      <alignment/>
      <protection/>
    </xf>
    <xf numFmtId="0" fontId="9" fillId="0" borderId="0" xfId="29" applyFont="1">
      <alignment/>
      <protection/>
    </xf>
    <xf numFmtId="2" fontId="11" fillId="0" borderId="0" xfId="32" applyFont="1" applyBorder="1" applyAlignment="1">
      <alignment horizontal="right"/>
      <protection/>
    </xf>
    <xf numFmtId="0" fontId="1" fillId="0" borderId="0" xfId="29">
      <alignment/>
      <protection/>
    </xf>
    <xf numFmtId="0" fontId="12" fillId="0" borderId="0" xfId="33" applyFont="1">
      <alignment/>
      <protection/>
    </xf>
    <xf numFmtId="176" fontId="8" fillId="0" borderId="0" xfId="33" applyNumberFormat="1">
      <alignment/>
      <protection/>
    </xf>
    <xf numFmtId="176" fontId="13" fillId="0" borderId="0" xfId="33" applyNumberFormat="1" applyFont="1" applyAlignment="1">
      <alignment horizontal="right"/>
      <protection/>
    </xf>
    <xf numFmtId="0" fontId="14" fillId="0" borderId="0" xfId="29" applyFont="1" applyAlignment="1">
      <alignment horizontal="left"/>
      <protection/>
    </xf>
    <xf numFmtId="0" fontId="15" fillId="0" borderId="0" xfId="29" applyFont="1" applyAlignment="1">
      <alignment horizontal="center"/>
      <protection/>
    </xf>
    <xf numFmtId="0" fontId="14" fillId="0" borderId="0" xfId="34" applyFont="1" applyAlignment="1">
      <alignment horizontal="center" wrapText="1"/>
      <protection/>
    </xf>
    <xf numFmtId="0" fontId="14" fillId="2" borderId="2" xfId="29" applyFont="1" applyFill="1" applyBorder="1" applyAlignment="1">
      <alignment horizontal="center"/>
      <protection/>
    </xf>
    <xf numFmtId="0" fontId="9" fillId="3" borderId="0" xfId="29" applyFont="1" applyFill="1">
      <alignment/>
      <protection/>
    </xf>
    <xf numFmtId="0" fontId="16" fillId="3" borderId="0" xfId="29" applyFont="1" applyFill="1">
      <alignment/>
      <protection/>
    </xf>
    <xf numFmtId="0" fontId="9" fillId="0" borderId="0" xfId="34" applyFont="1">
      <alignment/>
      <protection/>
    </xf>
    <xf numFmtId="0" fontId="17" fillId="0" borderId="0" xfId="34" applyFont="1">
      <alignment/>
      <protection/>
    </xf>
    <xf numFmtId="5" fontId="17" fillId="0" borderId="0" xfId="19" applyNumberFormat="1" applyFont="1" applyAlignment="1">
      <alignment/>
    </xf>
    <xf numFmtId="5" fontId="9" fillId="4" borderId="0" xfId="19" applyNumberFormat="1" applyFont="1" applyFill="1" applyAlignment="1">
      <alignment/>
    </xf>
    <xf numFmtId="0" fontId="9" fillId="0" borderId="0" xfId="34" applyFont="1">
      <alignment/>
      <protection/>
    </xf>
    <xf numFmtId="176" fontId="9" fillId="0" borderId="0" xfId="15" applyNumberFormat="1" applyFont="1" applyAlignment="1">
      <alignment/>
    </xf>
    <xf numFmtId="5" fontId="9" fillId="0" borderId="0" xfId="15" applyNumberFormat="1" applyFont="1" applyAlignment="1">
      <alignment/>
    </xf>
    <xf numFmtId="5" fontId="9" fillId="4" borderId="0" xfId="15" applyNumberFormat="1" applyFont="1" applyFill="1" applyAlignment="1">
      <alignment/>
    </xf>
    <xf numFmtId="0" fontId="14" fillId="0" borderId="0" xfId="29" applyFont="1" applyFill="1">
      <alignment/>
      <protection/>
    </xf>
    <xf numFmtId="0" fontId="14" fillId="0" borderId="0" xfId="34" applyFont="1" applyFill="1">
      <alignment/>
      <protection/>
    </xf>
    <xf numFmtId="5" fontId="14" fillId="0" borderId="0" xfId="15" applyNumberFormat="1" applyFont="1" applyFill="1" applyAlignment="1">
      <alignment/>
    </xf>
    <xf numFmtId="43" fontId="9" fillId="0" borderId="0" xfId="15" applyFont="1" applyAlignment="1">
      <alignment/>
    </xf>
    <xf numFmtId="0" fontId="17" fillId="3" borderId="0" xfId="34" applyFont="1" applyFill="1">
      <alignment/>
      <protection/>
    </xf>
    <xf numFmtId="0" fontId="17" fillId="0" borderId="0" xfId="34" applyFont="1" applyAlignment="1">
      <alignment horizontal="left" wrapText="1"/>
      <protection/>
    </xf>
    <xf numFmtId="5" fontId="9" fillId="0" borderId="0" xfId="19" applyNumberFormat="1" applyFont="1" applyAlignment="1">
      <alignment/>
    </xf>
    <xf numFmtId="0" fontId="9" fillId="0" borderId="0" xfId="29" applyFont="1" applyFill="1">
      <alignment/>
      <protection/>
    </xf>
    <xf numFmtId="0" fontId="17" fillId="0" borderId="0" xfId="34" applyFont="1" applyFill="1">
      <alignment/>
      <protection/>
    </xf>
    <xf numFmtId="167" fontId="17" fillId="0" borderId="0" xfId="15" applyNumberFormat="1" applyFont="1" applyAlignment="1">
      <alignment/>
    </xf>
    <xf numFmtId="167" fontId="17" fillId="0" borderId="3" xfId="15" applyNumberFormat="1" applyFont="1" applyBorder="1" applyAlignment="1">
      <alignment/>
    </xf>
    <xf numFmtId="0" fontId="9" fillId="0" borderId="0" xfId="34" applyFont="1" applyFill="1">
      <alignment/>
      <protection/>
    </xf>
    <xf numFmtId="167" fontId="9" fillId="0" borderId="0" xfId="15" applyNumberFormat="1" applyFont="1" applyAlignment="1">
      <alignment/>
    </xf>
    <xf numFmtId="43" fontId="9" fillId="0" borderId="0" xfId="29" applyNumberFormat="1" applyFont="1">
      <alignment/>
      <protection/>
    </xf>
    <xf numFmtId="167" fontId="14" fillId="0" borderId="0" xfId="29" applyNumberFormat="1" applyFont="1" applyFill="1">
      <alignment/>
      <protection/>
    </xf>
    <xf numFmtId="5" fontId="14" fillId="0" borderId="0" xfId="29" applyNumberFormat="1" applyFont="1" applyFill="1">
      <alignment/>
      <protection/>
    </xf>
    <xf numFmtId="0" fontId="9" fillId="3" borderId="4" xfId="29" applyFont="1" applyFill="1" applyBorder="1">
      <alignment/>
      <protection/>
    </xf>
    <xf numFmtId="0" fontId="16" fillId="3" borderId="5" xfId="29" applyFont="1" applyFill="1" applyBorder="1">
      <alignment/>
      <protection/>
    </xf>
    <xf numFmtId="0" fontId="18" fillId="3" borderId="5" xfId="34" applyFont="1" applyFill="1" applyBorder="1">
      <alignment/>
      <protection/>
    </xf>
    <xf numFmtId="5" fontId="14" fillId="3" borderId="6" xfId="29" applyNumberFormat="1" applyFont="1" applyFill="1" applyBorder="1">
      <alignment/>
      <protection/>
    </xf>
    <xf numFmtId="0" fontId="14" fillId="5" borderId="7" xfId="29" applyFont="1" applyFill="1" applyBorder="1">
      <alignment/>
      <protection/>
    </xf>
    <xf numFmtId="0" fontId="14" fillId="5" borderId="0" xfId="29" applyFont="1" applyFill="1" applyBorder="1">
      <alignment/>
      <protection/>
    </xf>
    <xf numFmtId="0" fontId="14" fillId="5" borderId="0" xfId="34" applyFont="1" applyFill="1" applyBorder="1">
      <alignment/>
      <protection/>
    </xf>
    <xf numFmtId="183" fontId="14" fillId="5" borderId="8" xfId="29" applyNumberFormat="1" applyFont="1" applyFill="1" applyBorder="1">
      <alignment/>
      <protection/>
    </xf>
    <xf numFmtId="44" fontId="9" fillId="0" borderId="0" xfId="19" applyFont="1" applyAlignment="1">
      <alignment/>
    </xf>
    <xf numFmtId="44" fontId="9" fillId="0" borderId="0" xfId="29" applyNumberFormat="1" applyFont="1">
      <alignment/>
      <protection/>
    </xf>
    <xf numFmtId="0" fontId="14" fillId="5" borderId="9" xfId="29" applyFont="1" applyFill="1" applyBorder="1">
      <alignment/>
      <protection/>
    </xf>
    <xf numFmtId="0" fontId="14" fillId="5" borderId="3" xfId="29" applyFont="1" applyFill="1" applyBorder="1">
      <alignment/>
      <protection/>
    </xf>
    <xf numFmtId="0" fontId="14" fillId="5" borderId="3" xfId="34" applyFont="1" applyFill="1" applyBorder="1">
      <alignment/>
      <protection/>
    </xf>
    <xf numFmtId="183" fontId="14" fillId="5" borderId="10" xfId="29" applyNumberFormat="1" applyFont="1" applyFill="1" applyBorder="1">
      <alignment/>
      <protection/>
    </xf>
    <xf numFmtId="0" fontId="1" fillId="6" borderId="0" xfId="29" applyFill="1">
      <alignment/>
      <protection/>
    </xf>
    <xf numFmtId="0" fontId="16" fillId="6" borderId="0" xfId="29" applyFont="1" applyFill="1">
      <alignment/>
      <protection/>
    </xf>
    <xf numFmtId="0" fontId="9" fillId="6" borderId="0" xfId="29" applyFont="1" applyFill="1">
      <alignment/>
      <protection/>
    </xf>
    <xf numFmtId="0" fontId="9" fillId="0" borderId="0" xfId="29" applyFont="1" applyFill="1" applyBorder="1">
      <alignment/>
      <protection/>
    </xf>
    <xf numFmtId="5" fontId="9" fillId="0" borderId="0" xfId="29" applyNumberFormat="1" applyFont="1">
      <alignment/>
      <protection/>
    </xf>
    <xf numFmtId="0" fontId="1" fillId="0" borderId="0" xfId="29" applyFont="1">
      <alignment/>
      <protection/>
    </xf>
    <xf numFmtId="5" fontId="9" fillId="0" borderId="11" xfId="29" applyNumberFormat="1" applyFont="1" applyBorder="1">
      <alignment/>
      <protection/>
    </xf>
    <xf numFmtId="7" fontId="9" fillId="0" borderId="0" xfId="29" applyNumberFormat="1" applyFont="1" applyBorder="1">
      <alignment/>
      <protection/>
    </xf>
    <xf numFmtId="7" fontId="9" fillId="0" borderId="0" xfId="29" applyNumberFormat="1" applyFont="1">
      <alignment/>
      <protection/>
    </xf>
    <xf numFmtId="7" fontId="1" fillId="0" borderId="0" xfId="29" applyNumberFormat="1">
      <alignment/>
      <protection/>
    </xf>
    <xf numFmtId="0" fontId="19" fillId="0" borderId="0" xfId="31" applyFont="1">
      <alignment/>
      <protection/>
    </xf>
    <xf numFmtId="0" fontId="0" fillId="0" borderId="0" xfId="31">
      <alignment/>
      <protection/>
    </xf>
    <xf numFmtId="0" fontId="9" fillId="0" borderId="0" xfId="29" applyFont="1" applyAlignment="1">
      <alignment horizontal="right"/>
      <protection/>
    </xf>
    <xf numFmtId="0" fontId="0" fillId="7" borderId="12" xfId="31" applyFill="1" applyBorder="1">
      <alignment/>
      <protection/>
    </xf>
    <xf numFmtId="0" fontId="0" fillId="7" borderId="13" xfId="31" applyFill="1" applyBorder="1">
      <alignment/>
      <protection/>
    </xf>
    <xf numFmtId="0" fontId="20" fillId="7" borderId="13" xfId="31" applyFont="1" applyFill="1" applyBorder="1" applyAlignment="1">
      <alignment horizontal="center"/>
      <protection/>
    </xf>
    <xf numFmtId="0" fontId="20" fillId="7" borderId="14" xfId="31" applyFont="1" applyFill="1" applyBorder="1" applyAlignment="1">
      <alignment horizontal="center"/>
      <protection/>
    </xf>
    <xf numFmtId="0" fontId="0" fillId="7" borderId="15" xfId="31" applyFill="1" applyBorder="1">
      <alignment/>
      <protection/>
    </xf>
    <xf numFmtId="0" fontId="0" fillId="7" borderId="2" xfId="31" applyFill="1" applyBorder="1">
      <alignment/>
      <protection/>
    </xf>
    <xf numFmtId="0" fontId="20" fillId="7" borderId="2" xfId="31" applyFont="1" applyFill="1" applyBorder="1" applyAlignment="1">
      <alignment horizontal="center"/>
      <protection/>
    </xf>
    <xf numFmtId="0" fontId="20" fillId="7" borderId="16" xfId="31" applyFont="1" applyFill="1" applyBorder="1" applyAlignment="1">
      <alignment horizontal="center"/>
      <protection/>
    </xf>
    <xf numFmtId="0" fontId="0" fillId="0" borderId="15" xfId="31" applyBorder="1">
      <alignment/>
      <protection/>
    </xf>
    <xf numFmtId="0" fontId="0" fillId="0" borderId="17" xfId="31" applyBorder="1">
      <alignment/>
      <protection/>
    </xf>
    <xf numFmtId="0" fontId="0" fillId="0" borderId="2" xfId="31" applyBorder="1">
      <alignment/>
      <protection/>
    </xf>
    <xf numFmtId="10" fontId="21" fillId="0" borderId="2" xfId="35" applyNumberFormat="1" applyFont="1" applyBorder="1" applyAlignment="1">
      <alignment/>
    </xf>
    <xf numFmtId="10" fontId="0" fillId="7" borderId="16" xfId="31" applyNumberFormat="1" applyFill="1" applyBorder="1">
      <alignment/>
      <protection/>
    </xf>
    <xf numFmtId="10" fontId="0" fillId="0" borderId="16" xfId="35" applyNumberFormat="1" applyBorder="1" applyAlignment="1">
      <alignment/>
    </xf>
    <xf numFmtId="10" fontId="0" fillId="0" borderId="2" xfId="35" applyNumberFormat="1" applyBorder="1" applyAlignment="1">
      <alignment/>
    </xf>
    <xf numFmtId="0" fontId="0" fillId="0" borderId="17" xfId="31" applyFont="1" applyBorder="1">
      <alignment/>
      <protection/>
    </xf>
    <xf numFmtId="0" fontId="0" fillId="0" borderId="2" xfId="31" applyFont="1" applyBorder="1">
      <alignment/>
      <protection/>
    </xf>
    <xf numFmtId="10" fontId="0" fillId="7" borderId="2" xfId="31" applyNumberFormat="1" applyFill="1" applyBorder="1">
      <alignment/>
      <protection/>
    </xf>
    <xf numFmtId="168" fontId="0" fillId="0" borderId="2" xfId="35" applyNumberFormat="1" applyBorder="1" applyAlignment="1">
      <alignment/>
    </xf>
    <xf numFmtId="168" fontId="0" fillId="0" borderId="16" xfId="31" applyNumberFormat="1" applyBorder="1">
      <alignment/>
      <protection/>
    </xf>
    <xf numFmtId="0" fontId="0" fillId="0" borderId="2" xfId="31" applyFill="1" applyBorder="1">
      <alignment/>
      <protection/>
    </xf>
    <xf numFmtId="10" fontId="0" fillId="0" borderId="2" xfId="31" applyNumberFormat="1" applyBorder="1">
      <alignment/>
      <protection/>
    </xf>
    <xf numFmtId="0" fontId="0" fillId="0" borderId="15" xfId="31" applyFill="1" applyBorder="1">
      <alignment/>
      <protection/>
    </xf>
    <xf numFmtId="10" fontId="0" fillId="0" borderId="16" xfId="31" applyNumberFormat="1" applyBorder="1">
      <alignment/>
      <protection/>
    </xf>
    <xf numFmtId="0" fontId="0" fillId="0" borderId="18" xfId="31" applyFill="1" applyBorder="1">
      <alignment/>
      <protection/>
    </xf>
    <xf numFmtId="0" fontId="0" fillId="0" borderId="19" xfId="31" applyFill="1" applyBorder="1">
      <alignment/>
      <protection/>
    </xf>
    <xf numFmtId="0" fontId="0" fillId="7" borderId="19" xfId="31" applyFill="1" applyBorder="1">
      <alignment/>
      <protection/>
    </xf>
    <xf numFmtId="10" fontId="0" fillId="7" borderId="19" xfId="31" applyNumberFormat="1" applyFill="1" applyBorder="1">
      <alignment/>
      <protection/>
    </xf>
    <xf numFmtId="10" fontId="0" fillId="0" borderId="20" xfId="31" applyNumberFormat="1" applyBorder="1">
      <alignment/>
      <protection/>
    </xf>
    <xf numFmtId="0" fontId="8" fillId="0" borderId="0" xfId="31" applyFont="1">
      <alignment/>
      <protection/>
    </xf>
    <xf numFmtId="0" fontId="20" fillId="0" borderId="0" xfId="31" applyFont="1">
      <alignment/>
      <protection/>
    </xf>
    <xf numFmtId="0" fontId="20" fillId="7" borderId="21" xfId="31" applyFont="1" applyFill="1" applyBorder="1">
      <alignment/>
      <protection/>
    </xf>
    <xf numFmtId="0" fontId="20" fillId="7" borderId="22" xfId="31" applyFont="1" applyFill="1" applyBorder="1">
      <alignment/>
      <protection/>
    </xf>
    <xf numFmtId="0" fontId="20" fillId="7" borderId="23" xfId="31" applyFont="1" applyFill="1" applyBorder="1">
      <alignment/>
      <protection/>
    </xf>
    <xf numFmtId="0" fontId="13" fillId="7" borderId="24" xfId="31" applyFont="1" applyFill="1" applyBorder="1">
      <alignment/>
      <protection/>
    </xf>
    <xf numFmtId="0" fontId="13" fillId="7" borderId="25" xfId="31" applyFont="1" applyFill="1" applyBorder="1">
      <alignment/>
      <protection/>
    </xf>
    <xf numFmtId="0" fontId="13" fillId="7" borderId="26" xfId="31" applyFont="1" applyFill="1" applyBorder="1">
      <alignment/>
      <protection/>
    </xf>
    <xf numFmtId="0" fontId="13" fillId="7" borderId="19" xfId="31" applyFont="1" applyFill="1" applyBorder="1" applyAlignment="1">
      <alignment horizontal="center" vertical="center"/>
      <protection/>
    </xf>
    <xf numFmtId="0" fontId="13" fillId="7" borderId="27" xfId="31" applyFont="1" applyFill="1" applyBorder="1" applyAlignment="1">
      <alignment horizontal="center" vertical="center"/>
      <protection/>
    </xf>
    <xf numFmtId="0" fontId="13" fillId="7" borderId="20" xfId="31" applyFont="1" applyFill="1" applyBorder="1" applyAlignment="1">
      <alignment horizontal="center" vertical="center" wrapText="1"/>
      <protection/>
    </xf>
    <xf numFmtId="0" fontId="8" fillId="0" borderId="15" xfId="31" applyFont="1" applyBorder="1">
      <alignment/>
      <protection/>
    </xf>
    <xf numFmtId="0" fontId="8" fillId="0" borderId="28" xfId="31" applyFont="1" applyBorder="1">
      <alignment/>
      <protection/>
    </xf>
    <xf numFmtId="0" fontId="8" fillId="0" borderId="9" xfId="31" applyFont="1" applyBorder="1">
      <alignment/>
      <protection/>
    </xf>
    <xf numFmtId="0" fontId="8" fillId="0" borderId="3" xfId="31" applyFont="1" applyBorder="1">
      <alignment/>
      <protection/>
    </xf>
    <xf numFmtId="0" fontId="8" fillId="7" borderId="2" xfId="31" applyFont="1" applyFill="1" applyBorder="1">
      <alignment/>
      <protection/>
    </xf>
    <xf numFmtId="10" fontId="8" fillId="0" borderId="29" xfId="31" applyNumberFormat="1" applyFont="1" applyBorder="1" applyAlignment="1">
      <alignment horizontal="center"/>
      <protection/>
    </xf>
    <xf numFmtId="0" fontId="22" fillId="3" borderId="30" xfId="31" applyFont="1" applyFill="1" applyBorder="1" applyAlignment="1">
      <alignment horizontal="center"/>
      <protection/>
    </xf>
    <xf numFmtId="0" fontId="8" fillId="0" borderId="2" xfId="31" applyFont="1" applyBorder="1">
      <alignment/>
      <protection/>
    </xf>
    <xf numFmtId="0" fontId="8" fillId="0" borderId="31" xfId="31" applyFont="1" applyBorder="1">
      <alignment/>
      <protection/>
    </xf>
    <xf numFmtId="0" fontId="8" fillId="0" borderId="32" xfId="31" applyFont="1" applyBorder="1">
      <alignment/>
      <protection/>
    </xf>
    <xf numFmtId="0" fontId="22" fillId="3" borderId="33" xfId="31" applyFont="1" applyFill="1" applyBorder="1" applyAlignment="1">
      <alignment horizontal="center"/>
      <protection/>
    </xf>
    <xf numFmtId="181" fontId="8" fillId="0" borderId="34" xfId="31" applyNumberFormat="1" applyFont="1" applyBorder="1" applyAlignment="1">
      <alignment horizontal="center"/>
      <protection/>
    </xf>
    <xf numFmtId="0" fontId="13" fillId="0" borderId="31" xfId="31" applyFont="1" applyBorder="1">
      <alignment/>
      <protection/>
    </xf>
    <xf numFmtId="0" fontId="8" fillId="0" borderId="18" xfId="31" applyFont="1" applyBorder="1">
      <alignment/>
      <protection/>
    </xf>
    <xf numFmtId="0" fontId="8" fillId="0" borderId="19" xfId="31" applyFont="1" applyBorder="1">
      <alignment/>
      <protection/>
    </xf>
    <xf numFmtId="0" fontId="13" fillId="0" borderId="35" xfId="31" applyFont="1" applyBorder="1">
      <alignment/>
      <protection/>
    </xf>
    <xf numFmtId="0" fontId="8" fillId="0" borderId="36" xfId="31" applyFont="1" applyBorder="1">
      <alignment/>
      <protection/>
    </xf>
    <xf numFmtId="0" fontId="22" fillId="3" borderId="37" xfId="31" applyFont="1" applyFill="1" applyBorder="1" applyAlignment="1">
      <alignment horizontal="center"/>
      <protection/>
    </xf>
    <xf numFmtId="181" fontId="8" fillId="0" borderId="38" xfId="31" applyNumberFormat="1" applyFont="1" applyBorder="1" applyAlignment="1">
      <alignment horizontal="center"/>
      <protection/>
    </xf>
    <xf numFmtId="0" fontId="5" fillId="0" borderId="0" xfId="0" applyFont="1" applyAlignment="1">
      <alignment/>
    </xf>
    <xf numFmtId="37" fontId="24" fillId="0" borderId="0" xfId="28" applyFont="1" applyAlignment="1">
      <alignment horizontal="left"/>
      <protection/>
    </xf>
    <xf numFmtId="2" fontId="5" fillId="0" borderId="0" xfId="32" applyFont="1" applyBorder="1" applyAlignment="1">
      <alignment horizontal="right"/>
      <protection/>
    </xf>
    <xf numFmtId="37" fontId="24" fillId="0" borderId="0" xfId="28" applyFont="1" applyAlignment="1">
      <alignment/>
      <protection/>
    </xf>
    <xf numFmtId="37" fontId="25" fillId="0" borderId="0" xfId="28" applyFont="1" applyAlignment="1">
      <alignment horizontal="right"/>
      <protection/>
    </xf>
    <xf numFmtId="0" fontId="25" fillId="0" borderId="0" xfId="0" applyFont="1" applyAlignment="1">
      <alignment/>
    </xf>
    <xf numFmtId="0" fontId="26" fillId="0" borderId="0" xfId="0" applyFont="1" applyAlignment="1">
      <alignment/>
    </xf>
    <xf numFmtId="0" fontId="27" fillId="0" borderId="0" xfId="0" applyFont="1" applyAlignment="1">
      <alignment horizontal="center"/>
    </xf>
    <xf numFmtId="0" fontId="27" fillId="0" borderId="0" xfId="0" applyFont="1" applyAlignment="1">
      <alignment/>
    </xf>
    <xf numFmtId="0" fontId="28" fillId="0" borderId="27" xfId="0" applyFont="1" applyBorder="1" applyAlignment="1">
      <alignment horizontal="center" vertical="center"/>
    </xf>
    <xf numFmtId="0" fontId="27" fillId="0" borderId="0" xfId="0" applyFont="1" applyBorder="1" applyAlignment="1">
      <alignment horizontal="center"/>
    </xf>
    <xf numFmtId="0" fontId="29" fillId="0" borderId="3" xfId="0" applyFont="1" applyBorder="1" applyAlignment="1">
      <alignment horizontal="center"/>
    </xf>
    <xf numFmtId="0" fontId="28" fillId="0" borderId="28" xfId="0" applyFont="1" applyBorder="1" applyAlignment="1">
      <alignment horizontal="center" vertical="center"/>
    </xf>
    <xf numFmtId="0" fontId="29" fillId="0" borderId="0" xfId="0" applyFont="1" applyBorder="1" applyAlignment="1">
      <alignment horizontal="center"/>
    </xf>
    <xf numFmtId="0" fontId="29" fillId="0" borderId="17" xfId="0" applyFont="1" applyBorder="1" applyAlignment="1">
      <alignment horizontal="center"/>
    </xf>
    <xf numFmtId="0" fontId="29" fillId="0" borderId="2" xfId="0" applyFont="1" applyBorder="1" applyAlignment="1">
      <alignment horizontal="center"/>
    </xf>
    <xf numFmtId="14" fontId="28" fillId="0" borderId="28" xfId="0" applyNumberFormat="1" applyFont="1" applyBorder="1" applyAlignment="1">
      <alignment horizontal="center" vertical="center"/>
    </xf>
    <xf numFmtId="0" fontId="0" fillId="0" borderId="0" xfId="0" applyBorder="1" applyAlignment="1">
      <alignment/>
    </xf>
    <xf numFmtId="0" fontId="29" fillId="0" borderId="0" xfId="0" applyFont="1" applyAlignment="1">
      <alignment horizontal="left"/>
    </xf>
    <xf numFmtId="0" fontId="8" fillId="0" borderId="0" xfId="0" applyFont="1" applyAlignment="1">
      <alignment/>
    </xf>
    <xf numFmtId="0" fontId="29" fillId="0" borderId="0" xfId="0" applyFont="1" applyAlignment="1">
      <alignment horizontal="center"/>
    </xf>
    <xf numFmtId="2" fontId="26" fillId="0" borderId="0" xfId="0" applyNumberFormat="1" applyFont="1" applyAlignment="1">
      <alignment/>
    </xf>
    <xf numFmtId="169" fontId="8" fillId="0" borderId="0" xfId="0" applyNumberFormat="1" applyFont="1" applyAlignment="1">
      <alignment/>
    </xf>
    <xf numFmtId="10" fontId="8" fillId="0" borderId="0" xfId="35" applyNumberFormat="1" applyFont="1" applyAlignment="1">
      <alignment/>
    </xf>
    <xf numFmtId="169" fontId="27" fillId="0" borderId="0" xfId="0" applyNumberFormat="1" applyFont="1" applyAlignment="1">
      <alignment/>
    </xf>
    <xf numFmtId="167" fontId="8" fillId="0" borderId="0" xfId="15" applyNumberFormat="1" applyFont="1" applyAlignment="1">
      <alignment/>
    </xf>
    <xf numFmtId="41" fontId="27" fillId="0" borderId="0" xfId="0" applyNumberFormat="1" applyFont="1" applyAlignment="1">
      <alignment/>
    </xf>
    <xf numFmtId="0" fontId="27" fillId="0" borderId="0" xfId="0" applyFont="1" applyFill="1" applyAlignment="1">
      <alignment/>
    </xf>
    <xf numFmtId="2" fontId="26" fillId="0" borderId="0" xfId="0" applyNumberFormat="1" applyFont="1" applyFill="1" applyAlignment="1">
      <alignment/>
    </xf>
    <xf numFmtId="0" fontId="26" fillId="0" borderId="0" xfId="0" applyFont="1" applyFill="1" applyAlignment="1">
      <alignment/>
    </xf>
    <xf numFmtId="167" fontId="8" fillId="0" borderId="3" xfId="15" applyNumberFormat="1" applyFont="1" applyBorder="1" applyAlignment="1">
      <alignment/>
    </xf>
    <xf numFmtId="169" fontId="8" fillId="0" borderId="32" xfId="19" applyNumberFormat="1" applyFont="1" applyBorder="1" applyAlignment="1">
      <alignment/>
    </xf>
    <xf numFmtId="41" fontId="8" fillId="0" borderId="32" xfId="0" applyNumberFormat="1" applyFont="1" applyBorder="1" applyAlignment="1">
      <alignment/>
    </xf>
    <xf numFmtId="169" fontId="27" fillId="0" borderId="32" xfId="19" applyNumberFormat="1" applyFont="1" applyBorder="1" applyAlignment="1">
      <alignment/>
    </xf>
    <xf numFmtId="37" fontId="8" fillId="0" borderId="0" xfId="0" applyNumberFormat="1" applyFont="1" applyBorder="1" applyAlignment="1">
      <alignment/>
    </xf>
    <xf numFmtId="41" fontId="8" fillId="0" borderId="0" xfId="0" applyNumberFormat="1" applyFont="1" applyBorder="1" applyAlignment="1">
      <alignment/>
    </xf>
    <xf numFmtId="41" fontId="27" fillId="0" borderId="0" xfId="0" applyNumberFormat="1" applyFont="1" applyBorder="1" applyAlignment="1">
      <alignment/>
    </xf>
    <xf numFmtId="0" fontId="13" fillId="0" borderId="0" xfId="0" applyFont="1" applyAlignment="1">
      <alignment horizontal="center"/>
    </xf>
    <xf numFmtId="37" fontId="8" fillId="0" borderId="0" xfId="0" applyNumberFormat="1" applyFont="1" applyAlignment="1">
      <alignment/>
    </xf>
    <xf numFmtId="41" fontId="8" fillId="0" borderId="0" xfId="0" applyNumberFormat="1" applyFont="1" applyAlignment="1">
      <alignment/>
    </xf>
    <xf numFmtId="41" fontId="8" fillId="0" borderId="3" xfId="0" applyNumberFormat="1" applyFont="1" applyBorder="1" applyAlignment="1">
      <alignment/>
    </xf>
    <xf numFmtId="41" fontId="27" fillId="0" borderId="3" xfId="0" applyNumberFormat="1" applyFont="1" applyBorder="1" applyAlignment="1">
      <alignment/>
    </xf>
    <xf numFmtId="41" fontId="30" fillId="0" borderId="32" xfId="0" applyNumberFormat="1" applyFont="1" applyBorder="1" applyAlignment="1">
      <alignment/>
    </xf>
    <xf numFmtId="42" fontId="8" fillId="0" borderId="39" xfId="0" applyNumberFormat="1" applyFont="1" applyBorder="1" applyAlignment="1">
      <alignment/>
    </xf>
    <xf numFmtId="42" fontId="27" fillId="0" borderId="39" xfId="0" applyNumberFormat="1" applyFont="1" applyBorder="1" applyAlignment="1">
      <alignment/>
    </xf>
    <xf numFmtId="0" fontId="0" fillId="0" borderId="0" xfId="0" applyFont="1" applyAlignment="1">
      <alignment/>
    </xf>
    <xf numFmtId="0" fontId="20" fillId="0" borderId="0" xfId="0" applyFont="1" applyAlignment="1">
      <alignment/>
    </xf>
    <xf numFmtId="0" fontId="0" fillId="0" borderId="0" xfId="0" applyAlignment="1">
      <alignment horizontal="left"/>
    </xf>
    <xf numFmtId="44" fontId="0" fillId="0" borderId="0" xfId="0" applyNumberFormat="1" applyAlignment="1">
      <alignment/>
    </xf>
    <xf numFmtId="43" fontId="0" fillId="0" borderId="0" xfId="0" applyNumberFormat="1" applyAlignment="1">
      <alignment/>
    </xf>
    <xf numFmtId="0" fontId="0" fillId="0" borderId="0" xfId="0" applyAlignment="1">
      <alignment horizontal="center"/>
    </xf>
    <xf numFmtId="37" fontId="31" fillId="0" borderId="0" xfId="28" applyFont="1">
      <alignment/>
      <protection/>
    </xf>
    <xf numFmtId="37" fontId="32" fillId="0" borderId="0" xfId="28" applyFont="1" applyAlignment="1">
      <alignment horizontal="right"/>
      <protection/>
    </xf>
    <xf numFmtId="0" fontId="33" fillId="0" borderId="27" xfId="0" applyFont="1" applyBorder="1" applyAlignment="1">
      <alignment horizontal="center" vertical="center"/>
    </xf>
    <xf numFmtId="0" fontId="28" fillId="0" borderId="40" xfId="0" applyFont="1" applyBorder="1" applyAlignment="1">
      <alignment horizontal="center" vertical="center"/>
    </xf>
    <xf numFmtId="0" fontId="33" fillId="0" borderId="40" xfId="0" applyFont="1" applyBorder="1" applyAlignment="1">
      <alignment horizontal="center" vertical="center"/>
    </xf>
    <xf numFmtId="0" fontId="27" fillId="0" borderId="3" xfId="0" applyFont="1" applyBorder="1" applyAlignment="1">
      <alignment horizontal="center"/>
    </xf>
    <xf numFmtId="0" fontId="33" fillId="0" borderId="28" xfId="0" applyFont="1" applyBorder="1" applyAlignment="1">
      <alignment horizontal="center" vertical="center"/>
    </xf>
    <xf numFmtId="14" fontId="33" fillId="0" borderId="28" xfId="0" applyNumberFormat="1" applyFont="1" applyBorder="1" applyAlignment="1">
      <alignment horizontal="center" vertical="center"/>
    </xf>
    <xf numFmtId="14" fontId="28" fillId="0" borderId="2" xfId="0" applyNumberFormat="1" applyFont="1" applyBorder="1" applyAlignment="1">
      <alignment horizontal="center" vertical="center"/>
    </xf>
    <xf numFmtId="0" fontId="34" fillId="0" borderId="0" xfId="0" applyFont="1" applyAlignment="1">
      <alignment/>
    </xf>
    <xf numFmtId="44" fontId="27" fillId="0" borderId="0" xfId="0" applyNumberFormat="1" applyFont="1" applyAlignment="1">
      <alignment/>
    </xf>
    <xf numFmtId="10" fontId="27" fillId="0" borderId="0" xfId="35" applyNumberFormat="1" applyFont="1" applyAlignment="1">
      <alignment/>
    </xf>
    <xf numFmtId="42" fontId="27" fillId="0" borderId="0" xfId="0" applyNumberFormat="1" applyFont="1" applyAlignment="1">
      <alignment/>
    </xf>
    <xf numFmtId="0" fontId="8" fillId="0" borderId="0" xfId="0" applyFont="1" applyFill="1" applyAlignment="1">
      <alignment/>
    </xf>
    <xf numFmtId="41" fontId="27" fillId="0" borderId="32" xfId="0" applyNumberFormat="1" applyFont="1" applyBorder="1" applyAlignment="1">
      <alignment/>
    </xf>
    <xf numFmtId="42" fontId="27" fillId="0" borderId="11" xfId="0" applyNumberFormat="1" applyFont="1" applyBorder="1" applyAlignment="1">
      <alignment/>
    </xf>
    <xf numFmtId="42" fontId="27" fillId="0" borderId="0" xfId="0" applyNumberFormat="1" applyFont="1" applyBorder="1" applyAlignment="1">
      <alignment/>
    </xf>
    <xf numFmtId="0" fontId="8" fillId="0" borderId="0" xfId="0" applyFont="1" applyAlignment="1">
      <alignment horizontal="center"/>
    </xf>
    <xf numFmtId="10" fontId="8" fillId="0" borderId="0" xfId="0" applyNumberFormat="1" applyFont="1" applyAlignment="1">
      <alignment/>
    </xf>
    <xf numFmtId="1" fontId="1" fillId="0" borderId="0" xfId="32" applyNumberFormat="1">
      <alignment/>
      <protection/>
    </xf>
    <xf numFmtId="2" fontId="36" fillId="0" borderId="0" xfId="32" applyFont="1" applyBorder="1" applyAlignment="1">
      <alignment horizontal="left"/>
      <protection locked="0"/>
    </xf>
    <xf numFmtId="2" fontId="1" fillId="0" borderId="0" xfId="32">
      <alignment/>
      <protection/>
    </xf>
    <xf numFmtId="2" fontId="37" fillId="0" borderId="0" xfId="32" applyBorder="1">
      <alignment/>
      <protection/>
    </xf>
    <xf numFmtId="2" fontId="38" fillId="0" borderId="0" xfId="32" applyFont="1" applyFill="1" applyBorder="1">
      <alignment/>
      <protection/>
    </xf>
    <xf numFmtId="2" fontId="37" fillId="0" borderId="0" xfId="32" applyFill="1" applyBorder="1">
      <alignment/>
      <protection/>
    </xf>
    <xf numFmtId="2" fontId="37" fillId="0" borderId="0" xfId="32" applyFont="1" applyFill="1" applyBorder="1">
      <alignment/>
      <protection/>
    </xf>
    <xf numFmtId="0" fontId="2" fillId="0" borderId="0" xfId="0" applyFont="1" applyAlignment="1">
      <alignment horizontal="right"/>
    </xf>
    <xf numFmtId="2" fontId="39" fillId="0" borderId="0" xfId="32" applyFont="1" applyBorder="1" applyAlignment="1">
      <alignment horizontal="left"/>
      <protection locked="0"/>
    </xf>
    <xf numFmtId="2" fontId="39" fillId="0" borderId="0" xfId="32" applyFont="1" applyBorder="1" applyAlignment="1">
      <alignment horizontal="left"/>
      <protection/>
    </xf>
    <xf numFmtId="2" fontId="37" fillId="0" borderId="0" xfId="32" applyFont="1" applyBorder="1">
      <alignment/>
      <protection/>
    </xf>
    <xf numFmtId="1" fontId="1" fillId="8" borderId="0" xfId="32" applyNumberFormat="1" applyFill="1">
      <alignment/>
      <protection/>
    </xf>
    <xf numFmtId="181" fontId="37" fillId="8" borderId="27" xfId="32" applyFont="1" applyFill="1" applyBorder="1">
      <alignment/>
      <protection/>
    </xf>
    <xf numFmtId="2" fontId="37" fillId="8" borderId="27" xfId="32" applyFont="1" applyFill="1" applyBorder="1" applyAlignment="1">
      <alignment horizontal="center"/>
      <protection/>
    </xf>
    <xf numFmtId="2" fontId="37" fillId="8" borderId="27" xfId="32" applyFill="1" applyBorder="1" applyAlignment="1">
      <alignment horizontal="center"/>
      <protection locked="0"/>
    </xf>
    <xf numFmtId="2" fontId="37" fillId="8" borderId="27" xfId="32" applyFont="1" applyFill="1" applyBorder="1" applyAlignment="1">
      <alignment horizontal="center"/>
      <protection locked="0"/>
    </xf>
    <xf numFmtId="2" fontId="37" fillId="8" borderId="27" xfId="32" applyFont="1" applyFill="1" applyBorder="1" applyAlignment="1">
      <alignment horizontal="center"/>
      <protection locked="0"/>
    </xf>
    <xf numFmtId="2" fontId="37" fillId="8" borderId="27" xfId="32" applyFill="1" applyBorder="1" applyAlignment="1">
      <alignment horizontal="center"/>
      <protection/>
    </xf>
    <xf numFmtId="181" fontId="37" fillId="8" borderId="28" xfId="32" applyFont="1" applyFill="1" applyBorder="1">
      <alignment/>
      <protection/>
    </xf>
    <xf numFmtId="2" fontId="37" fillId="8" borderId="28" xfId="32" applyFill="1" applyBorder="1">
      <alignment/>
      <protection locked="0"/>
    </xf>
    <xf numFmtId="1" fontId="37" fillId="8" borderId="28" xfId="32" applyNumberFormat="1" applyFill="1" applyBorder="1" applyAlignment="1">
      <alignment horizontal="center"/>
      <protection locked="0"/>
    </xf>
    <xf numFmtId="1" fontId="37" fillId="8" borderId="28" xfId="32" applyNumberFormat="1" applyFont="1" applyFill="1" applyBorder="1" applyAlignment="1">
      <alignment horizontal="center"/>
      <protection locked="0"/>
    </xf>
    <xf numFmtId="1" fontId="37" fillId="8" borderId="28" xfId="32" applyNumberFormat="1" applyFont="1" applyFill="1" applyBorder="1" applyAlignment="1">
      <alignment horizontal="center"/>
      <protection locked="0"/>
    </xf>
    <xf numFmtId="2" fontId="37" fillId="8" borderId="28" xfId="32" applyFill="1" applyBorder="1">
      <alignment/>
      <protection/>
    </xf>
    <xf numFmtId="2" fontId="41" fillId="0" borderId="0" xfId="32" applyFont="1" applyBorder="1">
      <alignment/>
      <protection/>
    </xf>
    <xf numFmtId="2" fontId="1" fillId="0" borderId="0" xfId="32" applyBorder="1">
      <alignment/>
      <protection/>
    </xf>
    <xf numFmtId="2" fontId="1" fillId="0" borderId="0" xfId="32" applyFont="1">
      <alignment/>
      <protection/>
    </xf>
    <xf numFmtId="1" fontId="37" fillId="0" borderId="0" xfId="32" applyNumberFormat="1" applyFont="1" applyBorder="1" applyAlignment="1">
      <alignment horizontal="center"/>
      <protection locked="0"/>
    </xf>
    <xf numFmtId="4" fontId="1" fillId="0" borderId="0" xfId="32" applyNumberFormat="1">
      <alignment/>
      <protection/>
    </xf>
    <xf numFmtId="2" fontId="1" fillId="0" borderId="0" xfId="32" applyProtection="1">
      <alignment/>
      <protection locked="0"/>
    </xf>
    <xf numFmtId="181" fontId="1" fillId="0" borderId="0" xfId="32" applyNumberFormat="1" applyProtection="1">
      <alignment/>
      <protection locked="0"/>
    </xf>
    <xf numFmtId="4" fontId="1" fillId="0" borderId="0" xfId="17" applyBorder="1" applyAlignment="1">
      <alignment/>
    </xf>
    <xf numFmtId="4" fontId="1" fillId="0" borderId="0" xfId="17" applyFont="1" applyBorder="1" applyAlignment="1">
      <alignment/>
    </xf>
    <xf numFmtId="4" fontId="1" fillId="0" borderId="0" xfId="32" applyNumberFormat="1" applyBorder="1">
      <alignment/>
      <protection/>
    </xf>
    <xf numFmtId="4" fontId="42" fillId="0" borderId="0" xfId="32" applyNumberFormat="1" applyFont="1" applyBorder="1">
      <alignment/>
      <protection/>
    </xf>
    <xf numFmtId="4" fontId="1" fillId="0" borderId="0" xfId="32" applyFont="1" applyBorder="1" applyProtection="1">
      <alignment/>
      <protection locked="0"/>
    </xf>
    <xf numFmtId="2" fontId="1" fillId="0" borderId="0" xfId="32" applyFont="1" applyProtection="1">
      <alignment/>
      <protection locked="0"/>
    </xf>
    <xf numFmtId="181" fontId="1" fillId="0" borderId="0" xfId="32" applyNumberFormat="1" applyFont="1" applyProtection="1">
      <alignment/>
      <protection locked="0"/>
    </xf>
    <xf numFmtId="4" fontId="1" fillId="0" borderId="0" xfId="32" applyNumberFormat="1" applyFont="1" applyBorder="1">
      <alignment/>
      <protection/>
    </xf>
    <xf numFmtId="2" fontId="1" fillId="0" borderId="0" xfId="32" applyFont="1">
      <alignment/>
      <protection/>
    </xf>
    <xf numFmtId="2" fontId="1" fillId="0" borderId="0" xfId="32" applyFont="1" applyProtection="1">
      <alignment/>
      <protection locked="0"/>
    </xf>
    <xf numFmtId="181" fontId="1" fillId="0" borderId="0" xfId="32" applyNumberFormat="1" applyFont="1">
      <alignment/>
      <protection/>
    </xf>
    <xf numFmtId="4" fontId="1" fillId="0" borderId="3" xfId="32" applyNumberFormat="1" applyFont="1" applyBorder="1">
      <alignment/>
      <protection/>
    </xf>
    <xf numFmtId="4" fontId="1" fillId="0" borderId="32" xfId="32" applyNumberFormat="1" applyFont="1" applyBorder="1">
      <alignment/>
      <protection/>
    </xf>
    <xf numFmtId="2" fontId="1" fillId="0" borderId="0" xfId="32" applyFont="1" applyBorder="1">
      <alignment/>
      <protection/>
    </xf>
    <xf numFmtId="4" fontId="2" fillId="0" borderId="0" xfId="0" applyNumberFormat="1" applyFont="1" applyAlignment="1">
      <alignment/>
    </xf>
    <xf numFmtId="0" fontId="1" fillId="0" borderId="0" xfId="32" applyFont="1">
      <alignment/>
      <protection/>
    </xf>
    <xf numFmtId="43" fontId="1" fillId="0" borderId="0" xfId="15" applyFont="1" applyBorder="1" applyAlignment="1">
      <alignment/>
    </xf>
    <xf numFmtId="2" fontId="37" fillId="8" borderId="5" xfId="32" applyFont="1" applyFill="1" applyBorder="1" applyAlignment="1">
      <alignment horizontal="center"/>
      <protection locked="0"/>
    </xf>
    <xf numFmtId="1" fontId="37" fillId="8" borderId="3" xfId="32" applyNumberFormat="1" applyFont="1" applyFill="1" applyBorder="1" applyAlignment="1">
      <alignment horizontal="center"/>
      <protection locked="0"/>
    </xf>
    <xf numFmtId="2" fontId="1" fillId="0" borderId="3" xfId="32" applyBorder="1">
      <alignment/>
      <protection/>
    </xf>
    <xf numFmtId="4" fontId="1" fillId="0" borderId="0" xfId="17" applyFont="1" applyBorder="1" applyAlignment="1">
      <alignment/>
    </xf>
    <xf numFmtId="4" fontId="1" fillId="0" borderId="0" xfId="32" applyNumberFormat="1" applyFont="1" applyBorder="1">
      <alignment/>
      <protection/>
    </xf>
    <xf numFmtId="181" fontId="1" fillId="0" borderId="0" xfId="32" applyNumberFormat="1">
      <alignment/>
      <protection/>
    </xf>
    <xf numFmtId="4" fontId="1" fillId="0" borderId="0" xfId="32" applyNumberFormat="1" applyFont="1" applyFill="1" applyBorder="1">
      <alignment/>
      <protection/>
    </xf>
    <xf numFmtId="4" fontId="1" fillId="0" borderId="0" xfId="32" applyNumberFormat="1" applyFill="1" applyBorder="1">
      <alignment/>
      <protection/>
    </xf>
    <xf numFmtId="4" fontId="1" fillId="0" borderId="0" xfId="17" applyFill="1" applyBorder="1" applyAlignment="1">
      <alignment/>
    </xf>
    <xf numFmtId="37" fontId="0" fillId="0" borderId="0" xfId="0" applyNumberFormat="1" applyAlignment="1">
      <alignment/>
    </xf>
    <xf numFmtId="218" fontId="0" fillId="0" borderId="0" xfId="0" applyNumberFormat="1" applyAlignment="1">
      <alignment/>
    </xf>
    <xf numFmtId="2" fontId="11" fillId="0" borderId="0" xfId="32" applyFont="1" applyAlignment="1">
      <alignment vertical="center"/>
      <protection/>
    </xf>
    <xf numFmtId="2" fontId="11" fillId="0" borderId="0" xfId="32" applyFont="1">
      <alignment/>
      <protection/>
    </xf>
    <xf numFmtId="0" fontId="1" fillId="0" borderId="2" xfId="0" applyFont="1" applyBorder="1" applyAlignment="1">
      <alignment horizontal="center" vertical="center" wrapText="1"/>
    </xf>
    <xf numFmtId="4" fontId="1" fillId="0" borderId="0" xfId="32" applyNumberFormat="1" applyFont="1" applyBorder="1">
      <alignment/>
      <protection/>
    </xf>
    <xf numFmtId="10" fontId="2" fillId="0" borderId="0" xfId="35" applyNumberFormat="1" applyFont="1" applyAlignment="1">
      <alignment horizontal="center"/>
    </xf>
    <xf numFmtId="2" fontId="1" fillId="0" borderId="0" xfId="32" applyNumberFormat="1" applyFont="1" applyFill="1">
      <alignment/>
      <protection/>
    </xf>
    <xf numFmtId="4" fontId="1" fillId="0" borderId="32" xfId="32" applyNumberFormat="1" applyFont="1" applyBorder="1">
      <alignment/>
      <protection/>
    </xf>
    <xf numFmtId="170" fontId="2" fillId="0" borderId="0" xfId="35" applyNumberFormat="1" applyFont="1" applyAlignment="1">
      <alignment horizontal="center"/>
    </xf>
    <xf numFmtId="4" fontId="1" fillId="0" borderId="11" xfId="32" applyNumberFormat="1" applyFont="1" applyBorder="1">
      <alignment/>
      <protection/>
    </xf>
    <xf numFmtId="4" fontId="11" fillId="0" borderId="11" xfId="32" applyNumberFormat="1" applyFont="1" applyBorder="1">
      <alignment/>
      <protection/>
    </xf>
    <xf numFmtId="4" fontId="43" fillId="0" borderId="0" xfId="32" applyNumberFormat="1" applyFont="1" applyBorder="1" applyAlignment="1">
      <alignment vertical="top"/>
      <protection/>
    </xf>
    <xf numFmtId="4" fontId="43" fillId="0" borderId="0" xfId="32" applyNumberFormat="1" applyFont="1" applyBorder="1">
      <alignment/>
      <protection/>
    </xf>
    <xf numFmtId="10" fontId="1" fillId="0" borderId="0" xfId="35" applyNumberFormat="1" applyFont="1" applyBorder="1" applyAlignment="1">
      <alignment/>
    </xf>
    <xf numFmtId="3" fontId="1" fillId="0" borderId="0" xfId="32" applyNumberFormat="1" applyFont="1" applyBorder="1">
      <alignment/>
      <protection/>
    </xf>
    <xf numFmtId="2" fontId="1" fillId="0" borderId="0" xfId="32" applyNumberFormat="1" applyFont="1" applyFill="1" applyAlignment="1" quotePrefix="1">
      <alignment horizontal="center"/>
      <protection/>
    </xf>
    <xf numFmtId="2" fontId="1" fillId="0" borderId="0" xfId="32" applyNumberFormat="1" applyFont="1" applyFill="1" quotePrefix="1">
      <alignment/>
      <protection/>
    </xf>
    <xf numFmtId="2" fontId="1" fillId="9" borderId="0" xfId="32" applyFont="1" applyFill="1">
      <alignment/>
      <protection/>
    </xf>
    <xf numFmtId="0" fontId="1" fillId="6" borderId="0" xfId="32" applyFont="1" applyFill="1">
      <alignment/>
      <protection/>
    </xf>
    <xf numFmtId="2" fontId="1" fillId="9" borderId="0" xfId="32" applyFill="1">
      <alignment/>
      <protection/>
    </xf>
    <xf numFmtId="2" fontId="1" fillId="9" borderId="0" xfId="32" applyFont="1" applyFill="1">
      <alignment/>
      <protection/>
    </xf>
    <xf numFmtId="0" fontId="0" fillId="6" borderId="0" xfId="0" applyFill="1" applyAlignment="1">
      <alignment/>
    </xf>
    <xf numFmtId="37" fontId="31" fillId="0" borderId="0" xfId="28" applyFont="1" applyAlignment="1">
      <alignment horizontal="right"/>
      <protection/>
    </xf>
    <xf numFmtId="0" fontId="0" fillId="0" borderId="27" xfId="0" applyBorder="1" applyAlignment="1">
      <alignment horizontal="center" vertical="center"/>
    </xf>
    <xf numFmtId="14" fontId="28" fillId="0" borderId="40" xfId="0" applyNumberFormat="1" applyFont="1" applyBorder="1" applyAlignment="1">
      <alignment horizontal="center" vertical="center"/>
    </xf>
    <xf numFmtId="14" fontId="28" fillId="0" borderId="27" xfId="0" applyNumberFormat="1" applyFont="1" applyBorder="1" applyAlignment="1">
      <alignment horizontal="center" vertical="center"/>
    </xf>
    <xf numFmtId="14" fontId="28" fillId="0" borderId="0" xfId="0" applyNumberFormat="1" applyFont="1" applyBorder="1" applyAlignment="1">
      <alignment horizontal="center" vertical="center"/>
    </xf>
    <xf numFmtId="0" fontId="28" fillId="0" borderId="0" xfId="0" applyFont="1" applyBorder="1" applyAlignment="1">
      <alignment horizontal="center" vertical="center"/>
    </xf>
    <xf numFmtId="0" fontId="28" fillId="0" borderId="7" xfId="0" applyFont="1" applyBorder="1" applyAlignment="1">
      <alignment horizontal="center" vertical="center"/>
    </xf>
    <xf numFmtId="14" fontId="28" fillId="0" borderId="3" xfId="0" applyNumberFormat="1" applyFont="1" applyBorder="1" applyAlignment="1">
      <alignment horizontal="center" vertical="center"/>
    </xf>
    <xf numFmtId="0" fontId="28" fillId="0" borderId="9" xfId="0" applyFont="1" applyBorder="1" applyAlignment="1">
      <alignment horizontal="center" vertical="center"/>
    </xf>
    <xf numFmtId="0" fontId="13" fillId="0" borderId="28" xfId="0" applyFont="1" applyBorder="1" applyAlignment="1">
      <alignment horizontal="center"/>
    </xf>
    <xf numFmtId="0" fontId="8" fillId="0" borderId="2" xfId="0" applyFont="1" applyBorder="1" applyAlignment="1">
      <alignment horizontal="center"/>
    </xf>
    <xf numFmtId="0" fontId="28" fillId="0" borderId="2" xfId="0" applyFont="1" applyBorder="1" applyAlignment="1">
      <alignment horizontal="center" vertical="center"/>
    </xf>
    <xf numFmtId="0" fontId="13" fillId="0" borderId="17" xfId="0" applyFont="1" applyBorder="1" applyAlignment="1">
      <alignment horizontal="center"/>
    </xf>
    <xf numFmtId="0" fontId="8" fillId="0" borderId="2" xfId="0" applyFont="1" applyBorder="1" applyAlignment="1">
      <alignment/>
    </xf>
    <xf numFmtId="0" fontId="29" fillId="0" borderId="28" xfId="0" applyFont="1" applyBorder="1" applyAlignment="1">
      <alignment horizontal="center"/>
    </xf>
    <xf numFmtId="42" fontId="8" fillId="0" borderId="0" xfId="0" applyNumberFormat="1" applyFont="1" applyAlignment="1">
      <alignment/>
    </xf>
    <xf numFmtId="37" fontId="27" fillId="0" borderId="0" xfId="0" applyNumberFormat="1" applyFont="1" applyAlignment="1">
      <alignment/>
    </xf>
    <xf numFmtId="10" fontId="27" fillId="0" borderId="0" xfId="0" applyNumberFormat="1" applyFont="1" applyFill="1" applyAlignment="1">
      <alignment/>
    </xf>
    <xf numFmtId="37" fontId="27" fillId="0" borderId="0" xfId="0" applyNumberFormat="1" applyFont="1" applyFill="1" applyAlignment="1">
      <alignment/>
    </xf>
    <xf numFmtId="37" fontId="27" fillId="0" borderId="3" xfId="0" applyNumberFormat="1" applyFont="1" applyBorder="1" applyAlignment="1">
      <alignment/>
    </xf>
    <xf numFmtId="37" fontId="27" fillId="0" borderId="3" xfId="0" applyNumberFormat="1" applyFont="1" applyFill="1" applyBorder="1" applyAlignment="1">
      <alignment/>
    </xf>
    <xf numFmtId="37" fontId="29" fillId="0" borderId="0" xfId="0" applyNumberFormat="1" applyFont="1" applyAlignment="1">
      <alignment horizontal="center"/>
    </xf>
    <xf numFmtId="41" fontId="29" fillId="0" borderId="0" xfId="0" applyNumberFormat="1" applyFont="1" applyAlignment="1">
      <alignment horizontal="center"/>
    </xf>
    <xf numFmtId="10" fontId="29" fillId="0" borderId="0" xfId="0" applyNumberFormat="1" applyFont="1" applyFill="1" applyAlignment="1">
      <alignment horizontal="center"/>
    </xf>
    <xf numFmtId="10" fontId="27" fillId="0" borderId="3" xfId="0" applyNumberFormat="1" applyFont="1" applyFill="1" applyBorder="1" applyAlignment="1">
      <alignment/>
    </xf>
    <xf numFmtId="2" fontId="8" fillId="0" borderId="0" xfId="0" applyNumberFormat="1" applyFont="1" applyAlignment="1">
      <alignment/>
    </xf>
    <xf numFmtId="10" fontId="8" fillId="0" borderId="0" xfId="0" applyNumberFormat="1" applyFont="1" applyFill="1" applyAlignment="1">
      <alignment/>
    </xf>
    <xf numFmtId="2" fontId="8" fillId="0" borderId="0" xfId="0" applyNumberFormat="1" applyFont="1" applyFill="1" applyAlignment="1">
      <alignment/>
    </xf>
    <xf numFmtId="37" fontId="27" fillId="0" borderId="0" xfId="0" applyNumberFormat="1" applyFont="1" applyBorder="1" applyAlignment="1">
      <alignment/>
    </xf>
    <xf numFmtId="10" fontId="27" fillId="0" borderId="32" xfId="0" applyNumberFormat="1" applyFont="1" applyBorder="1" applyAlignment="1">
      <alignment/>
    </xf>
    <xf numFmtId="37" fontId="27" fillId="0" borderId="32" xfId="0" applyNumberFormat="1" applyFont="1" applyBorder="1" applyAlignment="1">
      <alignment/>
    </xf>
    <xf numFmtId="170" fontId="27" fillId="0" borderId="39" xfId="35" applyNumberFormat="1" applyFont="1" applyBorder="1" applyAlignment="1">
      <alignment/>
    </xf>
    <xf numFmtId="0" fontId="44" fillId="0" borderId="0" xfId="0" applyFont="1" applyAlignment="1">
      <alignment/>
    </xf>
    <xf numFmtId="0" fontId="45" fillId="0" borderId="0" xfId="0" applyFont="1" applyAlignment="1">
      <alignment/>
    </xf>
    <xf numFmtId="0" fontId="44" fillId="0" borderId="2" xfId="0" applyFont="1" applyBorder="1" applyAlignment="1">
      <alignment horizontal="center" wrapText="1"/>
    </xf>
    <xf numFmtId="0" fontId="13" fillId="0" borderId="2" xfId="0" applyFont="1" applyBorder="1" applyAlignment="1">
      <alignment horizontal="center" wrapText="1"/>
    </xf>
    <xf numFmtId="0" fontId="44" fillId="0" borderId="2" xfId="0" applyFont="1" applyBorder="1" applyAlignment="1">
      <alignment horizontal="center"/>
    </xf>
    <xf numFmtId="0" fontId="13" fillId="0" borderId="2" xfId="0" applyFont="1" applyBorder="1" applyAlignment="1">
      <alignment horizontal="center"/>
    </xf>
    <xf numFmtId="41" fontId="45" fillId="0" borderId="0" xfId="0" applyNumberFormat="1" applyFont="1" applyAlignment="1">
      <alignment/>
    </xf>
    <xf numFmtId="41" fontId="45" fillId="0" borderId="3" xfId="0" applyNumberFormat="1" applyFont="1" applyBorder="1" applyAlignment="1">
      <alignment/>
    </xf>
    <xf numFmtId="43" fontId="8" fillId="0" borderId="0" xfId="0" applyNumberFormat="1" applyFont="1" applyAlignment="1">
      <alignment/>
    </xf>
    <xf numFmtId="41" fontId="45" fillId="0" borderId="39" xfId="0" applyNumberFormat="1" applyFont="1" applyBorder="1" applyAlignment="1">
      <alignment/>
    </xf>
    <xf numFmtId="176" fontId="45" fillId="0" borderId="0" xfId="0" applyNumberFormat="1" applyFont="1" applyAlignment="1">
      <alignment/>
    </xf>
    <xf numFmtId="42" fontId="45" fillId="0" borderId="0" xfId="0" applyNumberFormat="1" applyFont="1" applyAlignment="1">
      <alignment/>
    </xf>
    <xf numFmtId="41" fontId="8" fillId="0" borderId="11" xfId="0" applyNumberFormat="1" applyFont="1" applyBorder="1" applyAlignment="1">
      <alignment/>
    </xf>
    <xf numFmtId="10" fontId="27" fillId="0" borderId="0" xfId="35" applyNumberFormat="1" applyFont="1" applyBorder="1" applyAlignment="1">
      <alignment/>
    </xf>
    <xf numFmtId="0" fontId="20" fillId="0" borderId="0" xfId="30" applyFont="1">
      <alignment/>
      <protection/>
    </xf>
    <xf numFmtId="0" fontId="0" fillId="0" borderId="0" xfId="30">
      <alignment/>
      <protection/>
    </xf>
    <xf numFmtId="0" fontId="0" fillId="0" borderId="0" xfId="30" applyAlignment="1">
      <alignment horizontal="right"/>
      <protection/>
    </xf>
    <xf numFmtId="0" fontId="0" fillId="10" borderId="27" xfId="30" applyFill="1" applyBorder="1" applyAlignment="1">
      <alignment horizontal="center" vertical="center" wrapText="1"/>
      <protection/>
    </xf>
    <xf numFmtId="0" fontId="0" fillId="10" borderId="2" xfId="30" applyFont="1" applyFill="1" applyBorder="1" applyAlignment="1">
      <alignment horizontal="center" vertical="center" wrapText="1"/>
      <protection/>
    </xf>
    <xf numFmtId="0" fontId="20" fillId="10" borderId="2" xfId="30" applyFont="1" applyFill="1" applyBorder="1" applyAlignment="1">
      <alignment horizontal="center" vertical="center" wrapText="1"/>
      <protection/>
    </xf>
    <xf numFmtId="0" fontId="0" fillId="10" borderId="2" xfId="30" applyFill="1" applyBorder="1" applyAlignment="1">
      <alignment horizontal="center" vertical="center" wrapText="1"/>
      <protection/>
    </xf>
    <xf numFmtId="0" fontId="0" fillId="0" borderId="2" xfId="30" applyFont="1" applyBorder="1" applyAlignment="1">
      <alignment horizontal="center"/>
      <protection/>
    </xf>
    <xf numFmtId="0" fontId="0" fillId="0" borderId="2" xfId="30" applyFont="1" applyBorder="1" applyAlignment="1">
      <alignment horizontal="center" wrapText="1"/>
      <protection/>
    </xf>
    <xf numFmtId="0" fontId="20" fillId="0" borderId="2" xfId="30" applyFont="1" applyFill="1" applyBorder="1" applyAlignment="1">
      <alignment horizontal="center"/>
      <protection/>
    </xf>
    <xf numFmtId="0" fontId="0" fillId="0" borderId="2" xfId="30" applyFont="1" applyFill="1" applyBorder="1" applyAlignment="1">
      <alignment horizontal="center"/>
      <protection/>
    </xf>
    <xf numFmtId="0" fontId="0" fillId="0" borderId="0" xfId="30" applyBorder="1" applyAlignment="1">
      <alignment horizontal="center"/>
      <protection/>
    </xf>
    <xf numFmtId="0" fontId="0" fillId="0" borderId="0" xfId="30" applyBorder="1" applyAlignment="1">
      <alignment horizontal="center" wrapText="1"/>
      <protection/>
    </xf>
    <xf numFmtId="0" fontId="20" fillId="0" borderId="2" xfId="30" applyFont="1" applyFill="1" applyBorder="1" applyAlignment="1">
      <alignment horizontal="center" vertical="center" wrapText="1"/>
      <protection/>
    </xf>
    <xf numFmtId="0" fontId="20" fillId="0" borderId="31" xfId="30" applyFont="1" applyFill="1" applyBorder="1" applyAlignment="1">
      <alignment horizontal="center" vertical="center" wrapText="1"/>
      <protection/>
    </xf>
    <xf numFmtId="0" fontId="0" fillId="0" borderId="17" xfId="30" applyFont="1" applyFill="1" applyBorder="1" applyAlignment="1">
      <alignment horizontal="center" vertical="center" wrapText="1"/>
      <protection/>
    </xf>
    <xf numFmtId="167" fontId="0" fillId="0" borderId="0" xfId="15" applyNumberFormat="1" applyAlignment="1">
      <alignment/>
    </xf>
    <xf numFmtId="167" fontId="0" fillId="0" borderId="0" xfId="30" applyNumberFormat="1">
      <alignment/>
      <protection/>
    </xf>
    <xf numFmtId="167" fontId="20" fillId="0" borderId="0" xfId="30" applyNumberFormat="1" applyFont="1" applyFill="1">
      <alignment/>
      <protection/>
    </xf>
    <xf numFmtId="167" fontId="0" fillId="0" borderId="0" xfId="30" applyNumberFormat="1" applyFont="1" applyFill="1">
      <alignment/>
      <protection/>
    </xf>
    <xf numFmtId="172" fontId="23" fillId="0" borderId="0" xfId="15" applyNumberFormat="1" applyFont="1" applyAlignment="1">
      <alignment horizontal="center"/>
    </xf>
    <xf numFmtId="172" fontId="33" fillId="0" borderId="0" xfId="15" applyNumberFormat="1" applyFont="1" applyFill="1" applyAlignment="1">
      <alignment horizontal="center"/>
    </xf>
    <xf numFmtId="172" fontId="23" fillId="0" borderId="0" xfId="15" applyNumberFormat="1" applyFont="1" applyFill="1" applyAlignment="1">
      <alignment horizontal="center"/>
    </xf>
    <xf numFmtId="176" fontId="0" fillId="0" borderId="0" xfId="15" applyNumberFormat="1" applyAlignment="1">
      <alignment/>
    </xf>
    <xf numFmtId="176" fontId="26" fillId="0" borderId="0" xfId="15" applyNumberFormat="1" applyFont="1" applyAlignment="1">
      <alignment/>
    </xf>
    <xf numFmtId="173" fontId="25" fillId="0" borderId="0" xfId="15" applyNumberFormat="1" applyFont="1" applyFill="1" applyAlignment="1">
      <alignment/>
    </xf>
    <xf numFmtId="173" fontId="26" fillId="0" borderId="0" xfId="15" applyNumberFormat="1" applyFont="1" applyAlignment="1">
      <alignment/>
    </xf>
    <xf numFmtId="176" fontId="25" fillId="0" borderId="0" xfId="15" applyNumberFormat="1" applyFont="1" applyFill="1" applyAlignment="1">
      <alignment/>
    </xf>
    <xf numFmtId="176" fontId="26" fillId="0" borderId="0" xfId="15" applyNumberFormat="1" applyFont="1" applyFill="1" applyAlignment="1">
      <alignment/>
    </xf>
    <xf numFmtId="0" fontId="34" fillId="0" borderId="0" xfId="30" applyFont="1">
      <alignment/>
      <protection/>
    </xf>
    <xf numFmtId="167" fontId="20" fillId="0" borderId="0" xfId="15" applyNumberFormat="1" applyFont="1" applyFill="1" applyAlignment="1">
      <alignment/>
    </xf>
    <xf numFmtId="0" fontId="0" fillId="0" borderId="0" xfId="30" applyFill="1">
      <alignment/>
      <protection/>
    </xf>
    <xf numFmtId="0" fontId="0" fillId="0" borderId="0" xfId="30" applyFont="1" applyFill="1">
      <alignment/>
      <protection/>
    </xf>
    <xf numFmtId="167" fontId="46" fillId="0" borderId="0" xfId="30" applyNumberFormat="1" applyFont="1">
      <alignment/>
      <protection/>
    </xf>
    <xf numFmtId="173" fontId="20" fillId="0" borderId="0" xfId="15" applyNumberFormat="1" applyFont="1" applyFill="1" applyAlignment="1">
      <alignment/>
    </xf>
    <xf numFmtId="176" fontId="20" fillId="0" borderId="0" xfId="15" applyNumberFormat="1" applyFont="1" applyFill="1" applyAlignment="1">
      <alignment/>
    </xf>
    <xf numFmtId="176" fontId="0" fillId="0" borderId="0" xfId="15" applyNumberFormat="1" applyFont="1" applyFill="1" applyAlignment="1">
      <alignment/>
    </xf>
    <xf numFmtId="172" fontId="23" fillId="0" borderId="0" xfId="15" applyNumberFormat="1" applyFont="1" applyFill="1" applyAlignment="1">
      <alignment horizontal="center"/>
    </xf>
    <xf numFmtId="167" fontId="20" fillId="0" borderId="2" xfId="30" applyNumberFormat="1" applyFont="1" applyFill="1" applyBorder="1">
      <alignment/>
      <protection/>
    </xf>
    <xf numFmtId="0" fontId="20" fillId="0" borderId="0" xfId="30" applyFont="1" applyBorder="1">
      <alignment/>
      <protection/>
    </xf>
    <xf numFmtId="167" fontId="0" fillId="0" borderId="0" xfId="30" applyNumberFormat="1" applyFont="1" applyFill="1" applyBorder="1">
      <alignment/>
      <protection/>
    </xf>
    <xf numFmtId="0" fontId="0" fillId="0" borderId="0" xfId="30" applyBorder="1">
      <alignment/>
      <protection/>
    </xf>
    <xf numFmtId="0" fontId="20" fillId="0" borderId="2" xfId="30" applyFont="1" applyFill="1" applyBorder="1" applyAlignment="1">
      <alignment vertical="center" wrapText="1"/>
      <protection/>
    </xf>
    <xf numFmtId="0" fontId="20" fillId="0" borderId="17" xfId="30" applyFont="1" applyFill="1" applyBorder="1" applyAlignment="1">
      <alignment horizontal="center" vertical="center" wrapText="1"/>
      <protection/>
    </xf>
    <xf numFmtId="173" fontId="0" fillId="0" borderId="0" xfId="15" applyNumberFormat="1" applyAlignment="1">
      <alignment/>
    </xf>
    <xf numFmtId="0" fontId="26" fillId="0" borderId="0" xfId="30" applyFont="1">
      <alignment/>
      <protection/>
    </xf>
    <xf numFmtId="167" fontId="46" fillId="0" borderId="0" xfId="15" applyNumberFormat="1" applyFont="1" applyAlignment="1">
      <alignment/>
    </xf>
    <xf numFmtId="167" fontId="20" fillId="0" borderId="0" xfId="30" applyNumberFormat="1" applyFont="1" applyFill="1" applyBorder="1">
      <alignment/>
      <protection/>
    </xf>
    <xf numFmtId="43" fontId="0" fillId="0" borderId="0" xfId="30" applyNumberFormat="1">
      <alignment/>
      <protection/>
    </xf>
    <xf numFmtId="167" fontId="26" fillId="0" borderId="0" xfId="30" applyNumberFormat="1" applyFont="1">
      <alignment/>
      <protection/>
    </xf>
    <xf numFmtId="172" fontId="47" fillId="0" borderId="0" xfId="15" applyNumberFormat="1" applyFont="1" applyAlignment="1">
      <alignment horizontal="center"/>
    </xf>
    <xf numFmtId="176" fontId="23" fillId="0" borderId="0" xfId="15" applyNumberFormat="1" applyFont="1" applyAlignment="1">
      <alignment horizontal="center"/>
    </xf>
    <xf numFmtId="167" fontId="26" fillId="0" borderId="0" xfId="15" applyNumberFormat="1" applyFont="1" applyAlignment="1">
      <alignment/>
    </xf>
    <xf numFmtId="167" fontId="0" fillId="0" borderId="2" xfId="30" applyNumberFormat="1" applyFill="1" applyBorder="1">
      <alignment/>
      <protection/>
    </xf>
    <xf numFmtId="0" fontId="25" fillId="11" borderId="41" xfId="30" applyFont="1" applyFill="1" applyBorder="1" applyAlignment="1">
      <alignment horizontal="center" vertical="center" wrapText="1"/>
      <protection/>
    </xf>
    <xf numFmtId="0" fontId="25" fillId="11" borderId="42" xfId="30" applyFont="1" applyFill="1" applyBorder="1" applyAlignment="1">
      <alignment horizontal="center" vertical="center" wrapText="1"/>
      <protection/>
    </xf>
    <xf numFmtId="0" fontId="48" fillId="0" borderId="43" xfId="30" applyFont="1" applyFill="1" applyBorder="1" applyAlignment="1">
      <alignment horizontal="left"/>
      <protection/>
    </xf>
    <xf numFmtId="0" fontId="48" fillId="0" borderId="3" xfId="30" applyFont="1" applyFill="1" applyBorder="1" applyAlignment="1">
      <alignment horizontal="left"/>
      <protection/>
    </xf>
    <xf numFmtId="0" fontId="0" fillId="0" borderId="31" xfId="30" applyFont="1" applyFill="1" applyBorder="1" applyAlignment="1">
      <alignment horizontal="center"/>
      <protection/>
    </xf>
    <xf numFmtId="0" fontId="0" fillId="0" borderId="0" xfId="30" applyFill="1" applyBorder="1">
      <alignment/>
      <protection/>
    </xf>
    <xf numFmtId="0" fontId="49" fillId="12" borderId="0" xfId="30" applyFont="1" applyFill="1" applyBorder="1" applyAlignment="1">
      <alignment horizontal="left"/>
      <protection/>
    </xf>
    <xf numFmtId="0" fontId="26" fillId="12" borderId="0" xfId="30" applyFont="1" applyFill="1" applyBorder="1" applyAlignment="1">
      <alignment/>
      <protection/>
    </xf>
    <xf numFmtId="0" fontId="26" fillId="12" borderId="0" xfId="30" applyFont="1" applyFill="1" applyBorder="1" applyAlignment="1">
      <alignment wrapText="1"/>
      <protection/>
    </xf>
    <xf numFmtId="0" fontId="26" fillId="12" borderId="0" xfId="30" applyFont="1" applyFill="1" applyBorder="1" applyAlignment="1">
      <alignment vertical="center" wrapText="1"/>
      <protection/>
    </xf>
    <xf numFmtId="0" fontId="26" fillId="0" borderId="0" xfId="30" applyFont="1" applyFill="1" applyBorder="1" applyAlignment="1">
      <alignment horizontal="left"/>
      <protection/>
    </xf>
    <xf numFmtId="0" fontId="25" fillId="0" borderId="0" xfId="30" applyFont="1" applyFill="1" applyBorder="1" applyAlignment="1">
      <alignment horizontal="left"/>
      <protection/>
    </xf>
    <xf numFmtId="167" fontId="26" fillId="0" borderId="0" xfId="15" applyNumberFormat="1" applyFont="1" applyFill="1" applyBorder="1" applyAlignment="1">
      <alignment/>
    </xf>
    <xf numFmtId="167" fontId="26" fillId="0" borderId="0" xfId="30" applyNumberFormat="1" applyFont="1" applyFill="1" applyBorder="1" applyAlignment="1">
      <alignment/>
      <protection/>
    </xf>
    <xf numFmtId="0" fontId="26" fillId="12" borderId="0" xfId="30" applyFont="1" applyFill="1" applyBorder="1" applyAlignment="1">
      <alignment horizontal="left"/>
      <protection/>
    </xf>
    <xf numFmtId="10" fontId="26" fillId="12" borderId="0" xfId="35" applyNumberFormat="1" applyFont="1" applyFill="1" applyBorder="1" applyAlignment="1">
      <alignment/>
    </xf>
    <xf numFmtId="172" fontId="26" fillId="12" borderId="0" xfId="15" applyNumberFormat="1" applyFont="1" applyFill="1" applyBorder="1" applyAlignment="1">
      <alignment/>
    </xf>
    <xf numFmtId="167" fontId="26" fillId="12" borderId="0" xfId="15" applyNumberFormat="1" applyFont="1" applyFill="1" applyBorder="1" applyAlignment="1">
      <alignment/>
    </xf>
    <xf numFmtId="167" fontId="26" fillId="12" borderId="0" xfId="30" applyNumberFormat="1" applyFont="1" applyFill="1" applyBorder="1" applyAlignment="1">
      <alignment/>
      <protection/>
    </xf>
    <xf numFmtId="0" fontId="25" fillId="12" borderId="0" xfId="30" applyFont="1" applyFill="1" applyBorder="1" applyAlignment="1">
      <alignment horizontal="left"/>
      <protection/>
    </xf>
    <xf numFmtId="167" fontId="26" fillId="12" borderId="2" xfId="30" applyNumberFormat="1" applyFont="1" applyFill="1" applyBorder="1" applyAlignment="1">
      <alignment/>
      <protection/>
    </xf>
    <xf numFmtId="0" fontId="20" fillId="0" borderId="0" xfId="0" applyFont="1" applyAlignment="1">
      <alignment horizontal="right"/>
    </xf>
    <xf numFmtId="0" fontId="5" fillId="0" borderId="0" xfId="0" applyFont="1" applyAlignment="1">
      <alignment horizontal="centerContinuous"/>
    </xf>
    <xf numFmtId="0" fontId="5" fillId="0" borderId="0" xfId="0" applyFont="1" applyAlignment="1">
      <alignment horizontal="center"/>
    </xf>
    <xf numFmtId="166" fontId="0" fillId="0" borderId="0" xfId="0" applyNumberFormat="1" applyAlignment="1">
      <alignment horizontal="center"/>
    </xf>
    <xf numFmtId="0" fontId="0" fillId="0" borderId="3" xfId="0" applyBorder="1" applyAlignment="1">
      <alignment horizontal="center"/>
    </xf>
    <xf numFmtId="166" fontId="0" fillId="0" borderId="3" xfId="0" applyNumberFormat="1" applyBorder="1" applyAlignment="1">
      <alignment horizontal="center"/>
    </xf>
    <xf numFmtId="0" fontId="0" fillId="0" borderId="0" xfId="0" applyAlignment="1">
      <alignment horizontal="right"/>
    </xf>
    <xf numFmtId="167" fontId="0" fillId="0" borderId="0" xfId="15" applyNumberFormat="1" applyBorder="1" applyAlignment="1">
      <alignment/>
    </xf>
    <xf numFmtId="166" fontId="26" fillId="0" borderId="0" xfId="0" applyNumberFormat="1" applyFont="1" applyBorder="1" applyAlignment="1">
      <alignment horizontal="center"/>
    </xf>
    <xf numFmtId="166" fontId="0" fillId="0" borderId="0" xfId="0" applyNumberFormat="1" applyBorder="1" applyAlignment="1">
      <alignment horizontal="center"/>
    </xf>
    <xf numFmtId="167" fontId="0" fillId="0" borderId="3" xfId="0" applyNumberFormat="1" applyBorder="1" applyAlignment="1">
      <alignment/>
    </xf>
    <xf numFmtId="166" fontId="26" fillId="0" borderId="3" xfId="0" applyNumberFormat="1" applyFont="1" applyBorder="1" applyAlignment="1">
      <alignment horizontal="center"/>
    </xf>
    <xf numFmtId="166" fontId="26" fillId="0" borderId="0" xfId="0" applyNumberFormat="1" applyFont="1" applyAlignment="1">
      <alignment horizontal="center"/>
    </xf>
    <xf numFmtId="167" fontId="0" fillId="0" borderId="39" xfId="15" applyNumberFormat="1" applyBorder="1" applyAlignment="1">
      <alignment/>
    </xf>
    <xf numFmtId="166" fontId="0" fillId="0" borderId="39" xfId="0" applyNumberFormat="1" applyBorder="1" applyAlignment="1">
      <alignment horizontal="center"/>
    </xf>
    <xf numFmtId="166" fontId="0" fillId="0" borderId="0" xfId="0" applyNumberFormat="1" applyBorder="1" applyAlignment="1">
      <alignment/>
    </xf>
    <xf numFmtId="0" fontId="50" fillId="0" borderId="0" xfId="0" applyFont="1" applyAlignment="1">
      <alignment/>
    </xf>
    <xf numFmtId="166" fontId="0" fillId="0" borderId="0" xfId="0" applyNumberFormat="1" applyAlignment="1">
      <alignment/>
    </xf>
    <xf numFmtId="9" fontId="0" fillId="0" borderId="0" xfId="35" applyFont="1" applyAlignment="1">
      <alignment/>
    </xf>
    <xf numFmtId="4" fontId="0" fillId="0" borderId="0" xfId="0" applyNumberFormat="1" applyAlignment="1">
      <alignment/>
    </xf>
    <xf numFmtId="0" fontId="20" fillId="0" borderId="3" xfId="0" applyFont="1" applyBorder="1" applyAlignment="1">
      <alignment horizontal="center"/>
    </xf>
    <xf numFmtId="42" fontId="0" fillId="0" borderId="0" xfId="15" applyNumberFormat="1" applyFont="1" applyBorder="1" applyAlignment="1">
      <alignment/>
    </xf>
    <xf numFmtId="0" fontId="0" fillId="0" borderId="0" xfId="0" applyBorder="1" applyAlignment="1">
      <alignment horizontal="center"/>
    </xf>
    <xf numFmtId="37" fontId="0" fillId="0" borderId="0" xfId="0" applyNumberFormat="1" applyBorder="1" applyAlignment="1">
      <alignment/>
    </xf>
    <xf numFmtId="0" fontId="51" fillId="0" borderId="0" xfId="0" applyFont="1" applyAlignment="1">
      <alignment/>
    </xf>
    <xf numFmtId="5" fontId="20" fillId="0" borderId="0" xfId="0" applyNumberFormat="1" applyFont="1" applyAlignment="1">
      <alignment/>
    </xf>
    <xf numFmtId="5" fontId="0" fillId="0" borderId="0" xfId="0" applyNumberFormat="1" applyFont="1" applyAlignment="1">
      <alignment/>
    </xf>
    <xf numFmtId="10" fontId="0" fillId="0" borderId="0" xfId="35" applyNumberFormat="1" applyFont="1" applyAlignment="1">
      <alignment/>
    </xf>
    <xf numFmtId="0" fontId="0" fillId="0" borderId="0" xfId="0" applyFont="1" applyAlignment="1" applyProtection="1">
      <alignment/>
      <protection locked="0"/>
    </xf>
    <xf numFmtId="10" fontId="0" fillId="0" borderId="3" xfId="35" applyNumberFormat="1" applyFont="1" applyBorder="1" applyAlignment="1">
      <alignment/>
    </xf>
    <xf numFmtId="5" fontId="0" fillId="0" borderId="0" xfId="0" applyNumberFormat="1" applyFont="1" applyAlignment="1" quotePrefix="1">
      <alignment/>
    </xf>
    <xf numFmtId="3" fontId="0" fillId="0" borderId="0" xfId="18" applyFont="1" applyAlignment="1" applyProtection="1">
      <alignment/>
      <protection locked="0"/>
    </xf>
    <xf numFmtId="3" fontId="0" fillId="0" borderId="0" xfId="18" applyFont="1" applyBorder="1" applyAlignment="1" applyProtection="1">
      <alignment/>
      <protection locked="0"/>
    </xf>
    <xf numFmtId="165" fontId="0" fillId="0" borderId="0" xfId="23" applyNumberFormat="1" applyFont="1" applyAlignment="1">
      <alignment/>
    </xf>
    <xf numFmtId="10" fontId="0" fillId="0" borderId="0" xfId="0" applyNumberFormat="1" applyAlignment="1">
      <alignment/>
    </xf>
    <xf numFmtId="167" fontId="0" fillId="0" borderId="3" xfId="15" applyNumberFormat="1" applyBorder="1" applyAlignment="1">
      <alignment/>
    </xf>
    <xf numFmtId="37" fontId="0" fillId="0" borderId="32" xfId="0" applyNumberFormat="1" applyBorder="1" applyAlignment="1">
      <alignment/>
    </xf>
    <xf numFmtId="37" fontId="0" fillId="0" borderId="11" xfId="0" applyNumberFormat="1" applyBorder="1" applyAlignment="1">
      <alignment/>
    </xf>
    <xf numFmtId="0" fontId="50" fillId="0" borderId="0" xfId="0" applyFont="1" applyAlignment="1">
      <alignment horizontal="center"/>
    </xf>
    <xf numFmtId="42" fontId="52" fillId="0" borderId="0" xfId="0" applyNumberFormat="1" applyFont="1" applyAlignment="1">
      <alignment/>
    </xf>
    <xf numFmtId="0" fontId="53" fillId="0" borderId="2" xfId="0" applyFont="1" applyBorder="1" applyAlignment="1">
      <alignment horizontal="center" vertical="center" wrapText="1"/>
    </xf>
    <xf numFmtId="9" fontId="53" fillId="0" borderId="0" xfId="35" applyFont="1" applyAlignment="1">
      <alignment horizontal="center"/>
    </xf>
    <xf numFmtId="41" fontId="0" fillId="0" borderId="3" xfId="0" applyNumberFormat="1" applyBorder="1" applyAlignment="1">
      <alignment/>
    </xf>
    <xf numFmtId="41" fontId="0" fillId="0" borderId="0" xfId="0" applyNumberFormat="1" applyAlignment="1">
      <alignment/>
    </xf>
    <xf numFmtId="42" fontId="52" fillId="0" borderId="0" xfId="15" applyNumberFormat="1" applyFont="1" applyAlignment="1">
      <alignment/>
    </xf>
    <xf numFmtId="3" fontId="52" fillId="0" borderId="0" xfId="0" applyNumberFormat="1" applyFont="1" applyAlignment="1">
      <alignment/>
    </xf>
    <xf numFmtId="41" fontId="52" fillId="0" borderId="0" xfId="15" applyNumberFormat="1" applyFont="1" applyAlignment="1">
      <alignment/>
    </xf>
    <xf numFmtId="9" fontId="53" fillId="0" borderId="3" xfId="35" applyFont="1" applyBorder="1" applyAlignment="1">
      <alignment horizontal="center"/>
    </xf>
    <xf numFmtId="41" fontId="52" fillId="0" borderId="3" xfId="15" applyNumberFormat="1" applyFont="1" applyBorder="1" applyAlignment="1">
      <alignment/>
    </xf>
    <xf numFmtId="164" fontId="53" fillId="0" borderId="0" xfId="35" applyNumberFormat="1" applyFont="1" applyAlignment="1">
      <alignment horizontal="center"/>
    </xf>
    <xf numFmtId="42" fontId="0" fillId="0" borderId="0" xfId="0" applyNumberFormat="1" applyAlignment="1">
      <alignment/>
    </xf>
    <xf numFmtId="41" fontId="52" fillId="0" borderId="0" xfId="15" applyNumberFormat="1" applyFont="1" applyBorder="1" applyAlignment="1">
      <alignment/>
    </xf>
    <xf numFmtId="164" fontId="0" fillId="0" borderId="0" xfId="35" applyNumberFormat="1" applyAlignment="1">
      <alignment/>
    </xf>
    <xf numFmtId="0" fontId="0" fillId="0" borderId="27" xfId="0" applyBorder="1" applyAlignment="1">
      <alignment horizontal="center" wrapText="1"/>
    </xf>
    <xf numFmtId="0" fontId="0" fillId="0" borderId="2" xfId="0" applyBorder="1" applyAlignment="1">
      <alignment horizontal="center"/>
    </xf>
    <xf numFmtId="0" fontId="0" fillId="2" borderId="2" xfId="0" applyFill="1" applyBorder="1" applyAlignment="1">
      <alignment horizontal="center"/>
    </xf>
    <xf numFmtId="39" fontId="0" fillId="0" borderId="0" xfId="0" applyNumberFormat="1" applyFont="1" applyFill="1" applyAlignment="1" applyProtection="1">
      <alignment/>
      <protection locked="0"/>
    </xf>
    <xf numFmtId="39" fontId="0" fillId="0" borderId="0" xfId="0" applyNumberFormat="1" applyFont="1" applyFill="1" applyAlignment="1">
      <alignment/>
    </xf>
    <xf numFmtId="2" fontId="37" fillId="8" borderId="31" xfId="32" applyFont="1" applyFill="1" applyBorder="1" applyAlignment="1">
      <alignment horizontal="center"/>
      <protection/>
    </xf>
    <xf numFmtId="0" fontId="9" fillId="2" borderId="31" xfId="29" applyFont="1" applyFill="1" applyBorder="1" applyAlignment="1">
      <alignment horizontal="center"/>
      <protection/>
    </xf>
    <xf numFmtId="0" fontId="9" fillId="2" borderId="32" xfId="29" applyFont="1" applyFill="1" applyBorder="1" applyAlignment="1">
      <alignment horizontal="center"/>
      <protection/>
    </xf>
    <xf numFmtId="0" fontId="9" fillId="2" borderId="17" xfId="29" applyFont="1" applyFill="1" applyBorder="1" applyAlignment="1">
      <alignment horizontal="center"/>
      <protection/>
    </xf>
    <xf numFmtId="2" fontId="11" fillId="0" borderId="0" xfId="32" applyFont="1" applyBorder="1" applyAlignment="1">
      <alignment horizontal="right"/>
      <protection/>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17" xfId="0" applyFont="1" applyBorder="1" applyAlignment="1">
      <alignment horizontal="center" vertical="center"/>
    </xf>
    <xf numFmtId="42" fontId="35" fillId="0" borderId="0" xfId="0" applyNumberFormat="1" applyFont="1" applyBorder="1" applyAlignment="1">
      <alignment horizontal="center"/>
    </xf>
    <xf numFmtId="2" fontId="36" fillId="0" borderId="0" xfId="32" applyFont="1" applyBorder="1" applyAlignment="1">
      <alignment horizontal="left"/>
      <protection locked="0"/>
    </xf>
    <xf numFmtId="2" fontId="37" fillId="8" borderId="32" xfId="32" applyFont="1" applyFill="1" applyBorder="1" applyAlignment="1">
      <alignment horizontal="center"/>
      <protection/>
    </xf>
    <xf numFmtId="2" fontId="37" fillId="8" borderId="17" xfId="32" applyFont="1" applyFill="1" applyBorder="1" applyAlignment="1">
      <alignment horizontal="center"/>
      <protection/>
    </xf>
    <xf numFmtId="0" fontId="37" fillId="0" borderId="31" xfId="0" applyFont="1" applyBorder="1" applyAlignment="1">
      <alignment horizontal="center"/>
    </xf>
    <xf numFmtId="0" fontId="37" fillId="0" borderId="32" xfId="0" applyFont="1" applyBorder="1" applyAlignment="1">
      <alignment horizontal="center"/>
    </xf>
    <xf numFmtId="0" fontId="37" fillId="0" borderId="17" xfId="0" applyFont="1" applyBorder="1" applyAlignment="1">
      <alignment horizontal="center"/>
    </xf>
    <xf numFmtId="2" fontId="40" fillId="8" borderId="4" xfId="32" applyFont="1" applyFill="1" applyBorder="1" applyAlignment="1" quotePrefix="1">
      <alignment horizontal="center" vertical="center"/>
      <protection/>
    </xf>
    <xf numFmtId="2" fontId="40" fillId="8" borderId="5" xfId="32" applyFont="1" applyFill="1" applyBorder="1" applyAlignment="1">
      <alignment horizontal="center" vertical="center"/>
      <protection/>
    </xf>
    <xf numFmtId="2" fontId="40" fillId="8" borderId="6" xfId="32" applyFont="1" applyFill="1" applyBorder="1" applyAlignment="1">
      <alignment horizontal="center" vertical="center"/>
      <protection/>
    </xf>
    <xf numFmtId="2" fontId="40" fillId="8" borderId="9" xfId="32" applyFont="1" applyFill="1" applyBorder="1" applyAlignment="1">
      <alignment horizontal="center" vertical="center"/>
      <protection/>
    </xf>
    <xf numFmtId="2" fontId="40" fillId="8" borderId="3" xfId="32" applyFont="1" applyFill="1" applyBorder="1" applyAlignment="1">
      <alignment horizontal="center" vertical="center"/>
      <protection/>
    </xf>
    <xf numFmtId="2" fontId="40" fillId="8" borderId="10" xfId="32" applyFont="1" applyFill="1" applyBorder="1" applyAlignment="1">
      <alignment horizontal="center" vertical="center"/>
      <protection/>
    </xf>
    <xf numFmtId="2" fontId="40" fillId="8" borderId="7" xfId="32" applyFont="1" applyFill="1" applyBorder="1" applyAlignment="1">
      <alignment horizontal="center" vertical="center"/>
      <protection/>
    </xf>
    <xf numFmtId="2" fontId="40" fillId="8" borderId="0" xfId="32" applyFont="1" applyFill="1" applyBorder="1" applyAlignment="1">
      <alignment horizontal="center" vertical="center"/>
      <protection/>
    </xf>
    <xf numFmtId="0" fontId="29" fillId="0" borderId="4" xfId="0" applyFont="1"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9" xfId="0" applyFont="1" applyBorder="1" applyAlignment="1">
      <alignment horizontal="center" vertical="center"/>
    </xf>
    <xf numFmtId="0" fontId="29" fillId="0" borderId="3" xfId="0" applyFont="1" applyBorder="1" applyAlignment="1">
      <alignment horizontal="center" vertical="center"/>
    </xf>
    <xf numFmtId="0" fontId="29" fillId="0" borderId="10" xfId="0" applyFont="1" applyBorder="1" applyAlignment="1">
      <alignment horizontal="center" vertical="center"/>
    </xf>
    <xf numFmtId="0" fontId="19" fillId="0" borderId="3" xfId="0" applyFont="1" applyBorder="1" applyAlignment="1">
      <alignment horizontal="center"/>
    </xf>
    <xf numFmtId="167" fontId="23" fillId="10" borderId="0" xfId="15" applyNumberFormat="1" applyFont="1" applyFill="1" applyAlignment="1">
      <alignment horizontal="center" vertical="center" wrapText="1"/>
    </xf>
    <xf numFmtId="0" fontId="25" fillId="11" borderId="44" xfId="30" applyFont="1" applyFill="1" applyBorder="1" applyAlignment="1">
      <alignment vertical="center" wrapText="1"/>
      <protection/>
    </xf>
    <xf numFmtId="0" fontId="25" fillId="11" borderId="41" xfId="30" applyFont="1" applyFill="1" applyBorder="1" applyAlignment="1">
      <alignment vertical="center" wrapText="1"/>
      <protection/>
    </xf>
    <xf numFmtId="0" fontId="20" fillId="10" borderId="31" xfId="30" applyFont="1" applyFill="1" applyBorder="1" applyAlignment="1">
      <alignment horizontal="center" vertical="center" wrapText="1"/>
      <protection/>
    </xf>
    <xf numFmtId="0" fontId="20" fillId="10" borderId="17" xfId="30" applyFont="1" applyFill="1" applyBorder="1" applyAlignment="1">
      <alignment horizontal="center" vertical="center" wrapText="1"/>
      <protection/>
    </xf>
    <xf numFmtId="0" fontId="20" fillId="10" borderId="7" xfId="30" applyFont="1" applyFill="1" applyBorder="1" applyAlignment="1">
      <alignment horizontal="center" vertical="center" wrapText="1"/>
      <protection/>
    </xf>
    <xf numFmtId="0" fontId="20" fillId="10" borderId="0" xfId="30" applyFont="1" applyFill="1" applyBorder="1" applyAlignment="1">
      <alignment horizontal="center" vertical="center" wrapText="1"/>
      <protection/>
    </xf>
    <xf numFmtId="0" fontId="20" fillId="10" borderId="8" xfId="30" applyFont="1" applyFill="1" applyBorder="1" applyAlignment="1">
      <alignment horizontal="center" vertical="center" wrapText="1"/>
      <protection/>
    </xf>
    <xf numFmtId="0" fontId="5" fillId="0" borderId="0" xfId="0" applyFont="1" applyAlignment="1">
      <alignment horizontal="left"/>
    </xf>
    <xf numFmtId="37" fontId="20" fillId="0" borderId="0" xfId="0" applyNumberFormat="1" applyFont="1" applyAlignment="1">
      <alignment horizontal="left"/>
    </xf>
    <xf numFmtId="0" fontId="20" fillId="0" borderId="0" xfId="0" applyFont="1" applyAlignment="1">
      <alignment horizontal="left"/>
    </xf>
  </cellXfs>
  <cellStyles count="23">
    <cellStyle name="Normal" xfId="0"/>
    <cellStyle name="Comma" xfId="15"/>
    <cellStyle name="Comma [0]" xfId="16"/>
    <cellStyle name="Comma_JE34 2000" xfId="17"/>
    <cellStyle name="Comma0" xfId="18"/>
    <cellStyle name="Currency" xfId="19"/>
    <cellStyle name="Currency [0]" xfId="20"/>
    <cellStyle name="Currency0" xfId="21"/>
    <cellStyle name="Date" xfId="22"/>
    <cellStyle name="Fixed" xfId="23"/>
    <cellStyle name="Followed Hyperlink" xfId="24"/>
    <cellStyle name="Heading 1" xfId="25"/>
    <cellStyle name="Heading 2" xfId="26"/>
    <cellStyle name="Hyperlink" xfId="27"/>
    <cellStyle name="Normal_247RTC98" xfId="28"/>
    <cellStyle name="Normal_CE LNP Surcharge 5" xfId="29"/>
    <cellStyle name="Normal_CET Settlement Review V3" xfId="30"/>
    <cellStyle name="Normal_Discount Factors for LNP" xfId="31"/>
    <cellStyle name="Normal_JE34 2000" xfId="32"/>
    <cellStyle name="Normal_JSI LNP Cost Recovery Data Req." xfId="33"/>
    <cellStyle name="Normal_LNP Tariff Model" xfId="34"/>
    <cellStyle name="Percent" xfId="35"/>
    <cellStyle name="Total"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45</xdr:row>
      <xdr:rowOff>142875</xdr:rowOff>
    </xdr:from>
    <xdr:to>
      <xdr:col>11</xdr:col>
      <xdr:colOff>390525</xdr:colOff>
      <xdr:row>53</xdr:row>
      <xdr:rowOff>19050</xdr:rowOff>
    </xdr:to>
    <xdr:sp>
      <xdr:nvSpPr>
        <xdr:cNvPr id="1" name="TextBox 1"/>
        <xdr:cNvSpPr txBox="1">
          <a:spLocks noChangeArrowheads="1"/>
        </xdr:cNvSpPr>
      </xdr:nvSpPr>
      <xdr:spPr>
        <a:xfrm>
          <a:off x="561975" y="8239125"/>
          <a:ext cx="10163175"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NOTE A:  NOTE REGARDING DEPRECIATION ON ACCOUNT 2232 SUBSCRIBER CIRCUIT and ACCOUNT 2421 AERIAL CABLE</a:t>
          </a:r>
          <a:r>
            <a:rPr lang="en-US" cap="none" sz="1000" b="0" i="0" u="none" baseline="0">
              <a:latin typeface="Arial"/>
              <a:ea typeface="Arial"/>
              <a:cs typeface="Arial"/>
            </a:rPr>
            <a:t>
Depreciation of additions to  Account 2232 Subscriber Circuit and Account 2421 Aerial Cable  under Part 32 USOA  will be based on entire plant balance until Accumulated Depreciaiton equals plant balance for account.  As both accounts are fully depreciated, additions ot accounts will become fully depreciated.
However, in conjunction with the full depreciation on Accounts 2232 and 2421, Carbon/Emery eliminates the total amount depreciated in 2005 from the proposed addition to depreciation expense for known and measurable additions.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41</xdr:row>
      <xdr:rowOff>123825</xdr:rowOff>
    </xdr:from>
    <xdr:to>
      <xdr:col>6</xdr:col>
      <xdr:colOff>866775</xdr:colOff>
      <xdr:row>46</xdr:row>
      <xdr:rowOff>95250</xdr:rowOff>
    </xdr:to>
    <xdr:sp>
      <xdr:nvSpPr>
        <xdr:cNvPr id="1" name="Text 3"/>
        <xdr:cNvSpPr txBox="1">
          <a:spLocks noChangeArrowheads="1"/>
        </xdr:cNvSpPr>
      </xdr:nvSpPr>
      <xdr:spPr>
        <a:xfrm>
          <a:off x="247650" y="6943725"/>
          <a:ext cx="9286875" cy="7810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t>
          </a:r>
          <a:r>
            <a:rPr lang="en-US" cap="none" sz="1000" b="0" i="0" u="none" baseline="0">
              <a:latin typeface="Arial"/>
              <a:ea typeface="Arial"/>
              <a:cs typeface="Arial"/>
            </a:rPr>
            <a:t>Company proposes using a 10.05% rate of return for this Docket (approx. 13.9% pretax rate of return).  The 10.05% return is based on the assumption that capital is split equally between debt and equity, the maximum allowable after-tax cost of equity is 12.5%, and the maximum allowable cost of debt is 7.6%.  These figures are shown in the table above.  Additionally, to calculate a total company revenue requirement, the interstate return on rate base of 11.25% was considered which results in a total company return on rate base of 10.48% as shown above on Line h.</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2\e\WINDOWS\TEMP\247RTC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tp://192.168.10.7/Documents%20and%20Settings\scott.JSI\Desktop\Emery\2003%20Rate%20Case%20Excel%20Workbooks\Carbon%20Emery%202003%20Depr%20Exp%20Workboo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tp://192.168.10.7/98TCS\NORTHWES\COMBINED\AVGCO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tp://192.168.10.7/Documents%20and%20Settings\scott.JSI\Local%20Settings\Temporary%20Internet%20Files\OLK7\PLANT_maste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WINDOWS\TEMP\247RTC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BASE"/>
      <sheetName val="DEPR"/>
      <sheetName val="INCST"/>
      <sheetName val="COSTCAP"/>
      <sheetName val="REVDEF"/>
      <sheetName val="REVSRC"/>
      <sheetName val="RATES"/>
      <sheetName val="Qty"/>
      <sheetName val="factors"/>
      <sheetName val="W_CASH"/>
      <sheetName val="MOU"/>
      <sheetName val="Cap_Ex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2002 Plant Analysis"/>
      <sheetName val="B  Depreciation Adj for Stu"/>
      <sheetName val="C  Carbon Depr Reconcil"/>
      <sheetName val="Deprec Rates"/>
      <sheetName val="D Carbon 03  Depr Schedule"/>
      <sheetName val="E 2005 Additio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VGCOE"/>
      <sheetName val="spread"/>
      <sheetName val="PLT_ADJ98"/>
      <sheetName val="PLTSUM"/>
      <sheetName val="MOBIL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ant"/>
      <sheetName val="Plant (2)"/>
      <sheetName val="COMPARE"/>
      <sheetName val="Reserve"/>
      <sheetName val="Reserve (2)"/>
      <sheetName val="6561"/>
      <sheetName val="Code 08"/>
      <sheetName val="4340"/>
      <sheetName val="2003"/>
      <sheetName val="input 1"/>
      <sheetName val="Input 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BASE"/>
      <sheetName val="DEPR"/>
      <sheetName val="INCST"/>
      <sheetName val="COSTCAP"/>
      <sheetName val="REVDEF"/>
      <sheetName val="REVSRC"/>
      <sheetName val="RATES"/>
      <sheetName val="Qty"/>
      <sheetName val="factors"/>
      <sheetName val="W_CASH"/>
      <sheetName val="MOU"/>
      <sheetName val="Cap_Ex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N63"/>
  <sheetViews>
    <sheetView workbookViewId="0" topLeftCell="A1">
      <selection activeCell="C19" sqref="C19"/>
    </sheetView>
  </sheetViews>
  <sheetFormatPr defaultColWidth="9.140625" defaultRowHeight="12.75"/>
  <cols>
    <col min="1" max="1" width="4.00390625" style="4" customWidth="1"/>
    <col min="2" max="2" width="45.140625" style="4" customWidth="1"/>
    <col min="3" max="3" width="25.00390625" style="4" customWidth="1"/>
    <col min="4" max="9" width="9.8515625" style="4" customWidth="1"/>
    <col min="10" max="10" width="12.00390625" style="6" bestFit="1" customWidth="1"/>
    <col min="11" max="11" width="10.28125" style="6" customWidth="1"/>
    <col min="12" max="16384" width="10.28125" style="4" customWidth="1"/>
  </cols>
  <sheetData>
    <row r="1" spans="1:9" ht="18.75">
      <c r="A1" s="1" t="s">
        <v>0</v>
      </c>
      <c r="B1" s="2"/>
      <c r="C1" s="3"/>
      <c r="D1" s="2"/>
      <c r="E1" s="2"/>
      <c r="G1" s="459" t="s">
        <v>1</v>
      </c>
      <c r="H1" s="459"/>
      <c r="I1" s="459"/>
    </row>
    <row r="2" spans="1:9" ht="15.75">
      <c r="A2" s="1" t="s">
        <v>2</v>
      </c>
      <c r="B2" s="2"/>
      <c r="D2" s="2"/>
      <c r="E2" s="2"/>
      <c r="G2" s="459"/>
      <c r="H2" s="459"/>
      <c r="I2" s="459"/>
    </row>
    <row r="3" spans="1:9" ht="15.75">
      <c r="A3" s="7" t="s">
        <v>3</v>
      </c>
      <c r="B3" s="2"/>
      <c r="C3" s="2"/>
      <c r="D3" s="2"/>
      <c r="E3" s="2"/>
      <c r="F3" s="2"/>
      <c r="G3" s="459"/>
      <c r="H3" s="459"/>
      <c r="I3" s="459"/>
    </row>
    <row r="4" spans="1:9" ht="15.75">
      <c r="A4" s="7"/>
      <c r="B4" s="2"/>
      <c r="C4" s="2"/>
      <c r="D4" s="2"/>
      <c r="E4" s="8"/>
      <c r="F4" s="8"/>
      <c r="G4" s="8"/>
      <c r="H4" s="8"/>
      <c r="I4" s="9"/>
    </row>
    <row r="5" spans="1:9" ht="15.75">
      <c r="A5" s="10"/>
      <c r="B5" s="10"/>
      <c r="D5" s="456" t="s">
        <v>4</v>
      </c>
      <c r="E5" s="457"/>
      <c r="F5" s="457"/>
      <c r="G5" s="457"/>
      <c r="H5" s="457"/>
      <c r="I5" s="458"/>
    </row>
    <row r="6" spans="1:9" ht="15.75">
      <c r="A6" s="11" t="s">
        <v>5</v>
      </c>
      <c r="B6" s="11" t="s">
        <v>6</v>
      </c>
      <c r="C6" s="12" t="s">
        <v>7</v>
      </c>
      <c r="D6" s="13">
        <v>0</v>
      </c>
      <c r="E6" s="13">
        <v>1</v>
      </c>
      <c r="F6" s="13">
        <f>1+E6</f>
        <v>2</v>
      </c>
      <c r="G6" s="13">
        <f>1+F6</f>
        <v>3</v>
      </c>
      <c r="H6" s="13">
        <f>1+G6</f>
        <v>4</v>
      </c>
      <c r="I6" s="13">
        <f>1+H6</f>
        <v>5</v>
      </c>
    </row>
    <row r="7" spans="1:9" ht="15.75">
      <c r="A7" s="14"/>
      <c r="B7" s="15" t="s">
        <v>8</v>
      </c>
      <c r="C7" s="14"/>
      <c r="D7" s="14"/>
      <c r="E7" s="14"/>
      <c r="F7" s="14"/>
      <c r="G7" s="14"/>
      <c r="H7" s="14"/>
      <c r="I7" s="14"/>
    </row>
    <row r="8" spans="1:9" ht="15.75">
      <c r="A8" s="4">
        <v>1</v>
      </c>
      <c r="B8" s="16" t="s">
        <v>9</v>
      </c>
      <c r="C8" s="17" t="s">
        <v>10</v>
      </c>
      <c r="D8" s="18">
        <v>33652</v>
      </c>
      <c r="E8" s="19"/>
      <c r="F8" s="19"/>
      <c r="G8" s="19"/>
      <c r="H8" s="19"/>
      <c r="I8" s="19"/>
    </row>
    <row r="9" spans="1:9" ht="15.75">
      <c r="A9" s="4">
        <f>1+A8</f>
        <v>2</v>
      </c>
      <c r="B9" s="4" t="s">
        <v>11</v>
      </c>
      <c r="C9" s="20" t="s">
        <v>12</v>
      </c>
      <c r="D9" s="21">
        <v>1</v>
      </c>
      <c r="E9" s="21">
        <f>'DDM 01 - LNP Revenue'!F58</f>
        <v>0.867980210051211</v>
      </c>
      <c r="F9" s="21">
        <f>'DDM 01 - LNP Revenue'!F59</f>
        <v>0.7533896450405442</v>
      </c>
      <c r="G9" s="21">
        <f>'DDM 01 - LNP Revenue'!F60</f>
        <v>0.6539273023526988</v>
      </c>
      <c r="H9" s="21">
        <f>'DDM 01 - LNP Revenue'!F61</f>
        <v>0.5675959572543172</v>
      </c>
      <c r="I9" s="21">
        <f>'DDM 01 - LNP Revenue'!F62</f>
        <v>0.49266205820182046</v>
      </c>
    </row>
    <row r="10" spans="1:9" ht="15.75">
      <c r="A10" s="4">
        <f>1+A9</f>
        <v>3</v>
      </c>
      <c r="B10" s="4" t="s">
        <v>13</v>
      </c>
      <c r="C10" s="20" t="s">
        <v>14</v>
      </c>
      <c r="D10" s="22">
        <f>ROUND(D9*D8,0)</f>
        <v>33652</v>
      </c>
      <c r="E10" s="23"/>
      <c r="F10" s="23"/>
      <c r="G10" s="23"/>
      <c r="H10" s="23"/>
      <c r="I10" s="23"/>
    </row>
    <row r="11" spans="1:9" ht="15.75">
      <c r="A11" s="4">
        <f>1+A10</f>
        <v>4</v>
      </c>
      <c r="B11" s="24" t="s">
        <v>15</v>
      </c>
      <c r="C11" s="25" t="s">
        <v>16</v>
      </c>
      <c r="D11" s="26">
        <f>SUM(D10:I10)</f>
        <v>33652</v>
      </c>
      <c r="E11" s="27"/>
      <c r="F11" s="27"/>
      <c r="G11" s="27"/>
      <c r="H11" s="27"/>
      <c r="I11" s="27"/>
    </row>
    <row r="12" ht="15.75">
      <c r="C12" s="17"/>
    </row>
    <row r="13" spans="1:9" ht="15.75">
      <c r="A13" s="14"/>
      <c r="B13" s="15" t="s">
        <v>17</v>
      </c>
      <c r="C13" s="28"/>
      <c r="D13" s="14"/>
      <c r="E13" s="14"/>
      <c r="F13" s="14"/>
      <c r="G13" s="14"/>
      <c r="H13" s="14"/>
      <c r="I13" s="14"/>
    </row>
    <row r="14" spans="1:9" ht="15.75">
      <c r="A14" s="4">
        <f>1+A11</f>
        <v>5</v>
      </c>
      <c r="B14" s="16" t="s">
        <v>18</v>
      </c>
      <c r="C14" s="29" t="s">
        <v>19</v>
      </c>
      <c r="D14" s="30">
        <v>0</v>
      </c>
      <c r="E14" s="18">
        <v>3682</v>
      </c>
      <c r="F14" s="30">
        <f>E14</f>
        <v>3682</v>
      </c>
      <c r="G14" s="30">
        <f>F14</f>
        <v>3682</v>
      </c>
      <c r="H14" s="30">
        <f>G14</f>
        <v>3682</v>
      </c>
      <c r="I14" s="30">
        <f>H14</f>
        <v>3682</v>
      </c>
    </row>
    <row r="15" spans="1:9" ht="15.75">
      <c r="A15" s="4">
        <f>1+A14</f>
        <v>6</v>
      </c>
      <c r="B15" s="4" t="s">
        <v>20</v>
      </c>
      <c r="C15" s="20" t="s">
        <v>21</v>
      </c>
      <c r="D15" s="22">
        <f aca="true" t="shared" si="0" ref="D15:I15">ROUND(D14*D9,0)</f>
        <v>0</v>
      </c>
      <c r="E15" s="22">
        <f t="shared" si="0"/>
        <v>3196</v>
      </c>
      <c r="F15" s="22">
        <f t="shared" si="0"/>
        <v>2774</v>
      </c>
      <c r="G15" s="22">
        <f t="shared" si="0"/>
        <v>2408</v>
      </c>
      <c r="H15" s="22">
        <f t="shared" si="0"/>
        <v>2090</v>
      </c>
      <c r="I15" s="22">
        <f t="shared" si="0"/>
        <v>1814</v>
      </c>
    </row>
    <row r="16" spans="1:4" ht="15.75">
      <c r="A16" s="4">
        <f>1+A15</f>
        <v>7</v>
      </c>
      <c r="B16" s="24" t="s">
        <v>22</v>
      </c>
      <c r="C16" s="25" t="s">
        <v>23</v>
      </c>
      <c r="D16" s="26">
        <f>SUM(D15:I15)</f>
        <v>12282</v>
      </c>
    </row>
    <row r="17" spans="2:4" ht="15.75">
      <c r="B17" s="31"/>
      <c r="C17" s="32"/>
      <c r="D17" s="31"/>
    </row>
    <row r="18" spans="1:9" ht="15.75">
      <c r="A18" s="14"/>
      <c r="B18" s="15" t="s">
        <v>24</v>
      </c>
      <c r="C18" s="28"/>
      <c r="D18" s="14"/>
      <c r="E18" s="14"/>
      <c r="F18" s="14"/>
      <c r="G18" s="14"/>
      <c r="H18" s="14"/>
      <c r="I18" s="14"/>
    </row>
    <row r="19" spans="1:9" ht="15.75">
      <c r="A19" s="4">
        <f>1+A16</f>
        <v>8</v>
      </c>
      <c r="B19" s="31" t="s">
        <v>25</v>
      </c>
      <c r="C19" s="32" t="s">
        <v>26</v>
      </c>
      <c r="D19" s="31"/>
      <c r="E19" s="33">
        <v>2</v>
      </c>
      <c r="F19" s="33">
        <f>E19</f>
        <v>2</v>
      </c>
      <c r="G19" s="33">
        <f>F19</f>
        <v>2</v>
      </c>
      <c r="H19" s="33">
        <f>G19</f>
        <v>2</v>
      </c>
      <c r="I19" s="33">
        <f>H19</f>
        <v>2</v>
      </c>
    </row>
    <row r="20" spans="1:14" ht="15.75">
      <c r="A20" s="4">
        <f>1+A19</f>
        <v>9</v>
      </c>
      <c r="B20" s="31" t="s">
        <v>27</v>
      </c>
      <c r="C20" s="32" t="s">
        <v>28</v>
      </c>
      <c r="D20" s="31"/>
      <c r="E20" s="33">
        <v>0</v>
      </c>
      <c r="F20" s="33">
        <v>0</v>
      </c>
      <c r="G20" s="33">
        <v>0</v>
      </c>
      <c r="H20" s="33">
        <v>0</v>
      </c>
      <c r="I20" s="33">
        <v>0</v>
      </c>
      <c r="L20" s="6"/>
      <c r="M20" s="6"/>
      <c r="N20" s="6"/>
    </row>
    <row r="21" spans="1:9" ht="15.75">
      <c r="A21" s="4">
        <f>1+A20</f>
        <v>10</v>
      </c>
      <c r="B21" s="31" t="s">
        <v>29</v>
      </c>
      <c r="C21" s="32" t="s">
        <v>30</v>
      </c>
      <c r="D21" s="31"/>
      <c r="E21" s="34">
        <v>9971</v>
      </c>
      <c r="F21" s="34">
        <f>E21</f>
        <v>9971</v>
      </c>
      <c r="G21" s="34">
        <f>F21</f>
        <v>9971</v>
      </c>
      <c r="H21" s="34">
        <f>G21</f>
        <v>9971</v>
      </c>
      <c r="I21" s="34">
        <f>H21</f>
        <v>9971</v>
      </c>
    </row>
    <row r="22" spans="1:9" ht="15.75">
      <c r="A22" s="4">
        <f>1+A21</f>
        <v>11</v>
      </c>
      <c r="B22" s="31" t="s">
        <v>31</v>
      </c>
      <c r="C22" s="35" t="s">
        <v>32</v>
      </c>
      <c r="D22" s="31"/>
      <c r="E22" s="36">
        <f>SUM(E19:E21)</f>
        <v>9973</v>
      </c>
      <c r="F22" s="36">
        <f>SUM(F19:F21)</f>
        <v>9973</v>
      </c>
      <c r="G22" s="36">
        <f>SUM(G19:G21)</f>
        <v>9973</v>
      </c>
      <c r="H22" s="36">
        <f>SUM(H19:H21)</f>
        <v>9973</v>
      </c>
      <c r="I22" s="36">
        <f>SUM(I19:I21)</f>
        <v>9973</v>
      </c>
    </row>
    <row r="23" spans="1:13" ht="15.75">
      <c r="A23" s="4">
        <f>1+A22</f>
        <v>12</v>
      </c>
      <c r="B23" s="31" t="s">
        <v>33</v>
      </c>
      <c r="C23" s="35" t="s">
        <v>34</v>
      </c>
      <c r="D23" s="31"/>
      <c r="E23" s="36">
        <f>ROUND(E22*E9,0)</f>
        <v>8656</v>
      </c>
      <c r="F23" s="36">
        <f>ROUND(F22*F9,0)</f>
        <v>7514</v>
      </c>
      <c r="G23" s="36">
        <f>ROUND(G22*G9,0)</f>
        <v>6522</v>
      </c>
      <c r="H23" s="36">
        <f>ROUND(H22*H9,0)</f>
        <v>5661</v>
      </c>
      <c r="I23" s="36">
        <f>ROUND(I22*I9,0)</f>
        <v>4913</v>
      </c>
      <c r="M23" s="37"/>
    </row>
    <row r="24" spans="1:4" ht="15.75">
      <c r="A24" s="4">
        <f>1+A23</f>
        <v>13</v>
      </c>
      <c r="B24" s="24" t="s">
        <v>35</v>
      </c>
      <c r="C24" s="25" t="s">
        <v>36</v>
      </c>
      <c r="D24" s="38">
        <f>SUM(E23:I23)</f>
        <v>33266</v>
      </c>
    </row>
    <row r="25" spans="2:4" ht="15.75">
      <c r="B25" s="31"/>
      <c r="C25" s="32"/>
      <c r="D25" s="31"/>
    </row>
    <row r="26" spans="1:9" ht="15.75">
      <c r="A26" s="14"/>
      <c r="B26" s="15" t="s">
        <v>37</v>
      </c>
      <c r="C26" s="28"/>
      <c r="D26" s="14"/>
      <c r="E26" s="14"/>
      <c r="F26" s="14"/>
      <c r="G26" s="14"/>
      <c r="H26" s="14"/>
      <c r="I26" s="14"/>
    </row>
    <row r="27" spans="1:4" ht="15.75">
      <c r="A27" s="4">
        <v>14</v>
      </c>
      <c r="B27" s="31" t="s">
        <v>38</v>
      </c>
      <c r="C27" s="35" t="s">
        <v>39</v>
      </c>
      <c r="D27" s="39">
        <f>+D11+D16</f>
        <v>45934</v>
      </c>
    </row>
    <row r="28" ht="15.75">
      <c r="C28" s="17"/>
    </row>
    <row r="29" spans="1:4" ht="15.75">
      <c r="A29" s="40"/>
      <c r="B29" s="41" t="s">
        <v>40</v>
      </c>
      <c r="C29" s="42"/>
      <c r="D29" s="43"/>
    </row>
    <row r="30" spans="1:8" ht="24.75" customHeight="1">
      <c r="A30" s="44">
        <v>15</v>
      </c>
      <c r="B30" s="45" t="s">
        <v>41</v>
      </c>
      <c r="C30" s="46" t="s">
        <v>42</v>
      </c>
      <c r="D30" s="47">
        <f>D27/D24/12</f>
        <v>0.11506743622116676</v>
      </c>
      <c r="F30" s="48"/>
      <c r="H30" s="36"/>
    </row>
    <row r="31" spans="1:6" ht="24.75" customHeight="1">
      <c r="A31" s="44">
        <v>16</v>
      </c>
      <c r="B31" s="45" t="s">
        <v>43</v>
      </c>
      <c r="C31" s="46" t="s">
        <v>44</v>
      </c>
      <c r="D31" s="47">
        <f>+D30*5</f>
        <v>0.5753371811058338</v>
      </c>
      <c r="F31" s="49"/>
    </row>
    <row r="32" spans="1:6" ht="24.75" customHeight="1">
      <c r="A32" s="50">
        <v>17</v>
      </c>
      <c r="B32" s="51" t="s">
        <v>45</v>
      </c>
      <c r="C32" s="52" t="s">
        <v>46</v>
      </c>
      <c r="D32" s="53">
        <f>+D30*9</f>
        <v>1.0356069259905007</v>
      </c>
      <c r="F32" s="49"/>
    </row>
    <row r="33" spans="1:4" ht="15" customHeight="1">
      <c r="A33" s="6"/>
      <c r="B33" s="6"/>
      <c r="C33" s="6"/>
      <c r="D33" s="6"/>
    </row>
    <row r="34" spans="1:9" ht="15" customHeight="1">
      <c r="A34" s="54"/>
      <c r="B34" s="55" t="s">
        <v>47</v>
      </c>
      <c r="C34" s="54"/>
      <c r="D34" s="54"/>
      <c r="E34" s="56"/>
      <c r="F34" s="56"/>
      <c r="G34" s="56"/>
      <c r="H34" s="56"/>
      <c r="I34" s="56"/>
    </row>
    <row r="35" spans="1:10" ht="15" customHeight="1">
      <c r="A35" s="4">
        <v>18</v>
      </c>
      <c r="B35" s="57" t="s">
        <v>41</v>
      </c>
      <c r="C35" s="35" t="s">
        <v>48</v>
      </c>
      <c r="D35" s="6"/>
      <c r="E35" s="58">
        <f>+E21*$D30*12</f>
        <v>13768.048878735046</v>
      </c>
      <c r="F35" s="58">
        <f>+F21*$D30*12</f>
        <v>13768.048878735046</v>
      </c>
      <c r="G35" s="58">
        <f>+G21*$D30*12</f>
        <v>13768.048878735046</v>
      </c>
      <c r="H35" s="58">
        <f>+H21*$D30*12</f>
        <v>13768.048878735046</v>
      </c>
      <c r="I35" s="58">
        <f>+I21*$D30*12</f>
        <v>13768.048878735046</v>
      </c>
      <c r="J35" s="59"/>
    </row>
    <row r="36" spans="1:9" ht="15" customHeight="1">
      <c r="A36" s="4">
        <v>19</v>
      </c>
      <c r="B36" s="57" t="s">
        <v>43</v>
      </c>
      <c r="C36" s="35" t="s">
        <v>49</v>
      </c>
      <c r="D36" s="39"/>
      <c r="E36" s="58">
        <f>+E20*$D31*12</f>
        <v>0</v>
      </c>
      <c r="F36" s="58">
        <f>+F20*$D31*12</f>
        <v>0</v>
      </c>
      <c r="G36" s="58">
        <f>+G20*$D31*12</f>
        <v>0</v>
      </c>
      <c r="H36" s="58">
        <f>+H20*$D31*12</f>
        <v>0</v>
      </c>
      <c r="I36" s="58">
        <f>+I20*$D31*12</f>
        <v>0</v>
      </c>
    </row>
    <row r="37" spans="1:9" ht="15" customHeight="1">
      <c r="A37" s="4">
        <v>20</v>
      </c>
      <c r="B37" s="57" t="s">
        <v>45</v>
      </c>
      <c r="C37" s="35" t="s">
        <v>50</v>
      </c>
      <c r="D37" s="39"/>
      <c r="E37" s="58">
        <f>+E19*$D32*12</f>
        <v>24.854566223772018</v>
      </c>
      <c r="F37" s="58">
        <f>+F19*$D32*12</f>
        <v>24.854566223772018</v>
      </c>
      <c r="G37" s="58">
        <f>+G19*$D32*12</f>
        <v>24.854566223772018</v>
      </c>
      <c r="H37" s="58">
        <f>+H19*$D32*12</f>
        <v>24.854566223772018</v>
      </c>
      <c r="I37" s="58">
        <f>+I19*$D32*12</f>
        <v>24.854566223772018</v>
      </c>
    </row>
    <row r="38" spans="1:9" ht="15" customHeight="1" thickBot="1">
      <c r="A38" s="4">
        <v>21</v>
      </c>
      <c r="B38" s="57" t="s">
        <v>51</v>
      </c>
      <c r="C38" s="35" t="s">
        <v>52</v>
      </c>
      <c r="D38" s="6"/>
      <c r="E38" s="60">
        <f>+E35+E36+E37</f>
        <v>13792.903444958818</v>
      </c>
      <c r="F38" s="60">
        <f>+F35+F36+F37</f>
        <v>13792.903444958818</v>
      </c>
      <c r="G38" s="60">
        <f>+G35+G36+G37</f>
        <v>13792.903444958818</v>
      </c>
      <c r="H38" s="60">
        <f>+H35+H36+H37</f>
        <v>13792.903444958818</v>
      </c>
      <c r="I38" s="60">
        <f>+I35+I36+I37</f>
        <v>13792.903444958818</v>
      </c>
    </row>
    <row r="39" spans="2:9" ht="15" customHeight="1" thickTop="1">
      <c r="B39" s="57"/>
      <c r="C39" s="35"/>
      <c r="D39" s="6"/>
      <c r="E39" s="61"/>
      <c r="F39" s="61"/>
      <c r="G39" s="61"/>
      <c r="H39" s="61"/>
      <c r="I39" s="61"/>
    </row>
    <row r="40" spans="3:10" ht="15.75">
      <c r="C40" s="20"/>
      <c r="E40" s="62"/>
      <c r="F40" s="62"/>
      <c r="G40" s="62"/>
      <c r="H40" s="62"/>
      <c r="I40" s="62"/>
      <c r="J40" s="63"/>
    </row>
    <row r="41" spans="1:8" ht="16.5" thickBot="1">
      <c r="A41" s="64" t="s">
        <v>53</v>
      </c>
      <c r="B41" s="65"/>
      <c r="C41" s="65"/>
      <c r="D41" s="65"/>
      <c r="E41" s="65"/>
      <c r="H41" s="66"/>
    </row>
    <row r="42" spans="1:6" ht="15.75">
      <c r="A42" s="67"/>
      <c r="B42" s="68"/>
      <c r="C42" s="68"/>
      <c r="D42" s="69" t="s">
        <v>54</v>
      </c>
      <c r="E42" s="69" t="s">
        <v>55</v>
      </c>
      <c r="F42" s="70" t="s">
        <v>56</v>
      </c>
    </row>
    <row r="43" spans="1:6" ht="15.75">
      <c r="A43" s="71"/>
      <c r="B43" s="72"/>
      <c r="C43" s="72"/>
      <c r="D43" s="73" t="s">
        <v>57</v>
      </c>
      <c r="E43" s="73" t="s">
        <v>58</v>
      </c>
      <c r="F43" s="74" t="s">
        <v>59</v>
      </c>
    </row>
    <row r="44" spans="1:6" ht="15.75">
      <c r="A44" s="75">
        <v>1</v>
      </c>
      <c r="B44" s="76" t="s">
        <v>60</v>
      </c>
      <c r="C44" s="77" t="s">
        <v>61</v>
      </c>
      <c r="D44" s="78">
        <v>0.088</v>
      </c>
      <c r="E44" s="78">
        <v>0.1319</v>
      </c>
      <c r="F44" s="79"/>
    </row>
    <row r="45" spans="1:6" ht="15.75">
      <c r="A45" s="75">
        <v>2</v>
      </c>
      <c r="B45" s="76" t="s">
        <v>62</v>
      </c>
      <c r="C45" s="77" t="s">
        <v>61</v>
      </c>
      <c r="D45" s="78">
        <v>0.442</v>
      </c>
      <c r="E45" s="78">
        <v>0.558</v>
      </c>
      <c r="F45" s="80">
        <f>+D45+E45</f>
        <v>1</v>
      </c>
    </row>
    <row r="46" spans="1:6" ht="15.75">
      <c r="A46" s="75">
        <v>3</v>
      </c>
      <c r="B46" s="76" t="s">
        <v>63</v>
      </c>
      <c r="C46" s="77" t="s">
        <v>14</v>
      </c>
      <c r="D46" s="81">
        <f>+D44*D45</f>
        <v>0.038896</v>
      </c>
      <c r="E46" s="81">
        <f>+E44*E45</f>
        <v>0.0736002</v>
      </c>
      <c r="F46" s="80">
        <f>ROUND(+E46+D46,4)</f>
        <v>0.1125</v>
      </c>
    </row>
    <row r="47" spans="1:6" ht="15.75">
      <c r="A47" s="75">
        <v>4</v>
      </c>
      <c r="B47" s="82" t="s">
        <v>64</v>
      </c>
      <c r="C47" s="83" t="s">
        <v>65</v>
      </c>
      <c r="D47" s="84"/>
      <c r="E47" s="85">
        <v>0.35</v>
      </c>
      <c r="F47" s="86"/>
    </row>
    <row r="48" spans="1:6" ht="15.75">
      <c r="A48" s="75">
        <v>5</v>
      </c>
      <c r="B48" s="87" t="s">
        <v>66</v>
      </c>
      <c r="C48" s="83" t="s">
        <v>67</v>
      </c>
      <c r="D48" s="84"/>
      <c r="E48" s="88">
        <f>ROUND(+E47/(1-E47),4)</f>
        <v>0.5385</v>
      </c>
      <c r="F48" s="79"/>
    </row>
    <row r="49" spans="1:6" ht="15.75">
      <c r="A49" s="75">
        <v>6</v>
      </c>
      <c r="B49" s="77" t="s">
        <v>68</v>
      </c>
      <c r="C49" s="77" t="s">
        <v>69</v>
      </c>
      <c r="D49" s="84"/>
      <c r="E49" s="81">
        <f>+E46*E48</f>
        <v>0.0396337077</v>
      </c>
      <c r="F49" s="79"/>
    </row>
    <row r="50" spans="1:6" ht="15.75">
      <c r="A50" s="89">
        <v>7</v>
      </c>
      <c r="B50" s="87" t="s">
        <v>70</v>
      </c>
      <c r="C50" s="87" t="s">
        <v>71</v>
      </c>
      <c r="D50" s="88">
        <f>+D46+D49</f>
        <v>0.038896</v>
      </c>
      <c r="E50" s="88">
        <f>+E46+E49</f>
        <v>0.1132339077</v>
      </c>
      <c r="F50" s="90">
        <f>+D50+E50</f>
        <v>0.1521299077</v>
      </c>
    </row>
    <row r="51" spans="1:6" ht="16.5" thickBot="1">
      <c r="A51" s="91">
        <v>8</v>
      </c>
      <c r="B51" s="92" t="s">
        <v>72</v>
      </c>
      <c r="C51" s="93"/>
      <c r="D51" s="94"/>
      <c r="E51" s="94"/>
      <c r="F51" s="95">
        <f>ROUND(+F50,4)</f>
        <v>0.1521</v>
      </c>
    </row>
    <row r="52" spans="1:6" ht="15.75">
      <c r="A52" s="65"/>
      <c r="B52" s="65"/>
      <c r="C52" s="96"/>
      <c r="D52" s="96"/>
      <c r="E52" s="96"/>
      <c r="F52" s="96"/>
    </row>
    <row r="53" spans="1:6" ht="16.5" thickBot="1">
      <c r="A53" s="97" t="s">
        <v>73</v>
      </c>
      <c r="B53" s="65"/>
      <c r="C53" s="65"/>
      <c r="D53" s="65"/>
      <c r="E53" s="65"/>
      <c r="F53" s="65"/>
    </row>
    <row r="54" spans="1:6" ht="15.75">
      <c r="A54" s="98"/>
      <c r="B54" s="99"/>
      <c r="C54" s="100"/>
      <c r="D54" s="69" t="s">
        <v>54</v>
      </c>
      <c r="E54" s="69" t="s">
        <v>55</v>
      </c>
      <c r="F54" s="70" t="s">
        <v>56</v>
      </c>
    </row>
    <row r="55" spans="1:6" ht="42" customHeight="1" thickBot="1">
      <c r="A55" s="101"/>
      <c r="B55" s="102"/>
      <c r="C55" s="103"/>
      <c r="D55" s="104"/>
      <c r="E55" s="105" t="s">
        <v>74</v>
      </c>
      <c r="F55" s="106" t="s">
        <v>75</v>
      </c>
    </row>
    <row r="56" spans="1:6" ht="16.5" thickBot="1">
      <c r="A56" s="107">
        <v>1</v>
      </c>
      <c r="B56" s="108" t="s">
        <v>76</v>
      </c>
      <c r="C56" s="109" t="s">
        <v>77</v>
      </c>
      <c r="D56" s="110"/>
      <c r="E56" s="111"/>
      <c r="F56" s="112">
        <f>+F51</f>
        <v>0.1521</v>
      </c>
    </row>
    <row r="57" spans="1:6" ht="17.25" thickBot="1" thickTop="1">
      <c r="A57" s="107">
        <v>2</v>
      </c>
      <c r="B57" s="108" t="s">
        <v>78</v>
      </c>
      <c r="C57" s="109" t="s">
        <v>79</v>
      </c>
      <c r="D57" s="110"/>
      <c r="E57" s="111"/>
      <c r="F57" s="113">
        <v>1</v>
      </c>
    </row>
    <row r="58" spans="1:6" ht="17.25" thickBot="1" thickTop="1">
      <c r="A58" s="107">
        <v>3</v>
      </c>
      <c r="B58" s="114" t="s">
        <v>80</v>
      </c>
      <c r="C58" s="115" t="s">
        <v>81</v>
      </c>
      <c r="D58" s="116"/>
      <c r="E58" s="117">
        <v>1</v>
      </c>
      <c r="F58" s="118">
        <f>+F$57/(1+F$56)^E58</f>
        <v>0.867980210051211</v>
      </c>
    </row>
    <row r="59" spans="1:6" ht="17.25" thickBot="1" thickTop="1">
      <c r="A59" s="107">
        <v>4</v>
      </c>
      <c r="B59" s="114" t="s">
        <v>82</v>
      </c>
      <c r="C59" s="119" t="s">
        <v>83</v>
      </c>
      <c r="D59" s="116"/>
      <c r="E59" s="117">
        <v>2</v>
      </c>
      <c r="F59" s="118">
        <f>+F$57/(1+F$56)^E59</f>
        <v>0.7533896450405442</v>
      </c>
    </row>
    <row r="60" spans="1:6" ht="17.25" thickBot="1" thickTop="1">
      <c r="A60" s="107">
        <v>4</v>
      </c>
      <c r="B60" s="114" t="s">
        <v>84</v>
      </c>
      <c r="C60" s="119" t="s">
        <v>83</v>
      </c>
      <c r="D60" s="116"/>
      <c r="E60" s="117">
        <v>3</v>
      </c>
      <c r="F60" s="118">
        <f>+F$57/(1+F$56)^E60</f>
        <v>0.6539273023526988</v>
      </c>
    </row>
    <row r="61" spans="1:6" ht="17.25" thickBot="1" thickTop="1">
      <c r="A61" s="107">
        <v>5</v>
      </c>
      <c r="B61" s="114" t="s">
        <v>85</v>
      </c>
      <c r="C61" s="119" t="s">
        <v>83</v>
      </c>
      <c r="D61" s="116"/>
      <c r="E61" s="117">
        <v>4</v>
      </c>
      <c r="F61" s="118">
        <f>+F$57/(1+F$56)^E61</f>
        <v>0.5675959572543172</v>
      </c>
    </row>
    <row r="62" spans="1:6" ht="17.25" thickBot="1" thickTop="1">
      <c r="A62" s="120">
        <v>6</v>
      </c>
      <c r="B62" s="121" t="s">
        <v>86</v>
      </c>
      <c r="C62" s="122" t="s">
        <v>83</v>
      </c>
      <c r="D62" s="123"/>
      <c r="E62" s="124">
        <v>5</v>
      </c>
      <c r="F62" s="125">
        <f>+F$57/(1+F$56)^E62</f>
        <v>0.49266205820182046</v>
      </c>
    </row>
    <row r="63" spans="1:6" ht="15.75">
      <c r="A63" s="65"/>
      <c r="B63" s="65"/>
      <c r="C63" s="65"/>
      <c r="D63" s="65"/>
      <c r="E63" s="65"/>
      <c r="F63" s="65"/>
    </row>
  </sheetData>
  <mergeCells count="4">
    <mergeCell ref="D5:I5"/>
    <mergeCell ref="G1:I1"/>
    <mergeCell ref="G2:I2"/>
    <mergeCell ref="G3:I3"/>
  </mergeCells>
  <printOptions/>
  <pageMargins left="0.63" right="0.56" top="0.53" bottom="0.59" header="0.37" footer="0.36"/>
  <pageSetup fitToHeight="1" fitToWidth="1" horizontalDpi="600" verticalDpi="600" orientation="portrait" scale="70" r:id="rId3"/>
  <headerFooter alignWithMargins="0">
    <oddFooter>&amp;L&amp;"Times New Roman,Italic"&amp;10John Staurulakis, Inc.</oddFooter>
  </headerFooter>
  <legacyDrawing r:id="rId2"/>
</worksheet>
</file>

<file path=xl/worksheets/sheet2.xml><?xml version="1.0" encoding="utf-8"?>
<worksheet xmlns="http://schemas.openxmlformats.org/spreadsheetml/2006/main" xmlns:r="http://schemas.openxmlformats.org/officeDocument/2006/relationships">
  <sheetPr>
    <tabColor indexed="12"/>
    <pageSetUpPr fitToPage="1"/>
  </sheetPr>
  <dimension ref="A1:I42"/>
  <sheetViews>
    <sheetView workbookViewId="0" topLeftCell="A1">
      <selection activeCell="C19" sqref="C19"/>
    </sheetView>
  </sheetViews>
  <sheetFormatPr defaultColWidth="9.140625" defaultRowHeight="12.75"/>
  <cols>
    <col min="1" max="1" width="6.140625" style="0" customWidth="1"/>
    <col min="3" max="3" width="44.57421875" style="0" customWidth="1"/>
    <col min="4" max="4" width="20.57421875" style="0" customWidth="1"/>
    <col min="5" max="5" width="13.421875" style="0" customWidth="1"/>
    <col min="6" max="6" width="15.140625" style="0" customWidth="1"/>
    <col min="9" max="9" width="13.00390625" style="0" customWidth="1"/>
  </cols>
  <sheetData>
    <row r="1" spans="1:9" ht="15.75">
      <c r="A1" s="126" t="s">
        <v>87</v>
      </c>
      <c r="B1" s="127"/>
      <c r="C1" s="127"/>
      <c r="D1" s="127"/>
      <c r="E1" s="127"/>
      <c r="F1" s="128" t="s">
        <v>88</v>
      </c>
      <c r="H1" s="5"/>
      <c r="I1" s="5"/>
    </row>
    <row r="2" spans="1:9" ht="15.75">
      <c r="A2" s="129" t="s">
        <v>89</v>
      </c>
      <c r="B2" s="129"/>
      <c r="C2" s="129"/>
      <c r="D2" s="129"/>
      <c r="E2" s="129"/>
      <c r="F2" s="130" t="s">
        <v>90</v>
      </c>
      <c r="G2" s="5"/>
      <c r="H2" s="5"/>
      <c r="I2" s="5"/>
    </row>
    <row r="3" spans="1:6" ht="12.75">
      <c r="A3" s="129" t="s">
        <v>91</v>
      </c>
      <c r="B3" s="129"/>
      <c r="C3" s="129"/>
      <c r="D3" s="129"/>
      <c r="E3" s="129"/>
      <c r="F3" s="129"/>
    </row>
    <row r="4" spans="1:6" ht="12.75">
      <c r="A4" s="129"/>
      <c r="B4" s="129"/>
      <c r="C4" s="129"/>
      <c r="D4" s="129"/>
      <c r="E4" s="129"/>
      <c r="F4" s="129"/>
    </row>
    <row r="5" spans="1:6" ht="12.75">
      <c r="A5" s="131"/>
      <c r="B5" s="132"/>
      <c r="C5" s="132"/>
      <c r="D5" s="132"/>
      <c r="E5" s="132"/>
      <c r="F5" s="132"/>
    </row>
    <row r="6" spans="1:6" ht="12.75">
      <c r="A6" s="133"/>
      <c r="B6" s="134"/>
      <c r="C6" s="134"/>
      <c r="D6" s="135">
        <v>2005</v>
      </c>
      <c r="E6" s="135" t="s">
        <v>92</v>
      </c>
      <c r="F6" s="135" t="s">
        <v>92</v>
      </c>
    </row>
    <row r="7" spans="1:6" ht="12.75">
      <c r="A7" s="136"/>
      <c r="B7" s="137" t="s">
        <v>93</v>
      </c>
      <c r="C7" s="137" t="s">
        <v>94</v>
      </c>
      <c r="D7" s="138" t="s">
        <v>95</v>
      </c>
      <c r="E7" s="138" t="s">
        <v>96</v>
      </c>
      <c r="F7" s="138" t="s">
        <v>97</v>
      </c>
    </row>
    <row r="8" spans="1:6" ht="12.75">
      <c r="A8" s="139"/>
      <c r="B8" s="140" t="s">
        <v>54</v>
      </c>
      <c r="C8" s="141" t="s">
        <v>55</v>
      </c>
      <c r="D8" s="138" t="s">
        <v>56</v>
      </c>
      <c r="E8" s="142" t="s">
        <v>98</v>
      </c>
      <c r="F8" s="142" t="s">
        <v>99</v>
      </c>
    </row>
    <row r="9" ht="12.75">
      <c r="A9" s="143"/>
    </row>
    <row r="10" ht="12.75">
      <c r="A10" s="134"/>
    </row>
    <row r="11" spans="1:6" ht="12.75">
      <c r="A11" s="134"/>
      <c r="B11" s="134"/>
      <c r="C11" s="144" t="s">
        <v>100</v>
      </c>
      <c r="D11" s="145"/>
      <c r="E11" s="146"/>
      <c r="F11" s="146"/>
    </row>
    <row r="12" spans="1:6" ht="12.75">
      <c r="A12" s="134">
        <v>1</v>
      </c>
      <c r="B12" s="147">
        <v>2111</v>
      </c>
      <c r="C12" s="132" t="s">
        <v>101</v>
      </c>
      <c r="D12" s="148" t="e">
        <f>#REF!</f>
        <v>#REF!</v>
      </c>
      <c r="E12" s="149">
        <v>0.6402</v>
      </c>
      <c r="F12" s="150" t="e">
        <f>ROUND(+D12*E12,0)</f>
        <v>#REF!</v>
      </c>
    </row>
    <row r="13" spans="1:6" ht="12.75">
      <c r="A13" s="134">
        <v>2</v>
      </c>
      <c r="B13" s="147">
        <v>2112</v>
      </c>
      <c r="C13" s="132" t="s">
        <v>102</v>
      </c>
      <c r="D13" s="151"/>
      <c r="E13" s="149">
        <f aca="true" t="shared" si="0" ref="E13:E18">E12</f>
        <v>0.6402</v>
      </c>
      <c r="F13" s="152">
        <f aca="true" t="shared" si="1" ref="F13:F18">ROUND(+D13*E13,2)</f>
        <v>0</v>
      </c>
    </row>
    <row r="14" spans="1:6" ht="12.75">
      <c r="A14" s="153">
        <v>3</v>
      </c>
      <c r="B14" s="147">
        <v>2116</v>
      </c>
      <c r="C14" s="132" t="s">
        <v>103</v>
      </c>
      <c r="D14" s="151"/>
      <c r="E14" s="149">
        <f t="shared" si="0"/>
        <v>0.6402</v>
      </c>
      <c r="F14" s="152">
        <f t="shared" si="1"/>
        <v>0</v>
      </c>
    </row>
    <row r="15" spans="1:6" ht="12.75">
      <c r="A15" s="134">
        <v>4</v>
      </c>
      <c r="B15" s="154">
        <v>2121</v>
      </c>
      <c r="C15" s="155" t="s">
        <v>104</v>
      </c>
      <c r="D15" s="151" t="e">
        <f>#REF!</f>
        <v>#REF!</v>
      </c>
      <c r="E15" s="149">
        <f t="shared" si="0"/>
        <v>0.6402</v>
      </c>
      <c r="F15" s="152" t="e">
        <f t="shared" si="1"/>
        <v>#REF!</v>
      </c>
    </row>
    <row r="16" spans="1:6" ht="12.75">
      <c r="A16" s="134">
        <v>5</v>
      </c>
      <c r="B16" s="147">
        <v>2122</v>
      </c>
      <c r="C16" s="132" t="s">
        <v>105</v>
      </c>
      <c r="D16" s="151"/>
      <c r="E16" s="149">
        <f t="shared" si="0"/>
        <v>0.6402</v>
      </c>
      <c r="F16" s="152">
        <f t="shared" si="1"/>
        <v>0</v>
      </c>
    </row>
    <row r="17" spans="1:6" ht="12.75">
      <c r="A17" s="134">
        <v>6</v>
      </c>
      <c r="B17" s="147">
        <v>2123</v>
      </c>
      <c r="C17" s="132" t="s">
        <v>106</v>
      </c>
      <c r="D17" s="151"/>
      <c r="E17" s="149">
        <f t="shared" si="0"/>
        <v>0.6402</v>
      </c>
      <c r="F17" s="152">
        <f t="shared" si="1"/>
        <v>0</v>
      </c>
    </row>
    <row r="18" spans="1:6" ht="12.75">
      <c r="A18" s="134">
        <v>7</v>
      </c>
      <c r="B18" s="147">
        <v>2124</v>
      </c>
      <c r="C18" s="132" t="s">
        <v>107</v>
      </c>
      <c r="D18" s="156" t="e">
        <f>#REF!</f>
        <v>#REF!</v>
      </c>
      <c r="E18" s="149">
        <f t="shared" si="0"/>
        <v>0.6402</v>
      </c>
      <c r="F18" s="152" t="e">
        <f t="shared" si="1"/>
        <v>#REF!</v>
      </c>
    </row>
    <row r="19" spans="1:6" ht="12.75">
      <c r="A19" s="134">
        <v>8</v>
      </c>
      <c r="B19" s="133"/>
      <c r="C19" s="133" t="s">
        <v>108</v>
      </c>
      <c r="D19" s="157" t="e">
        <f>SUM(D12:D18)</f>
        <v>#REF!</v>
      </c>
      <c r="E19" s="158"/>
      <c r="F19" s="159" t="e">
        <f>SUM(F12:F18)</f>
        <v>#REF!</v>
      </c>
    </row>
    <row r="20" spans="1:6" ht="26.25" customHeight="1">
      <c r="A20" s="134"/>
      <c r="B20" s="133"/>
      <c r="D20" s="160"/>
      <c r="E20" s="161"/>
      <c r="F20" s="162"/>
    </row>
    <row r="21" spans="3:6" ht="12.75">
      <c r="C21" s="144" t="s">
        <v>109</v>
      </c>
      <c r="D21" s="163"/>
      <c r="E21" s="163"/>
      <c r="F21" s="146"/>
    </row>
    <row r="22" spans="1:6" ht="12.75">
      <c r="A22" s="134">
        <v>9</v>
      </c>
      <c r="B22" s="147">
        <v>2210</v>
      </c>
      <c r="C22" s="132" t="s">
        <v>110</v>
      </c>
      <c r="D22" s="164"/>
      <c r="E22" s="149">
        <v>0.5643</v>
      </c>
      <c r="F22" s="152">
        <f>ROUND(+D22*E22,2)</f>
        <v>0</v>
      </c>
    </row>
    <row r="23" spans="1:6" ht="12.75">
      <c r="A23" s="134">
        <v>10</v>
      </c>
      <c r="B23" s="147">
        <v>2212</v>
      </c>
      <c r="C23" s="132" t="s">
        <v>111</v>
      </c>
      <c r="D23" s="164" t="e">
        <f>#REF!</f>
        <v>#REF!</v>
      </c>
      <c r="E23" s="149">
        <f>E22</f>
        <v>0.5643</v>
      </c>
      <c r="F23" s="152" t="e">
        <f>ROUND(+D23*E23,2)</f>
        <v>#REF!</v>
      </c>
    </row>
    <row r="24" spans="1:6" ht="12.75">
      <c r="A24" s="134">
        <v>11</v>
      </c>
      <c r="B24" s="147">
        <v>2230</v>
      </c>
      <c r="C24" s="132" t="s">
        <v>112</v>
      </c>
      <c r="D24" s="164" t="e">
        <f>#REF!</f>
        <v>#REF!</v>
      </c>
      <c r="E24" s="149">
        <v>0.5232</v>
      </c>
      <c r="F24" s="152" t="e">
        <f>ROUND(+D24*E24,2)</f>
        <v>#REF!</v>
      </c>
    </row>
    <row r="25" spans="1:6" ht="12.75">
      <c r="A25" s="134">
        <v>12</v>
      </c>
      <c r="B25" s="147">
        <v>2231</v>
      </c>
      <c r="C25" s="132" t="s">
        <v>113</v>
      </c>
      <c r="D25" s="165"/>
      <c r="E25" s="149">
        <f>E24</f>
        <v>0.5232</v>
      </c>
      <c r="F25" s="152">
        <f>ROUND(+D25*E25,2)</f>
        <v>0</v>
      </c>
    </row>
    <row r="26" spans="1:6" ht="12.75">
      <c r="A26" s="134">
        <v>13</v>
      </c>
      <c r="B26" s="147">
        <v>2232</v>
      </c>
      <c r="C26" s="132" t="s">
        <v>114</v>
      </c>
      <c r="D26" s="165" t="e">
        <f>#REF!</f>
        <v>#REF!</v>
      </c>
      <c r="E26" s="149">
        <f>E24</f>
        <v>0.5232</v>
      </c>
      <c r="F26" s="152" t="e">
        <f>ROUND(+D26*E26,2)</f>
        <v>#REF!</v>
      </c>
    </row>
    <row r="27" spans="1:6" ht="12.75">
      <c r="A27" s="134">
        <v>14</v>
      </c>
      <c r="B27" s="147">
        <v>2362</v>
      </c>
      <c r="C27" s="132" t="s">
        <v>115</v>
      </c>
      <c r="D27" s="166"/>
      <c r="E27" s="149"/>
      <c r="F27" s="167">
        <v>0</v>
      </c>
    </row>
    <row r="28" spans="1:6" ht="12.75">
      <c r="A28" s="134">
        <v>15</v>
      </c>
      <c r="B28" s="133"/>
      <c r="C28" s="133" t="s">
        <v>108</v>
      </c>
      <c r="D28" s="157" t="e">
        <f>SUM(D22:D27)</f>
        <v>#REF!</v>
      </c>
      <c r="E28" s="158"/>
      <c r="F28" s="159" t="e">
        <f>SUM(F22:F27)</f>
        <v>#REF!</v>
      </c>
    </row>
    <row r="29" spans="1:6" ht="22.5" customHeight="1">
      <c r="A29" s="134"/>
      <c r="B29" s="133"/>
      <c r="D29" s="161"/>
      <c r="E29" s="161"/>
      <c r="F29" s="162"/>
    </row>
    <row r="30" spans="1:6" ht="16.5" customHeight="1">
      <c r="A30" s="134">
        <v>16</v>
      </c>
      <c r="B30" s="147">
        <v>2411</v>
      </c>
      <c r="C30" s="132" t="s">
        <v>116</v>
      </c>
      <c r="D30" s="163"/>
      <c r="E30" s="149">
        <v>0.7355</v>
      </c>
      <c r="F30" s="146"/>
    </row>
    <row r="31" spans="1:6" ht="12.75">
      <c r="A31" s="134">
        <v>17</v>
      </c>
      <c r="B31" s="147">
        <v>2421</v>
      </c>
      <c r="C31" s="132" t="s">
        <v>117</v>
      </c>
      <c r="D31" s="165" t="e">
        <f>#REF!</f>
        <v>#REF!</v>
      </c>
      <c r="E31" s="149">
        <f aca="true" t="shared" si="2" ref="E31:E36">E30</f>
        <v>0.7355</v>
      </c>
      <c r="F31" s="152" t="e">
        <f>ROUND(+D31*E30,2)</f>
        <v>#REF!</v>
      </c>
    </row>
    <row r="32" spans="1:6" ht="12.75">
      <c r="A32" s="134">
        <v>18</v>
      </c>
      <c r="B32" s="154">
        <v>2422</v>
      </c>
      <c r="C32" s="155" t="s">
        <v>118</v>
      </c>
      <c r="D32" s="165"/>
      <c r="E32" s="149">
        <f t="shared" si="2"/>
        <v>0.7355</v>
      </c>
      <c r="F32" s="152">
        <f>ROUND(+D32*E32,2)</f>
        <v>0</v>
      </c>
    </row>
    <row r="33" spans="1:6" ht="12.75">
      <c r="A33" s="134">
        <v>19</v>
      </c>
      <c r="B33" s="154">
        <v>2423</v>
      </c>
      <c r="C33" s="155" t="s">
        <v>119</v>
      </c>
      <c r="D33" s="164" t="e">
        <f>#REF!</f>
        <v>#REF!</v>
      </c>
      <c r="E33" s="149">
        <f t="shared" si="2"/>
        <v>0.7355</v>
      </c>
      <c r="F33" s="152" t="e">
        <f>ROUND(+D33*E33,2)</f>
        <v>#REF!</v>
      </c>
    </row>
    <row r="34" spans="1:6" ht="12.75">
      <c r="A34" s="134">
        <v>20</v>
      </c>
      <c r="B34" s="154">
        <v>2426</v>
      </c>
      <c r="C34" s="155" t="s">
        <v>120</v>
      </c>
      <c r="D34" s="164"/>
      <c r="E34" s="149">
        <f t="shared" si="2"/>
        <v>0.7355</v>
      </c>
      <c r="F34" s="152">
        <f>ROUND(+D34*E34,2)</f>
        <v>0</v>
      </c>
    </row>
    <row r="35" spans="1:6" ht="12.75">
      <c r="A35" s="134">
        <v>21</v>
      </c>
      <c r="B35" s="154">
        <v>2431</v>
      </c>
      <c r="C35" s="155" t="s">
        <v>121</v>
      </c>
      <c r="D35" s="164"/>
      <c r="E35" s="149">
        <f t="shared" si="2"/>
        <v>0.7355</v>
      </c>
      <c r="F35" s="152">
        <f>ROUND(+D35*E35,2)</f>
        <v>0</v>
      </c>
    </row>
    <row r="36" spans="1:6" ht="12.75">
      <c r="A36" s="134">
        <v>22</v>
      </c>
      <c r="B36" s="154">
        <v>2441</v>
      </c>
      <c r="C36" s="155" t="s">
        <v>122</v>
      </c>
      <c r="D36" s="160"/>
      <c r="E36" s="149">
        <f t="shared" si="2"/>
        <v>0.7355</v>
      </c>
      <c r="F36" s="152">
        <f>ROUND(+D36*E36,2)</f>
        <v>0</v>
      </c>
    </row>
    <row r="37" spans="1:6" ht="12.75">
      <c r="A37" s="134">
        <v>23</v>
      </c>
      <c r="B37" s="133"/>
      <c r="C37" s="133" t="s">
        <v>108</v>
      </c>
      <c r="D37" s="157" t="e">
        <f>SUM(D31:D36)</f>
        <v>#REF!</v>
      </c>
      <c r="E37" s="168"/>
      <c r="F37" s="159" t="e">
        <f>SUM(F31:F36)</f>
        <v>#REF!</v>
      </c>
    </row>
    <row r="38" spans="1:6" ht="21" customHeight="1" thickBot="1">
      <c r="A38" s="134">
        <v>24</v>
      </c>
      <c r="B38" s="133"/>
      <c r="C38" s="133" t="s">
        <v>123</v>
      </c>
      <c r="D38" s="169" t="e">
        <f>D19+D28+D37</f>
        <v>#REF!</v>
      </c>
      <c r="E38" s="170"/>
      <c r="F38" s="170" t="e">
        <f>F19+F28+F37</f>
        <v>#REF!</v>
      </c>
    </row>
    <row r="39" spans="4:6" ht="13.5" thickTop="1">
      <c r="D39" s="171"/>
      <c r="E39" s="145"/>
      <c r="F39" s="145"/>
    </row>
    <row r="40" ht="12.75">
      <c r="D40" s="171"/>
    </row>
    <row r="41" ht="12.75">
      <c r="D41" s="171"/>
    </row>
    <row r="42" ht="12.75">
      <c r="D42" s="171"/>
    </row>
  </sheetData>
  <printOptions/>
  <pageMargins left="0.75" right="0.75" top="0.7" bottom="1" header="0.5" footer="0.5"/>
  <pageSetup fitToHeight="1" fitToWidth="1" horizontalDpi="600" verticalDpi="600" orientation="portrait" scale="83"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A1:O106"/>
  <sheetViews>
    <sheetView tabSelected="1" workbookViewId="0" topLeftCell="A1">
      <selection activeCell="C19" sqref="C19"/>
    </sheetView>
  </sheetViews>
  <sheetFormatPr defaultColWidth="9.140625" defaultRowHeight="12.75"/>
  <cols>
    <col min="1" max="1" width="4.57421875" style="0" customWidth="1"/>
    <col min="2" max="2" width="9.28125" style="0" customWidth="1"/>
    <col min="3" max="3" width="34.8515625" style="0" customWidth="1"/>
    <col min="4" max="12" width="13.28125" style="0" customWidth="1"/>
    <col min="13" max="13" width="13.8515625" style="0" customWidth="1"/>
  </cols>
  <sheetData>
    <row r="1" spans="1:15" s="177" customFormat="1" ht="15.75">
      <c r="A1" s="126" t="s">
        <v>135</v>
      </c>
      <c r="B1" s="127"/>
      <c r="C1" s="127"/>
      <c r="D1" s="127"/>
      <c r="E1" s="127"/>
      <c r="F1" s="127"/>
      <c r="G1" s="127"/>
      <c r="L1" s="178" t="s">
        <v>136</v>
      </c>
      <c r="M1"/>
      <c r="N1"/>
      <c r="O1"/>
    </row>
    <row r="2" spans="1:15" s="177" customFormat="1" ht="12.75">
      <c r="A2" s="129" t="s">
        <v>137</v>
      </c>
      <c r="B2" s="129"/>
      <c r="C2" s="129"/>
      <c r="D2" s="129"/>
      <c r="E2" s="129"/>
      <c r="F2" s="129"/>
      <c r="G2" s="129"/>
      <c r="M2"/>
      <c r="N2"/>
      <c r="O2"/>
    </row>
    <row r="3" spans="1:15" s="177" customFormat="1" ht="12.75">
      <c r="A3" s="129"/>
      <c r="B3" s="129"/>
      <c r="C3" s="129"/>
      <c r="D3" s="129"/>
      <c r="E3" s="129"/>
      <c r="F3" s="129"/>
      <c r="G3" s="129"/>
      <c r="M3"/>
      <c r="N3"/>
      <c r="O3"/>
    </row>
    <row r="4" spans="1:12" ht="12.75">
      <c r="A4" s="131"/>
      <c r="B4" s="132"/>
      <c r="C4" s="132"/>
      <c r="D4" s="132"/>
      <c r="E4" s="132"/>
      <c r="F4" s="132"/>
      <c r="G4" s="132"/>
      <c r="H4" s="132"/>
      <c r="I4" s="132"/>
      <c r="J4" s="132"/>
      <c r="K4" s="132"/>
      <c r="L4" s="132"/>
    </row>
    <row r="5" spans="1:15" s="145" customFormat="1" ht="20.25" customHeight="1">
      <c r="A5" s="134"/>
      <c r="B5" s="134"/>
      <c r="C5" s="134"/>
      <c r="D5" s="460" t="s">
        <v>138</v>
      </c>
      <c r="E5" s="461"/>
      <c r="F5" s="461"/>
      <c r="G5" s="461"/>
      <c r="H5" s="461"/>
      <c r="I5" s="461"/>
      <c r="J5" s="461"/>
      <c r="K5" s="461"/>
      <c r="L5" s="462"/>
      <c r="M5"/>
      <c r="N5"/>
      <c r="O5"/>
    </row>
    <row r="6" spans="1:15" s="145" customFormat="1" ht="12" customHeight="1">
      <c r="A6" s="134"/>
      <c r="B6" s="134"/>
      <c r="C6" s="134"/>
      <c r="D6" s="135">
        <v>2005</v>
      </c>
      <c r="E6" s="135"/>
      <c r="F6" s="135"/>
      <c r="G6" s="179" t="s">
        <v>139</v>
      </c>
      <c r="H6" s="135" t="s">
        <v>140</v>
      </c>
      <c r="I6" s="135" t="s">
        <v>141</v>
      </c>
      <c r="J6" s="135" t="s">
        <v>142</v>
      </c>
      <c r="K6" s="135"/>
      <c r="L6" s="135"/>
      <c r="M6"/>
      <c r="N6"/>
      <c r="O6"/>
    </row>
    <row r="7" spans="1:15" s="145" customFormat="1" ht="12.75">
      <c r="A7" s="133" t="s">
        <v>143</v>
      </c>
      <c r="B7" s="134"/>
      <c r="C7" s="134"/>
      <c r="D7" s="180" t="s">
        <v>144</v>
      </c>
      <c r="E7" s="180"/>
      <c r="F7" s="180" t="s">
        <v>145</v>
      </c>
      <c r="G7" s="181" t="s">
        <v>146</v>
      </c>
      <c r="H7" s="180" t="s">
        <v>147</v>
      </c>
      <c r="I7" s="180" t="s">
        <v>148</v>
      </c>
      <c r="J7" s="180" t="s">
        <v>145</v>
      </c>
      <c r="K7" s="180" t="s">
        <v>149</v>
      </c>
      <c r="L7" s="180" t="s">
        <v>149</v>
      </c>
      <c r="M7"/>
      <c r="N7"/>
      <c r="O7"/>
    </row>
    <row r="8" spans="1:15" s="145" customFormat="1" ht="12.75">
      <c r="A8" s="182" t="s">
        <v>150</v>
      </c>
      <c r="B8" s="137" t="s">
        <v>93</v>
      </c>
      <c r="C8" s="137" t="s">
        <v>94</v>
      </c>
      <c r="D8" s="138" t="s">
        <v>151</v>
      </c>
      <c r="E8" s="138" t="s">
        <v>152</v>
      </c>
      <c r="F8" s="138" t="s">
        <v>153</v>
      </c>
      <c r="G8" s="183" t="s">
        <v>154</v>
      </c>
      <c r="H8" s="138" t="s">
        <v>155</v>
      </c>
      <c r="I8" s="138" t="s">
        <v>156</v>
      </c>
      <c r="J8" s="138" t="s">
        <v>157</v>
      </c>
      <c r="K8" s="138" t="s">
        <v>96</v>
      </c>
      <c r="L8" s="138" t="s">
        <v>97</v>
      </c>
      <c r="M8"/>
      <c r="N8"/>
      <c r="O8"/>
    </row>
    <row r="9" spans="1:15" s="145" customFormat="1" ht="12.75">
      <c r="A9" s="141" t="s">
        <v>54</v>
      </c>
      <c r="B9" s="141" t="s">
        <v>55</v>
      </c>
      <c r="C9" s="141" t="s">
        <v>56</v>
      </c>
      <c r="D9" s="142" t="s">
        <v>158</v>
      </c>
      <c r="E9" s="142" t="s">
        <v>127</v>
      </c>
      <c r="F9" s="142" t="s">
        <v>159</v>
      </c>
      <c r="G9" s="184" t="s">
        <v>160</v>
      </c>
      <c r="H9" s="142" t="s">
        <v>161</v>
      </c>
      <c r="I9" s="142" t="s">
        <v>162</v>
      </c>
      <c r="J9" s="142" t="s">
        <v>163</v>
      </c>
      <c r="K9" s="185" t="s">
        <v>162</v>
      </c>
      <c r="L9" s="185" t="s">
        <v>131</v>
      </c>
      <c r="M9"/>
      <c r="N9"/>
      <c r="O9"/>
    </row>
    <row r="10" ht="12.75">
      <c r="G10" s="186"/>
    </row>
    <row r="11" spans="1:15" s="145" customFormat="1" ht="12.75">
      <c r="A11" s="134"/>
      <c r="B11" s="134"/>
      <c r="C11" s="144" t="s">
        <v>100</v>
      </c>
      <c r="D11" s="146"/>
      <c r="E11" s="146"/>
      <c r="F11" s="146"/>
      <c r="G11" s="146"/>
      <c r="H11" s="146"/>
      <c r="I11" s="146"/>
      <c r="J11" s="146"/>
      <c r="K11" s="146"/>
      <c r="L11" s="146"/>
      <c r="M11"/>
      <c r="N11"/>
      <c r="O11"/>
    </row>
    <row r="12" spans="1:15" s="145" customFormat="1" ht="12.75">
      <c r="A12" s="134">
        <v>12</v>
      </c>
      <c r="B12" s="147">
        <v>2111</v>
      </c>
      <c r="C12" s="132" t="s">
        <v>101</v>
      </c>
      <c r="D12" s="187" t="e">
        <f>'DDM 02 - page 1'!D12</f>
        <v>#REF!</v>
      </c>
      <c r="E12" s="188"/>
      <c r="F12" s="187"/>
      <c r="G12" s="187"/>
      <c r="H12" s="187"/>
      <c r="I12" s="187"/>
      <c r="J12" s="187"/>
      <c r="K12" s="149">
        <v>0.605</v>
      </c>
      <c r="L12" s="189"/>
      <c r="M12"/>
      <c r="N12"/>
      <c r="O12"/>
    </row>
    <row r="13" spans="1:15" s="145" customFormat="1" ht="12.75">
      <c r="A13" s="134">
        <v>13</v>
      </c>
      <c r="B13" s="147">
        <v>2112</v>
      </c>
      <c r="C13" s="132" t="s">
        <v>102</v>
      </c>
      <c r="D13" s="152">
        <f>'DDM 02 - page 1'!D13</f>
        <v>0</v>
      </c>
      <c r="E13" s="188">
        <v>0.2</v>
      </c>
      <c r="F13" s="187">
        <f aca="true" t="shared" si="0" ref="F13:F18">ROUND(+D13*E13,2)</f>
        <v>0</v>
      </c>
      <c r="G13" s="187">
        <v>0</v>
      </c>
      <c r="H13" s="187">
        <f>+F13+G13</f>
        <v>0</v>
      </c>
      <c r="I13" s="187">
        <f>+G13+H13</f>
        <v>0</v>
      </c>
      <c r="J13" s="187">
        <f>+H13+I13</f>
        <v>0</v>
      </c>
      <c r="K13" s="149">
        <v>0.605</v>
      </c>
      <c r="L13" s="187">
        <f aca="true" t="shared" si="1" ref="L13:L18">ROUND(+J13*K13,2)</f>
        <v>0</v>
      </c>
      <c r="M13"/>
      <c r="N13"/>
      <c r="O13"/>
    </row>
    <row r="14" spans="1:15" s="145" customFormat="1" ht="12.75">
      <c r="A14" s="134">
        <v>14</v>
      </c>
      <c r="B14" s="147">
        <v>2116</v>
      </c>
      <c r="C14" s="132" t="s">
        <v>103</v>
      </c>
      <c r="D14" s="152">
        <f>'DDM 02 - page 1'!D14</f>
        <v>0</v>
      </c>
      <c r="E14" s="188">
        <v>0.2</v>
      </c>
      <c r="F14" s="152">
        <f t="shared" si="0"/>
        <v>0</v>
      </c>
      <c r="G14" s="152">
        <v>0</v>
      </c>
      <c r="H14" s="165">
        <f>+F14+G14</f>
        <v>0</v>
      </c>
      <c r="I14" s="165">
        <v>0</v>
      </c>
      <c r="J14" s="165">
        <f>+H14+I14</f>
        <v>0</v>
      </c>
      <c r="K14" s="149">
        <v>0.605</v>
      </c>
      <c r="L14" s="152">
        <f t="shared" si="1"/>
        <v>0</v>
      </c>
      <c r="M14"/>
      <c r="N14"/>
      <c r="O14"/>
    </row>
    <row r="15" spans="1:15" s="190" customFormat="1" ht="12.75">
      <c r="A15" s="153">
        <v>15</v>
      </c>
      <c r="B15" s="154">
        <v>2121</v>
      </c>
      <c r="C15" s="155" t="s">
        <v>104</v>
      </c>
      <c r="D15" s="152" t="e">
        <f>'DDM 02 - page 1'!D15</f>
        <v>#REF!</v>
      </c>
      <c r="E15" s="188">
        <v>0.04</v>
      </c>
      <c r="F15" s="152" t="e">
        <f t="shared" si="0"/>
        <v>#REF!</v>
      </c>
      <c r="G15" s="152">
        <v>0</v>
      </c>
      <c r="H15" s="165" t="e">
        <f>+F15+G15</f>
        <v>#REF!</v>
      </c>
      <c r="I15" s="165">
        <v>0</v>
      </c>
      <c r="J15" s="165" t="e">
        <f>+H15+I15</f>
        <v>#REF!</v>
      </c>
      <c r="K15" s="149">
        <v>0.605</v>
      </c>
      <c r="L15" s="152" t="e">
        <f t="shared" si="1"/>
        <v>#REF!</v>
      </c>
      <c r="M15"/>
      <c r="N15"/>
      <c r="O15"/>
    </row>
    <row r="16" spans="1:15" s="145" customFormat="1" ht="12.75">
      <c r="A16" s="134">
        <v>16</v>
      </c>
      <c r="B16" s="147">
        <v>2122</v>
      </c>
      <c r="C16" s="132" t="s">
        <v>105</v>
      </c>
      <c r="D16" s="152">
        <f>'DDM 02 - page 1'!D16</f>
        <v>0</v>
      </c>
      <c r="E16" s="188">
        <v>0.15</v>
      </c>
      <c r="F16" s="152">
        <f t="shared" si="0"/>
        <v>0</v>
      </c>
      <c r="G16" s="152">
        <v>0</v>
      </c>
      <c r="H16" s="165">
        <f>+F16+G16</f>
        <v>0</v>
      </c>
      <c r="I16" s="165">
        <v>0</v>
      </c>
      <c r="J16" s="165">
        <f>+H16+I16</f>
        <v>0</v>
      </c>
      <c r="K16" s="149">
        <v>0.605</v>
      </c>
      <c r="L16" s="152">
        <f t="shared" si="1"/>
        <v>0</v>
      </c>
      <c r="M16"/>
      <c r="N16"/>
      <c r="O16"/>
    </row>
    <row r="17" spans="1:15" s="145" customFormat="1" ht="12.75">
      <c r="A17" s="134">
        <v>17</v>
      </c>
      <c r="B17" s="147">
        <v>2123</v>
      </c>
      <c r="C17" s="132" t="s">
        <v>106</v>
      </c>
      <c r="D17" s="152">
        <f>'DDM 02 - page 1'!D17</f>
        <v>0</v>
      </c>
      <c r="E17" s="188">
        <v>0.2</v>
      </c>
      <c r="F17" s="152">
        <f t="shared" si="0"/>
        <v>0</v>
      </c>
      <c r="G17" s="152">
        <v>0</v>
      </c>
      <c r="H17" s="165">
        <f>+F17+G17</f>
        <v>0</v>
      </c>
      <c r="I17" s="165">
        <v>0</v>
      </c>
      <c r="J17" s="165">
        <f>+H17+I17</f>
        <v>0</v>
      </c>
      <c r="K17" s="149">
        <v>0.605</v>
      </c>
      <c r="L17" s="152">
        <f t="shared" si="1"/>
        <v>0</v>
      </c>
      <c r="M17"/>
      <c r="N17"/>
      <c r="O17"/>
    </row>
    <row r="18" spans="1:15" s="145" customFormat="1" ht="12.75">
      <c r="A18" s="134">
        <v>18</v>
      </c>
      <c r="B18" s="147">
        <v>2124</v>
      </c>
      <c r="C18" s="132" t="s">
        <v>107</v>
      </c>
      <c r="D18" s="152" t="e">
        <f>'DDM 02 - page 1'!D18</f>
        <v>#REF!</v>
      </c>
      <c r="E18" s="188">
        <v>0.2</v>
      </c>
      <c r="F18" s="152" t="e">
        <f t="shared" si="0"/>
        <v>#REF!</v>
      </c>
      <c r="G18" s="152">
        <v>0</v>
      </c>
      <c r="H18" s="165" t="e">
        <f>+F18+G18</f>
        <v>#REF!</v>
      </c>
      <c r="I18" s="165">
        <v>0</v>
      </c>
      <c r="J18" s="165" t="e">
        <f>+H18+I18</f>
        <v>#REF!</v>
      </c>
      <c r="K18" s="149">
        <v>0.605</v>
      </c>
      <c r="L18" s="152" t="e">
        <f t="shared" si="1"/>
        <v>#REF!</v>
      </c>
      <c r="M18"/>
      <c r="N18"/>
      <c r="O18"/>
    </row>
    <row r="19" spans="1:15" s="145" customFormat="1" ht="12.75">
      <c r="A19" s="134">
        <v>19</v>
      </c>
      <c r="B19" s="133"/>
      <c r="C19" s="133" t="s">
        <v>108</v>
      </c>
      <c r="D19" s="191" t="e">
        <f>SUM(D12:D18)</f>
        <v>#REF!</v>
      </c>
      <c r="E19" s="191"/>
      <c r="F19" s="191" t="e">
        <f>SUM(F12:F18)</f>
        <v>#REF!</v>
      </c>
      <c r="G19" s="191">
        <f>SUM(G12:G18)</f>
        <v>0</v>
      </c>
      <c r="H19" s="191" t="e">
        <f>SUM(H12:H18)</f>
        <v>#REF!</v>
      </c>
      <c r="I19" s="191">
        <f>SUM(I12:I18)</f>
        <v>0</v>
      </c>
      <c r="J19" s="191" t="e">
        <f>SUM(J12:J18)</f>
        <v>#REF!</v>
      </c>
      <c r="K19" s="158"/>
      <c r="L19" s="191" t="e">
        <f>SUM(L12:L18)</f>
        <v>#REF!</v>
      </c>
      <c r="M19"/>
      <c r="N19"/>
      <c r="O19"/>
    </row>
    <row r="20" spans="1:15" s="145" customFormat="1" ht="29.25" customHeight="1">
      <c r="A20" s="153">
        <v>20</v>
      </c>
      <c r="B20" s="133"/>
      <c r="C20" s="144" t="s">
        <v>109</v>
      </c>
      <c r="D20" s="146"/>
      <c r="E20" s="146"/>
      <c r="F20" s="146"/>
      <c r="G20" s="146"/>
      <c r="H20" s="146"/>
      <c r="I20" s="146"/>
      <c r="J20" s="146"/>
      <c r="K20" s="163"/>
      <c r="L20" s="146"/>
      <c r="M20"/>
      <c r="N20"/>
      <c r="O20"/>
    </row>
    <row r="21" spans="1:15" s="145" customFormat="1" ht="12.75">
      <c r="A21" s="134">
        <v>21</v>
      </c>
      <c r="B21" s="147">
        <v>2210</v>
      </c>
      <c r="C21" s="132" t="s">
        <v>110</v>
      </c>
      <c r="D21" s="152">
        <f>'DDM 02 - page 1'!D22</f>
        <v>0</v>
      </c>
      <c r="E21" s="149">
        <v>0.2</v>
      </c>
      <c r="F21" s="152">
        <f aca="true" t="shared" si="2" ref="F21:F26">ROUND(+D21*E21,2)</f>
        <v>0</v>
      </c>
      <c r="G21" s="152">
        <v>0</v>
      </c>
      <c r="H21" s="152">
        <f aca="true" t="shared" si="3" ref="H21:H26">+F21+G21</f>
        <v>0</v>
      </c>
      <c r="I21" s="152">
        <v>0</v>
      </c>
      <c r="J21" s="165">
        <f aca="true" t="shared" si="4" ref="J21:J26">+H21+I21</f>
        <v>0</v>
      </c>
      <c r="K21" s="149">
        <v>0.605</v>
      </c>
      <c r="L21" s="152">
        <f>ROUND(+J21*K21,2)</f>
        <v>0</v>
      </c>
      <c r="M21"/>
      <c r="N21"/>
      <c r="O21"/>
    </row>
    <row r="22" spans="1:15" s="145" customFormat="1" ht="12.75">
      <c r="A22" s="134">
        <v>22</v>
      </c>
      <c r="B22" s="147">
        <v>2212</v>
      </c>
      <c r="C22" s="132" t="s">
        <v>111</v>
      </c>
      <c r="D22" s="152" t="e">
        <f>'DDM 02 - page 1'!D23</f>
        <v>#REF!</v>
      </c>
      <c r="E22" s="188">
        <v>0.0833</v>
      </c>
      <c r="F22" s="152" t="e">
        <f t="shared" si="2"/>
        <v>#REF!</v>
      </c>
      <c r="G22" s="152">
        <v>0</v>
      </c>
      <c r="H22" s="152" t="e">
        <f t="shared" si="3"/>
        <v>#REF!</v>
      </c>
      <c r="I22" s="152">
        <v>0</v>
      </c>
      <c r="J22" s="165" t="e">
        <f t="shared" si="4"/>
        <v>#REF!</v>
      </c>
      <c r="K22" s="149">
        <v>0.605</v>
      </c>
      <c r="L22" s="152" t="e">
        <f>ROUND(+J22*K22,2)</f>
        <v>#REF!</v>
      </c>
      <c r="M22"/>
      <c r="N22"/>
      <c r="O22"/>
    </row>
    <row r="23" spans="1:15" s="145" customFormat="1" ht="12.75">
      <c r="A23" s="134">
        <v>23</v>
      </c>
      <c r="B23" s="147">
        <v>2230</v>
      </c>
      <c r="C23" s="132" t="s">
        <v>112</v>
      </c>
      <c r="D23" s="152" t="e">
        <f>'DDM 02 - page 1'!D24</f>
        <v>#REF!</v>
      </c>
      <c r="E23" s="188">
        <v>0.125</v>
      </c>
      <c r="F23" s="152" t="e">
        <f t="shared" si="2"/>
        <v>#REF!</v>
      </c>
      <c r="G23" s="152">
        <v>0</v>
      </c>
      <c r="H23" s="152" t="e">
        <f t="shared" si="3"/>
        <v>#REF!</v>
      </c>
      <c r="I23" s="152">
        <v>0</v>
      </c>
      <c r="J23" s="165" t="e">
        <f t="shared" si="4"/>
        <v>#REF!</v>
      </c>
      <c r="K23" s="149">
        <v>0.605</v>
      </c>
      <c r="L23" s="152" t="e">
        <f>ROUND(+J23*K23,2)</f>
        <v>#REF!</v>
      </c>
      <c r="M23"/>
      <c r="N23"/>
      <c r="O23"/>
    </row>
    <row r="24" spans="1:15" s="145" customFormat="1" ht="12.75">
      <c r="A24" s="134">
        <v>24</v>
      </c>
      <c r="B24" s="147">
        <v>2231</v>
      </c>
      <c r="C24" s="132" t="s">
        <v>113</v>
      </c>
      <c r="D24" s="152">
        <f>'DDM 02 - page 1'!D25</f>
        <v>0</v>
      </c>
      <c r="E24" s="188">
        <v>0.125</v>
      </c>
      <c r="F24" s="152">
        <f t="shared" si="2"/>
        <v>0</v>
      </c>
      <c r="G24" s="152">
        <f>ROUND(+E24*F24,2)</f>
        <v>0</v>
      </c>
      <c r="H24" s="152">
        <f t="shared" si="3"/>
        <v>0</v>
      </c>
      <c r="I24" s="152">
        <v>0</v>
      </c>
      <c r="J24" s="165">
        <f t="shared" si="4"/>
        <v>0</v>
      </c>
      <c r="K24" s="149">
        <v>0.605</v>
      </c>
      <c r="L24" s="152">
        <f>ROUND(+J24*K24,2)</f>
        <v>0</v>
      </c>
      <c r="M24"/>
      <c r="N24"/>
      <c r="O24"/>
    </row>
    <row r="25" spans="1:15" s="145" customFormat="1" ht="12.75">
      <c r="A25" s="153">
        <v>25</v>
      </c>
      <c r="B25" s="147">
        <v>2232</v>
      </c>
      <c r="C25" s="132" t="s">
        <v>114</v>
      </c>
      <c r="D25" s="152" t="e">
        <f>'DDM 02 - page 1'!D26</f>
        <v>#REF!</v>
      </c>
      <c r="E25" s="188">
        <v>0.125</v>
      </c>
      <c r="F25" s="152" t="e">
        <f t="shared" si="2"/>
        <v>#REF!</v>
      </c>
      <c r="G25" s="152" t="e">
        <f>+D25-F25</f>
        <v>#REF!</v>
      </c>
      <c r="H25" s="152" t="e">
        <f t="shared" si="3"/>
        <v>#REF!</v>
      </c>
      <c r="I25" s="152" t="e">
        <f>-H25</f>
        <v>#REF!</v>
      </c>
      <c r="J25" s="165" t="e">
        <f t="shared" si="4"/>
        <v>#REF!</v>
      </c>
      <c r="K25" s="149">
        <v>0.605</v>
      </c>
      <c r="L25" s="152" t="e">
        <f>ROUND(+J25*K25,2)</f>
        <v>#REF!</v>
      </c>
      <c r="M25"/>
      <c r="N25"/>
      <c r="O25"/>
    </row>
    <row r="26" spans="1:15" s="145" customFormat="1" ht="12.75">
      <c r="A26" s="134">
        <v>26</v>
      </c>
      <c r="B26" s="147">
        <v>2362</v>
      </c>
      <c r="C26" s="132" t="s">
        <v>115</v>
      </c>
      <c r="D26" s="152">
        <f>'DDM 02 - page 1'!D27</f>
        <v>0</v>
      </c>
      <c r="E26" s="188">
        <v>0.2</v>
      </c>
      <c r="F26" s="167">
        <f t="shared" si="2"/>
        <v>0</v>
      </c>
      <c r="G26" s="167"/>
      <c r="H26" s="152">
        <f t="shared" si="3"/>
        <v>0</v>
      </c>
      <c r="I26" s="152">
        <v>0</v>
      </c>
      <c r="J26" s="165">
        <f t="shared" si="4"/>
        <v>0</v>
      </c>
      <c r="K26" s="149">
        <v>0.605</v>
      </c>
      <c r="L26" s="167">
        <v>0</v>
      </c>
      <c r="M26"/>
      <c r="N26"/>
      <c r="O26"/>
    </row>
    <row r="27" spans="1:15" s="145" customFormat="1" ht="12.75">
      <c r="A27" s="134">
        <v>27</v>
      </c>
      <c r="B27" s="133"/>
      <c r="C27" s="133" t="s">
        <v>108</v>
      </c>
      <c r="D27" s="191" t="e">
        <f>SUM(D21:D26)</f>
        <v>#REF!</v>
      </c>
      <c r="E27" s="191"/>
      <c r="F27" s="191" t="e">
        <f>SUM(F21:F26)</f>
        <v>#REF!</v>
      </c>
      <c r="G27" s="191" t="e">
        <f>SUM(G21:G26)</f>
        <v>#REF!</v>
      </c>
      <c r="H27" s="191" t="e">
        <f>SUM(H21:H26)</f>
        <v>#REF!</v>
      </c>
      <c r="I27" s="191" t="e">
        <f>SUM(I21:I26)</f>
        <v>#REF!</v>
      </c>
      <c r="J27" s="191" t="e">
        <f>SUM(J21:J26)</f>
        <v>#REF!</v>
      </c>
      <c r="K27" s="158"/>
      <c r="L27" s="191" t="e">
        <f>SUM(L21:L26)</f>
        <v>#REF!</v>
      </c>
      <c r="M27"/>
      <c r="N27"/>
      <c r="O27"/>
    </row>
    <row r="28" spans="1:15" s="145" customFormat="1" ht="12.75">
      <c r="A28" s="134">
        <v>28</v>
      </c>
      <c r="B28" s="133"/>
      <c r="C28" s="133"/>
      <c r="D28" s="162"/>
      <c r="E28" s="162"/>
      <c r="F28" s="162"/>
      <c r="G28" s="162"/>
      <c r="H28" s="162"/>
      <c r="I28" s="162"/>
      <c r="J28" s="162"/>
      <c r="K28" s="161"/>
      <c r="L28" s="162"/>
      <c r="M28"/>
      <c r="N28"/>
      <c r="O28"/>
    </row>
    <row r="29" spans="1:15" s="145" customFormat="1" ht="12.75">
      <c r="A29" s="134">
        <v>29</v>
      </c>
      <c r="B29" s="133"/>
      <c r="C29" s="146" t="s">
        <v>164</v>
      </c>
      <c r="D29" s="146"/>
      <c r="E29" s="146"/>
      <c r="F29" s="146"/>
      <c r="G29" s="146"/>
      <c r="H29" s="146"/>
      <c r="I29" s="146"/>
      <c r="J29" s="146"/>
      <c r="K29" s="163"/>
      <c r="L29" s="146"/>
      <c r="M29"/>
      <c r="N29"/>
      <c r="O29"/>
    </row>
    <row r="30" spans="1:15" s="145" customFormat="1" ht="12.75">
      <c r="A30" s="153">
        <v>30</v>
      </c>
      <c r="B30" s="147">
        <v>2411</v>
      </c>
      <c r="C30" s="132" t="s">
        <v>116</v>
      </c>
      <c r="D30" s="152">
        <f>'DDM 02 - page 1'!D30</f>
        <v>0</v>
      </c>
      <c r="E30" s="188">
        <v>0.1</v>
      </c>
      <c r="F30" s="152">
        <f aca="true" t="shared" si="5" ref="F30:F36">ROUND(+D30*E30,2)</f>
        <v>0</v>
      </c>
      <c r="G30" s="152">
        <v>0</v>
      </c>
      <c r="H30" s="152">
        <f aca="true" t="shared" si="6" ref="H30:H36">+F30+G30</f>
        <v>0</v>
      </c>
      <c r="I30" s="152">
        <v>0</v>
      </c>
      <c r="J30" s="165">
        <f aca="true" t="shared" si="7" ref="J30:J36">+H30+I30</f>
        <v>0</v>
      </c>
      <c r="K30" s="165"/>
      <c r="L30" s="152">
        <v>0</v>
      </c>
      <c r="M30"/>
      <c r="N30"/>
      <c r="O30"/>
    </row>
    <row r="31" spans="1:15" s="145" customFormat="1" ht="12.75">
      <c r="A31" s="134">
        <v>31</v>
      </c>
      <c r="B31" s="147">
        <v>2421</v>
      </c>
      <c r="C31" s="132" t="s">
        <v>117</v>
      </c>
      <c r="D31" s="152" t="e">
        <f>'DDM 02 - page 1'!D31</f>
        <v>#REF!</v>
      </c>
      <c r="E31" s="188">
        <v>0.1</v>
      </c>
      <c r="F31" s="152" t="e">
        <f t="shared" si="5"/>
        <v>#REF!</v>
      </c>
      <c r="G31" s="152" t="e">
        <f>+D31-F31</f>
        <v>#REF!</v>
      </c>
      <c r="H31" s="152" t="e">
        <f t="shared" si="6"/>
        <v>#REF!</v>
      </c>
      <c r="I31" s="152" t="e">
        <f>-H31</f>
        <v>#REF!</v>
      </c>
      <c r="J31" s="165" t="e">
        <f t="shared" si="7"/>
        <v>#REF!</v>
      </c>
      <c r="K31" s="149">
        <v>0.605</v>
      </c>
      <c r="L31" s="152" t="e">
        <f aca="true" t="shared" si="8" ref="L31:L36">ROUND(+J31*K31,2)</f>
        <v>#REF!</v>
      </c>
      <c r="M31"/>
      <c r="N31"/>
      <c r="O31"/>
    </row>
    <row r="32" spans="1:15" s="190" customFormat="1" ht="12.75">
      <c r="A32" s="134">
        <v>32</v>
      </c>
      <c r="B32" s="154">
        <v>2422</v>
      </c>
      <c r="C32" s="155" t="s">
        <v>118</v>
      </c>
      <c r="D32" s="152">
        <f>'DDM 02 - page 1'!D32</f>
        <v>0</v>
      </c>
      <c r="E32" s="188">
        <v>0.05</v>
      </c>
      <c r="F32" s="152">
        <f t="shared" si="5"/>
        <v>0</v>
      </c>
      <c r="G32" s="152">
        <f>ROUND(+E32*F32,2)</f>
        <v>0</v>
      </c>
      <c r="H32" s="152">
        <f t="shared" si="6"/>
        <v>0</v>
      </c>
      <c r="I32" s="152">
        <v>0</v>
      </c>
      <c r="J32" s="165">
        <f t="shared" si="7"/>
        <v>0</v>
      </c>
      <c r="K32" s="149">
        <v>0.605</v>
      </c>
      <c r="L32" s="152">
        <f t="shared" si="8"/>
        <v>0</v>
      </c>
      <c r="M32"/>
      <c r="N32"/>
      <c r="O32"/>
    </row>
    <row r="33" spans="1:15" s="190" customFormat="1" ht="12.75">
      <c r="A33" s="134">
        <v>33</v>
      </c>
      <c r="B33" s="154">
        <v>2423</v>
      </c>
      <c r="C33" s="155" t="s">
        <v>119</v>
      </c>
      <c r="D33" s="152" t="e">
        <f>'DDM 02 - page 1'!D33</f>
        <v>#REF!</v>
      </c>
      <c r="E33" s="188">
        <v>0.05</v>
      </c>
      <c r="F33" s="152" t="e">
        <f t="shared" si="5"/>
        <v>#REF!</v>
      </c>
      <c r="G33" s="152">
        <v>0</v>
      </c>
      <c r="H33" s="152" t="e">
        <f t="shared" si="6"/>
        <v>#REF!</v>
      </c>
      <c r="I33" s="152">
        <v>0</v>
      </c>
      <c r="J33" s="165" t="e">
        <f t="shared" si="7"/>
        <v>#REF!</v>
      </c>
      <c r="K33" s="149">
        <v>0.605</v>
      </c>
      <c r="L33" s="152" t="e">
        <f t="shared" si="8"/>
        <v>#REF!</v>
      </c>
      <c r="M33"/>
      <c r="N33"/>
      <c r="O33"/>
    </row>
    <row r="34" spans="1:15" s="190" customFormat="1" ht="12.75">
      <c r="A34" s="134">
        <v>34</v>
      </c>
      <c r="B34" s="154">
        <v>2426</v>
      </c>
      <c r="C34" s="155" t="s">
        <v>120</v>
      </c>
      <c r="D34" s="152">
        <f>'DDM 02 - page 1'!D34</f>
        <v>0</v>
      </c>
      <c r="E34" s="188">
        <v>0.05</v>
      </c>
      <c r="F34" s="152">
        <f t="shared" si="5"/>
        <v>0</v>
      </c>
      <c r="G34" s="152">
        <f>ROUND(+E34*F34,2)</f>
        <v>0</v>
      </c>
      <c r="H34" s="152">
        <f t="shared" si="6"/>
        <v>0</v>
      </c>
      <c r="I34" s="152">
        <v>0</v>
      </c>
      <c r="J34" s="165">
        <f t="shared" si="7"/>
        <v>0</v>
      </c>
      <c r="K34" s="149">
        <v>0.605</v>
      </c>
      <c r="L34" s="152">
        <f t="shared" si="8"/>
        <v>0</v>
      </c>
      <c r="M34"/>
      <c r="N34"/>
      <c r="O34"/>
    </row>
    <row r="35" spans="1:15" s="190" customFormat="1" ht="12.75">
      <c r="A35" s="153">
        <v>35</v>
      </c>
      <c r="B35" s="154">
        <v>2431</v>
      </c>
      <c r="C35" s="155" t="s">
        <v>121</v>
      </c>
      <c r="D35" s="152">
        <f>'DDM 02 - page 1'!D35</f>
        <v>0</v>
      </c>
      <c r="E35" s="188">
        <v>0.1</v>
      </c>
      <c r="F35" s="152">
        <f t="shared" si="5"/>
        <v>0</v>
      </c>
      <c r="G35" s="152">
        <f>ROUND(+E35*F35,2)</f>
        <v>0</v>
      </c>
      <c r="H35" s="152">
        <f t="shared" si="6"/>
        <v>0</v>
      </c>
      <c r="I35" s="152">
        <v>0</v>
      </c>
      <c r="J35" s="165">
        <f t="shared" si="7"/>
        <v>0</v>
      </c>
      <c r="K35" s="149">
        <v>0.605</v>
      </c>
      <c r="L35" s="152">
        <f t="shared" si="8"/>
        <v>0</v>
      </c>
      <c r="M35"/>
      <c r="N35"/>
      <c r="O35"/>
    </row>
    <row r="36" spans="1:15" s="190" customFormat="1" ht="12.75">
      <c r="A36" s="134">
        <v>36</v>
      </c>
      <c r="B36" s="154">
        <v>2441</v>
      </c>
      <c r="C36" s="155" t="s">
        <v>122</v>
      </c>
      <c r="D36" s="152">
        <f>'DDM 02 - page 1'!D36</f>
        <v>0</v>
      </c>
      <c r="E36" s="188">
        <v>0.0333</v>
      </c>
      <c r="F36" s="152">
        <f t="shared" si="5"/>
        <v>0</v>
      </c>
      <c r="G36" s="152">
        <f>ROUND(+E36*F36,2)</f>
        <v>0</v>
      </c>
      <c r="H36" s="152">
        <f t="shared" si="6"/>
        <v>0</v>
      </c>
      <c r="I36" s="152">
        <v>0</v>
      </c>
      <c r="J36" s="165">
        <f t="shared" si="7"/>
        <v>0</v>
      </c>
      <c r="K36" s="149">
        <v>0.605</v>
      </c>
      <c r="L36" s="152">
        <f t="shared" si="8"/>
        <v>0</v>
      </c>
      <c r="M36"/>
      <c r="N36"/>
      <c r="O36"/>
    </row>
    <row r="37" spans="1:15" s="145" customFormat="1" ht="17.25" customHeight="1">
      <c r="A37" s="134">
        <v>37</v>
      </c>
      <c r="B37" s="133"/>
      <c r="C37" s="133" t="s">
        <v>108</v>
      </c>
      <c r="D37" s="191" t="e">
        <f>SUM(D30:D36)</f>
        <v>#REF!</v>
      </c>
      <c r="E37" s="191"/>
      <c r="F37" s="191" t="e">
        <f>SUM(F30:F36)</f>
        <v>#REF!</v>
      </c>
      <c r="G37" s="191" t="e">
        <f>SUM(G30:G36)</f>
        <v>#REF!</v>
      </c>
      <c r="H37" s="191" t="e">
        <f>SUM(H30:H36)</f>
        <v>#REF!</v>
      </c>
      <c r="I37" s="191" t="e">
        <f>SUM(I30:I36)</f>
        <v>#REF!</v>
      </c>
      <c r="J37" s="191" t="e">
        <f>SUM(J30:J36)</f>
        <v>#REF!</v>
      </c>
      <c r="K37" s="158"/>
      <c r="L37" s="191" t="e">
        <f>SUM(L30:L36)</f>
        <v>#REF!</v>
      </c>
      <c r="M37"/>
      <c r="N37"/>
      <c r="O37"/>
    </row>
    <row r="38" spans="1:15" s="145" customFormat="1" ht="24.75" customHeight="1" thickBot="1">
      <c r="A38" s="134">
        <v>38</v>
      </c>
      <c r="B38" s="133"/>
      <c r="C38" s="133" t="s">
        <v>123</v>
      </c>
      <c r="D38" s="170" t="e">
        <f>D19+D27+D37</f>
        <v>#REF!</v>
      </c>
      <c r="E38" s="170"/>
      <c r="F38" s="170" t="e">
        <f>F19+F27+F37</f>
        <v>#REF!</v>
      </c>
      <c r="G38" s="192" t="e">
        <f>G19+G27+G37</f>
        <v>#REF!</v>
      </c>
      <c r="H38" s="192" t="e">
        <f>H19+H27+H37</f>
        <v>#REF!</v>
      </c>
      <c r="I38" s="192" t="e">
        <f>I19+I27+I37</f>
        <v>#REF!</v>
      </c>
      <c r="J38" s="170" t="e">
        <f>J19+J27+J37</f>
        <v>#REF!</v>
      </c>
      <c r="K38" s="170"/>
      <c r="L38" s="170" t="e">
        <f>L19+L27+L37</f>
        <v>#REF!</v>
      </c>
      <c r="M38"/>
      <c r="N38"/>
      <c r="O38"/>
    </row>
    <row r="39" spans="1:15" s="145" customFormat="1" ht="24.75" customHeight="1" thickTop="1">
      <c r="A39" s="134">
        <v>39</v>
      </c>
      <c r="B39" s="133"/>
      <c r="C39" s="133" t="s">
        <v>165</v>
      </c>
      <c r="D39" s="193"/>
      <c r="E39" s="193"/>
      <c r="F39" s="193"/>
      <c r="G39" s="193"/>
      <c r="H39" s="193" t="e">
        <f>-H38</f>
        <v>#REF!</v>
      </c>
      <c r="I39" s="193"/>
      <c r="J39" s="193"/>
      <c r="K39" s="193"/>
      <c r="L39" s="193"/>
      <c r="M39"/>
      <c r="N39"/>
      <c r="O39"/>
    </row>
    <row r="40" spans="1:15" s="145" customFormat="1" ht="16.5" customHeight="1">
      <c r="A40" s="134">
        <v>40</v>
      </c>
      <c r="B40" s="133"/>
      <c r="C40" s="133"/>
      <c r="D40" s="193"/>
      <c r="E40" s="193"/>
      <c r="F40" s="193"/>
      <c r="G40" s="463" t="s">
        <v>166</v>
      </c>
      <c r="H40" s="463"/>
      <c r="I40" s="463"/>
      <c r="J40" s="193"/>
      <c r="K40" s="193"/>
      <c r="L40" s="193"/>
      <c r="M40"/>
      <c r="N40"/>
      <c r="O40"/>
    </row>
    <row r="41" spans="1:15" s="145" customFormat="1" ht="16.5" customHeight="1">
      <c r="A41" s="145">
        <v>41</v>
      </c>
      <c r="B41" s="133"/>
      <c r="C41" s="133"/>
      <c r="D41" s="193"/>
      <c r="E41" s="193"/>
      <c r="F41" s="193"/>
      <c r="G41" s="193"/>
      <c r="H41" s="193"/>
      <c r="I41" s="193"/>
      <c r="J41" s="193"/>
      <c r="K41" s="193"/>
      <c r="L41" s="193"/>
      <c r="M41"/>
      <c r="N41"/>
      <c r="O41"/>
    </row>
    <row r="42" spans="1:15" s="145" customFormat="1" ht="12.75">
      <c r="A42" s="145">
        <v>42</v>
      </c>
      <c r="B42" s="194"/>
      <c r="C42" s="145" t="s">
        <v>167</v>
      </c>
      <c r="H42" s="195">
        <v>0.6277</v>
      </c>
      <c r="M42"/>
      <c r="N42"/>
      <c r="O42"/>
    </row>
    <row r="43" spans="1:15" s="145" customFormat="1" ht="12.75">
      <c r="A43" s="134">
        <v>43</v>
      </c>
      <c r="B43" s="194"/>
      <c r="M43"/>
      <c r="N43"/>
      <c r="O43"/>
    </row>
    <row r="44" spans="1:8" ht="13.5" thickBot="1">
      <c r="A44" s="134">
        <v>44</v>
      </c>
      <c r="C44" t="s">
        <v>168</v>
      </c>
      <c r="H44" s="170" t="e">
        <f>ROUND(+H39*H42,0)</f>
        <v>#REF!</v>
      </c>
    </row>
    <row r="45" spans="7:9" ht="13.5" thickTop="1">
      <c r="G45" s="463" t="s">
        <v>166</v>
      </c>
      <c r="H45" s="463"/>
      <c r="I45" s="463"/>
    </row>
    <row r="78" spans="2:15" s="145" customFormat="1" ht="12.75">
      <c r="B78" s="194"/>
      <c r="M78"/>
      <c r="N78"/>
      <c r="O78"/>
    </row>
    <row r="79" spans="2:15" s="145" customFormat="1" ht="12.75">
      <c r="B79" s="194"/>
      <c r="M79"/>
      <c r="N79"/>
      <c r="O79"/>
    </row>
    <row r="80" spans="2:15" s="145" customFormat="1" ht="12.75">
      <c r="B80" s="194"/>
      <c r="M80"/>
      <c r="N80"/>
      <c r="O80"/>
    </row>
    <row r="81" spans="2:15" s="145" customFormat="1" ht="12.75">
      <c r="B81" s="194"/>
      <c r="M81"/>
      <c r="N81"/>
      <c r="O81"/>
    </row>
    <row r="82" spans="2:15" s="145" customFormat="1" ht="12.75">
      <c r="B82" s="194"/>
      <c r="M82"/>
      <c r="N82"/>
      <c r="O82"/>
    </row>
    <row r="83" spans="2:15" s="145" customFormat="1" ht="12.75">
      <c r="B83" s="194"/>
      <c r="M83"/>
      <c r="N83"/>
      <c r="O83"/>
    </row>
    <row r="84" spans="2:15" s="145" customFormat="1" ht="12.75">
      <c r="B84" s="194"/>
      <c r="M84"/>
      <c r="N84"/>
      <c r="O84"/>
    </row>
    <row r="85" spans="2:15" s="145" customFormat="1" ht="12.75">
      <c r="B85" s="194"/>
      <c r="M85"/>
      <c r="N85"/>
      <c r="O85"/>
    </row>
    <row r="86" spans="2:15" s="145" customFormat="1" ht="12.75">
      <c r="B86" s="194"/>
      <c r="M86"/>
      <c r="N86"/>
      <c r="O86"/>
    </row>
    <row r="87" spans="1:12" ht="12.75">
      <c r="A87" s="145"/>
      <c r="B87" s="194"/>
      <c r="C87" s="145"/>
      <c r="D87" s="145"/>
      <c r="E87" s="145"/>
      <c r="F87" s="145"/>
      <c r="G87" s="145"/>
      <c r="H87" s="145"/>
      <c r="I87" s="145"/>
      <c r="J87" s="145"/>
      <c r="K87" s="145"/>
      <c r="L87" s="145"/>
    </row>
    <row r="88" spans="1:2" ht="12.75">
      <c r="A88" s="145"/>
      <c r="B88" s="176"/>
    </row>
    <row r="89" spans="1:2" ht="12.75">
      <c r="A89" s="145"/>
      <c r="B89" s="176"/>
    </row>
    <row r="90" spans="1:2" ht="12.75">
      <c r="A90" s="145"/>
      <c r="B90" s="176"/>
    </row>
    <row r="91" spans="1:2" ht="12.75">
      <c r="A91" s="145"/>
      <c r="B91" s="176"/>
    </row>
    <row r="92" spans="1:2" ht="12.75">
      <c r="A92" s="145"/>
      <c r="B92" s="176"/>
    </row>
    <row r="93" spans="1:2" ht="12.75">
      <c r="A93" s="145"/>
      <c r="B93" s="176"/>
    </row>
    <row r="94" ht="12.75">
      <c r="B94" s="176"/>
    </row>
    <row r="95" ht="12.75">
      <c r="B95" s="176"/>
    </row>
    <row r="96" ht="12.75">
      <c r="B96" s="176"/>
    </row>
    <row r="97" ht="12.75">
      <c r="B97" s="176"/>
    </row>
    <row r="98" ht="12.75">
      <c r="B98" s="176"/>
    </row>
    <row r="99" ht="12.75">
      <c r="B99" s="176"/>
    </row>
    <row r="100" ht="12.75">
      <c r="B100" s="176"/>
    </row>
    <row r="101" ht="12.75">
      <c r="B101" s="176"/>
    </row>
    <row r="102" ht="12.75">
      <c r="B102" s="176"/>
    </row>
    <row r="103" ht="12.75">
      <c r="B103" s="176"/>
    </row>
    <row r="104" ht="12.75">
      <c r="B104" s="176"/>
    </row>
    <row r="105" ht="12.75">
      <c r="B105" s="176"/>
    </row>
    <row r="106" ht="12.75">
      <c r="B106" s="176"/>
    </row>
  </sheetData>
  <mergeCells count="3">
    <mergeCell ref="D5:L5"/>
    <mergeCell ref="G40:I40"/>
    <mergeCell ref="G45:I45"/>
  </mergeCells>
  <printOptions horizontalCentered="1"/>
  <pageMargins left="0" right="0" top="0.47" bottom="0.44" header="0.24" footer="0.25"/>
  <pageSetup fitToHeight="1" fitToWidth="1" horizontalDpi="600" verticalDpi="600" orientation="landscape" scale="63" r:id="rId2"/>
  <drawing r:id="rId1"/>
</worksheet>
</file>

<file path=xl/worksheets/sheet4.xml><?xml version="1.0" encoding="utf-8"?>
<worksheet xmlns="http://schemas.openxmlformats.org/spreadsheetml/2006/main" xmlns:r="http://schemas.openxmlformats.org/officeDocument/2006/relationships">
  <sheetPr>
    <tabColor indexed="12"/>
  </sheetPr>
  <dimension ref="A1:BA86"/>
  <sheetViews>
    <sheetView workbookViewId="0" topLeftCell="A1">
      <selection activeCell="C19" sqref="C19"/>
    </sheetView>
  </sheetViews>
  <sheetFormatPr defaultColWidth="9.140625" defaultRowHeight="12.75"/>
  <cols>
    <col min="1" max="1" width="5.140625" style="198" customWidth="1"/>
    <col min="2" max="2" width="31.8515625" style="198" customWidth="1"/>
    <col min="3" max="3" width="11.140625" style="198" hidden="1" customWidth="1"/>
    <col min="4" max="4" width="6.8515625" style="198" hidden="1" customWidth="1"/>
    <col min="5" max="5" width="7.28125" style="198" bestFit="1" customWidth="1"/>
    <col min="6" max="6" width="13.140625" style="198" bestFit="1" customWidth="1"/>
    <col min="7" max="7" width="15.421875" style="198" customWidth="1"/>
    <col min="8" max="9" width="13.140625" style="198" bestFit="1" customWidth="1"/>
    <col min="10" max="10" width="14.57421875" style="198" bestFit="1" customWidth="1"/>
    <col min="11" max="11" width="15.421875" style="198" customWidth="1"/>
    <col min="12" max="13" width="13.140625" style="198" bestFit="1" customWidth="1"/>
    <col min="14" max="14" width="14.57421875" style="222" bestFit="1" customWidth="1"/>
    <col min="15" max="15" width="15.421875" style="198" bestFit="1" customWidth="1"/>
    <col min="16" max="18" width="13.140625" style="198" bestFit="1" customWidth="1"/>
    <col min="19" max="19" width="14.8515625" style="198" bestFit="1" customWidth="1"/>
    <col min="20" max="20" width="19.140625" style="198" bestFit="1" customWidth="1"/>
    <col min="21" max="21" width="18.140625" style="198" customWidth="1"/>
    <col min="22" max="22" width="23.57421875" style="222" bestFit="1" customWidth="1"/>
    <col min="23" max="23" width="15.421875" style="0" customWidth="1"/>
    <col min="24" max="24" width="17.00390625" style="0" customWidth="1"/>
    <col min="25" max="25" width="4.421875" style="0" customWidth="1"/>
    <col min="26" max="53" width="11.421875" style="0" customWidth="1"/>
    <col min="54" max="16384" width="11.421875" style="198" customWidth="1"/>
  </cols>
  <sheetData>
    <row r="1" spans="1:53" ht="18.75">
      <c r="A1" s="196">
        <v>1</v>
      </c>
      <c r="B1" s="464" t="s">
        <v>0</v>
      </c>
      <c r="C1" s="464"/>
      <c r="D1" s="464"/>
      <c r="E1" s="464"/>
      <c r="J1" s="199"/>
      <c r="K1" s="200"/>
      <c r="L1" s="201"/>
      <c r="M1" s="201"/>
      <c r="N1" s="202"/>
      <c r="O1" s="201"/>
      <c r="P1" s="201"/>
      <c r="Q1" s="201"/>
      <c r="R1" s="199" t="s">
        <v>169</v>
      </c>
      <c r="S1" s="199"/>
      <c r="T1"/>
      <c r="U1"/>
      <c r="V1" s="203" t="s">
        <v>170</v>
      </c>
      <c r="AY1" s="198"/>
      <c r="AZ1" s="198"/>
      <c r="BA1" s="198"/>
    </row>
    <row r="2" spans="1:53" ht="18.75">
      <c r="A2" s="196">
        <v>2</v>
      </c>
      <c r="B2" s="197" t="s">
        <v>171</v>
      </c>
      <c r="C2" s="204"/>
      <c r="D2" s="205"/>
      <c r="E2" s="205"/>
      <c r="J2" s="199"/>
      <c r="K2" s="199"/>
      <c r="L2" s="199"/>
      <c r="M2" s="199"/>
      <c r="N2" s="206"/>
      <c r="O2" s="199"/>
      <c r="P2" s="199"/>
      <c r="Q2" s="199"/>
      <c r="R2" s="199"/>
      <c r="S2" s="199"/>
      <c r="T2"/>
      <c r="U2"/>
      <c r="V2"/>
      <c r="AY2" s="198"/>
      <c r="AZ2" s="198"/>
      <c r="BA2" s="198"/>
    </row>
    <row r="3" spans="1:22" ht="18.75">
      <c r="A3" s="196">
        <v>6</v>
      </c>
      <c r="C3" s="199"/>
      <c r="D3" s="199"/>
      <c r="E3" s="199"/>
      <c r="F3" s="199"/>
      <c r="G3" s="199"/>
      <c r="H3" s="199"/>
      <c r="I3" s="199"/>
      <c r="J3" s="199"/>
      <c r="K3" s="199"/>
      <c r="L3" s="199"/>
      <c r="M3" s="199"/>
      <c r="N3" s="206"/>
      <c r="O3" s="199"/>
      <c r="P3" s="199"/>
      <c r="Q3" s="199"/>
      <c r="R3" s="199"/>
      <c r="S3" s="455" t="s">
        <v>172</v>
      </c>
      <c r="T3" s="465"/>
      <c r="U3" s="465"/>
      <c r="V3" s="466"/>
    </row>
    <row r="4" spans="1:22" ht="18.75">
      <c r="A4" s="207">
        <v>7</v>
      </c>
      <c r="B4" s="470" t="s">
        <v>173</v>
      </c>
      <c r="C4" s="471"/>
      <c r="D4" s="472"/>
      <c r="E4" s="208" t="s">
        <v>174</v>
      </c>
      <c r="F4" s="209" t="s">
        <v>93</v>
      </c>
      <c r="G4" s="210" t="s">
        <v>126</v>
      </c>
      <c r="H4" s="210" t="s">
        <v>175</v>
      </c>
      <c r="I4" s="210" t="s">
        <v>176</v>
      </c>
      <c r="J4" s="210" t="s">
        <v>177</v>
      </c>
      <c r="K4" s="210" t="s">
        <v>178</v>
      </c>
      <c r="L4" s="210" t="s">
        <v>179</v>
      </c>
      <c r="M4" s="210" t="s">
        <v>180</v>
      </c>
      <c r="N4" s="211" t="s">
        <v>181</v>
      </c>
      <c r="O4" s="210" t="s">
        <v>182</v>
      </c>
      <c r="P4" s="210" t="s">
        <v>183</v>
      </c>
      <c r="Q4" s="210" t="s">
        <v>184</v>
      </c>
      <c r="R4" s="210" t="s">
        <v>185</v>
      </c>
      <c r="S4" s="212" t="s">
        <v>186</v>
      </c>
      <c r="T4" s="212" t="s">
        <v>187</v>
      </c>
      <c r="U4" s="213" t="s">
        <v>188</v>
      </c>
      <c r="V4" s="212"/>
    </row>
    <row r="5" spans="1:22" ht="18.75">
      <c r="A5" s="207">
        <v>8</v>
      </c>
      <c r="B5" s="476"/>
      <c r="C5" s="477"/>
      <c r="D5" s="475"/>
      <c r="E5" s="214" t="s">
        <v>189</v>
      </c>
      <c r="F5" s="215"/>
      <c r="G5" s="216"/>
      <c r="H5" s="216"/>
      <c r="I5" s="216"/>
      <c r="J5" s="216"/>
      <c r="K5" s="216"/>
      <c r="L5" s="216"/>
      <c r="M5" s="216"/>
      <c r="N5" s="217"/>
      <c r="O5" s="216"/>
      <c r="P5" s="216"/>
      <c r="Q5" s="216"/>
      <c r="R5" s="216"/>
      <c r="S5" s="218" t="s">
        <v>145</v>
      </c>
      <c r="T5" s="218" t="s">
        <v>190</v>
      </c>
      <c r="U5" s="219" t="s">
        <v>191</v>
      </c>
      <c r="V5" s="218" t="s">
        <v>192</v>
      </c>
    </row>
    <row r="6" spans="1:21" ht="18.75">
      <c r="A6" s="196">
        <v>9</v>
      </c>
      <c r="B6" s="220" t="s">
        <v>193</v>
      </c>
      <c r="C6" s="221"/>
      <c r="D6" s="221"/>
      <c r="E6" s="221"/>
      <c r="T6" s="223"/>
      <c r="U6" s="224"/>
    </row>
    <row r="7" spans="1:22" ht="15.75">
      <c r="A7" s="196">
        <v>10</v>
      </c>
      <c r="B7" s="225" t="s">
        <v>194</v>
      </c>
      <c r="C7" s="225"/>
      <c r="D7" s="225"/>
      <c r="E7" s="226"/>
      <c r="F7" s="198">
        <v>2210</v>
      </c>
      <c r="G7" s="227">
        <v>0</v>
      </c>
      <c r="H7" s="227">
        <v>0</v>
      </c>
      <c r="I7" s="227">
        <v>0</v>
      </c>
      <c r="J7" s="227">
        <v>0</v>
      </c>
      <c r="K7" s="227">
        <v>0</v>
      </c>
      <c r="L7" s="227">
        <v>0</v>
      </c>
      <c r="M7" s="227">
        <v>0</v>
      </c>
      <c r="N7" s="228">
        <v>0</v>
      </c>
      <c r="O7" s="227">
        <v>0</v>
      </c>
      <c r="P7" s="227">
        <v>0</v>
      </c>
      <c r="Q7" s="227">
        <v>0</v>
      </c>
      <c r="R7" s="227">
        <v>0</v>
      </c>
      <c r="S7" s="229"/>
      <c r="T7" s="230"/>
      <c r="U7" s="229"/>
      <c r="V7" s="231"/>
    </row>
    <row r="8" spans="1:22" ht="15.75">
      <c r="A8" s="196">
        <v>11</v>
      </c>
      <c r="B8" s="232" t="s">
        <v>195</v>
      </c>
      <c r="C8" s="225"/>
      <c r="D8" s="225"/>
      <c r="E8" s="233">
        <v>0.125</v>
      </c>
      <c r="F8" s="198">
        <v>3210</v>
      </c>
      <c r="G8" s="229">
        <f aca="true" t="shared" si="0" ref="G8:R8">ROUND(((G7*$E8)/12),2)</f>
        <v>0</v>
      </c>
      <c r="H8" s="234">
        <f t="shared" si="0"/>
        <v>0</v>
      </c>
      <c r="I8" s="234">
        <f t="shared" si="0"/>
        <v>0</v>
      </c>
      <c r="J8" s="234">
        <f t="shared" si="0"/>
        <v>0</v>
      </c>
      <c r="K8" s="234">
        <f t="shared" si="0"/>
        <v>0</v>
      </c>
      <c r="L8" s="234">
        <f t="shared" si="0"/>
        <v>0</v>
      </c>
      <c r="M8" s="234">
        <f t="shared" si="0"/>
        <v>0</v>
      </c>
      <c r="N8" s="234">
        <f t="shared" si="0"/>
        <v>0</v>
      </c>
      <c r="O8" s="234">
        <f t="shared" si="0"/>
        <v>0</v>
      </c>
      <c r="P8" s="234">
        <f t="shared" si="0"/>
        <v>0</v>
      </c>
      <c r="Q8" s="234">
        <f t="shared" si="0"/>
        <v>0</v>
      </c>
      <c r="R8" s="234">
        <f t="shared" si="0"/>
        <v>0</v>
      </c>
      <c r="S8" s="229">
        <f>SUM(G8:R8)</f>
        <v>0</v>
      </c>
      <c r="T8" s="234">
        <v>0</v>
      </c>
      <c r="U8" s="229">
        <f>SUM(Z8:AK8)</f>
        <v>0</v>
      </c>
      <c r="V8" s="234">
        <f>SUM(S8:U8)</f>
        <v>0</v>
      </c>
    </row>
    <row r="9" spans="1:22" ht="15.75">
      <c r="A9" s="196">
        <v>12</v>
      </c>
      <c r="B9" s="232" t="s">
        <v>111</v>
      </c>
      <c r="E9" s="235"/>
      <c r="F9" s="198">
        <v>2212</v>
      </c>
      <c r="G9" s="227">
        <v>0</v>
      </c>
      <c r="H9" s="227">
        <v>0</v>
      </c>
      <c r="I9" s="227">
        <v>0</v>
      </c>
      <c r="J9" s="227">
        <v>4773444.58</v>
      </c>
      <c r="K9" s="227">
        <v>4773444.58</v>
      </c>
      <c r="L9" s="227">
        <v>4773444.58</v>
      </c>
      <c r="M9" s="227">
        <v>4773444.58</v>
      </c>
      <c r="N9" s="228">
        <v>4773444.58</v>
      </c>
      <c r="O9" s="227">
        <v>4773444.58</v>
      </c>
      <c r="P9" s="227">
        <v>4773444.58</v>
      </c>
      <c r="Q9" s="227">
        <v>4773444.58</v>
      </c>
      <c r="R9" s="227">
        <f>4773444.58+2991.3</f>
        <v>4776435.88</v>
      </c>
      <c r="S9" s="229"/>
      <c r="T9" s="234"/>
      <c r="U9" s="229"/>
      <c r="V9" s="231"/>
    </row>
    <row r="10" spans="1:53" s="222" customFormat="1" ht="15.75">
      <c r="A10" s="207">
        <v>13</v>
      </c>
      <c r="B10" s="236" t="s">
        <v>195</v>
      </c>
      <c r="E10" s="237">
        <v>0.125</v>
      </c>
      <c r="F10" s="222">
        <v>3212</v>
      </c>
      <c r="G10" s="234">
        <f aca="true" t="shared" si="1" ref="G10:R10">ROUND(((G9*$E10)/12),2)</f>
        <v>0</v>
      </c>
      <c r="H10" s="234">
        <f t="shared" si="1"/>
        <v>0</v>
      </c>
      <c r="I10" s="234">
        <f t="shared" si="1"/>
        <v>0</v>
      </c>
      <c r="J10" s="234">
        <f t="shared" si="1"/>
        <v>49723.38</v>
      </c>
      <c r="K10" s="234">
        <f t="shared" si="1"/>
        <v>49723.38</v>
      </c>
      <c r="L10" s="234">
        <f t="shared" si="1"/>
        <v>49723.38</v>
      </c>
      <c r="M10" s="234">
        <f t="shared" si="1"/>
        <v>49723.38</v>
      </c>
      <c r="N10" s="234">
        <f t="shared" si="1"/>
        <v>49723.38</v>
      </c>
      <c r="O10" s="234">
        <f t="shared" si="1"/>
        <v>49723.38</v>
      </c>
      <c r="P10" s="234">
        <f t="shared" si="1"/>
        <v>49723.38</v>
      </c>
      <c r="Q10" s="234">
        <f t="shared" si="1"/>
        <v>49723.38</v>
      </c>
      <c r="R10" s="234">
        <f t="shared" si="1"/>
        <v>49754.54</v>
      </c>
      <c r="S10" s="238">
        <f>SUM(G10:R10)</f>
        <v>447541.57999999996</v>
      </c>
      <c r="T10" s="234">
        <v>1486981.33</v>
      </c>
      <c r="U10" s="234">
        <v>0</v>
      </c>
      <c r="V10" s="238">
        <f>SUM(S10:U10)</f>
        <v>1934522.9100000001</v>
      </c>
      <c r="W10"/>
      <c r="X10"/>
      <c r="Y10"/>
      <c r="Z10"/>
      <c r="AA10"/>
      <c r="AB10"/>
      <c r="AC10"/>
      <c r="AD10"/>
      <c r="AE10"/>
      <c r="AF10"/>
      <c r="AG10"/>
      <c r="AH10"/>
      <c r="AI10"/>
      <c r="AJ10"/>
      <c r="AK10"/>
      <c r="AL10"/>
      <c r="AM10"/>
      <c r="AN10"/>
      <c r="AO10"/>
      <c r="AP10"/>
      <c r="AQ10"/>
      <c r="AR10"/>
      <c r="AS10"/>
      <c r="AT10"/>
      <c r="AU10"/>
      <c r="AV10"/>
      <c r="AW10"/>
      <c r="AX10"/>
      <c r="AY10"/>
      <c r="AZ10"/>
      <c r="BA10"/>
    </row>
    <row r="11" spans="1:22" ht="15.75">
      <c r="A11" s="207">
        <v>14</v>
      </c>
      <c r="B11" s="235" t="s">
        <v>196</v>
      </c>
      <c r="E11" s="235"/>
      <c r="G11" s="229"/>
      <c r="H11" s="229"/>
      <c r="I11" s="229"/>
      <c r="J11" s="229"/>
      <c r="K11" s="229"/>
      <c r="L11" s="229"/>
      <c r="M11" s="229"/>
      <c r="N11" s="234"/>
      <c r="O11" s="229"/>
      <c r="P11" s="229"/>
      <c r="Q11" s="229"/>
      <c r="R11" s="229"/>
      <c r="S11" s="239">
        <f>+S8+S10</f>
        <v>447541.57999999996</v>
      </c>
      <c r="T11" s="234"/>
      <c r="U11" s="229"/>
      <c r="V11" s="239">
        <f>+V8+V10</f>
        <v>1934522.9100000001</v>
      </c>
    </row>
    <row r="12" spans="1:22" ht="15.75">
      <c r="A12" s="196">
        <v>15</v>
      </c>
      <c r="E12" s="235"/>
      <c r="G12" s="229"/>
      <c r="H12" s="229"/>
      <c r="I12" s="229"/>
      <c r="J12" s="229"/>
      <c r="K12" s="229"/>
      <c r="L12" s="229"/>
      <c r="M12" s="229"/>
      <c r="N12" s="234"/>
      <c r="O12" s="229"/>
      <c r="P12" s="229"/>
      <c r="Q12" s="229"/>
      <c r="R12" s="229"/>
      <c r="S12" s="234"/>
      <c r="T12" s="234"/>
      <c r="U12" s="229"/>
      <c r="V12" s="234"/>
    </row>
    <row r="13" spans="1:22" ht="15.75">
      <c r="A13" s="196">
        <v>16</v>
      </c>
      <c r="B13" s="220" t="s">
        <v>197</v>
      </c>
      <c r="C13" s="221"/>
      <c r="D13" s="221"/>
      <c r="E13" s="240"/>
      <c r="G13" s="229"/>
      <c r="H13" s="229"/>
      <c r="I13" s="229"/>
      <c r="J13" s="229"/>
      <c r="K13" s="229"/>
      <c r="L13" s="229"/>
      <c r="M13" s="229"/>
      <c r="N13" s="234"/>
      <c r="O13" s="229"/>
      <c r="P13" s="229"/>
      <c r="Q13" s="229"/>
      <c r="R13" s="229"/>
      <c r="S13" s="229"/>
      <c r="T13" s="234"/>
      <c r="U13" s="229"/>
      <c r="V13" s="234"/>
    </row>
    <row r="14" spans="1:22" ht="15.75">
      <c r="A14" s="196">
        <v>17</v>
      </c>
      <c r="B14" s="232" t="s">
        <v>111</v>
      </c>
      <c r="E14" s="235"/>
      <c r="F14" s="198">
        <v>2212</v>
      </c>
      <c r="G14" s="229">
        <f aca="true" t="shared" si="2" ref="G14:R14">+G7+G9</f>
        <v>0</v>
      </c>
      <c r="H14" s="229">
        <f t="shared" si="2"/>
        <v>0</v>
      </c>
      <c r="I14" s="229">
        <f t="shared" si="2"/>
        <v>0</v>
      </c>
      <c r="J14" s="229">
        <f t="shared" si="2"/>
        <v>4773444.58</v>
      </c>
      <c r="K14" s="229">
        <f t="shared" si="2"/>
        <v>4773444.58</v>
      </c>
      <c r="L14" s="229">
        <f t="shared" si="2"/>
        <v>4773444.58</v>
      </c>
      <c r="M14" s="229">
        <f t="shared" si="2"/>
        <v>4773444.58</v>
      </c>
      <c r="N14" s="229">
        <f t="shared" si="2"/>
        <v>4773444.58</v>
      </c>
      <c r="O14" s="229">
        <f t="shared" si="2"/>
        <v>4773444.58</v>
      </c>
      <c r="P14" s="229">
        <f t="shared" si="2"/>
        <v>4773444.58</v>
      </c>
      <c r="Q14" s="229">
        <f t="shared" si="2"/>
        <v>4773444.58</v>
      </c>
      <c r="R14" s="229">
        <f t="shared" si="2"/>
        <v>4776435.88</v>
      </c>
      <c r="S14" s="229"/>
      <c r="T14" s="234"/>
      <c r="U14" s="229"/>
      <c r="V14" s="234"/>
    </row>
    <row r="15" spans="1:23" ht="15.75">
      <c r="A15" s="196">
        <v>18</v>
      </c>
      <c r="B15" s="235" t="s">
        <v>198</v>
      </c>
      <c r="E15" s="237">
        <v>0.0833</v>
      </c>
      <c r="F15" s="222">
        <v>3212</v>
      </c>
      <c r="G15" s="234">
        <f aca="true" t="shared" si="3" ref="G15:R15">ROUND(((G14*$E15)/12),2)</f>
        <v>0</v>
      </c>
      <c r="H15" s="234">
        <f t="shared" si="3"/>
        <v>0</v>
      </c>
      <c r="I15" s="234">
        <f t="shared" si="3"/>
        <v>0</v>
      </c>
      <c r="J15" s="234">
        <f t="shared" si="3"/>
        <v>33135.66</v>
      </c>
      <c r="K15" s="234">
        <f t="shared" si="3"/>
        <v>33135.66</v>
      </c>
      <c r="L15" s="234">
        <f t="shared" si="3"/>
        <v>33135.66</v>
      </c>
      <c r="M15" s="234">
        <f t="shared" si="3"/>
        <v>33135.66</v>
      </c>
      <c r="N15" s="234">
        <f t="shared" si="3"/>
        <v>33135.66</v>
      </c>
      <c r="O15" s="234">
        <f t="shared" si="3"/>
        <v>33135.66</v>
      </c>
      <c r="P15" s="234">
        <f t="shared" si="3"/>
        <v>33135.66</v>
      </c>
      <c r="Q15" s="234">
        <f t="shared" si="3"/>
        <v>33135.66</v>
      </c>
      <c r="R15" s="234">
        <f t="shared" si="3"/>
        <v>33156.43</v>
      </c>
      <c r="S15" s="234">
        <f>SUM(G15:R15)</f>
        <v>298241.71</v>
      </c>
      <c r="T15" s="234">
        <f>+T10</f>
        <v>1486981.33</v>
      </c>
      <c r="U15" s="229">
        <f>SUM(Z15:AK15)</f>
        <v>0</v>
      </c>
      <c r="V15" s="238">
        <f>SUM(S15:U15)</f>
        <v>1785223.04</v>
      </c>
      <c r="W15" s="241"/>
    </row>
    <row r="16" spans="1:22" ht="15.75">
      <c r="A16" s="207">
        <v>19</v>
      </c>
      <c r="B16" s="242" t="s">
        <v>199</v>
      </c>
      <c r="E16" s="235"/>
      <c r="S16" s="239">
        <f>+S15-S11</f>
        <v>-149299.86999999994</v>
      </c>
      <c r="T16" s="222"/>
      <c r="V16" s="243"/>
    </row>
    <row r="17" spans="1:22" ht="15.75">
      <c r="A17" s="207">
        <v>20</v>
      </c>
      <c r="B17" s="242" t="s">
        <v>200</v>
      </c>
      <c r="E17" s="235"/>
      <c r="T17" s="222"/>
      <c r="V17" s="238">
        <f>+V15-V11</f>
        <v>-149299.8700000001</v>
      </c>
    </row>
    <row r="18" spans="1:20" ht="15.75">
      <c r="A18" s="196">
        <v>21</v>
      </c>
      <c r="B18" s="242"/>
      <c r="E18" s="235"/>
      <c r="T18" s="222"/>
    </row>
    <row r="19" spans="1:22" ht="18.75">
      <c r="A19" s="196">
        <v>23</v>
      </c>
      <c r="B19" s="470" t="s">
        <v>201</v>
      </c>
      <c r="C19" s="471"/>
      <c r="D19" s="472"/>
      <c r="E19" s="208" t="s">
        <v>174</v>
      </c>
      <c r="F19" s="209" t="s">
        <v>93</v>
      </c>
      <c r="G19" s="210" t="s">
        <v>126</v>
      </c>
      <c r="H19" s="210" t="s">
        <v>175</v>
      </c>
      <c r="I19" s="210" t="s">
        <v>176</v>
      </c>
      <c r="J19" s="210" t="s">
        <v>177</v>
      </c>
      <c r="K19" s="210" t="s">
        <v>178</v>
      </c>
      <c r="L19" s="210" t="s">
        <v>179</v>
      </c>
      <c r="M19" s="210" t="s">
        <v>180</v>
      </c>
      <c r="N19" s="211" t="s">
        <v>181</v>
      </c>
      <c r="O19" s="210" t="s">
        <v>182</v>
      </c>
      <c r="P19" s="210" t="s">
        <v>183</v>
      </c>
      <c r="Q19" s="210" t="s">
        <v>184</v>
      </c>
      <c r="R19" s="210" t="s">
        <v>185</v>
      </c>
      <c r="S19" s="212" t="s">
        <v>202</v>
      </c>
      <c r="T19" s="244" t="s">
        <v>187</v>
      </c>
      <c r="U19" s="213" t="s">
        <v>188</v>
      </c>
      <c r="V19" s="212"/>
    </row>
    <row r="20" spans="1:22" ht="18.75">
      <c r="A20" s="196">
        <v>24</v>
      </c>
      <c r="B20" s="473"/>
      <c r="C20" s="474"/>
      <c r="D20" s="475"/>
      <c r="E20" s="214" t="s">
        <v>189</v>
      </c>
      <c r="F20" s="215"/>
      <c r="G20" s="216"/>
      <c r="H20" s="216"/>
      <c r="I20" s="216"/>
      <c r="J20" s="216"/>
      <c r="K20" s="216"/>
      <c r="L20" s="216"/>
      <c r="M20" s="216"/>
      <c r="N20" s="217"/>
      <c r="O20" s="216"/>
      <c r="P20" s="216"/>
      <c r="Q20" s="216"/>
      <c r="R20" s="216"/>
      <c r="S20" s="218" t="s">
        <v>145</v>
      </c>
      <c r="T20" s="245" t="s">
        <v>203</v>
      </c>
      <c r="U20" s="219" t="s">
        <v>191</v>
      </c>
      <c r="V20" s="218" t="s">
        <v>204</v>
      </c>
    </row>
    <row r="21" spans="1:21" ht="18.75">
      <c r="A21" s="207">
        <v>25</v>
      </c>
      <c r="B21" s="220" t="s">
        <v>193</v>
      </c>
      <c r="C21" s="246"/>
      <c r="D21" s="221"/>
      <c r="E21" s="240"/>
      <c r="T21" s="223"/>
      <c r="U21" s="224"/>
    </row>
    <row r="22" spans="1:22" ht="15.75">
      <c r="A22" s="207">
        <v>26</v>
      </c>
      <c r="B22" s="225" t="s">
        <v>194</v>
      </c>
      <c r="C22" s="225"/>
      <c r="D22" s="225"/>
      <c r="E22" s="233"/>
      <c r="F22" s="198">
        <v>2210</v>
      </c>
      <c r="G22" s="227">
        <v>0</v>
      </c>
      <c r="H22" s="227">
        <v>0</v>
      </c>
      <c r="I22" s="227">
        <v>0</v>
      </c>
      <c r="J22" s="227">
        <v>0</v>
      </c>
      <c r="K22" s="227">
        <v>0</v>
      </c>
      <c r="L22" s="227">
        <f>10039.68+406602.82</f>
        <v>416642.5</v>
      </c>
      <c r="M22" s="227">
        <v>416642.5</v>
      </c>
      <c r="N22" s="227">
        <v>416642.5</v>
      </c>
      <c r="O22" s="227">
        <v>416642.5</v>
      </c>
      <c r="P22" s="227">
        <v>416642.5</v>
      </c>
      <c r="Q22" s="227">
        <v>416642.5</v>
      </c>
      <c r="R22" s="227">
        <v>416642.5</v>
      </c>
      <c r="S22" s="229"/>
      <c r="T22" s="230"/>
      <c r="U22" s="229"/>
      <c r="V22" s="231"/>
    </row>
    <row r="23" spans="1:22" ht="15.75">
      <c r="A23" s="196">
        <v>27</v>
      </c>
      <c r="B23" s="232" t="s">
        <v>195</v>
      </c>
      <c r="C23" s="225"/>
      <c r="D23" s="225"/>
      <c r="E23" s="233">
        <v>0.125</v>
      </c>
      <c r="F23" s="198">
        <v>3210</v>
      </c>
      <c r="G23" s="229">
        <f>ROUND(((G22*$E23)/12),2)</f>
        <v>0</v>
      </c>
      <c r="H23" s="229">
        <f>ROUND(((H22*$E23)/12),2)</f>
        <v>0</v>
      </c>
      <c r="I23" s="229">
        <f>ROUND(((I22*$E23)/12),2)</f>
        <v>0</v>
      </c>
      <c r="J23" s="229">
        <f>ROUND(((J22*$E23)/12),2)</f>
        <v>0</v>
      </c>
      <c r="K23" s="229">
        <f>ROUND(((K22*$E23)/12),2)</f>
        <v>0</v>
      </c>
      <c r="L23" s="229">
        <f>ROUND(((L22*$E23)/12),2)+522.9</f>
        <v>4862.929999999999</v>
      </c>
      <c r="M23" s="229">
        <f>ROUND(((M22*$E23)/12),2)+522.9</f>
        <v>4862.929999999999</v>
      </c>
      <c r="N23" s="229">
        <f>ROUND(((N22*$E23)/12),2)-522.9</f>
        <v>3817.1299999999997</v>
      </c>
      <c r="O23" s="229">
        <f>ROUND(((O22*$E23)/12),2)</f>
        <v>4340.03</v>
      </c>
      <c r="P23" s="229">
        <f>ROUND(((P22*$E23)/12),2)</f>
        <v>4340.03</v>
      </c>
      <c r="Q23" s="229">
        <f>ROUND(((Q22*$E23)/12),2)</f>
        <v>4340.03</v>
      </c>
      <c r="R23" s="229">
        <f>ROUND(((R22*$E23)/12),2)</f>
        <v>4340.03</v>
      </c>
      <c r="S23" s="229">
        <f>SUM(G23:R23)</f>
        <v>30903.109999999993</v>
      </c>
      <c r="T23" s="234">
        <f>+V8</f>
        <v>0</v>
      </c>
      <c r="U23" s="229">
        <f>SUM(Z23:AK23)</f>
        <v>0</v>
      </c>
      <c r="V23" s="234">
        <f>SUM(S23:U23)</f>
        <v>30903.109999999993</v>
      </c>
    </row>
    <row r="24" spans="1:22" ht="15.75">
      <c r="A24" s="196">
        <v>28</v>
      </c>
      <c r="B24" s="232" t="s">
        <v>111</v>
      </c>
      <c r="E24" s="235"/>
      <c r="F24" s="198">
        <v>2212</v>
      </c>
      <c r="G24" s="227">
        <v>4776435.88</v>
      </c>
      <c r="H24" s="227">
        <v>4776435.88</v>
      </c>
      <c r="I24" s="227">
        <v>4776435.88</v>
      </c>
      <c r="J24" s="227">
        <v>4776435.88</v>
      </c>
      <c r="K24" s="227">
        <f>4776435.88+6962.25</f>
        <v>4783398.13</v>
      </c>
      <c r="L24" s="227">
        <v>4783398.13</v>
      </c>
      <c r="M24" s="227">
        <v>4783398.13</v>
      </c>
      <c r="N24" s="227">
        <f>4783398.13+40540</f>
        <v>4823938.13</v>
      </c>
      <c r="O24" s="227">
        <v>4823938.13</v>
      </c>
      <c r="P24" s="227">
        <v>4823938.13</v>
      </c>
      <c r="Q24" s="227">
        <v>4823938.13</v>
      </c>
      <c r="R24" s="247">
        <f>4823938.13-40540</f>
        <v>4783398.13</v>
      </c>
      <c r="S24" s="229"/>
      <c r="T24" s="234"/>
      <c r="U24" s="229"/>
      <c r="V24" s="231"/>
    </row>
    <row r="25" spans="1:22" ht="15.75">
      <c r="A25" s="196">
        <v>29</v>
      </c>
      <c r="B25" s="236" t="s">
        <v>195</v>
      </c>
      <c r="C25" s="222"/>
      <c r="D25" s="222"/>
      <c r="E25" s="237">
        <v>0.125</v>
      </c>
      <c r="F25" s="222">
        <v>3212</v>
      </c>
      <c r="G25" s="234">
        <f aca="true" t="shared" si="4" ref="G25:M25">ROUND(((G24*$E25)/12),2)</f>
        <v>49754.54</v>
      </c>
      <c r="H25" s="234">
        <f t="shared" si="4"/>
        <v>49754.54</v>
      </c>
      <c r="I25" s="234">
        <f t="shared" si="4"/>
        <v>49754.54</v>
      </c>
      <c r="J25" s="234">
        <f t="shared" si="4"/>
        <v>49754.54</v>
      </c>
      <c r="K25" s="234">
        <f t="shared" si="4"/>
        <v>49827.06</v>
      </c>
      <c r="L25" s="234">
        <f t="shared" si="4"/>
        <v>49827.06</v>
      </c>
      <c r="M25" s="234">
        <f t="shared" si="4"/>
        <v>49827.06</v>
      </c>
      <c r="N25" s="234">
        <f>ROUND(((N24*$E25)/12),2)+422.29</f>
        <v>50671.65</v>
      </c>
      <c r="O25" s="234">
        <f>ROUND(((O24*$E25)/12),2)</f>
        <v>50249.36</v>
      </c>
      <c r="P25" s="234">
        <f>ROUND(((P24*$E25)/12),2)</f>
        <v>50249.36</v>
      </c>
      <c r="Q25" s="234">
        <f>ROUND(((Q24*$E25)/12),2)</f>
        <v>50249.36</v>
      </c>
      <c r="R25" s="234">
        <f>ROUND(((R24*$E25)/12),2)</f>
        <v>49827.06</v>
      </c>
      <c r="S25" s="238">
        <f>SUM(G25:R25)</f>
        <v>599746.1300000001</v>
      </c>
      <c r="T25" s="234">
        <f>+V10</f>
        <v>1934522.9100000001</v>
      </c>
      <c r="U25" s="248">
        <v>-2111.46</v>
      </c>
      <c r="V25" s="238">
        <f>SUM(S25:U25)</f>
        <v>2532157.58</v>
      </c>
    </row>
    <row r="26" spans="1:22" ht="15.75">
      <c r="A26" s="196">
        <v>30</v>
      </c>
      <c r="B26" s="235" t="s">
        <v>196</v>
      </c>
      <c r="G26" s="229"/>
      <c r="H26" s="229"/>
      <c r="I26" s="229"/>
      <c r="J26" s="229"/>
      <c r="K26" s="229"/>
      <c r="L26" s="229"/>
      <c r="M26" s="229"/>
      <c r="N26" s="234"/>
      <c r="O26" s="229"/>
      <c r="P26" s="229"/>
      <c r="Q26" s="229"/>
      <c r="R26" s="229"/>
      <c r="S26" s="239">
        <f>+S23+S25</f>
        <v>630649.2400000001</v>
      </c>
      <c r="T26" s="234"/>
      <c r="U26" s="229"/>
      <c r="V26" s="239">
        <f>+V23+V25</f>
        <v>2563060.69</v>
      </c>
    </row>
    <row r="27" spans="1:22" ht="15.75">
      <c r="A27" s="207">
        <v>31</v>
      </c>
      <c r="G27" s="229"/>
      <c r="H27" s="229"/>
      <c r="I27" s="229"/>
      <c r="J27" s="229"/>
      <c r="K27" s="229"/>
      <c r="L27" s="229"/>
      <c r="M27" s="229"/>
      <c r="N27" s="234"/>
      <c r="O27" s="229"/>
      <c r="P27" s="229"/>
      <c r="Q27" s="229"/>
      <c r="R27" s="229"/>
      <c r="S27" s="234"/>
      <c r="T27" s="234"/>
      <c r="U27" s="229"/>
      <c r="V27" s="234"/>
    </row>
    <row r="28" spans="1:22" ht="15.75">
      <c r="A28" s="207">
        <v>32</v>
      </c>
      <c r="B28" s="220" t="s">
        <v>197</v>
      </c>
      <c r="C28" s="221"/>
      <c r="D28" s="221"/>
      <c r="E28" s="221"/>
      <c r="G28" s="229"/>
      <c r="H28" s="229"/>
      <c r="I28" s="229"/>
      <c r="J28" s="229"/>
      <c r="K28" s="229"/>
      <c r="L28" s="229"/>
      <c r="M28" s="229"/>
      <c r="N28" s="234"/>
      <c r="O28" s="229"/>
      <c r="P28" s="229"/>
      <c r="Q28" s="229"/>
      <c r="R28" s="229"/>
      <c r="S28" s="229"/>
      <c r="T28" s="234"/>
      <c r="U28" s="229"/>
      <c r="V28" s="234"/>
    </row>
    <row r="29" spans="1:22" ht="15.75">
      <c r="A29" s="196">
        <v>33</v>
      </c>
      <c r="B29" s="232" t="s">
        <v>111</v>
      </c>
      <c r="F29" s="198">
        <v>2212</v>
      </c>
      <c r="G29" s="229">
        <f aca="true" t="shared" si="5" ref="G29:R29">+G22+G24</f>
        <v>4776435.88</v>
      </c>
      <c r="H29" s="229">
        <f t="shared" si="5"/>
        <v>4776435.88</v>
      </c>
      <c r="I29" s="229">
        <f t="shared" si="5"/>
        <v>4776435.88</v>
      </c>
      <c r="J29" s="229">
        <f t="shared" si="5"/>
        <v>4776435.88</v>
      </c>
      <c r="K29" s="229">
        <f t="shared" si="5"/>
        <v>4783398.13</v>
      </c>
      <c r="L29" s="229">
        <f t="shared" si="5"/>
        <v>5200040.63</v>
      </c>
      <c r="M29" s="229">
        <f t="shared" si="5"/>
        <v>5200040.63</v>
      </c>
      <c r="N29" s="229">
        <f t="shared" si="5"/>
        <v>5240580.63</v>
      </c>
      <c r="O29" s="229">
        <f t="shared" si="5"/>
        <v>5240580.63</v>
      </c>
      <c r="P29" s="229">
        <f t="shared" si="5"/>
        <v>5240580.63</v>
      </c>
      <c r="Q29" s="229">
        <f t="shared" si="5"/>
        <v>5240580.63</v>
      </c>
      <c r="R29" s="229">
        <f t="shared" si="5"/>
        <v>5200040.63</v>
      </c>
      <c r="S29" s="229"/>
      <c r="T29" s="234"/>
      <c r="U29" s="229"/>
      <c r="V29" s="234"/>
    </row>
    <row r="30" spans="1:22" ht="15.75">
      <c r="A30" s="196">
        <v>34</v>
      </c>
      <c r="B30" s="235" t="s">
        <v>198</v>
      </c>
      <c r="E30" s="249">
        <v>0.0833</v>
      </c>
      <c r="F30" s="222">
        <v>3212</v>
      </c>
      <c r="G30" s="234">
        <f aca="true" t="shared" si="6" ref="G30:R30">ROUND(((G29*$E30)/12),2)</f>
        <v>33156.43</v>
      </c>
      <c r="H30" s="234">
        <f t="shared" si="6"/>
        <v>33156.43</v>
      </c>
      <c r="I30" s="234">
        <f t="shared" si="6"/>
        <v>33156.43</v>
      </c>
      <c r="J30" s="234">
        <f t="shared" si="6"/>
        <v>33156.43</v>
      </c>
      <c r="K30" s="234">
        <f t="shared" si="6"/>
        <v>33204.76</v>
      </c>
      <c r="L30" s="234">
        <f t="shared" si="6"/>
        <v>36096.95</v>
      </c>
      <c r="M30" s="234">
        <f t="shared" si="6"/>
        <v>36096.95</v>
      </c>
      <c r="N30" s="234">
        <f t="shared" si="6"/>
        <v>36378.36</v>
      </c>
      <c r="O30" s="234">
        <f t="shared" si="6"/>
        <v>36378.36</v>
      </c>
      <c r="P30" s="234">
        <f t="shared" si="6"/>
        <v>36378.36</v>
      </c>
      <c r="Q30" s="234">
        <f t="shared" si="6"/>
        <v>36378.36</v>
      </c>
      <c r="R30" s="234">
        <f t="shared" si="6"/>
        <v>36096.95</v>
      </c>
      <c r="S30" s="234">
        <f>SUM(G30:R30)</f>
        <v>419634.76999999996</v>
      </c>
      <c r="T30" s="234">
        <f>+V15</f>
        <v>1785223.04</v>
      </c>
      <c r="U30" s="229">
        <f>SUM(Z30:AK30)</f>
        <v>0</v>
      </c>
      <c r="V30" s="238">
        <f>SUM(S30:U30)</f>
        <v>2204857.81</v>
      </c>
    </row>
    <row r="31" spans="1:22" ht="15.75">
      <c r="A31" s="196">
        <v>35</v>
      </c>
      <c r="B31" s="242" t="s">
        <v>199</v>
      </c>
      <c r="S31" s="239">
        <f>+S30-S26</f>
        <v>-211014.47000000015</v>
      </c>
      <c r="T31" s="222"/>
      <c r="V31" s="243"/>
    </row>
    <row r="32" spans="1:22" ht="15.75">
      <c r="A32" s="196">
        <v>36</v>
      </c>
      <c r="B32" s="242" t="s">
        <v>200</v>
      </c>
      <c r="T32" s="222"/>
      <c r="V32" s="238">
        <f>+V30-V26</f>
        <v>-358202.8799999999</v>
      </c>
    </row>
    <row r="33" spans="1:22" ht="18.75">
      <c r="A33" s="207">
        <v>38</v>
      </c>
      <c r="C33" s="199"/>
      <c r="D33" s="199"/>
      <c r="E33" s="199"/>
      <c r="F33" s="199"/>
      <c r="G33" s="199"/>
      <c r="H33" s="199"/>
      <c r="I33" s="199"/>
      <c r="J33" s="199"/>
      <c r="K33" s="199"/>
      <c r="L33" s="199"/>
      <c r="M33" s="199"/>
      <c r="N33" s="206"/>
      <c r="O33" s="199"/>
      <c r="P33" s="199"/>
      <c r="Q33" s="199"/>
      <c r="R33" s="199"/>
      <c r="S33" s="455" t="s">
        <v>205</v>
      </c>
      <c r="T33" s="465"/>
      <c r="U33" s="465"/>
      <c r="V33" s="466"/>
    </row>
    <row r="34" spans="1:22" ht="18.75">
      <c r="A34" s="196">
        <v>39</v>
      </c>
      <c r="B34" s="470" t="s">
        <v>206</v>
      </c>
      <c r="C34" s="471"/>
      <c r="D34" s="472"/>
      <c r="E34" s="208" t="s">
        <v>174</v>
      </c>
      <c r="F34" s="209" t="s">
        <v>93</v>
      </c>
      <c r="G34" s="210" t="s">
        <v>126</v>
      </c>
      <c r="H34" s="210" t="s">
        <v>175</v>
      </c>
      <c r="I34" s="210" t="s">
        <v>176</v>
      </c>
      <c r="J34" s="210" t="s">
        <v>177</v>
      </c>
      <c r="K34" s="210" t="s">
        <v>178</v>
      </c>
      <c r="L34" s="210" t="s">
        <v>179</v>
      </c>
      <c r="M34" s="210" t="s">
        <v>180</v>
      </c>
      <c r="N34" s="211" t="s">
        <v>181</v>
      </c>
      <c r="O34" s="210" t="s">
        <v>182</v>
      </c>
      <c r="P34" s="210" t="s">
        <v>183</v>
      </c>
      <c r="Q34" s="210" t="s">
        <v>184</v>
      </c>
      <c r="R34" s="210" t="s">
        <v>185</v>
      </c>
      <c r="S34" s="212" t="s">
        <v>207</v>
      </c>
      <c r="T34" s="244" t="s">
        <v>187</v>
      </c>
      <c r="U34" s="213" t="s">
        <v>188</v>
      </c>
      <c r="V34" s="212"/>
    </row>
    <row r="35" spans="1:22" ht="18.75">
      <c r="A35" s="196">
        <v>40</v>
      </c>
      <c r="B35" s="473"/>
      <c r="C35" s="474"/>
      <c r="D35" s="475"/>
      <c r="E35" s="214" t="s">
        <v>189</v>
      </c>
      <c r="F35" s="215"/>
      <c r="G35" s="216"/>
      <c r="H35" s="216"/>
      <c r="I35" s="216"/>
      <c r="J35" s="216"/>
      <c r="K35" s="216"/>
      <c r="L35" s="216"/>
      <c r="M35" s="216"/>
      <c r="N35" s="217"/>
      <c r="O35" s="216"/>
      <c r="P35" s="216"/>
      <c r="Q35" s="216"/>
      <c r="R35" s="216"/>
      <c r="S35" s="218" t="s">
        <v>145</v>
      </c>
      <c r="T35" s="245" t="s">
        <v>208</v>
      </c>
      <c r="U35" s="219" t="s">
        <v>191</v>
      </c>
      <c r="V35" s="218" t="s">
        <v>209</v>
      </c>
    </row>
    <row r="36" spans="1:21" ht="18.75">
      <c r="A36" s="196">
        <v>41</v>
      </c>
      <c r="B36" s="220" t="s">
        <v>193</v>
      </c>
      <c r="C36" s="246"/>
      <c r="D36" s="221"/>
      <c r="E36" s="221"/>
      <c r="T36" s="223"/>
      <c r="U36" s="224"/>
    </row>
    <row r="37" spans="1:22" ht="15.75">
      <c r="A37" s="196">
        <v>42</v>
      </c>
      <c r="B37" s="225" t="s">
        <v>194</v>
      </c>
      <c r="C37" s="225"/>
      <c r="D37" s="225"/>
      <c r="E37" s="226"/>
      <c r="F37" s="198">
        <v>2210</v>
      </c>
      <c r="G37" s="227">
        <v>416642.5</v>
      </c>
      <c r="H37" s="227">
        <v>416642.5</v>
      </c>
      <c r="I37" s="227">
        <v>416642.5</v>
      </c>
      <c r="J37" s="227">
        <f>416642.5+18169.66+17852.25</f>
        <v>452664.41</v>
      </c>
      <c r="K37" s="227">
        <v>452664.41</v>
      </c>
      <c r="L37" s="227">
        <v>452664.41</v>
      </c>
      <c r="M37" s="227">
        <v>452664.41</v>
      </c>
      <c r="N37" s="227">
        <v>452664.41</v>
      </c>
      <c r="O37" s="227">
        <v>452664.41</v>
      </c>
      <c r="P37" s="227">
        <v>452664.41</v>
      </c>
      <c r="Q37" s="227">
        <f>452664.41+126515.89</f>
        <v>579180.2999999999</v>
      </c>
      <c r="R37" s="227">
        <f>579180.3+25236.25</f>
        <v>604416.55</v>
      </c>
      <c r="S37" s="229"/>
      <c r="T37" s="230"/>
      <c r="U37" s="229"/>
      <c r="V37" s="231"/>
    </row>
    <row r="38" spans="1:22" ht="15.75">
      <c r="A38" s="207">
        <v>43</v>
      </c>
      <c r="B38" s="232" t="s">
        <v>195</v>
      </c>
      <c r="C38" s="225"/>
      <c r="D38" s="225"/>
      <c r="E38" s="233">
        <v>0.125</v>
      </c>
      <c r="F38" s="198">
        <v>3210</v>
      </c>
      <c r="G38" s="229">
        <f aca="true" t="shared" si="7" ref="G38:R38">ROUND(((G37*$E38)/12),2)</f>
        <v>4340.03</v>
      </c>
      <c r="H38" s="229">
        <f t="shared" si="7"/>
        <v>4340.03</v>
      </c>
      <c r="I38" s="229">
        <f t="shared" si="7"/>
        <v>4340.03</v>
      </c>
      <c r="J38" s="229">
        <f t="shared" si="7"/>
        <v>4715.25</v>
      </c>
      <c r="K38" s="229">
        <f t="shared" si="7"/>
        <v>4715.25</v>
      </c>
      <c r="L38" s="229">
        <f t="shared" si="7"/>
        <v>4715.25</v>
      </c>
      <c r="M38" s="229">
        <f t="shared" si="7"/>
        <v>4715.25</v>
      </c>
      <c r="N38" s="229">
        <f t="shared" si="7"/>
        <v>4715.25</v>
      </c>
      <c r="O38" s="229">
        <f t="shared" si="7"/>
        <v>4715.25</v>
      </c>
      <c r="P38" s="229">
        <f t="shared" si="7"/>
        <v>4715.25</v>
      </c>
      <c r="Q38" s="229">
        <f t="shared" si="7"/>
        <v>6033.13</v>
      </c>
      <c r="R38" s="229">
        <f t="shared" si="7"/>
        <v>6296.01</v>
      </c>
      <c r="S38" s="229">
        <f>SUM(G38:R38)</f>
        <v>58355.979999999996</v>
      </c>
      <c r="T38" s="234">
        <f>+V23</f>
        <v>30903.109999999993</v>
      </c>
      <c r="U38" s="229">
        <f>SUM(Z38:AK38)</f>
        <v>0</v>
      </c>
      <c r="V38" s="234">
        <f>SUM(S38:U38)</f>
        <v>89259.09</v>
      </c>
    </row>
    <row r="39" spans="1:22" ht="15.75">
      <c r="A39" s="207">
        <v>44</v>
      </c>
      <c r="B39" s="232" t="s">
        <v>111</v>
      </c>
      <c r="E39" s="235"/>
      <c r="F39" s="198">
        <v>2212</v>
      </c>
      <c r="G39" s="227">
        <v>4783398.13</v>
      </c>
      <c r="H39" s="227">
        <v>4783398.13</v>
      </c>
      <c r="I39" s="227">
        <v>4783398.13</v>
      </c>
      <c r="J39" s="227">
        <v>4783398.13</v>
      </c>
      <c r="K39" s="227">
        <v>4783398.13</v>
      </c>
      <c r="L39" s="227">
        <v>4783398.13</v>
      </c>
      <c r="M39" s="227">
        <v>4783398.13</v>
      </c>
      <c r="N39" s="227">
        <v>4783398.13</v>
      </c>
      <c r="O39" s="227">
        <v>4783398.13</v>
      </c>
      <c r="P39" s="227">
        <v>4783398.13</v>
      </c>
      <c r="Q39" s="227">
        <v>4783398.13</v>
      </c>
      <c r="R39" s="227">
        <f>4783398.13+10000+137023.82</f>
        <v>4930421.95</v>
      </c>
      <c r="S39" s="229"/>
      <c r="T39" s="234"/>
      <c r="U39" s="229"/>
      <c r="V39" s="231"/>
    </row>
    <row r="40" spans="1:22" ht="15.75">
      <c r="A40" s="196">
        <v>45</v>
      </c>
      <c r="B40" s="236" t="s">
        <v>195</v>
      </c>
      <c r="C40" s="222"/>
      <c r="D40" s="222"/>
      <c r="E40" s="237">
        <v>0.125</v>
      </c>
      <c r="F40" s="222">
        <v>3212</v>
      </c>
      <c r="G40" s="234">
        <f aca="true" t="shared" si="8" ref="G40:Q40">ROUND(((G39*$E40)/12),2)</f>
        <v>49827.06</v>
      </c>
      <c r="H40" s="234">
        <f t="shared" si="8"/>
        <v>49827.06</v>
      </c>
      <c r="I40" s="234">
        <f t="shared" si="8"/>
        <v>49827.06</v>
      </c>
      <c r="J40" s="234">
        <f t="shared" si="8"/>
        <v>49827.06</v>
      </c>
      <c r="K40" s="234">
        <f t="shared" si="8"/>
        <v>49827.06</v>
      </c>
      <c r="L40" s="234">
        <f t="shared" si="8"/>
        <v>49827.06</v>
      </c>
      <c r="M40" s="234">
        <f t="shared" si="8"/>
        <v>49827.06</v>
      </c>
      <c r="N40" s="234">
        <f t="shared" si="8"/>
        <v>49827.06</v>
      </c>
      <c r="O40" s="234">
        <f t="shared" si="8"/>
        <v>49827.06</v>
      </c>
      <c r="P40" s="234">
        <f t="shared" si="8"/>
        <v>49827.06</v>
      </c>
      <c r="Q40" s="234">
        <f t="shared" si="8"/>
        <v>49827.06</v>
      </c>
      <c r="R40" s="250">
        <f>49827.06-198634.68-938-1250+197384.68+34255.92</f>
        <v>80644.98</v>
      </c>
      <c r="S40" s="238">
        <f>SUM(G40:R40)</f>
        <v>628742.6399999999</v>
      </c>
      <c r="T40" s="234">
        <f>+V25</f>
        <v>2532157.58</v>
      </c>
      <c r="U40" s="251">
        <v>720862.5</v>
      </c>
      <c r="V40" s="238">
        <f>SUM(S40:U40)</f>
        <v>3881762.7199999997</v>
      </c>
    </row>
    <row r="41" spans="1:22" ht="15.75">
      <c r="A41" s="196">
        <v>46</v>
      </c>
      <c r="B41" s="235" t="s">
        <v>196</v>
      </c>
      <c r="E41" s="235"/>
      <c r="G41" s="234"/>
      <c r="H41" s="234"/>
      <c r="I41" s="234"/>
      <c r="J41" s="234"/>
      <c r="K41" s="234"/>
      <c r="L41" s="234"/>
      <c r="M41" s="234"/>
      <c r="N41" s="234"/>
      <c r="O41" s="234"/>
      <c r="P41" s="234"/>
      <c r="Q41" s="234"/>
      <c r="R41" s="250"/>
      <c r="S41" s="239">
        <f>+S38+S40</f>
        <v>687098.6199999999</v>
      </c>
      <c r="T41" s="234"/>
      <c r="U41" s="229"/>
      <c r="V41" s="239">
        <f>+V38+V40</f>
        <v>3971021.8099999996</v>
      </c>
    </row>
    <row r="42" spans="1:22" ht="15.75">
      <c r="A42" s="196">
        <v>47</v>
      </c>
      <c r="G42" s="229"/>
      <c r="H42" s="229"/>
      <c r="I42" s="229"/>
      <c r="J42" s="229"/>
      <c r="K42" s="229"/>
      <c r="L42" s="229"/>
      <c r="M42" s="229"/>
      <c r="N42" s="234"/>
      <c r="O42" s="229"/>
      <c r="P42" s="229"/>
      <c r="Q42" s="229"/>
      <c r="R42" s="229"/>
      <c r="S42" s="234"/>
      <c r="T42" s="234"/>
      <c r="U42" s="229"/>
      <c r="V42" s="234"/>
    </row>
    <row r="43" spans="1:22" ht="15.75">
      <c r="A43" s="196">
        <v>48</v>
      </c>
      <c r="B43" s="220" t="s">
        <v>197</v>
      </c>
      <c r="C43" s="221"/>
      <c r="D43" s="221"/>
      <c r="E43" s="221"/>
      <c r="G43" s="229"/>
      <c r="H43" s="229"/>
      <c r="I43" s="229"/>
      <c r="J43" s="229"/>
      <c r="K43" s="229"/>
      <c r="L43" s="229"/>
      <c r="M43" s="229"/>
      <c r="N43" s="234"/>
      <c r="O43" s="229"/>
      <c r="P43" s="229"/>
      <c r="Q43" s="229"/>
      <c r="R43" s="229"/>
      <c r="S43" s="229"/>
      <c r="T43" s="234"/>
      <c r="U43" s="229"/>
      <c r="V43" s="234"/>
    </row>
    <row r="44" spans="1:22" ht="15.75">
      <c r="A44" s="207">
        <v>49</v>
      </c>
      <c r="B44" s="232" t="s">
        <v>111</v>
      </c>
      <c r="F44" s="198">
        <v>2212</v>
      </c>
      <c r="G44" s="229">
        <f aca="true" t="shared" si="9" ref="G44:R44">+G37+G39</f>
        <v>5200040.63</v>
      </c>
      <c r="H44" s="229">
        <f t="shared" si="9"/>
        <v>5200040.63</v>
      </c>
      <c r="I44" s="229">
        <f t="shared" si="9"/>
        <v>5200040.63</v>
      </c>
      <c r="J44" s="229">
        <f t="shared" si="9"/>
        <v>5236062.54</v>
      </c>
      <c r="K44" s="229">
        <f t="shared" si="9"/>
        <v>5236062.54</v>
      </c>
      <c r="L44" s="229">
        <f t="shared" si="9"/>
        <v>5236062.54</v>
      </c>
      <c r="M44" s="229">
        <f t="shared" si="9"/>
        <v>5236062.54</v>
      </c>
      <c r="N44" s="229">
        <f t="shared" si="9"/>
        <v>5236062.54</v>
      </c>
      <c r="O44" s="229">
        <f t="shared" si="9"/>
        <v>5236062.54</v>
      </c>
      <c r="P44" s="229">
        <f t="shared" si="9"/>
        <v>5236062.54</v>
      </c>
      <c r="Q44" s="229">
        <f t="shared" si="9"/>
        <v>5362578.43</v>
      </c>
      <c r="R44" s="229">
        <f t="shared" si="9"/>
        <v>5534838.5</v>
      </c>
      <c r="S44" s="229"/>
      <c r="T44" s="234"/>
      <c r="U44" s="229"/>
      <c r="V44" s="234"/>
    </row>
    <row r="45" spans="1:22" ht="15.75">
      <c r="A45" s="207">
        <v>50</v>
      </c>
      <c r="B45" s="235" t="s">
        <v>198</v>
      </c>
      <c r="E45" s="249">
        <v>0.0833</v>
      </c>
      <c r="F45" s="222">
        <v>3212</v>
      </c>
      <c r="G45" s="234">
        <f aca="true" t="shared" si="10" ref="G45:R45">ROUND(((G44*$E45)/12),2)</f>
        <v>36096.95</v>
      </c>
      <c r="H45" s="234">
        <f t="shared" si="10"/>
        <v>36096.95</v>
      </c>
      <c r="I45" s="234">
        <f t="shared" si="10"/>
        <v>36096.95</v>
      </c>
      <c r="J45" s="234">
        <f t="shared" si="10"/>
        <v>36347</v>
      </c>
      <c r="K45" s="234">
        <f t="shared" si="10"/>
        <v>36347</v>
      </c>
      <c r="L45" s="234">
        <f t="shared" si="10"/>
        <v>36347</v>
      </c>
      <c r="M45" s="234">
        <f t="shared" si="10"/>
        <v>36347</v>
      </c>
      <c r="N45" s="234">
        <f t="shared" si="10"/>
        <v>36347</v>
      </c>
      <c r="O45" s="234">
        <f t="shared" si="10"/>
        <v>36347</v>
      </c>
      <c r="P45" s="234">
        <f t="shared" si="10"/>
        <v>36347</v>
      </c>
      <c r="Q45" s="234">
        <f t="shared" si="10"/>
        <v>37225.23</v>
      </c>
      <c r="R45" s="234">
        <f t="shared" si="10"/>
        <v>38421</v>
      </c>
      <c r="S45" s="234">
        <f>SUM(G45:R45)</f>
        <v>438366.07999999996</v>
      </c>
      <c r="T45" s="234">
        <f>+V30</f>
        <v>2204857.81</v>
      </c>
      <c r="U45" s="229">
        <f>SUM(Z45:AK45)</f>
        <v>0</v>
      </c>
      <c r="V45" s="238">
        <f>SUM(S45:U45)</f>
        <v>2643223.89</v>
      </c>
    </row>
    <row r="46" spans="1:22" ht="15.75">
      <c r="A46" s="196">
        <v>51</v>
      </c>
      <c r="B46" s="242" t="s">
        <v>199</v>
      </c>
      <c r="S46" s="239">
        <f>+S45-S41</f>
        <v>-248732.53999999992</v>
      </c>
      <c r="T46" s="222"/>
      <c r="V46" s="243"/>
    </row>
    <row r="47" spans="1:22" ht="15.75">
      <c r="A47" s="196">
        <v>52</v>
      </c>
      <c r="B47" s="242" t="s">
        <v>200</v>
      </c>
      <c r="T47" s="222"/>
      <c r="V47" s="238">
        <f>+V45-V41</f>
        <v>-1327797.9199999995</v>
      </c>
    </row>
    <row r="48" spans="1:20" ht="15.75">
      <c r="A48" s="196">
        <v>53</v>
      </c>
      <c r="B48" s="242"/>
      <c r="T48" s="222"/>
    </row>
    <row r="49" spans="1:22" ht="18.75">
      <c r="A49" s="207">
        <v>55</v>
      </c>
      <c r="B49" s="470" t="s">
        <v>210</v>
      </c>
      <c r="C49" s="471"/>
      <c r="D49" s="472"/>
      <c r="E49" s="208" t="s">
        <v>174</v>
      </c>
      <c r="F49" s="209" t="s">
        <v>93</v>
      </c>
      <c r="G49" s="210" t="s">
        <v>126</v>
      </c>
      <c r="H49" s="210" t="s">
        <v>175</v>
      </c>
      <c r="I49" s="210" t="s">
        <v>176</v>
      </c>
      <c r="J49" s="210" t="s">
        <v>177</v>
      </c>
      <c r="K49" s="210" t="s">
        <v>178</v>
      </c>
      <c r="L49" s="210" t="s">
        <v>179</v>
      </c>
      <c r="M49" s="210" t="s">
        <v>180</v>
      </c>
      <c r="N49" s="211" t="s">
        <v>181</v>
      </c>
      <c r="O49" s="210" t="s">
        <v>182</v>
      </c>
      <c r="P49" s="210" t="s">
        <v>183</v>
      </c>
      <c r="Q49" s="210" t="s">
        <v>184</v>
      </c>
      <c r="R49" s="210" t="s">
        <v>185</v>
      </c>
      <c r="S49" s="212" t="s">
        <v>211</v>
      </c>
      <c r="T49" s="244" t="s">
        <v>187</v>
      </c>
      <c r="U49" s="213" t="s">
        <v>188</v>
      </c>
      <c r="V49" s="212"/>
    </row>
    <row r="50" spans="1:22" ht="18.75">
      <c r="A50" s="207">
        <v>56</v>
      </c>
      <c r="B50" s="473"/>
      <c r="C50" s="474"/>
      <c r="D50" s="475"/>
      <c r="E50" s="214" t="s">
        <v>189</v>
      </c>
      <c r="F50" s="215"/>
      <c r="G50" s="216"/>
      <c r="H50" s="216"/>
      <c r="I50" s="216"/>
      <c r="J50" s="216"/>
      <c r="K50" s="216"/>
      <c r="L50" s="216"/>
      <c r="M50" s="216"/>
      <c r="N50" s="217"/>
      <c r="O50" s="216"/>
      <c r="P50" s="216"/>
      <c r="Q50" s="216"/>
      <c r="R50" s="216"/>
      <c r="S50" s="218" t="s">
        <v>145</v>
      </c>
      <c r="T50" s="245" t="s">
        <v>212</v>
      </c>
      <c r="U50" s="219" t="s">
        <v>191</v>
      </c>
      <c r="V50" s="218" t="s">
        <v>213</v>
      </c>
    </row>
    <row r="51" spans="1:21" ht="18.75">
      <c r="A51" s="196">
        <v>57</v>
      </c>
      <c r="B51" s="220" t="s">
        <v>193</v>
      </c>
      <c r="C51" s="246"/>
      <c r="D51" s="221"/>
      <c r="E51" s="221"/>
      <c r="T51" s="223"/>
      <c r="U51" s="224"/>
    </row>
    <row r="52" spans="1:22" ht="15.75">
      <c r="A52" s="196">
        <v>58</v>
      </c>
      <c r="B52" s="225" t="s">
        <v>194</v>
      </c>
      <c r="C52" s="225"/>
      <c r="D52" s="225"/>
      <c r="E52" s="233"/>
      <c r="F52" s="198">
        <v>2210</v>
      </c>
      <c r="G52" s="252">
        <v>604416.55</v>
      </c>
      <c r="H52" s="252">
        <v>604416.55</v>
      </c>
      <c r="I52" s="252">
        <v>604416.55</v>
      </c>
      <c r="J52" s="252">
        <v>604416.55</v>
      </c>
      <c r="K52" s="252">
        <f>604416.55+54042.27</f>
        <v>658458.8200000001</v>
      </c>
      <c r="L52" s="252">
        <v>658458.82</v>
      </c>
      <c r="M52" s="252">
        <v>658458.82</v>
      </c>
      <c r="N52" s="252">
        <v>658458.82</v>
      </c>
      <c r="O52" s="252">
        <v>658458.82</v>
      </c>
      <c r="P52" s="252">
        <v>658458.82</v>
      </c>
      <c r="Q52" s="252">
        <v>658458.82</v>
      </c>
      <c r="R52" s="252">
        <f>658458.82+12429.57+27839.95+18085.34+94886.39+33651.62</f>
        <v>845351.6899999998</v>
      </c>
      <c r="S52" s="229"/>
      <c r="T52" s="230"/>
      <c r="U52" s="229"/>
      <c r="V52" s="231"/>
    </row>
    <row r="53" spans="1:24" ht="15.75">
      <c r="A53" s="196">
        <v>59</v>
      </c>
      <c r="B53" s="232" t="s">
        <v>195</v>
      </c>
      <c r="C53" s="225"/>
      <c r="D53" s="225"/>
      <c r="E53" s="233">
        <v>0.125</v>
      </c>
      <c r="F53" s="198">
        <v>3210</v>
      </c>
      <c r="G53" s="251">
        <f aca="true" t="shared" si="11" ref="G53:Q53">ROUND(((G52*$E53)/12),2)</f>
        <v>6296.01</v>
      </c>
      <c r="H53" s="251">
        <f t="shared" si="11"/>
        <v>6296.01</v>
      </c>
      <c r="I53" s="251">
        <f t="shared" si="11"/>
        <v>6296.01</v>
      </c>
      <c r="J53" s="251">
        <f t="shared" si="11"/>
        <v>6296.01</v>
      </c>
      <c r="K53" s="251">
        <f t="shared" si="11"/>
        <v>6858.95</v>
      </c>
      <c r="L53" s="251">
        <f t="shared" si="11"/>
        <v>6858.95</v>
      </c>
      <c r="M53" s="251">
        <f t="shared" si="11"/>
        <v>6858.95</v>
      </c>
      <c r="N53" s="251">
        <f t="shared" si="11"/>
        <v>6858.95</v>
      </c>
      <c r="O53" s="251">
        <f t="shared" si="11"/>
        <v>6858.95</v>
      </c>
      <c r="P53" s="251">
        <f t="shared" si="11"/>
        <v>6858.95</v>
      </c>
      <c r="Q53" s="251">
        <f t="shared" si="11"/>
        <v>6858.95</v>
      </c>
      <c r="R53" s="251">
        <f>ROUND(((R52*$E53)/12),2)+2030+1976.8+1051.62</f>
        <v>13864.169999999998</v>
      </c>
      <c r="S53" s="229">
        <f>SUM(G53:R53)</f>
        <v>87060.85999999999</v>
      </c>
      <c r="T53" s="234">
        <f>+V38</f>
        <v>89259.09</v>
      </c>
      <c r="U53" s="229">
        <f>SUM(Z53:AK53)</f>
        <v>0</v>
      </c>
      <c r="V53" s="234">
        <f>SUM(S53:U53)</f>
        <v>176319.94999999998</v>
      </c>
      <c r="W53" s="253"/>
      <c r="X53" s="254"/>
    </row>
    <row r="54" spans="1:22" ht="15.75">
      <c r="A54" s="196">
        <v>60</v>
      </c>
      <c r="B54" s="232" t="s">
        <v>111</v>
      </c>
      <c r="E54" s="235"/>
      <c r="F54" s="198">
        <v>2212</v>
      </c>
      <c r="G54" s="250">
        <f aca="true" t="shared" si="12" ref="G54:N54">4930421.95-41107.14</f>
        <v>4889314.8100000005</v>
      </c>
      <c r="H54" s="250">
        <f t="shared" si="12"/>
        <v>4889314.8100000005</v>
      </c>
      <c r="I54" s="250">
        <f t="shared" si="12"/>
        <v>4889314.8100000005</v>
      </c>
      <c r="J54" s="250">
        <f t="shared" si="12"/>
        <v>4889314.8100000005</v>
      </c>
      <c r="K54" s="250">
        <f t="shared" si="12"/>
        <v>4889314.8100000005</v>
      </c>
      <c r="L54" s="250">
        <f t="shared" si="12"/>
        <v>4889314.8100000005</v>
      </c>
      <c r="M54" s="250">
        <f t="shared" si="12"/>
        <v>4889314.8100000005</v>
      </c>
      <c r="N54" s="250">
        <f t="shared" si="12"/>
        <v>4889314.8100000005</v>
      </c>
      <c r="O54" s="250">
        <v>4889314.81</v>
      </c>
      <c r="P54" s="250">
        <v>4889314.81</v>
      </c>
      <c r="Q54" s="250">
        <v>4889314.81</v>
      </c>
      <c r="R54" s="250">
        <v>4889314.81</v>
      </c>
      <c r="S54" s="229"/>
      <c r="T54" s="234"/>
      <c r="U54" s="229"/>
      <c r="V54" s="231"/>
    </row>
    <row r="55" spans="1:22" ht="15.75">
      <c r="A55" s="207">
        <v>61</v>
      </c>
      <c r="B55" s="236" t="s">
        <v>195</v>
      </c>
      <c r="C55" s="222"/>
      <c r="D55" s="222"/>
      <c r="E55" s="237">
        <v>0.125</v>
      </c>
      <c r="F55" s="222">
        <v>3212</v>
      </c>
      <c r="G55" s="250">
        <f aca="true" t="shared" si="13" ref="G55:R55">ROUND(((G54*$E55)/12),2)</f>
        <v>50930.36</v>
      </c>
      <c r="H55" s="250">
        <f t="shared" si="13"/>
        <v>50930.36</v>
      </c>
      <c r="I55" s="250">
        <f t="shared" si="13"/>
        <v>50930.36</v>
      </c>
      <c r="J55" s="250">
        <f t="shared" si="13"/>
        <v>50930.36</v>
      </c>
      <c r="K55" s="250">
        <f t="shared" si="13"/>
        <v>50930.36</v>
      </c>
      <c r="L55" s="250">
        <f t="shared" si="13"/>
        <v>50930.36</v>
      </c>
      <c r="M55" s="250">
        <f t="shared" si="13"/>
        <v>50930.36</v>
      </c>
      <c r="N55" s="250">
        <f t="shared" si="13"/>
        <v>50930.36</v>
      </c>
      <c r="O55" s="250">
        <f t="shared" si="13"/>
        <v>50930.36</v>
      </c>
      <c r="P55" s="250">
        <f t="shared" si="13"/>
        <v>50930.36</v>
      </c>
      <c r="Q55" s="250">
        <f t="shared" si="13"/>
        <v>50930.36</v>
      </c>
      <c r="R55" s="250">
        <f t="shared" si="13"/>
        <v>50930.36</v>
      </c>
      <c r="S55" s="238">
        <f>SUM(G55:R55)</f>
        <v>611164.32</v>
      </c>
      <c r="T55" s="234">
        <f>+V40</f>
        <v>3881762.7199999997</v>
      </c>
      <c r="U55" s="234">
        <v>0</v>
      </c>
      <c r="V55" s="238">
        <f>SUM(S55:U55)</f>
        <v>4492927.04</v>
      </c>
    </row>
    <row r="56" spans="1:22" ht="15.75">
      <c r="A56" s="207">
        <v>62</v>
      </c>
      <c r="B56" s="235" t="s">
        <v>196</v>
      </c>
      <c r="G56" s="234"/>
      <c r="H56" s="234"/>
      <c r="I56" s="234"/>
      <c r="J56" s="234"/>
      <c r="K56" s="234"/>
      <c r="L56" s="234"/>
      <c r="M56" s="234"/>
      <c r="N56" s="234"/>
      <c r="O56" s="234"/>
      <c r="P56" s="234"/>
      <c r="Q56" s="234"/>
      <c r="R56" s="250"/>
      <c r="S56" s="239">
        <f>+S53+S55</f>
        <v>698225.1799999999</v>
      </c>
      <c r="T56" s="234"/>
      <c r="U56" s="229"/>
      <c r="V56" s="239">
        <f>+V53+V55</f>
        <v>4669246.99</v>
      </c>
    </row>
    <row r="57" spans="1:22" ht="15.75">
      <c r="A57" s="196">
        <v>63</v>
      </c>
      <c r="G57" s="229"/>
      <c r="H57" s="229"/>
      <c r="I57" s="229"/>
      <c r="J57" s="229"/>
      <c r="K57" s="229"/>
      <c r="L57" s="229"/>
      <c r="M57" s="229"/>
      <c r="N57" s="234"/>
      <c r="O57" s="229"/>
      <c r="P57" s="229"/>
      <c r="Q57" s="229"/>
      <c r="R57" s="229"/>
      <c r="S57" s="234"/>
      <c r="T57" s="234"/>
      <c r="U57" s="229"/>
      <c r="V57" s="234"/>
    </row>
    <row r="58" spans="1:22" ht="15.75">
      <c r="A58" s="196">
        <v>64</v>
      </c>
      <c r="B58" s="220" t="s">
        <v>197</v>
      </c>
      <c r="C58" s="221"/>
      <c r="D58" s="221"/>
      <c r="E58" s="221"/>
      <c r="G58" s="229"/>
      <c r="H58" s="229"/>
      <c r="I58" s="229"/>
      <c r="J58" s="229"/>
      <c r="K58" s="229"/>
      <c r="L58" s="229"/>
      <c r="M58" s="229"/>
      <c r="N58" s="234"/>
      <c r="O58" s="229"/>
      <c r="P58" s="229"/>
      <c r="Q58" s="229"/>
      <c r="R58" s="229"/>
      <c r="S58" s="229"/>
      <c r="T58" s="234"/>
      <c r="U58" s="229"/>
      <c r="V58" s="234"/>
    </row>
    <row r="59" spans="1:22" ht="15.75">
      <c r="A59" s="196">
        <v>65</v>
      </c>
      <c r="B59" s="232" t="s">
        <v>111</v>
      </c>
      <c r="F59" s="198">
        <v>2212</v>
      </c>
      <c r="G59" s="229">
        <f aca="true" t="shared" si="14" ref="G59:R59">+G52+G54</f>
        <v>5493731.36</v>
      </c>
      <c r="H59" s="229">
        <f t="shared" si="14"/>
        <v>5493731.36</v>
      </c>
      <c r="I59" s="229">
        <f t="shared" si="14"/>
        <v>5493731.36</v>
      </c>
      <c r="J59" s="229">
        <f t="shared" si="14"/>
        <v>5493731.36</v>
      </c>
      <c r="K59" s="229">
        <f t="shared" si="14"/>
        <v>5547773.630000001</v>
      </c>
      <c r="L59" s="229">
        <f t="shared" si="14"/>
        <v>5547773.630000001</v>
      </c>
      <c r="M59" s="229">
        <f t="shared" si="14"/>
        <v>5547773.630000001</v>
      </c>
      <c r="N59" s="229">
        <f t="shared" si="14"/>
        <v>5547773.630000001</v>
      </c>
      <c r="O59" s="229">
        <f t="shared" si="14"/>
        <v>5547773.63</v>
      </c>
      <c r="P59" s="229">
        <f t="shared" si="14"/>
        <v>5547773.63</v>
      </c>
      <c r="Q59" s="229">
        <f t="shared" si="14"/>
        <v>5547773.63</v>
      </c>
      <c r="R59" s="229">
        <f t="shared" si="14"/>
        <v>5734666.499999999</v>
      </c>
      <c r="S59" s="229"/>
      <c r="T59" s="234"/>
      <c r="U59" s="229"/>
      <c r="V59" s="234"/>
    </row>
    <row r="60" spans="1:22" ht="15.75">
      <c r="A60" s="196">
        <v>66</v>
      </c>
      <c r="B60" s="235" t="s">
        <v>198</v>
      </c>
      <c r="E60" s="249">
        <v>0.0833</v>
      </c>
      <c r="F60" s="222">
        <v>3212</v>
      </c>
      <c r="G60" s="234">
        <f aca="true" t="shared" si="15" ref="G60:R60">ROUND(((G59*$E60)/12),2)</f>
        <v>38135.65</v>
      </c>
      <c r="H60" s="234">
        <f t="shared" si="15"/>
        <v>38135.65</v>
      </c>
      <c r="I60" s="234">
        <f t="shared" si="15"/>
        <v>38135.65</v>
      </c>
      <c r="J60" s="234">
        <f t="shared" si="15"/>
        <v>38135.65</v>
      </c>
      <c r="K60" s="234">
        <f t="shared" si="15"/>
        <v>38510.8</v>
      </c>
      <c r="L60" s="234">
        <f t="shared" si="15"/>
        <v>38510.8</v>
      </c>
      <c r="M60" s="234">
        <f t="shared" si="15"/>
        <v>38510.8</v>
      </c>
      <c r="N60" s="234">
        <f t="shared" si="15"/>
        <v>38510.8</v>
      </c>
      <c r="O60" s="234">
        <f t="shared" si="15"/>
        <v>38510.8</v>
      </c>
      <c r="P60" s="234">
        <f t="shared" si="15"/>
        <v>38510.8</v>
      </c>
      <c r="Q60" s="234">
        <f t="shared" si="15"/>
        <v>38510.8</v>
      </c>
      <c r="R60" s="234">
        <f t="shared" si="15"/>
        <v>39808.14</v>
      </c>
      <c r="S60" s="234">
        <f>SUM(G60:R60)</f>
        <v>461926.33999999997</v>
      </c>
      <c r="T60" s="234">
        <f>+V45</f>
        <v>2643223.89</v>
      </c>
      <c r="U60" s="229">
        <f>SUM(Z60:AK60)</f>
        <v>0</v>
      </c>
      <c r="V60" s="238">
        <f>SUM(S60:U60)</f>
        <v>3105150.23</v>
      </c>
    </row>
    <row r="61" spans="1:22" ht="15.75">
      <c r="A61" s="207">
        <v>67</v>
      </c>
      <c r="B61" s="242" t="s">
        <v>199</v>
      </c>
      <c r="S61" s="239">
        <f>+S60-S56</f>
        <v>-236298.83999999997</v>
      </c>
      <c r="T61" s="222"/>
      <c r="V61" s="243"/>
    </row>
    <row r="62" spans="1:22" ht="15.75">
      <c r="A62" s="207">
        <v>68</v>
      </c>
      <c r="B62" s="242" t="s">
        <v>200</v>
      </c>
      <c r="T62" s="222"/>
      <c r="V62" s="238">
        <f>+V60-V56</f>
        <v>-1564096.7600000002</v>
      </c>
    </row>
    <row r="63" spans="1:20" ht="15.75">
      <c r="A63" s="196">
        <v>69</v>
      </c>
      <c r="B63" s="242"/>
      <c r="T63" s="222"/>
    </row>
    <row r="64" spans="1:20" ht="15.75">
      <c r="A64" s="196">
        <v>72</v>
      </c>
      <c r="B64" s="255" t="s">
        <v>214</v>
      </c>
      <c r="C64"/>
      <c r="D64"/>
      <c r="E64"/>
      <c r="F64"/>
      <c r="G64"/>
      <c r="H64"/>
      <c r="I64"/>
      <c r="J64"/>
      <c r="K64"/>
      <c r="L64"/>
      <c r="M64"/>
      <c r="N64"/>
      <c r="O64"/>
      <c r="P64"/>
      <c r="T64" s="222"/>
    </row>
    <row r="65" spans="1:20" ht="18.75">
      <c r="A65" s="196">
        <v>73</v>
      </c>
      <c r="B65" s="256"/>
      <c r="C65"/>
      <c r="D65"/>
      <c r="E65"/>
      <c r="F65" s="467" t="s">
        <v>215</v>
      </c>
      <c r="G65" s="468"/>
      <c r="H65" s="469"/>
      <c r="I65"/>
      <c r="J65" s="467" t="s">
        <v>216</v>
      </c>
      <c r="K65" s="468"/>
      <c r="L65" s="469"/>
      <c r="M65"/>
      <c r="N65" s="467" t="s">
        <v>217</v>
      </c>
      <c r="O65" s="468"/>
      <c r="P65" s="469"/>
      <c r="T65" s="222"/>
    </row>
    <row r="66" spans="1:20" ht="31.5">
      <c r="A66" s="196">
        <v>74</v>
      </c>
      <c r="B66" s="256"/>
      <c r="C66"/>
      <c r="D66"/>
      <c r="E66"/>
      <c r="F66" s="257" t="s">
        <v>218</v>
      </c>
      <c r="G66" s="257" t="s">
        <v>219</v>
      </c>
      <c r="H66" s="257" t="s">
        <v>92</v>
      </c>
      <c r="I66"/>
      <c r="J66" s="257" t="s">
        <v>218</v>
      </c>
      <c r="K66" s="257" t="s">
        <v>219</v>
      </c>
      <c r="L66" s="257" t="s">
        <v>92</v>
      </c>
      <c r="M66"/>
      <c r="N66" s="257" t="s">
        <v>218</v>
      </c>
      <c r="O66" s="257" t="s">
        <v>219</v>
      </c>
      <c r="P66" s="257" t="s">
        <v>92</v>
      </c>
      <c r="T66" s="222"/>
    </row>
    <row r="67" spans="1:20" ht="15.75">
      <c r="A67" s="196">
        <v>75</v>
      </c>
      <c r="B67" s="256"/>
      <c r="C67"/>
      <c r="D67"/>
      <c r="E67"/>
      <c r="F67" s="257" t="s">
        <v>128</v>
      </c>
      <c r="G67" s="257" t="s">
        <v>129</v>
      </c>
      <c r="H67" s="257" t="s">
        <v>130</v>
      </c>
      <c r="I67"/>
      <c r="J67" s="257" t="s">
        <v>131</v>
      </c>
      <c r="K67" s="257" t="s">
        <v>220</v>
      </c>
      <c r="L67" s="257" t="s">
        <v>221</v>
      </c>
      <c r="M67"/>
      <c r="N67" s="257" t="s">
        <v>222</v>
      </c>
      <c r="O67" s="257" t="s">
        <v>223</v>
      </c>
      <c r="P67" s="257" t="s">
        <v>224</v>
      </c>
      <c r="T67" s="222"/>
    </row>
    <row r="68" spans="1:20" ht="15.75">
      <c r="A68" s="196">
        <v>76</v>
      </c>
      <c r="B68" s="235" t="s">
        <v>225</v>
      </c>
      <c r="C68"/>
      <c r="D68"/>
      <c r="E68"/>
      <c r="F68" s="258">
        <f>+R52</f>
        <v>845351.6899999998</v>
      </c>
      <c r="G68" s="259">
        <v>0.5643</v>
      </c>
      <c r="H68" s="258">
        <f>ROUND(+F68*G68,2)</f>
        <v>477031.96</v>
      </c>
      <c r="I68"/>
      <c r="J68" s="258">
        <v>0</v>
      </c>
      <c r="K68" s="259">
        <v>0.5643</v>
      </c>
      <c r="L68" s="258">
        <f>ROUND(+J68*K68,2)</f>
        <v>0</v>
      </c>
      <c r="M68"/>
      <c r="N68" s="258">
        <f>+J68-F68</f>
        <v>-845351.6899999998</v>
      </c>
      <c r="O68" s="259">
        <v>0.5643</v>
      </c>
      <c r="P68" s="258">
        <f>+N68*O68</f>
        <v>-477031.95866699994</v>
      </c>
      <c r="T68" s="222"/>
    </row>
    <row r="69" spans="1:20" ht="15.75">
      <c r="A69" s="196">
        <v>77</v>
      </c>
      <c r="B69" s="260" t="s">
        <v>226</v>
      </c>
      <c r="C69"/>
      <c r="D69"/>
      <c r="E69"/>
      <c r="F69" s="258">
        <f>+R54</f>
        <v>4889314.81</v>
      </c>
      <c r="G69" s="259">
        <v>0.5643</v>
      </c>
      <c r="H69" s="258">
        <f>ROUND(+F69*G69,2)</f>
        <v>2759040.35</v>
      </c>
      <c r="I69"/>
      <c r="J69" s="258">
        <f>+R59</f>
        <v>5734666.499999999</v>
      </c>
      <c r="K69" s="259">
        <v>0.5643</v>
      </c>
      <c r="L69" s="258">
        <f>ROUND(+J69*K69,2)</f>
        <v>3236072.31</v>
      </c>
      <c r="M69"/>
      <c r="N69" s="258">
        <f>+J69-F69</f>
        <v>845351.6899999995</v>
      </c>
      <c r="O69" s="259">
        <v>0.5643</v>
      </c>
      <c r="P69" s="258">
        <f>+N69*O69</f>
        <v>477031.9586669997</v>
      </c>
      <c r="T69" s="222"/>
    </row>
    <row r="70" spans="1:20" ht="16.5" thickBot="1">
      <c r="A70" s="196">
        <v>78</v>
      </c>
      <c r="B70" s="260" t="s">
        <v>227</v>
      </c>
      <c r="C70"/>
      <c r="D70"/>
      <c r="E70"/>
      <c r="F70" s="261">
        <f>+F68+F69</f>
        <v>5734666.499999999</v>
      </c>
      <c r="G70" s="262"/>
      <c r="H70" s="261">
        <f>+H68+H69</f>
        <v>3236072.31</v>
      </c>
      <c r="I70"/>
      <c r="J70" s="261">
        <f>+J68+J69</f>
        <v>5734666.499999999</v>
      </c>
      <c r="K70" s="262"/>
      <c r="L70" s="261">
        <f>+L68+L69</f>
        <v>3236072.31</v>
      </c>
      <c r="M70"/>
      <c r="N70" s="263">
        <f>+N68+N69</f>
        <v>0</v>
      </c>
      <c r="O70" s="262"/>
      <c r="P70" s="263">
        <f>+P68+P69</f>
        <v>0</v>
      </c>
      <c r="T70" s="222"/>
    </row>
    <row r="71" spans="1:20" ht="16.5" thickTop="1">
      <c r="A71" s="196">
        <v>79</v>
      </c>
      <c r="B71" s="260" t="s">
        <v>228</v>
      </c>
      <c r="C71"/>
      <c r="D71"/>
      <c r="E71"/>
      <c r="F71" s="258">
        <f>+V53</f>
        <v>176319.94999999998</v>
      </c>
      <c r="G71" s="259">
        <v>0.6277</v>
      </c>
      <c r="H71" s="258">
        <f>+F71*G71</f>
        <v>110676.03261499999</v>
      </c>
      <c r="I71"/>
      <c r="J71" s="258">
        <f>+Z53</f>
        <v>0</v>
      </c>
      <c r="K71" s="259">
        <v>0.6277</v>
      </c>
      <c r="L71" s="258">
        <f>+J71*K71</f>
        <v>0</v>
      </c>
      <c r="M71"/>
      <c r="N71" s="258">
        <f>+J71-F71</f>
        <v>-176319.94999999998</v>
      </c>
      <c r="O71" s="259">
        <v>0.6277</v>
      </c>
      <c r="P71" s="258">
        <f>+N71*O71</f>
        <v>-110676.03261499999</v>
      </c>
      <c r="T71" s="222"/>
    </row>
    <row r="72" spans="1:20" ht="15.75">
      <c r="A72" s="196">
        <v>80</v>
      </c>
      <c r="B72" s="260" t="s">
        <v>229</v>
      </c>
      <c r="C72"/>
      <c r="D72"/>
      <c r="E72"/>
      <c r="F72" s="258">
        <f>+V55</f>
        <v>4492927.04</v>
      </c>
      <c r="G72" s="259">
        <v>0.6277</v>
      </c>
      <c r="H72" s="258">
        <f>+F72*G72</f>
        <v>2820210.3030080004</v>
      </c>
      <c r="I72"/>
      <c r="J72" s="258">
        <f>+V60</f>
        <v>3105150.23</v>
      </c>
      <c r="K72" s="259">
        <v>0.6277</v>
      </c>
      <c r="L72" s="258">
        <f>+J72*K72</f>
        <v>1949102.7993710001</v>
      </c>
      <c r="M72"/>
      <c r="N72" s="258">
        <f>+J72-F72</f>
        <v>-1387776.81</v>
      </c>
      <c r="O72" s="259">
        <v>0.6277</v>
      </c>
      <c r="P72" s="258">
        <f>+N72*O72</f>
        <v>-871107.5036370001</v>
      </c>
      <c r="T72" s="222"/>
    </row>
    <row r="73" spans="1:20" ht="16.5" thickBot="1">
      <c r="A73" s="196">
        <v>81</v>
      </c>
      <c r="B73" s="260" t="s">
        <v>227</v>
      </c>
      <c r="C73"/>
      <c r="D73"/>
      <c r="E73"/>
      <c r="F73" s="261">
        <f>+F71+F72</f>
        <v>4669246.99</v>
      </c>
      <c r="G73" s="262"/>
      <c r="H73" s="261">
        <f>+H71+H72</f>
        <v>2930886.3356230003</v>
      </c>
      <c r="I73"/>
      <c r="J73" s="261">
        <f>+J71+J72</f>
        <v>3105150.23</v>
      </c>
      <c r="K73" s="262"/>
      <c r="L73" s="261">
        <f>+L71+L72</f>
        <v>1949102.7993710001</v>
      </c>
      <c r="M73"/>
      <c r="N73" s="264">
        <f>+N71+N72</f>
        <v>-1564096.76</v>
      </c>
      <c r="O73" s="262"/>
      <c r="P73" s="263">
        <f>+P71+P72</f>
        <v>-981783.5362520001</v>
      </c>
      <c r="T73" s="222"/>
    </row>
    <row r="74" spans="1:20" ht="16.5" thickTop="1">
      <c r="A74" s="196">
        <v>82</v>
      </c>
      <c r="B74" s="260"/>
      <c r="C74"/>
      <c r="D74"/>
      <c r="E74"/>
      <c r="F74" s="258"/>
      <c r="G74" s="262"/>
      <c r="H74" s="258"/>
      <c r="I74"/>
      <c r="J74" s="265"/>
      <c r="K74" s="262"/>
      <c r="L74" s="258"/>
      <c r="M74"/>
      <c r="N74" s="266"/>
      <c r="O74" s="262"/>
      <c r="P74" s="258"/>
      <c r="T74" s="222"/>
    </row>
    <row r="75" spans="1:20" ht="15.75">
      <c r="A75" s="196">
        <v>83</v>
      </c>
      <c r="B75" s="260" t="s">
        <v>230</v>
      </c>
      <c r="C75"/>
      <c r="D75"/>
      <c r="E75"/>
      <c r="F75" s="258">
        <f>+F68-F71</f>
        <v>669031.7399999999</v>
      </c>
      <c r="G75" s="262"/>
      <c r="H75" s="258">
        <f>+H68-H71</f>
        <v>366355.92738500005</v>
      </c>
      <c r="I75"/>
      <c r="J75" s="258">
        <f>+J68-J71</f>
        <v>0</v>
      </c>
      <c r="K75" s="262"/>
      <c r="L75" s="258">
        <f>+L68-L71</f>
        <v>0</v>
      </c>
      <c r="M75"/>
      <c r="N75" s="198"/>
      <c r="O75" s="262"/>
      <c r="P75" s="258"/>
      <c r="T75" s="222"/>
    </row>
    <row r="76" spans="1:20" ht="15.75">
      <c r="A76" s="196">
        <v>84</v>
      </c>
      <c r="B76" s="260" t="s">
        <v>231</v>
      </c>
      <c r="C76"/>
      <c r="D76"/>
      <c r="E76"/>
      <c r="F76" s="258">
        <f>+F69-F72</f>
        <v>396387.76999999955</v>
      </c>
      <c r="G76" s="262"/>
      <c r="H76" s="258">
        <f>+H69-H72</f>
        <v>-61169.95300800027</v>
      </c>
      <c r="I76"/>
      <c r="J76" s="258">
        <f>+J69-J72</f>
        <v>2629516.269999999</v>
      </c>
      <c r="K76" s="262"/>
      <c r="L76" s="258">
        <f>+L69-L72</f>
        <v>1286969.510629</v>
      </c>
      <c r="M76"/>
      <c r="N76" s="258"/>
      <c r="O76" s="262"/>
      <c r="P76" s="258"/>
      <c r="T76" s="222"/>
    </row>
    <row r="77" spans="1:20" ht="15.75">
      <c r="A77" s="196">
        <v>85</v>
      </c>
      <c r="B77" s="260" t="s">
        <v>227</v>
      </c>
      <c r="C77"/>
      <c r="D77"/>
      <c r="E77"/>
      <c r="F77" s="261">
        <f>+F75+F76</f>
        <v>1065419.5099999993</v>
      </c>
      <c r="G77" s="262"/>
      <c r="H77" s="261">
        <f>+H75+H76</f>
        <v>305185.9743769998</v>
      </c>
      <c r="I77"/>
      <c r="J77" s="261">
        <f>+J75+J76</f>
        <v>2629516.269999999</v>
      </c>
      <c r="K77" s="262"/>
      <c r="L77" s="261">
        <f>+L75+L76</f>
        <v>1286969.510629</v>
      </c>
      <c r="M77"/>
      <c r="N77" s="258"/>
      <c r="O77" s="262"/>
      <c r="P77" s="258"/>
      <c r="T77" s="222"/>
    </row>
    <row r="78" spans="1:20" ht="15.75">
      <c r="A78" s="196">
        <v>86</v>
      </c>
      <c r="B78" s="260" t="s">
        <v>232</v>
      </c>
      <c r="C78"/>
      <c r="D78"/>
      <c r="E78"/>
      <c r="F78" s="258"/>
      <c r="G78" s="262"/>
      <c r="H78" s="258"/>
      <c r="I78"/>
      <c r="J78" s="267">
        <v>0.0833</v>
      </c>
      <c r="K78" s="262"/>
      <c r="L78" s="258"/>
      <c r="M78"/>
      <c r="N78" s="258"/>
      <c r="O78" s="262"/>
      <c r="P78" s="258"/>
      <c r="T78" s="222"/>
    </row>
    <row r="79" spans="1:20" ht="15.75">
      <c r="A79" s="196">
        <v>87</v>
      </c>
      <c r="B79" s="260" t="s">
        <v>233</v>
      </c>
      <c r="C79"/>
      <c r="D79"/>
      <c r="E79"/>
      <c r="F79" s="258"/>
      <c r="G79" s="262"/>
      <c r="H79" s="258"/>
      <c r="I79"/>
      <c r="J79" s="258">
        <f>+J78*J70</f>
        <v>477697.7194499999</v>
      </c>
      <c r="K79" s="262"/>
      <c r="L79" s="258"/>
      <c r="M79"/>
      <c r="N79" s="258"/>
      <c r="O79" s="262"/>
      <c r="P79" s="258"/>
      <c r="T79" s="222"/>
    </row>
    <row r="80" spans="1:20" ht="15.75">
      <c r="A80" s="196">
        <v>88</v>
      </c>
      <c r="B80" s="260" t="s">
        <v>234</v>
      </c>
      <c r="C80"/>
      <c r="D80"/>
      <c r="E80"/>
      <c r="F80" s="258"/>
      <c r="G80"/>
      <c r="H80" s="258"/>
      <c r="I80"/>
      <c r="J80" s="258">
        <f>+J77/J79</f>
        <v>5.504561070602364</v>
      </c>
      <c r="K80"/>
      <c r="L80" s="258"/>
      <c r="M80"/>
      <c r="N80"/>
      <c r="O80"/>
      <c r="P80"/>
      <c r="T80" s="222"/>
    </row>
    <row r="81" spans="1:20" ht="15.75">
      <c r="A81" s="196">
        <v>89</v>
      </c>
      <c r="B81" s="260" t="s">
        <v>235</v>
      </c>
      <c r="C81"/>
      <c r="D81"/>
      <c r="E81"/>
      <c r="F81" s="268"/>
      <c r="G81"/>
      <c r="H81" s="268"/>
      <c r="I81"/>
      <c r="J81" s="268">
        <v>12</v>
      </c>
      <c r="K81"/>
      <c r="L81" s="268"/>
      <c r="M81"/>
      <c r="N81"/>
      <c r="O81"/>
      <c r="P81"/>
      <c r="T81" s="222"/>
    </row>
    <row r="82" spans="1:20" ht="15.75">
      <c r="A82" s="196">
        <v>90</v>
      </c>
      <c r="B82" s="260" t="s">
        <v>236</v>
      </c>
      <c r="C82"/>
      <c r="D82"/>
      <c r="E82"/>
      <c r="F82" s="258"/>
      <c r="G82"/>
      <c r="H82" s="258"/>
      <c r="I82"/>
      <c r="J82" s="258">
        <f>ROUND(+J80*J81,2)</f>
        <v>66.05</v>
      </c>
      <c r="K82"/>
      <c r="L82" s="258"/>
      <c r="M82"/>
      <c r="N82"/>
      <c r="O82"/>
      <c r="P82"/>
      <c r="T82" s="222"/>
    </row>
    <row r="83" spans="1:20" ht="15.75">
      <c r="A83" s="196">
        <v>91</v>
      </c>
      <c r="B83" s="260" t="s">
        <v>237</v>
      </c>
      <c r="C83"/>
      <c r="D83"/>
      <c r="E83"/>
      <c r="F83" s="260"/>
      <c r="G83"/>
      <c r="H83" s="260"/>
      <c r="I83"/>
      <c r="J83" s="269" t="s">
        <v>238</v>
      </c>
      <c r="K83"/>
      <c r="L83" s="270"/>
      <c r="M83"/>
      <c r="N83"/>
      <c r="O83"/>
      <c r="P83"/>
      <c r="T83" s="222"/>
    </row>
    <row r="84" spans="1:53" s="273" customFormat="1" ht="15.75">
      <c r="A84" s="271"/>
      <c r="B84" s="272"/>
      <c r="N84" s="274"/>
      <c r="T84" s="274"/>
      <c r="V84" s="274"/>
      <c r="W84" s="275"/>
      <c r="X84" s="275"/>
      <c r="Y84" s="275"/>
      <c r="Z84" s="275"/>
      <c r="AA84" s="275"/>
      <c r="AB84" s="275"/>
      <c r="AC84" s="275"/>
      <c r="AD84" s="275"/>
      <c r="AE84" s="275"/>
      <c r="AF84" s="275"/>
      <c r="AG84" s="275"/>
      <c r="AH84" s="275"/>
      <c r="AI84" s="275"/>
      <c r="AJ84" s="275"/>
      <c r="AK84" s="275"/>
      <c r="AL84" s="275"/>
      <c r="AM84" s="275"/>
      <c r="AN84" s="275"/>
      <c r="AO84" s="275"/>
      <c r="AP84" s="275"/>
      <c r="AQ84" s="275"/>
      <c r="AR84" s="275"/>
      <c r="AS84" s="275"/>
      <c r="AT84" s="275"/>
      <c r="AU84" s="275"/>
      <c r="AV84" s="275"/>
      <c r="AW84" s="275"/>
      <c r="AX84" s="275"/>
      <c r="AY84" s="275"/>
      <c r="AZ84" s="275"/>
      <c r="BA84" s="275"/>
    </row>
    <row r="85" spans="1:20" ht="15.75">
      <c r="A85" s="235"/>
      <c r="B85" s="242"/>
      <c r="T85" s="222"/>
    </row>
    <row r="86" spans="1:20" ht="15.75">
      <c r="A86" s="235"/>
      <c r="B86" s="242"/>
      <c r="T86" s="222"/>
    </row>
  </sheetData>
  <mergeCells count="10">
    <mergeCell ref="B1:E1"/>
    <mergeCell ref="S3:V3"/>
    <mergeCell ref="N65:P65"/>
    <mergeCell ref="B34:D35"/>
    <mergeCell ref="S33:V33"/>
    <mergeCell ref="B4:D5"/>
    <mergeCell ref="B49:D50"/>
    <mergeCell ref="B19:D20"/>
    <mergeCell ref="F65:H65"/>
    <mergeCell ref="J65:L65"/>
  </mergeCells>
  <printOptions/>
  <pageMargins left="0.5" right="0" top="0.31" bottom="0.26" header="0.32" footer="0.26"/>
  <pageSetup fitToHeight="2" fitToWidth="2" orientation="landscape" scale="38" r:id="rId3"/>
  <legacyDrawing r:id="rId2"/>
</worksheet>
</file>

<file path=xl/worksheets/sheet5.xml><?xml version="1.0" encoding="utf-8"?>
<worksheet xmlns="http://schemas.openxmlformats.org/spreadsheetml/2006/main" xmlns:r="http://schemas.openxmlformats.org/officeDocument/2006/relationships">
  <sheetPr>
    <tabColor indexed="12"/>
  </sheetPr>
  <dimension ref="A1:T158"/>
  <sheetViews>
    <sheetView workbookViewId="0" topLeftCell="A35">
      <selection activeCell="C19" sqref="C19"/>
    </sheetView>
  </sheetViews>
  <sheetFormatPr defaultColWidth="9.140625" defaultRowHeight="12.75"/>
  <cols>
    <col min="1" max="1" width="3.00390625" style="0" customWidth="1"/>
    <col min="2" max="2" width="8.28125" style="0" customWidth="1"/>
    <col min="3" max="3" width="33.00390625" style="0" customWidth="1"/>
    <col min="4" max="4" width="12.00390625" style="0" bestFit="1" customWidth="1"/>
    <col min="5" max="5" width="11.28125" style="0" bestFit="1" customWidth="1"/>
    <col min="6" max="6" width="12.00390625" style="0" bestFit="1" customWidth="1"/>
    <col min="7" max="7" width="12.140625" style="0" bestFit="1" customWidth="1"/>
    <col min="8" max="8" width="15.28125" style="0" customWidth="1"/>
    <col min="9" max="10" width="12.140625" style="0" customWidth="1"/>
    <col min="11" max="11" width="12.00390625" style="0" customWidth="1"/>
    <col min="12" max="12" width="8.421875" style="0" customWidth="1"/>
    <col min="13" max="13" width="16.57421875" style="0" customWidth="1"/>
    <col min="14" max="14" width="14.28125" style="0" customWidth="1"/>
    <col min="15" max="15" width="12.00390625" style="0" bestFit="1" customWidth="1"/>
    <col min="16" max="16" width="15.00390625" style="0" customWidth="1"/>
    <col min="17" max="17" width="15.57421875" style="0" customWidth="1"/>
    <col min="18" max="18" width="3.28125" style="0" customWidth="1"/>
  </cols>
  <sheetData>
    <row r="1" spans="1:17" s="177" customFormat="1" ht="15.75">
      <c r="A1" s="126" t="s">
        <v>135</v>
      </c>
      <c r="B1" s="127"/>
      <c r="C1" s="127"/>
      <c r="D1" s="127"/>
      <c r="E1" s="127"/>
      <c r="F1" s="127"/>
      <c r="G1" s="127"/>
      <c r="H1" s="127"/>
      <c r="I1" s="127"/>
      <c r="J1" s="127"/>
      <c r="K1" s="127"/>
      <c r="L1" s="127"/>
      <c r="Q1" s="276" t="s">
        <v>239</v>
      </c>
    </row>
    <row r="2" spans="1:12" s="177" customFormat="1" ht="12.75">
      <c r="A2" s="129" t="s">
        <v>240</v>
      </c>
      <c r="B2" s="129"/>
      <c r="C2" s="129"/>
      <c r="D2" s="129"/>
      <c r="E2" s="129"/>
      <c r="F2" s="129"/>
      <c r="G2" s="129"/>
      <c r="H2" s="129"/>
      <c r="I2" s="129"/>
      <c r="J2" s="129"/>
      <c r="K2" s="129"/>
      <c r="L2" s="129"/>
    </row>
    <row r="3" spans="1:12" ht="15.75">
      <c r="A3" s="131"/>
      <c r="B3" s="132"/>
      <c r="C3" s="132"/>
      <c r="D3" s="132"/>
      <c r="E3" s="132"/>
      <c r="F3" s="132"/>
      <c r="G3" s="132"/>
      <c r="H3" s="258"/>
      <c r="I3" s="132"/>
      <c r="J3" s="132"/>
      <c r="K3" s="132"/>
      <c r="L3" s="132"/>
    </row>
    <row r="4" spans="1:14" s="145" customFormat="1" ht="42.75" customHeight="1">
      <c r="A4" s="134"/>
      <c r="B4" s="134"/>
      <c r="C4" s="134"/>
      <c r="G4"/>
      <c r="H4"/>
      <c r="I4"/>
      <c r="J4"/>
      <c r="K4" s="139"/>
      <c r="L4" s="134"/>
      <c r="M4" s="134"/>
      <c r="N4" s="134"/>
    </row>
    <row r="5" spans="1:17" s="145" customFormat="1" ht="12.75">
      <c r="A5" s="134"/>
      <c r="B5" s="134"/>
      <c r="C5" s="134"/>
      <c r="D5" s="478" t="s">
        <v>241</v>
      </c>
      <c r="E5" s="482"/>
      <c r="F5" s="483"/>
      <c r="G5" s="478" t="s">
        <v>242</v>
      </c>
      <c r="H5" s="479"/>
      <c r="I5" s="479"/>
      <c r="J5" s="277"/>
      <c r="K5" s="478" t="s">
        <v>243</v>
      </c>
      <c r="L5" s="482"/>
      <c r="M5" s="482"/>
      <c r="N5" s="482"/>
      <c r="O5" s="277"/>
      <c r="P5" s="277"/>
      <c r="Q5" s="277"/>
    </row>
    <row r="6" spans="1:17" s="145" customFormat="1" ht="12">
      <c r="A6" s="134"/>
      <c r="B6" s="134"/>
      <c r="C6" s="134"/>
      <c r="D6" s="484"/>
      <c r="E6" s="485"/>
      <c r="F6" s="486"/>
      <c r="G6" s="480"/>
      <c r="H6" s="481"/>
      <c r="I6" s="481"/>
      <c r="J6" s="278">
        <v>38352</v>
      </c>
      <c r="K6" s="484"/>
      <c r="L6" s="485"/>
      <c r="M6" s="485"/>
      <c r="N6" s="485"/>
      <c r="O6" s="278">
        <v>38717</v>
      </c>
      <c r="P6" s="278" t="s">
        <v>145</v>
      </c>
      <c r="Q6" s="278" t="s">
        <v>244</v>
      </c>
    </row>
    <row r="7" spans="1:17" s="145" customFormat="1" ht="12">
      <c r="A7" s="133" t="s">
        <v>143</v>
      </c>
      <c r="B7" s="134"/>
      <c r="C7" s="134"/>
      <c r="D7" s="279">
        <v>38352</v>
      </c>
      <c r="E7" s="135" t="s">
        <v>245</v>
      </c>
      <c r="F7" s="279">
        <v>38352</v>
      </c>
      <c r="G7" s="280">
        <v>38352</v>
      </c>
      <c r="H7" s="135" t="s">
        <v>246</v>
      </c>
      <c r="I7" s="279">
        <v>38352</v>
      </c>
      <c r="J7" s="180" t="s">
        <v>142</v>
      </c>
      <c r="K7" s="281">
        <v>2004</v>
      </c>
      <c r="L7" s="282" t="s">
        <v>247</v>
      </c>
      <c r="M7" s="180">
        <v>2005</v>
      </c>
      <c r="N7" s="282" t="s">
        <v>125</v>
      </c>
      <c r="O7" s="180" t="s">
        <v>248</v>
      </c>
      <c r="P7" s="180" t="s">
        <v>248</v>
      </c>
      <c r="Q7" s="180" t="s">
        <v>249</v>
      </c>
    </row>
    <row r="8" spans="1:17" s="145" customFormat="1" ht="12">
      <c r="A8" s="133"/>
      <c r="B8" s="134"/>
      <c r="C8" s="134"/>
      <c r="D8" s="278" t="s">
        <v>250</v>
      </c>
      <c r="E8" s="180" t="s">
        <v>251</v>
      </c>
      <c r="F8" s="180" t="s">
        <v>142</v>
      </c>
      <c r="G8" s="281" t="s">
        <v>250</v>
      </c>
      <c r="H8" s="180" t="s">
        <v>252</v>
      </c>
      <c r="I8" s="180" t="s">
        <v>142</v>
      </c>
      <c r="J8" s="180" t="s">
        <v>253</v>
      </c>
      <c r="K8" s="281" t="s">
        <v>254</v>
      </c>
      <c r="L8" s="282" t="s">
        <v>255</v>
      </c>
      <c r="M8" s="180" t="s">
        <v>248</v>
      </c>
      <c r="N8" s="282" t="s">
        <v>256</v>
      </c>
      <c r="O8" s="180" t="s">
        <v>257</v>
      </c>
      <c r="P8" s="180" t="s">
        <v>257</v>
      </c>
      <c r="Q8" s="180" t="s">
        <v>257</v>
      </c>
    </row>
    <row r="9" spans="1:17" s="145" customFormat="1" ht="12">
      <c r="A9" s="182" t="s">
        <v>150</v>
      </c>
      <c r="B9" s="137" t="s">
        <v>93</v>
      </c>
      <c r="C9" s="137" t="s">
        <v>94</v>
      </c>
      <c r="D9" s="142" t="s">
        <v>254</v>
      </c>
      <c r="E9" s="142" t="s">
        <v>258</v>
      </c>
      <c r="F9" s="142" t="s">
        <v>250</v>
      </c>
      <c r="G9" s="283" t="s">
        <v>254</v>
      </c>
      <c r="H9" s="142" t="s">
        <v>259</v>
      </c>
      <c r="I9" s="142" t="s">
        <v>250</v>
      </c>
      <c r="J9" s="142"/>
      <c r="K9" s="283"/>
      <c r="L9" s="284"/>
      <c r="M9" s="138" t="s">
        <v>145</v>
      </c>
      <c r="N9" s="284" t="s">
        <v>260</v>
      </c>
      <c r="O9" s="142" t="s">
        <v>145</v>
      </c>
      <c r="P9" s="142" t="s">
        <v>145</v>
      </c>
      <c r="Q9" s="142" t="s">
        <v>145</v>
      </c>
    </row>
    <row r="10" spans="1:17" s="145" customFormat="1" ht="12">
      <c r="A10" s="136"/>
      <c r="B10" s="141" t="s">
        <v>55</v>
      </c>
      <c r="C10" s="141" t="s">
        <v>56</v>
      </c>
      <c r="D10" s="142" t="s">
        <v>98</v>
      </c>
      <c r="E10" s="142" t="s">
        <v>127</v>
      </c>
      <c r="F10" s="142" t="s">
        <v>128</v>
      </c>
      <c r="G10" s="142" t="s">
        <v>129</v>
      </c>
      <c r="H10" s="142" t="s">
        <v>130</v>
      </c>
      <c r="I10" s="142" t="s">
        <v>261</v>
      </c>
      <c r="J10" s="142" t="s">
        <v>131</v>
      </c>
      <c r="K10" s="142" t="s">
        <v>220</v>
      </c>
      <c r="L10" s="138" t="s">
        <v>132</v>
      </c>
      <c r="M10" s="138" t="s">
        <v>133</v>
      </c>
      <c r="N10" s="138" t="s">
        <v>262</v>
      </c>
      <c r="O10" s="285" t="s">
        <v>223</v>
      </c>
      <c r="P10" s="286" t="s">
        <v>134</v>
      </c>
      <c r="Q10" s="285" t="s">
        <v>263</v>
      </c>
    </row>
    <row r="11" spans="1:17" s="145" customFormat="1" ht="12">
      <c r="A11" s="136">
        <v>11</v>
      </c>
      <c r="B11" s="139"/>
      <c r="C11" s="139"/>
      <c r="D11" s="185"/>
      <c r="E11" s="185" t="s">
        <v>264</v>
      </c>
      <c r="F11" s="185" t="s">
        <v>265</v>
      </c>
      <c r="G11" s="185"/>
      <c r="H11" s="185" t="s">
        <v>266</v>
      </c>
      <c r="I11" s="185" t="s">
        <v>267</v>
      </c>
      <c r="J11" s="185" t="s">
        <v>268</v>
      </c>
      <c r="K11" s="185"/>
      <c r="L11" s="287"/>
      <c r="M11" s="135" t="s">
        <v>269</v>
      </c>
      <c r="N11" s="287" t="s">
        <v>270</v>
      </c>
      <c r="O11" s="288" t="s">
        <v>271</v>
      </c>
      <c r="P11" s="289" t="s">
        <v>272</v>
      </c>
      <c r="Q11" s="288" t="s">
        <v>273</v>
      </c>
    </row>
    <row r="12" spans="1:14" s="145" customFormat="1" ht="12">
      <c r="A12" s="136">
        <v>12</v>
      </c>
      <c r="B12" s="139"/>
      <c r="C12" s="139"/>
      <c r="D12" s="280"/>
      <c r="E12" s="280"/>
      <c r="F12" s="280"/>
      <c r="G12" s="280"/>
      <c r="H12" s="280"/>
      <c r="I12" s="280"/>
      <c r="J12" s="280"/>
      <c r="K12" s="280"/>
      <c r="L12" s="281"/>
      <c r="M12" s="180" t="s">
        <v>274</v>
      </c>
      <c r="N12" s="281"/>
    </row>
    <row r="13" spans="1:14" s="145" customFormat="1" ht="12">
      <c r="A13" s="136">
        <v>13</v>
      </c>
      <c r="B13" s="139"/>
      <c r="C13" s="139"/>
      <c r="D13" s="280"/>
      <c r="E13" s="280"/>
      <c r="F13" s="280"/>
      <c r="G13" s="280"/>
      <c r="H13" s="280"/>
      <c r="I13" s="280"/>
      <c r="J13" s="280"/>
      <c r="K13" s="280"/>
      <c r="L13" s="281"/>
      <c r="M13" s="180" t="s">
        <v>275</v>
      </c>
      <c r="N13" s="281"/>
    </row>
    <row r="14" spans="1:14" s="145" customFormat="1" ht="12">
      <c r="A14" s="136">
        <v>14</v>
      </c>
      <c r="B14" s="139"/>
      <c r="C14" s="139"/>
      <c r="D14" s="280"/>
      <c r="E14" s="280"/>
      <c r="F14" s="280"/>
      <c r="G14" s="280"/>
      <c r="H14" s="280"/>
      <c r="I14" s="280"/>
      <c r="J14" s="280"/>
      <c r="K14" s="280"/>
      <c r="L14" s="281"/>
      <c r="M14" s="290" t="s">
        <v>276</v>
      </c>
      <c r="N14" s="139"/>
    </row>
    <row r="15" spans="1:12" s="145" customFormat="1" ht="12">
      <c r="A15" s="136">
        <v>15</v>
      </c>
      <c r="B15" s="134"/>
      <c r="C15" s="146" t="s">
        <v>100</v>
      </c>
      <c r="D15" s="146"/>
      <c r="E15" s="146"/>
      <c r="F15" s="146"/>
      <c r="G15" s="146"/>
      <c r="H15" s="146"/>
      <c r="I15" s="146"/>
      <c r="J15" s="146"/>
      <c r="K15" s="146"/>
      <c r="L15" s="146"/>
    </row>
    <row r="16" spans="1:17" s="145" customFormat="1" ht="12.75">
      <c r="A16" s="136">
        <v>16</v>
      </c>
      <c r="B16" s="147">
        <v>2111</v>
      </c>
      <c r="C16" s="132" t="s">
        <v>277</v>
      </c>
      <c r="D16" s="189">
        <v>251831.2</v>
      </c>
      <c r="E16" s="189"/>
      <c r="F16" s="189">
        <f aca="true" t="shared" si="0" ref="F16:F22">+D16+E16</f>
        <v>251831.2</v>
      </c>
      <c r="G16" s="189"/>
      <c r="H16" s="189"/>
      <c r="I16" s="189"/>
      <c r="J16" s="189">
        <f aca="true" t="shared" si="1" ref="J16:J22">+F16-I16</f>
        <v>251831.2</v>
      </c>
      <c r="K16" s="189"/>
      <c r="L16" s="134"/>
      <c r="M16" s="134"/>
      <c r="N16" s="134"/>
      <c r="O16" s="291"/>
      <c r="Q16" s="291"/>
    </row>
    <row r="17" spans="1:17" s="145" customFormat="1" ht="12.75">
      <c r="A17" s="136">
        <v>17</v>
      </c>
      <c r="B17" s="147">
        <v>2112</v>
      </c>
      <c r="C17" s="132" t="s">
        <v>278</v>
      </c>
      <c r="D17" s="152">
        <v>0</v>
      </c>
      <c r="E17" s="152"/>
      <c r="F17" s="152">
        <f t="shared" si="0"/>
        <v>0</v>
      </c>
      <c r="G17" s="189">
        <v>0</v>
      </c>
      <c r="H17" s="189">
        <v>0</v>
      </c>
      <c r="I17" s="189">
        <f aca="true" t="shared" si="2" ref="I17:I22">+G17+H17</f>
        <v>0</v>
      </c>
      <c r="J17" s="292">
        <f t="shared" si="1"/>
        <v>0</v>
      </c>
      <c r="K17" s="189">
        <v>0</v>
      </c>
      <c r="L17" s="293">
        <v>0.2</v>
      </c>
      <c r="M17" s="189">
        <f aca="true" t="shared" si="3" ref="M17:M22">IF(J17&gt;0,IF($L17*F17&gt;J17,J17,$L17*F17),0)</f>
        <v>0</v>
      </c>
      <c r="N17" s="189">
        <f>+M17-K17</f>
        <v>0</v>
      </c>
      <c r="O17" s="189">
        <f aca="true" t="shared" si="4" ref="O17:O22">+I17+M17</f>
        <v>0</v>
      </c>
      <c r="P17" s="189">
        <f>+'DDM 03'!H13</f>
        <v>0</v>
      </c>
      <c r="Q17" s="189">
        <f aca="true" t="shared" si="5" ref="Q17:Q22">+O17+P17</f>
        <v>0</v>
      </c>
    </row>
    <row r="18" spans="1:17" s="145" customFormat="1" ht="12.75">
      <c r="A18" s="136">
        <v>18</v>
      </c>
      <c r="B18" s="147">
        <v>2116</v>
      </c>
      <c r="C18" s="132" t="s">
        <v>279</v>
      </c>
      <c r="D18" s="152">
        <v>318945</v>
      </c>
      <c r="E18" s="152"/>
      <c r="F18" s="152">
        <f t="shared" si="0"/>
        <v>318945</v>
      </c>
      <c r="G18" s="292">
        <v>248308</v>
      </c>
      <c r="H18" s="152">
        <v>0</v>
      </c>
      <c r="I18" s="292">
        <f t="shared" si="2"/>
        <v>248308</v>
      </c>
      <c r="J18" s="292">
        <f t="shared" si="1"/>
        <v>70637</v>
      </c>
      <c r="K18" s="292">
        <v>63789</v>
      </c>
      <c r="L18" s="293">
        <v>0.2</v>
      </c>
      <c r="M18" s="292">
        <f t="shared" si="3"/>
        <v>63789</v>
      </c>
      <c r="N18" s="292">
        <f>+M18-K18</f>
        <v>0</v>
      </c>
      <c r="O18" s="292">
        <f t="shared" si="4"/>
        <v>312097</v>
      </c>
      <c r="P18" s="292">
        <f>+'DDM 03'!H14</f>
        <v>0</v>
      </c>
      <c r="Q18" s="292">
        <f t="shared" si="5"/>
        <v>312097</v>
      </c>
    </row>
    <row r="19" spans="1:17" s="190" customFormat="1" ht="12.75">
      <c r="A19" s="136">
        <v>19</v>
      </c>
      <c r="B19" s="154">
        <v>2121</v>
      </c>
      <c r="C19" s="155" t="s">
        <v>280</v>
      </c>
      <c r="D19" s="152">
        <v>2500973</v>
      </c>
      <c r="E19" s="152"/>
      <c r="F19" s="152">
        <f t="shared" si="0"/>
        <v>2500973</v>
      </c>
      <c r="G19" s="294">
        <v>1146617</v>
      </c>
      <c r="H19" s="152">
        <v>0</v>
      </c>
      <c r="I19" s="292">
        <f t="shared" si="2"/>
        <v>1146617</v>
      </c>
      <c r="J19" s="292">
        <f t="shared" si="1"/>
        <v>1354356</v>
      </c>
      <c r="K19" s="292">
        <v>83283</v>
      </c>
      <c r="L19" s="293">
        <v>0.04</v>
      </c>
      <c r="M19" s="292">
        <f t="shared" si="3"/>
        <v>100038.92</v>
      </c>
      <c r="N19" s="292">
        <f>+M19-K19</f>
        <v>16755.92</v>
      </c>
      <c r="O19" s="292">
        <f t="shared" si="4"/>
        <v>1246655.92</v>
      </c>
      <c r="P19" s="292" t="e">
        <f>+'DDM 03'!H15</f>
        <v>#REF!</v>
      </c>
      <c r="Q19" s="292" t="e">
        <f t="shared" si="5"/>
        <v>#REF!</v>
      </c>
    </row>
    <row r="20" spans="1:17" s="145" customFormat="1" ht="12.75">
      <c r="A20" s="136">
        <v>20</v>
      </c>
      <c r="B20" s="147">
        <v>2122</v>
      </c>
      <c r="C20" s="132" t="s">
        <v>281</v>
      </c>
      <c r="D20" s="152">
        <v>25512</v>
      </c>
      <c r="E20" s="152"/>
      <c r="F20" s="152">
        <f t="shared" si="0"/>
        <v>25512</v>
      </c>
      <c r="G20" s="292">
        <v>13912</v>
      </c>
      <c r="H20" s="152">
        <v>0</v>
      </c>
      <c r="I20" s="292">
        <f t="shared" si="2"/>
        <v>13912</v>
      </c>
      <c r="J20" s="292">
        <f t="shared" si="1"/>
        <v>11600</v>
      </c>
      <c r="K20" s="292">
        <v>3827</v>
      </c>
      <c r="L20" s="293">
        <v>0.15</v>
      </c>
      <c r="M20" s="292">
        <f t="shared" si="3"/>
        <v>3826.7999999999997</v>
      </c>
      <c r="N20" s="292">
        <f>+M20-K20+0.3</f>
        <v>0.09999999999972714</v>
      </c>
      <c r="O20" s="292">
        <f t="shared" si="4"/>
        <v>17738.8</v>
      </c>
      <c r="P20" s="292">
        <f>+'DDM 03'!H16</f>
        <v>0</v>
      </c>
      <c r="Q20" s="292">
        <f t="shared" si="5"/>
        <v>17738.8</v>
      </c>
    </row>
    <row r="21" spans="1:17" s="145" customFormat="1" ht="12.75">
      <c r="A21" s="136">
        <v>21</v>
      </c>
      <c r="B21" s="147">
        <v>2123</v>
      </c>
      <c r="C21" s="132" t="s">
        <v>282</v>
      </c>
      <c r="D21" s="152">
        <v>5377</v>
      </c>
      <c r="E21" s="152"/>
      <c r="F21" s="152">
        <f t="shared" si="0"/>
        <v>5377</v>
      </c>
      <c r="G21" s="292">
        <v>5377</v>
      </c>
      <c r="H21" s="152">
        <v>0</v>
      </c>
      <c r="I21" s="292">
        <f t="shared" si="2"/>
        <v>5377</v>
      </c>
      <c r="J21" s="292">
        <f t="shared" si="1"/>
        <v>0</v>
      </c>
      <c r="K21" s="152">
        <v>0</v>
      </c>
      <c r="L21" s="293">
        <v>0.2</v>
      </c>
      <c r="M21" s="292">
        <f t="shared" si="3"/>
        <v>0</v>
      </c>
      <c r="N21" s="292">
        <f>+M21-K21</f>
        <v>0</v>
      </c>
      <c r="O21" s="292">
        <f t="shared" si="4"/>
        <v>5377</v>
      </c>
      <c r="P21" s="292">
        <f>+'DDM 03'!H17</f>
        <v>0</v>
      </c>
      <c r="Q21" s="292">
        <f t="shared" si="5"/>
        <v>5377</v>
      </c>
    </row>
    <row r="22" spans="1:17" s="145" customFormat="1" ht="12.75">
      <c r="A22" s="136">
        <v>22</v>
      </c>
      <c r="B22" s="147">
        <v>2124</v>
      </c>
      <c r="C22" s="132" t="s">
        <v>283</v>
      </c>
      <c r="D22" s="167">
        <v>67842</v>
      </c>
      <c r="E22" s="167"/>
      <c r="F22" s="167">
        <f t="shared" si="0"/>
        <v>67842</v>
      </c>
      <c r="G22" s="295">
        <v>41096</v>
      </c>
      <c r="H22" s="167">
        <v>0</v>
      </c>
      <c r="I22" s="295">
        <f t="shared" si="2"/>
        <v>41096</v>
      </c>
      <c r="J22" s="295">
        <f t="shared" si="1"/>
        <v>26746</v>
      </c>
      <c r="K22" s="295">
        <v>16595</v>
      </c>
      <c r="L22" s="293">
        <v>0.2</v>
      </c>
      <c r="M22" s="295">
        <f t="shared" si="3"/>
        <v>13568.400000000001</v>
      </c>
      <c r="N22" s="295">
        <f>+M22-K22</f>
        <v>-3026.5999999999985</v>
      </c>
      <c r="O22" s="295">
        <f t="shared" si="4"/>
        <v>54664.4</v>
      </c>
      <c r="P22" s="295" t="e">
        <f>+'DDM 03'!H18</f>
        <v>#REF!</v>
      </c>
      <c r="Q22" s="296" t="e">
        <f t="shared" si="5"/>
        <v>#REF!</v>
      </c>
    </row>
    <row r="23" spans="1:17" s="145" customFormat="1" ht="12">
      <c r="A23" s="136">
        <v>23</v>
      </c>
      <c r="B23" s="133"/>
      <c r="C23" s="133" t="s">
        <v>108</v>
      </c>
      <c r="D23" s="152">
        <f>SUM(D16:D22)</f>
        <v>3170480.2</v>
      </c>
      <c r="E23" s="152"/>
      <c r="F23" s="152">
        <f>SUM(F16:F22)</f>
        <v>3170480.2</v>
      </c>
      <c r="G23" s="292">
        <f>SUM(G17:G22)</f>
        <v>1455310</v>
      </c>
      <c r="H23" s="152">
        <f>SUM(H16:H22)</f>
        <v>0</v>
      </c>
      <c r="I23" s="152">
        <f>SUM(I16:I22)</f>
        <v>1455310</v>
      </c>
      <c r="J23" s="152">
        <f>SUM(J16:J22)</f>
        <v>1715170.2</v>
      </c>
      <c r="K23" s="292">
        <f>SUM(K16:K22)</f>
        <v>167494</v>
      </c>
      <c r="L23" s="293"/>
      <c r="M23" s="292">
        <f>SUM(M16:M22)</f>
        <v>181223.11999999997</v>
      </c>
      <c r="N23" s="292">
        <f>SUM(N16:N22)</f>
        <v>13729.419999999998</v>
      </c>
      <c r="O23" s="292">
        <f>SUM(O16:O22)</f>
        <v>1636533.1199999999</v>
      </c>
      <c r="P23" s="292" t="e">
        <f>SUM(P16:P22)</f>
        <v>#REF!</v>
      </c>
      <c r="Q23" s="292" t="e">
        <f>SUM(Q16:Q22)</f>
        <v>#REF!</v>
      </c>
    </row>
    <row r="24" spans="1:17" s="145" customFormat="1" ht="12">
      <c r="A24" s="136">
        <v>24</v>
      </c>
      <c r="B24" s="133"/>
      <c r="C24" s="134"/>
      <c r="D24" s="134"/>
      <c r="E24" s="134"/>
      <c r="F24" s="134"/>
      <c r="G24" s="134"/>
      <c r="H24" s="134"/>
      <c r="I24" s="134"/>
      <c r="J24" s="152"/>
      <c r="K24" s="134"/>
      <c r="L24" s="293"/>
      <c r="M24" s="134"/>
      <c r="N24" s="134"/>
      <c r="O24" s="134"/>
      <c r="P24" s="134"/>
      <c r="Q24" s="134"/>
    </row>
    <row r="25" spans="1:17" s="145" customFormat="1" ht="12">
      <c r="A25" s="136">
        <v>25</v>
      </c>
      <c r="B25" s="133"/>
      <c r="C25" s="146" t="s">
        <v>109</v>
      </c>
      <c r="D25" s="297"/>
      <c r="E25" s="297"/>
      <c r="F25" s="297"/>
      <c r="G25" s="146"/>
      <c r="H25" s="146"/>
      <c r="I25" s="146"/>
      <c r="J25" s="298"/>
      <c r="K25" s="146"/>
      <c r="L25" s="299"/>
      <c r="M25" s="146"/>
      <c r="N25" s="146"/>
      <c r="O25" s="146"/>
      <c r="P25" s="146"/>
      <c r="Q25" s="146"/>
    </row>
    <row r="26" spans="1:17" s="145" customFormat="1" ht="12.75">
      <c r="A26" s="136">
        <v>26</v>
      </c>
      <c r="B26" s="147">
        <v>2210</v>
      </c>
      <c r="C26" s="132" t="s">
        <v>284</v>
      </c>
      <c r="D26" s="152">
        <v>845352</v>
      </c>
      <c r="E26" s="152">
        <f>-D26</f>
        <v>-845352</v>
      </c>
      <c r="F26" s="152">
        <f aca="true" t="shared" si="6" ref="F26:F31">+D26+E26</f>
        <v>0</v>
      </c>
      <c r="G26" s="292">
        <v>176320</v>
      </c>
      <c r="H26" s="152">
        <f>-G26</f>
        <v>-176320</v>
      </c>
      <c r="I26" s="292">
        <f aca="true" t="shared" si="7" ref="I26:I31">+G26+H26</f>
        <v>0</v>
      </c>
      <c r="J26" s="292">
        <f aca="true" t="shared" si="8" ref="J26:J31">+F26-I26</f>
        <v>0</v>
      </c>
      <c r="K26" s="292">
        <v>87061</v>
      </c>
      <c r="L26" s="293">
        <v>0.2</v>
      </c>
      <c r="M26" s="292">
        <f aca="true" t="shared" si="9" ref="M26:M31">IF(J26&gt;0,IF($L26*F26&gt;J26,J26,$L26*F26),0)</f>
        <v>0</v>
      </c>
      <c r="N26" s="292">
        <f aca="true" t="shared" si="10" ref="N26:N31">+M26-K26</f>
        <v>-87061</v>
      </c>
      <c r="O26" s="292">
        <f aca="true" t="shared" si="11" ref="O26:O31">+I26+M26</f>
        <v>0</v>
      </c>
      <c r="P26" s="292">
        <f>+'DDM 03'!H21</f>
        <v>0</v>
      </c>
      <c r="Q26" s="292">
        <f aca="true" t="shared" si="12" ref="Q26:Q31">+O26+P26</f>
        <v>0</v>
      </c>
    </row>
    <row r="27" spans="1:17" s="145" customFormat="1" ht="12.75">
      <c r="A27" s="136">
        <v>27</v>
      </c>
      <c r="B27" s="147">
        <v>2212</v>
      </c>
      <c r="C27" s="132" t="s">
        <v>285</v>
      </c>
      <c r="D27" s="292">
        <v>4889315</v>
      </c>
      <c r="E27" s="292">
        <f>-E26</f>
        <v>845352</v>
      </c>
      <c r="F27" s="152">
        <f t="shared" si="6"/>
        <v>5734667</v>
      </c>
      <c r="G27" s="292">
        <v>4492927</v>
      </c>
      <c r="H27" s="152">
        <v>-1387776.81</v>
      </c>
      <c r="I27" s="292">
        <f t="shared" si="7"/>
        <v>3105150.19</v>
      </c>
      <c r="J27" s="292">
        <f t="shared" si="8"/>
        <v>2629516.81</v>
      </c>
      <c r="K27" s="292">
        <v>611164</v>
      </c>
      <c r="L27" s="293">
        <v>0.0833</v>
      </c>
      <c r="M27" s="292">
        <f t="shared" si="9"/>
        <v>477697.7611</v>
      </c>
      <c r="N27" s="292">
        <f t="shared" si="10"/>
        <v>-133466.2389</v>
      </c>
      <c r="O27" s="292">
        <f t="shared" si="11"/>
        <v>3582847.9511</v>
      </c>
      <c r="P27" s="292" t="e">
        <f>+'DDM 03'!H22</f>
        <v>#REF!</v>
      </c>
      <c r="Q27" s="292" t="e">
        <f t="shared" si="12"/>
        <v>#REF!</v>
      </c>
    </row>
    <row r="28" spans="1:17" s="145" customFormat="1" ht="12.75">
      <c r="A28" s="136">
        <v>28</v>
      </c>
      <c r="B28" s="147">
        <v>2230</v>
      </c>
      <c r="C28" s="132" t="s">
        <v>286</v>
      </c>
      <c r="D28" s="292">
        <v>1433805</v>
      </c>
      <c r="E28" s="292"/>
      <c r="F28" s="152">
        <f t="shared" si="6"/>
        <v>1433805</v>
      </c>
      <c r="G28" s="292">
        <v>426029</v>
      </c>
      <c r="H28" s="152">
        <v>0</v>
      </c>
      <c r="I28" s="292">
        <f t="shared" si="7"/>
        <v>426029</v>
      </c>
      <c r="J28" s="292">
        <f t="shared" si="8"/>
        <v>1007776</v>
      </c>
      <c r="K28" s="292">
        <v>173126</v>
      </c>
      <c r="L28" s="293">
        <v>0.125</v>
      </c>
      <c r="M28" s="292">
        <f t="shared" si="9"/>
        <v>179225.625</v>
      </c>
      <c r="N28" s="292">
        <f t="shared" si="10"/>
        <v>6099.625</v>
      </c>
      <c r="O28" s="292">
        <f t="shared" si="11"/>
        <v>605254.625</v>
      </c>
      <c r="P28" s="292" t="e">
        <f>+'DDM 03'!H23</f>
        <v>#REF!</v>
      </c>
      <c r="Q28" s="292" t="e">
        <f t="shared" si="12"/>
        <v>#REF!</v>
      </c>
    </row>
    <row r="29" spans="1:17" s="145" customFormat="1" ht="12.75">
      <c r="A29" s="136">
        <v>29</v>
      </c>
      <c r="B29" s="147">
        <v>2231</v>
      </c>
      <c r="C29" s="132" t="s">
        <v>287</v>
      </c>
      <c r="D29" s="292">
        <v>2917638</v>
      </c>
      <c r="E29" s="292"/>
      <c r="F29" s="152">
        <f t="shared" si="6"/>
        <v>2917638</v>
      </c>
      <c r="G29" s="292">
        <v>2917638</v>
      </c>
      <c r="H29" s="152">
        <v>0</v>
      </c>
      <c r="I29" s="292">
        <f t="shared" si="7"/>
        <v>2917638</v>
      </c>
      <c r="J29" s="292">
        <f t="shared" si="8"/>
        <v>0</v>
      </c>
      <c r="K29" s="292">
        <v>7301</v>
      </c>
      <c r="L29" s="293">
        <v>0.125</v>
      </c>
      <c r="M29" s="292">
        <f t="shared" si="9"/>
        <v>0</v>
      </c>
      <c r="N29" s="292">
        <f t="shared" si="10"/>
        <v>-7301</v>
      </c>
      <c r="O29" s="292">
        <f t="shared" si="11"/>
        <v>2917638</v>
      </c>
      <c r="P29" s="292">
        <f>+'DDM 03'!H24</f>
        <v>0</v>
      </c>
      <c r="Q29" s="292">
        <f t="shared" si="12"/>
        <v>2917638</v>
      </c>
    </row>
    <row r="30" spans="1:17" s="145" customFormat="1" ht="12.75">
      <c r="A30" s="136">
        <v>30</v>
      </c>
      <c r="B30" s="147">
        <v>2232</v>
      </c>
      <c r="C30" s="132" t="s">
        <v>288</v>
      </c>
      <c r="D30" s="152">
        <v>5407077</v>
      </c>
      <c r="E30" s="152"/>
      <c r="F30" s="152">
        <f t="shared" si="6"/>
        <v>5407077</v>
      </c>
      <c r="G30" s="292">
        <v>5407077</v>
      </c>
      <c r="H30" s="152">
        <v>0</v>
      </c>
      <c r="I30" s="292">
        <f t="shared" si="7"/>
        <v>5407077</v>
      </c>
      <c r="J30" s="292">
        <f t="shared" si="8"/>
        <v>0</v>
      </c>
      <c r="K30" s="152">
        <v>597455</v>
      </c>
      <c r="L30" s="293">
        <v>0.125</v>
      </c>
      <c r="M30" s="292">
        <f t="shared" si="9"/>
        <v>0</v>
      </c>
      <c r="N30" s="292">
        <f t="shared" si="10"/>
        <v>-597455</v>
      </c>
      <c r="O30" s="292">
        <f t="shared" si="11"/>
        <v>5407077</v>
      </c>
      <c r="P30" s="292" t="e">
        <f>+'DDM 03'!H25</f>
        <v>#REF!</v>
      </c>
      <c r="Q30" s="292" t="e">
        <f t="shared" si="12"/>
        <v>#REF!</v>
      </c>
    </row>
    <row r="31" spans="1:17" s="145" customFormat="1" ht="12.75">
      <c r="A31" s="136">
        <v>31</v>
      </c>
      <c r="B31" s="147">
        <v>2362</v>
      </c>
      <c r="C31" s="132" t="s">
        <v>289</v>
      </c>
      <c r="D31" s="167">
        <v>0</v>
      </c>
      <c r="E31" s="167"/>
      <c r="F31" s="167">
        <f t="shared" si="6"/>
        <v>0</v>
      </c>
      <c r="G31" s="295">
        <v>0</v>
      </c>
      <c r="H31" s="167">
        <v>0</v>
      </c>
      <c r="I31" s="167">
        <f t="shared" si="7"/>
        <v>0</v>
      </c>
      <c r="J31" s="295">
        <f t="shared" si="8"/>
        <v>0</v>
      </c>
      <c r="K31" s="167">
        <v>0</v>
      </c>
      <c r="L31" s="300">
        <v>0.2</v>
      </c>
      <c r="M31" s="295">
        <f t="shared" si="9"/>
        <v>0</v>
      </c>
      <c r="N31" s="295">
        <f t="shared" si="10"/>
        <v>0</v>
      </c>
      <c r="O31" s="295">
        <f t="shared" si="11"/>
        <v>0</v>
      </c>
      <c r="P31" s="295">
        <f>+'DDM 03'!H26</f>
        <v>0</v>
      </c>
      <c r="Q31" s="295">
        <f t="shared" si="12"/>
        <v>0</v>
      </c>
    </row>
    <row r="32" spans="1:17" s="145" customFormat="1" ht="12">
      <c r="A32" s="136">
        <v>32</v>
      </c>
      <c r="B32" s="133"/>
      <c r="C32" s="133" t="s">
        <v>108</v>
      </c>
      <c r="D32" s="152">
        <f>SUM(D26:D31)</f>
        <v>15493187</v>
      </c>
      <c r="E32" s="152"/>
      <c r="F32" s="152">
        <f>SUM(F26:F31)</f>
        <v>15493187</v>
      </c>
      <c r="G32" s="292">
        <f>SUM(G26:G31)</f>
        <v>13419991</v>
      </c>
      <c r="H32" s="152">
        <f>SUM(H26:H31)</f>
        <v>-1564096.81</v>
      </c>
      <c r="I32" s="152">
        <f>SUM(I26:I31)</f>
        <v>11855894.19</v>
      </c>
      <c r="J32" s="152">
        <f>SUM(J25:J31)</f>
        <v>3637292.81</v>
      </c>
      <c r="K32" s="292">
        <f>SUM(K26:K31)</f>
        <v>1476107</v>
      </c>
      <c r="L32" s="293"/>
      <c r="M32" s="152">
        <f>SUM(M26:M31)</f>
        <v>656923.3861</v>
      </c>
      <c r="N32" s="152">
        <f>SUM(N26:N31)</f>
        <v>-819183.6139</v>
      </c>
      <c r="O32" s="292">
        <f>SUM(O26:O31)</f>
        <v>12512817.5761</v>
      </c>
      <c r="P32" s="292" t="e">
        <f>SUM(P26:P31)</f>
        <v>#REF!</v>
      </c>
      <c r="Q32" s="292" t="e">
        <f>SUM(Q26:Q31)</f>
        <v>#REF!</v>
      </c>
    </row>
    <row r="33" spans="1:20" s="145" customFormat="1" ht="12">
      <c r="A33" s="136">
        <v>33</v>
      </c>
      <c r="B33" s="134"/>
      <c r="C33" s="134"/>
      <c r="D33" s="134"/>
      <c r="E33" s="134"/>
      <c r="F33" s="134"/>
      <c r="G33" s="134"/>
      <c r="H33" s="134"/>
      <c r="I33" s="134"/>
      <c r="J33" s="134"/>
      <c r="K33" s="134"/>
      <c r="L33" s="293"/>
      <c r="M33" s="134"/>
      <c r="N33" s="134"/>
      <c r="O33" s="134"/>
      <c r="P33" s="134"/>
      <c r="Q33" s="134"/>
      <c r="S33" s="195"/>
      <c r="T33" s="301"/>
    </row>
    <row r="34" spans="1:20" s="145" customFormat="1" ht="12">
      <c r="A34" s="136">
        <v>34</v>
      </c>
      <c r="B34" s="133"/>
      <c r="C34" s="146" t="s">
        <v>164</v>
      </c>
      <c r="D34" s="146"/>
      <c r="E34" s="146"/>
      <c r="F34" s="146"/>
      <c r="G34" s="146"/>
      <c r="H34" s="146"/>
      <c r="I34" s="146"/>
      <c r="J34" s="146"/>
      <c r="K34" s="146"/>
      <c r="L34" s="299"/>
      <c r="M34" s="146"/>
      <c r="N34" s="146"/>
      <c r="O34" s="146"/>
      <c r="P34" s="146"/>
      <c r="Q34" s="146"/>
      <c r="S34" s="195"/>
      <c r="T34" s="301"/>
    </row>
    <row r="35" spans="1:20" s="145" customFormat="1" ht="12.75">
      <c r="A35" s="136">
        <v>35</v>
      </c>
      <c r="B35" s="147">
        <v>2411</v>
      </c>
      <c r="C35" s="132" t="s">
        <v>290</v>
      </c>
      <c r="D35" s="152">
        <v>527577</v>
      </c>
      <c r="E35" s="152"/>
      <c r="F35" s="152">
        <f aca="true" t="shared" si="13" ref="F35:F41">+D35+E35</f>
        <v>527577</v>
      </c>
      <c r="G35" s="292">
        <v>527577</v>
      </c>
      <c r="H35" s="152">
        <v>0</v>
      </c>
      <c r="I35" s="292">
        <f aca="true" t="shared" si="14" ref="I35:I41">+G35+H35</f>
        <v>527577</v>
      </c>
      <c r="J35" s="292">
        <f aca="true" t="shared" si="15" ref="J35:J41">+F35-I35</f>
        <v>0</v>
      </c>
      <c r="K35" s="152">
        <v>0</v>
      </c>
      <c r="L35" s="293">
        <v>0.1</v>
      </c>
      <c r="M35" s="292">
        <f aca="true" t="shared" si="16" ref="M35:M41">IF(J35&gt;0,IF($L35*F35&gt;J35,J35,$L35*F35),0)</f>
        <v>0</v>
      </c>
      <c r="N35" s="292">
        <f aca="true" t="shared" si="17" ref="N35:N41">+M35-K35</f>
        <v>0</v>
      </c>
      <c r="O35" s="292">
        <f aca="true" t="shared" si="18" ref="O35:O41">+I35+M35</f>
        <v>527577</v>
      </c>
      <c r="P35" s="292">
        <f>+'DDM 03'!H30</f>
        <v>0</v>
      </c>
      <c r="Q35" s="292">
        <f aca="true" t="shared" si="19" ref="Q35:Q41">+O35+P35</f>
        <v>527577</v>
      </c>
      <c r="S35" s="195"/>
      <c r="T35" s="301"/>
    </row>
    <row r="36" spans="1:20" s="145" customFormat="1" ht="12.75">
      <c r="A36" s="136">
        <v>36</v>
      </c>
      <c r="B36" s="147">
        <v>2421</v>
      </c>
      <c r="C36" s="132" t="s">
        <v>291</v>
      </c>
      <c r="D36" s="152">
        <v>1926682</v>
      </c>
      <c r="E36" s="152"/>
      <c r="F36" s="152">
        <f t="shared" si="13"/>
        <v>1926682</v>
      </c>
      <c r="G36" s="292">
        <v>1926682</v>
      </c>
      <c r="H36" s="152">
        <v>0</v>
      </c>
      <c r="I36" s="292">
        <f t="shared" si="14"/>
        <v>1926682</v>
      </c>
      <c r="J36" s="292">
        <f t="shared" si="15"/>
        <v>0</v>
      </c>
      <c r="K36" s="152">
        <v>45700</v>
      </c>
      <c r="L36" s="293">
        <v>0.1</v>
      </c>
      <c r="M36" s="292">
        <f t="shared" si="16"/>
        <v>0</v>
      </c>
      <c r="N36" s="292">
        <f t="shared" si="17"/>
        <v>-45700</v>
      </c>
      <c r="O36" s="292">
        <f t="shared" si="18"/>
        <v>1926682</v>
      </c>
      <c r="P36" s="292" t="e">
        <f>+'DDM 03'!H31</f>
        <v>#REF!</v>
      </c>
      <c r="Q36" s="292" t="e">
        <f t="shared" si="19"/>
        <v>#REF!</v>
      </c>
      <c r="S36" s="195"/>
      <c r="T36" s="301"/>
    </row>
    <row r="37" spans="1:20" s="190" customFormat="1" ht="12.75">
      <c r="A37" s="136">
        <v>37</v>
      </c>
      <c r="B37" s="154">
        <v>2422</v>
      </c>
      <c r="C37" s="155" t="s">
        <v>292</v>
      </c>
      <c r="D37" s="152">
        <v>613168</v>
      </c>
      <c r="E37" s="152"/>
      <c r="F37" s="152">
        <f t="shared" si="13"/>
        <v>613168</v>
      </c>
      <c r="G37" s="292">
        <v>461528</v>
      </c>
      <c r="H37" s="152">
        <v>0</v>
      </c>
      <c r="I37" s="292">
        <f t="shared" si="14"/>
        <v>461528</v>
      </c>
      <c r="J37" s="292">
        <f t="shared" si="15"/>
        <v>151640</v>
      </c>
      <c r="K37" s="292">
        <v>24527</v>
      </c>
      <c r="L37" s="293">
        <v>0.05</v>
      </c>
      <c r="M37" s="292">
        <f t="shared" si="16"/>
        <v>30658.4</v>
      </c>
      <c r="N37" s="292">
        <f t="shared" si="17"/>
        <v>6131.4000000000015</v>
      </c>
      <c r="O37" s="292">
        <f t="shared" si="18"/>
        <v>492186.4</v>
      </c>
      <c r="P37" s="292">
        <f>+'DDM 03'!H32</f>
        <v>0</v>
      </c>
      <c r="Q37" s="292">
        <f t="shared" si="19"/>
        <v>492186.4</v>
      </c>
      <c r="S37" s="302"/>
      <c r="T37" s="303"/>
    </row>
    <row r="38" spans="1:20" s="190" customFormat="1" ht="12.75">
      <c r="A38" s="136">
        <v>38</v>
      </c>
      <c r="B38" s="154">
        <v>2423</v>
      </c>
      <c r="C38" s="155" t="s">
        <v>293</v>
      </c>
      <c r="D38" s="294">
        <v>12738234</v>
      </c>
      <c r="E38" s="294"/>
      <c r="F38" s="152">
        <f t="shared" si="13"/>
        <v>12738234</v>
      </c>
      <c r="G38" s="292">
        <v>7497075</v>
      </c>
      <c r="H38" s="152">
        <v>0</v>
      </c>
      <c r="I38" s="292">
        <f t="shared" si="14"/>
        <v>7497075</v>
      </c>
      <c r="J38" s="292">
        <f t="shared" si="15"/>
        <v>5241159</v>
      </c>
      <c r="K38" s="292">
        <v>572152</v>
      </c>
      <c r="L38" s="293">
        <v>0.05</v>
      </c>
      <c r="M38" s="292">
        <f t="shared" si="16"/>
        <v>636911.7000000001</v>
      </c>
      <c r="N38" s="292">
        <f t="shared" si="17"/>
        <v>64759.70000000007</v>
      </c>
      <c r="O38" s="292">
        <f t="shared" si="18"/>
        <v>8133986.7</v>
      </c>
      <c r="P38" s="292" t="e">
        <f>+'DDM 03'!H33</f>
        <v>#REF!</v>
      </c>
      <c r="Q38" s="292" t="e">
        <f t="shared" si="19"/>
        <v>#REF!</v>
      </c>
      <c r="S38" s="302"/>
      <c r="T38" s="303"/>
    </row>
    <row r="39" spans="1:20" s="190" customFormat="1" ht="12.75">
      <c r="A39" s="136">
        <v>39</v>
      </c>
      <c r="B39" s="154">
        <v>2426</v>
      </c>
      <c r="C39" s="155" t="s">
        <v>294</v>
      </c>
      <c r="D39" s="152">
        <v>157516</v>
      </c>
      <c r="E39" s="152"/>
      <c r="F39" s="152">
        <f t="shared" si="13"/>
        <v>157516</v>
      </c>
      <c r="G39" s="292">
        <v>133420</v>
      </c>
      <c r="H39" s="152">
        <v>0</v>
      </c>
      <c r="I39" s="292">
        <f t="shared" si="14"/>
        <v>133420</v>
      </c>
      <c r="J39" s="292">
        <f t="shared" si="15"/>
        <v>24096</v>
      </c>
      <c r="K39" s="294">
        <v>7088</v>
      </c>
      <c r="L39" s="293">
        <v>0.05</v>
      </c>
      <c r="M39" s="292">
        <f t="shared" si="16"/>
        <v>7875.8</v>
      </c>
      <c r="N39" s="292">
        <f t="shared" si="17"/>
        <v>787.8000000000002</v>
      </c>
      <c r="O39" s="292">
        <f t="shared" si="18"/>
        <v>141295.8</v>
      </c>
      <c r="P39" s="292">
        <f>+'DDM 03'!H34</f>
        <v>0</v>
      </c>
      <c r="Q39" s="292">
        <f t="shared" si="19"/>
        <v>141295.8</v>
      </c>
      <c r="S39" s="302"/>
      <c r="T39" s="303"/>
    </row>
    <row r="40" spans="1:20" s="190" customFormat="1" ht="12.75">
      <c r="A40" s="136">
        <v>40</v>
      </c>
      <c r="B40" s="154">
        <v>2431</v>
      </c>
      <c r="C40" s="155" t="s">
        <v>295</v>
      </c>
      <c r="D40" s="152">
        <v>133129</v>
      </c>
      <c r="E40" s="152"/>
      <c r="F40" s="152">
        <f t="shared" si="13"/>
        <v>133129</v>
      </c>
      <c r="G40" s="294">
        <v>133129</v>
      </c>
      <c r="H40" s="152">
        <v>0</v>
      </c>
      <c r="I40" s="292">
        <f t="shared" si="14"/>
        <v>133129</v>
      </c>
      <c r="J40" s="304">
        <f t="shared" si="15"/>
        <v>0</v>
      </c>
      <c r="K40" s="294">
        <v>0</v>
      </c>
      <c r="L40" s="293">
        <v>0.1</v>
      </c>
      <c r="M40" s="292">
        <f t="shared" si="16"/>
        <v>0</v>
      </c>
      <c r="N40" s="292">
        <f t="shared" si="17"/>
        <v>0</v>
      </c>
      <c r="O40" s="292">
        <f t="shared" si="18"/>
        <v>133129</v>
      </c>
      <c r="P40" s="292">
        <f>+'DDM 03'!H35</f>
        <v>0</v>
      </c>
      <c r="Q40" s="292">
        <f t="shared" si="19"/>
        <v>133129</v>
      </c>
      <c r="S40" s="302"/>
      <c r="T40" s="303"/>
    </row>
    <row r="41" spans="1:17" s="190" customFormat="1" ht="12.75">
      <c r="A41" s="136">
        <v>41</v>
      </c>
      <c r="B41" s="154">
        <v>2441</v>
      </c>
      <c r="C41" s="155" t="s">
        <v>296</v>
      </c>
      <c r="D41" s="167">
        <v>332315</v>
      </c>
      <c r="E41" s="167"/>
      <c r="F41" s="167">
        <f t="shared" si="13"/>
        <v>332315</v>
      </c>
      <c r="G41" s="296">
        <v>135076</v>
      </c>
      <c r="H41" s="167">
        <v>0</v>
      </c>
      <c r="I41" s="295">
        <f t="shared" si="14"/>
        <v>135076</v>
      </c>
      <c r="J41" s="295">
        <f t="shared" si="15"/>
        <v>197239</v>
      </c>
      <c r="K41" s="296">
        <v>11066</v>
      </c>
      <c r="L41" s="300">
        <v>0.0333</v>
      </c>
      <c r="M41" s="292">
        <f t="shared" si="16"/>
        <v>11066.089500000002</v>
      </c>
      <c r="N41" s="292">
        <f t="shared" si="17"/>
        <v>0.08950000000186265</v>
      </c>
      <c r="O41" s="292">
        <f t="shared" si="18"/>
        <v>146142.0895</v>
      </c>
      <c r="P41" s="292">
        <f>+'DDM 03'!H36</f>
        <v>0</v>
      </c>
      <c r="Q41" s="292">
        <f t="shared" si="19"/>
        <v>146142.0895</v>
      </c>
    </row>
    <row r="42" spans="1:17" s="145" customFormat="1" ht="17.25" customHeight="1">
      <c r="A42" s="136">
        <v>42</v>
      </c>
      <c r="B42" s="133"/>
      <c r="C42" s="133" t="s">
        <v>108</v>
      </c>
      <c r="D42" s="295">
        <f>SUM(D35:D41)</f>
        <v>16428621</v>
      </c>
      <c r="E42" s="295"/>
      <c r="F42" s="295">
        <f aca="true" t="shared" si="20" ref="F42:K42">SUM(F35:F41)</f>
        <v>16428621</v>
      </c>
      <c r="G42" s="295">
        <f t="shared" si="20"/>
        <v>10814487</v>
      </c>
      <c r="H42" s="191">
        <f t="shared" si="20"/>
        <v>0</v>
      </c>
      <c r="I42" s="295">
        <f t="shared" si="20"/>
        <v>10814487</v>
      </c>
      <c r="J42" s="295">
        <f t="shared" si="20"/>
        <v>5614134</v>
      </c>
      <c r="K42" s="295">
        <f t="shared" si="20"/>
        <v>660533</v>
      </c>
      <c r="L42" s="305"/>
      <c r="M42" s="306">
        <f>SUM(M35:M41)</f>
        <v>686511.9895000001</v>
      </c>
      <c r="N42" s="306">
        <f>SUM(N35:N41)</f>
        <v>25978.989500000072</v>
      </c>
      <c r="O42" s="306">
        <f>SUM(O35:O41)</f>
        <v>11500998.989500001</v>
      </c>
      <c r="P42" s="306" t="e">
        <f>SUM(P35:P41)</f>
        <v>#REF!</v>
      </c>
      <c r="Q42" s="306" t="e">
        <f>SUM(Q35:Q41)</f>
        <v>#REF!</v>
      </c>
    </row>
    <row r="43" spans="1:14" s="145" customFormat="1" ht="12">
      <c r="A43" s="136">
        <v>43</v>
      </c>
      <c r="B43" s="133"/>
      <c r="C43" s="134"/>
      <c r="D43" s="134"/>
      <c r="E43" s="134"/>
      <c r="F43" s="134"/>
      <c r="G43" s="292"/>
      <c r="H43" s="134"/>
      <c r="I43" s="134"/>
      <c r="J43" s="134"/>
      <c r="K43" s="134"/>
      <c r="L43" s="134"/>
      <c r="M43" s="134"/>
      <c r="N43" s="134"/>
    </row>
    <row r="44" spans="1:17" s="145" customFormat="1" ht="12.75" thickBot="1">
      <c r="A44" s="136">
        <v>44</v>
      </c>
      <c r="B44" s="133"/>
      <c r="C44" s="133" t="s">
        <v>123</v>
      </c>
      <c r="D44" s="170">
        <f>D23+D32+D42</f>
        <v>35092288.2</v>
      </c>
      <c r="E44" s="170"/>
      <c r="F44" s="170">
        <f aca="true" t="shared" si="21" ref="F44:K44">F23+F32+F42</f>
        <v>35092288.2</v>
      </c>
      <c r="G44" s="170">
        <f t="shared" si="21"/>
        <v>25689788</v>
      </c>
      <c r="H44" s="170">
        <f t="shared" si="21"/>
        <v>-1564096.81</v>
      </c>
      <c r="I44" s="170">
        <f t="shared" si="21"/>
        <v>24125691.189999998</v>
      </c>
      <c r="J44" s="170">
        <f t="shared" si="21"/>
        <v>10966597.01</v>
      </c>
      <c r="K44" s="170">
        <f t="shared" si="21"/>
        <v>2304134</v>
      </c>
      <c r="L44" s="307"/>
      <c r="M44" s="170">
        <f>M23+M32+M42</f>
        <v>1524658.4956</v>
      </c>
      <c r="N44" s="170">
        <f>N23+N32+N42</f>
        <v>-779475.2043999999</v>
      </c>
      <c r="O44" s="170">
        <f>O23+O32+O42</f>
        <v>25650349.685599998</v>
      </c>
      <c r="P44" s="170" t="e">
        <f>P23+P32+P42</f>
        <v>#REF!</v>
      </c>
      <c r="Q44" s="170" t="e">
        <f>Q23+Q32+Q42</f>
        <v>#REF!</v>
      </c>
    </row>
    <row r="45" spans="1:11" s="145" customFormat="1" ht="13.5" thickTop="1">
      <c r="A45" s="136">
        <v>45</v>
      </c>
      <c r="B45" s="133"/>
      <c r="C45" s="134"/>
      <c r="D45" s="134"/>
      <c r="E45" s="134"/>
      <c r="F45" s="134"/>
      <c r="G45" s="134"/>
      <c r="H45" s="134"/>
      <c r="I45"/>
      <c r="J45"/>
      <c r="K45" s="134"/>
    </row>
    <row r="46" spans="1:17" s="145" customFormat="1" ht="12.75">
      <c r="A46" s="136">
        <v>46</v>
      </c>
      <c r="B46"/>
      <c r="C46" t="s">
        <v>297</v>
      </c>
      <c r="D46"/>
      <c r="E46"/>
      <c r="F46"/>
      <c r="G46" s="293">
        <v>0.6277</v>
      </c>
      <c r="H46" s="293">
        <v>0.6277</v>
      </c>
      <c r="I46" s="302">
        <v>0.6277</v>
      </c>
      <c r="J46" s="171"/>
      <c r="K46" s="302">
        <v>0.605</v>
      </c>
      <c r="L46" s="171"/>
      <c r="M46" s="302">
        <v>0.605</v>
      </c>
      <c r="N46" s="302">
        <v>0.605</v>
      </c>
      <c r="O46" s="171"/>
      <c r="P46" s="171"/>
      <c r="Q46" s="171"/>
    </row>
    <row r="47" spans="1:17" s="145" customFormat="1" ht="12.75">
      <c r="A47" s="136">
        <v>47</v>
      </c>
      <c r="B47"/>
      <c r="C47" t="s">
        <v>298</v>
      </c>
      <c r="D47"/>
      <c r="E47"/>
      <c r="F47"/>
      <c r="G47"/>
      <c r="H47"/>
      <c r="I47" s="171"/>
      <c r="J47" s="171"/>
      <c r="K47" s="171"/>
      <c r="L47" s="171"/>
      <c r="M47" s="171"/>
      <c r="N47" s="171"/>
      <c r="O47" s="302">
        <v>0.6277</v>
      </c>
      <c r="P47" s="302">
        <v>0.6277</v>
      </c>
      <c r="Q47" s="302">
        <v>0.6277</v>
      </c>
    </row>
    <row r="48" spans="1:17" s="145" customFormat="1" ht="12.75">
      <c r="A48" s="136">
        <v>48</v>
      </c>
      <c r="B48"/>
      <c r="C48"/>
      <c r="D48"/>
      <c r="E48"/>
      <c r="F48"/>
      <c r="G48"/>
      <c r="H48"/>
      <c r="I48" s="171"/>
      <c r="J48" s="171"/>
      <c r="K48" s="171"/>
      <c r="L48" s="171"/>
      <c r="M48" s="171"/>
      <c r="N48" s="171"/>
      <c r="O48" s="171"/>
      <c r="P48" s="171"/>
      <c r="Q48" s="171"/>
    </row>
    <row r="49" spans="1:17" s="145" customFormat="1" ht="13.5" thickBot="1">
      <c r="A49" s="136">
        <v>49</v>
      </c>
      <c r="B49"/>
      <c r="C49" t="s">
        <v>299</v>
      </c>
      <c r="D49"/>
      <c r="E49"/>
      <c r="F49"/>
      <c r="G49" s="170">
        <f>+G46*G44</f>
        <v>16125479.9276</v>
      </c>
      <c r="H49" s="170">
        <f>+H46*H44</f>
        <v>-981783.5676370001</v>
      </c>
      <c r="I49" s="170">
        <f>+I46*I44</f>
        <v>15143696.359963</v>
      </c>
      <c r="J49"/>
      <c r="K49" s="170">
        <f>+K46*K44</f>
        <v>1394001.07</v>
      </c>
      <c r="L49"/>
      <c r="M49" s="170">
        <f>+M46*M44</f>
        <v>922418.389838</v>
      </c>
      <c r="N49" s="170">
        <f>+N46*N44</f>
        <v>-471582.49866199994</v>
      </c>
      <c r="O49"/>
      <c r="P49"/>
      <c r="Q49"/>
    </row>
    <row r="50" spans="1:17" s="145" customFormat="1" ht="18.75" customHeight="1" thickBot="1" thickTop="1">
      <c r="A50" s="136">
        <v>50</v>
      </c>
      <c r="B50"/>
      <c r="C50" t="s">
        <v>300</v>
      </c>
      <c r="D50"/>
      <c r="E50"/>
      <c r="F50"/>
      <c r="G50"/>
      <c r="H50"/>
      <c r="I50"/>
      <c r="J50"/>
      <c r="K50"/>
      <c r="L50"/>
      <c r="M50"/>
      <c r="N50"/>
      <c r="O50" s="170">
        <f>+O47*O44</f>
        <v>16100724.497651119</v>
      </c>
      <c r="P50" s="170" t="e">
        <f>+P47*P44</f>
        <v>#REF!</v>
      </c>
      <c r="Q50" s="170" t="e">
        <f>+Q47*Q44</f>
        <v>#REF!</v>
      </c>
    </row>
    <row r="51" spans="1:17" s="145" customFormat="1" ht="13.5" thickTop="1">
      <c r="A51" s="136">
        <v>51</v>
      </c>
      <c r="B51"/>
      <c r="C51"/>
      <c r="D51"/>
      <c r="E51"/>
      <c r="F51"/>
      <c r="G51"/>
      <c r="H51"/>
      <c r="K51" s="487" t="s">
        <v>301</v>
      </c>
      <c r="L51" s="487"/>
      <c r="M51" s="487"/>
      <c r="Q51"/>
    </row>
    <row r="52" spans="1:17" s="145" customFormat="1" ht="25.5">
      <c r="A52" s="136">
        <v>52</v>
      </c>
      <c r="B52"/>
      <c r="C52" s="308" t="s">
        <v>302</v>
      </c>
      <c r="D52" s="308"/>
      <c r="E52" s="308"/>
      <c r="F52" s="308"/>
      <c r="G52" s="309"/>
      <c r="H52" s="309"/>
      <c r="K52" s="310" t="s">
        <v>303</v>
      </c>
      <c r="L52" s="311" t="s">
        <v>304</v>
      </c>
      <c r="M52" s="312" t="s">
        <v>305</v>
      </c>
      <c r="Q52"/>
    </row>
    <row r="53" spans="1:17" s="145" customFormat="1" ht="12.75">
      <c r="A53" s="136">
        <v>53</v>
      </c>
      <c r="B53"/>
      <c r="C53" s="308"/>
      <c r="D53" s="308"/>
      <c r="E53" s="308"/>
      <c r="F53" s="308"/>
      <c r="G53" s="309"/>
      <c r="H53" s="309"/>
      <c r="K53" s="312" t="s">
        <v>133</v>
      </c>
      <c r="L53" s="313" t="s">
        <v>223</v>
      </c>
      <c r="M53" s="312" t="s">
        <v>134</v>
      </c>
      <c r="Q53"/>
    </row>
    <row r="54" spans="1:17" s="145" customFormat="1" ht="12.75">
      <c r="A54" s="136">
        <v>54</v>
      </c>
      <c r="B54"/>
      <c r="C54" s="309" t="s">
        <v>306</v>
      </c>
      <c r="D54" s="309"/>
      <c r="E54" s="309"/>
      <c r="F54" s="309"/>
      <c r="G54" s="309"/>
      <c r="H54" s="309"/>
      <c r="K54" s="314">
        <f>-G44</f>
        <v>-25689788</v>
      </c>
      <c r="L54" s="145">
        <v>0.6277</v>
      </c>
      <c r="M54" s="314">
        <f>ROUND(+K54*L54,0)</f>
        <v>-16125480</v>
      </c>
      <c r="Q54"/>
    </row>
    <row r="55" spans="1:17" s="145" customFormat="1" ht="12.75">
      <c r="A55" s="136">
        <v>55</v>
      </c>
      <c r="B55"/>
      <c r="C55" s="309" t="s">
        <v>307</v>
      </c>
      <c r="D55" s="309"/>
      <c r="E55" s="309"/>
      <c r="F55" s="309"/>
      <c r="G55" s="309"/>
      <c r="H55" s="309"/>
      <c r="K55" s="314">
        <f>-H44</f>
        <v>1564096.81</v>
      </c>
      <c r="L55" s="145">
        <v>0.6277</v>
      </c>
      <c r="M55" s="314">
        <f>ROUND(+K55*L55,0)</f>
        <v>981784</v>
      </c>
      <c r="Q55"/>
    </row>
    <row r="56" spans="1:13" ht="12.75">
      <c r="A56" s="136">
        <v>56</v>
      </c>
      <c r="C56" s="309" t="s">
        <v>308</v>
      </c>
      <c r="D56" s="309"/>
      <c r="E56" s="309"/>
      <c r="F56" s="309"/>
      <c r="G56" s="309"/>
      <c r="H56" s="309"/>
      <c r="K56" s="315">
        <f>-M44</f>
        <v>-1524658.4956</v>
      </c>
      <c r="L56" s="145">
        <v>0.6277</v>
      </c>
      <c r="M56" s="315">
        <f>ROUND(+K56*L56,0)</f>
        <v>-957028</v>
      </c>
    </row>
    <row r="57" spans="1:13" ht="12.75">
      <c r="A57" s="136">
        <v>57</v>
      </c>
      <c r="C57" s="309"/>
      <c r="D57" s="309"/>
      <c r="E57" s="309"/>
      <c r="F57" s="309"/>
      <c r="G57" s="309"/>
      <c r="H57" s="309"/>
      <c r="K57" s="314"/>
      <c r="M57" s="314"/>
    </row>
    <row r="58" spans="1:13" ht="12.75">
      <c r="A58" s="136">
        <v>58</v>
      </c>
      <c r="C58" s="309" t="s">
        <v>309</v>
      </c>
      <c r="D58" s="309"/>
      <c r="E58" s="309"/>
      <c r="F58" s="309"/>
      <c r="G58" s="309"/>
      <c r="H58" s="309"/>
      <c r="K58" s="314">
        <f>SUM(K54:K56)</f>
        <v>-25650349.6856</v>
      </c>
      <c r="L58" s="175"/>
      <c r="M58" s="314">
        <f>SUM(M54:M56)</f>
        <v>-16100724</v>
      </c>
    </row>
    <row r="59" spans="1:13" s="145" customFormat="1" ht="12.75">
      <c r="A59" s="136">
        <v>59</v>
      </c>
      <c r="B59" s="133"/>
      <c r="C59" s="309" t="s">
        <v>310</v>
      </c>
      <c r="D59" s="309"/>
      <c r="E59" s="309"/>
      <c r="F59" s="309"/>
      <c r="G59" s="309"/>
      <c r="H59" s="309"/>
      <c r="K59" s="315">
        <v>24703760</v>
      </c>
      <c r="L59" s="316"/>
      <c r="M59" s="315">
        <v>15690969.4638</v>
      </c>
    </row>
    <row r="60" spans="1:13" s="145" customFormat="1" ht="12.75">
      <c r="A60" s="136">
        <v>60</v>
      </c>
      <c r="B60" s="133"/>
      <c r="C60" s="309"/>
      <c r="D60" s="309"/>
      <c r="E60" s="309"/>
      <c r="F60" s="309"/>
      <c r="G60" s="309"/>
      <c r="H60" s="309"/>
      <c r="K60" s="314"/>
      <c r="M60" s="314"/>
    </row>
    <row r="61" spans="1:13" s="145" customFormat="1" ht="13.5" thickBot="1">
      <c r="A61" s="136">
        <v>61</v>
      </c>
      <c r="B61" s="133"/>
      <c r="C61" s="309" t="s">
        <v>311</v>
      </c>
      <c r="D61" s="309"/>
      <c r="E61" s="309"/>
      <c r="F61" s="309"/>
      <c r="G61" s="309"/>
      <c r="H61" s="309"/>
      <c r="K61" s="317">
        <f>+K58+K59</f>
        <v>-946589.6856000014</v>
      </c>
      <c r="L61" s="145">
        <v>0.6277</v>
      </c>
      <c r="M61" s="317">
        <f>+M58+M59</f>
        <v>-409754.5362</v>
      </c>
    </row>
    <row r="62" spans="1:13" s="145" customFormat="1" ht="13.5" thickTop="1">
      <c r="A62" s="136">
        <v>62</v>
      </c>
      <c r="B62" s="133"/>
      <c r="C62" s="309"/>
      <c r="D62" s="309"/>
      <c r="E62" s="309"/>
      <c r="F62" s="309"/>
      <c r="G62" s="309"/>
      <c r="H62" s="309"/>
      <c r="K62" s="309"/>
      <c r="L62" s="309"/>
      <c r="M62" s="309"/>
    </row>
    <row r="63" spans="1:13" s="145" customFormat="1" ht="12.75">
      <c r="A63" s="136">
        <v>63</v>
      </c>
      <c r="B63" s="133"/>
      <c r="C63" s="309" t="s">
        <v>312</v>
      </c>
      <c r="D63" s="309"/>
      <c r="E63" s="309"/>
      <c r="F63" s="309"/>
      <c r="G63" s="309"/>
      <c r="H63" s="309"/>
      <c r="K63" s="314" t="e">
        <f>-'DDM 03'!H38</f>
        <v>#REF!</v>
      </c>
      <c r="L63" s="318" t="e">
        <f>+M63/K63</f>
        <v>#REF!</v>
      </c>
      <c r="M63" s="319" t="e">
        <f>'DDM 03'!H44</f>
        <v>#REF!</v>
      </c>
    </row>
    <row r="64" spans="1:13" s="145" customFormat="1" ht="13.5" thickBot="1">
      <c r="A64" s="136">
        <v>65</v>
      </c>
      <c r="B64" s="133"/>
      <c r="C64" s="134" t="s">
        <v>313</v>
      </c>
      <c r="D64"/>
      <c r="E64"/>
      <c r="F64"/>
      <c r="G64"/>
      <c r="H64" s="134"/>
      <c r="K64" s="320" t="e">
        <f>+K58+K63</f>
        <v>#REF!</v>
      </c>
      <c r="M64" s="320" t="e">
        <f>+M58+M63</f>
        <v>#REF!</v>
      </c>
    </row>
    <row r="65" spans="1:12" s="145" customFormat="1" ht="12.75" thickTop="1">
      <c r="A65" s="134"/>
      <c r="B65" s="133"/>
      <c r="C65" s="134"/>
      <c r="D65" s="134"/>
      <c r="E65" s="134"/>
      <c r="F65" s="134"/>
      <c r="G65" s="134"/>
      <c r="H65" s="134"/>
      <c r="I65" s="134"/>
      <c r="J65" s="134"/>
      <c r="K65" s="134"/>
      <c r="L65" s="134"/>
    </row>
    <row r="66" spans="1:14" s="145" customFormat="1" ht="12">
      <c r="A66" s="134"/>
      <c r="B66" s="133"/>
      <c r="C66" s="134"/>
      <c r="D66" s="134"/>
      <c r="E66" s="134"/>
      <c r="F66" s="134"/>
      <c r="G66" s="134"/>
      <c r="H66" s="134"/>
      <c r="I66" s="134"/>
      <c r="J66" s="134"/>
      <c r="K66" s="134"/>
      <c r="L66" s="134"/>
      <c r="M66" s="134"/>
      <c r="N66" s="134"/>
    </row>
    <row r="67" spans="1:14" s="145" customFormat="1" ht="12">
      <c r="A67" s="134"/>
      <c r="B67" s="133"/>
      <c r="C67" s="134"/>
      <c r="D67" s="134"/>
      <c r="E67" s="134"/>
      <c r="F67" s="134"/>
      <c r="G67" s="134"/>
      <c r="H67" s="134"/>
      <c r="I67" s="134"/>
      <c r="J67" s="134"/>
      <c r="K67" s="134"/>
      <c r="L67" s="134"/>
      <c r="M67" s="134"/>
      <c r="N67" s="134"/>
    </row>
    <row r="68" spans="1:14" s="145" customFormat="1" ht="12.75">
      <c r="A68" s="134"/>
      <c r="B68" s="133"/>
      <c r="C68" s="134"/>
      <c r="D68" s="134"/>
      <c r="E68" s="134"/>
      <c r="F68" s="134"/>
      <c r="G68" s="134"/>
      <c r="H68" s="134"/>
      <c r="I68" s="134"/>
      <c r="J68" s="134"/>
      <c r="K68" s="134"/>
      <c r="L68" s="134"/>
      <c r="M68"/>
      <c r="N68"/>
    </row>
    <row r="69" spans="1:14" s="145" customFormat="1" ht="12.75">
      <c r="A69" s="134"/>
      <c r="B69" s="133"/>
      <c r="C69" s="134"/>
      <c r="D69" s="134"/>
      <c r="E69" s="134"/>
      <c r="F69" s="134"/>
      <c r="G69" s="134"/>
      <c r="H69" s="134"/>
      <c r="I69" s="134"/>
      <c r="J69" s="134"/>
      <c r="K69" s="134"/>
      <c r="L69" s="134"/>
      <c r="M69"/>
      <c r="N69"/>
    </row>
    <row r="70" spans="1:14" s="145" customFormat="1" ht="12.75">
      <c r="A70" s="134"/>
      <c r="B70" s="133"/>
      <c r="C70" s="134"/>
      <c r="D70" s="134"/>
      <c r="E70" s="134"/>
      <c r="F70" s="134"/>
      <c r="G70" s="134"/>
      <c r="H70" s="134"/>
      <c r="I70" s="134"/>
      <c r="J70" s="134"/>
      <c r="K70" s="134"/>
      <c r="L70" s="134"/>
      <c r="M70"/>
      <c r="N70"/>
    </row>
    <row r="71" spans="1:14" s="145" customFormat="1" ht="12.75">
      <c r="A71" s="134"/>
      <c r="B71" s="133"/>
      <c r="C71" s="134"/>
      <c r="D71" s="134"/>
      <c r="E71" s="134"/>
      <c r="F71" s="134"/>
      <c r="G71" s="134"/>
      <c r="H71" s="134"/>
      <c r="I71" s="134"/>
      <c r="J71" s="134"/>
      <c r="K71" s="134"/>
      <c r="L71" s="134"/>
      <c r="M71"/>
      <c r="N71"/>
    </row>
    <row r="72" spans="1:14" s="145" customFormat="1" ht="12.75">
      <c r="A72" s="134"/>
      <c r="B72" s="133"/>
      <c r="C72" s="134"/>
      <c r="D72" s="134"/>
      <c r="E72" s="134"/>
      <c r="F72" s="134"/>
      <c r="G72" s="134"/>
      <c r="H72" s="134"/>
      <c r="I72" s="134"/>
      <c r="J72" s="134"/>
      <c r="K72" s="134"/>
      <c r="L72" s="134"/>
      <c r="M72"/>
      <c r="N72"/>
    </row>
    <row r="73" spans="1:14" s="145" customFormat="1" ht="12.75">
      <c r="A73" s="134"/>
      <c r="B73" s="133"/>
      <c r="C73" s="134"/>
      <c r="D73" s="134"/>
      <c r="E73" s="134"/>
      <c r="F73" s="134"/>
      <c r="G73" s="134"/>
      <c r="H73" s="134"/>
      <c r="I73" s="134"/>
      <c r="J73" s="134"/>
      <c r="K73" s="134"/>
      <c r="L73" s="134"/>
      <c r="M73"/>
      <c r="N73"/>
    </row>
    <row r="74" spans="1:14" s="145" customFormat="1" ht="12">
      <c r="A74" s="134"/>
      <c r="B74" s="133"/>
      <c r="C74" s="134"/>
      <c r="D74" s="134"/>
      <c r="E74" s="134"/>
      <c r="F74" s="134"/>
      <c r="G74" s="134"/>
      <c r="H74" s="134"/>
      <c r="I74" s="134"/>
      <c r="J74" s="134"/>
      <c r="K74" s="134"/>
      <c r="L74" s="134"/>
      <c r="M74" s="321"/>
      <c r="N74" s="321"/>
    </row>
    <row r="75" spans="1:14" s="145" customFormat="1" ht="12">
      <c r="A75" s="134"/>
      <c r="B75" s="133"/>
      <c r="C75" s="134"/>
      <c r="D75" s="134"/>
      <c r="E75" s="134"/>
      <c r="F75" s="134"/>
      <c r="G75" s="134"/>
      <c r="H75" s="134"/>
      <c r="I75" s="134"/>
      <c r="J75" s="134"/>
      <c r="K75" s="134"/>
      <c r="L75" s="134"/>
      <c r="M75" s="134"/>
      <c r="N75" s="134"/>
    </row>
    <row r="76" spans="1:14" s="145" customFormat="1" ht="12">
      <c r="A76" s="134"/>
      <c r="B76" s="133"/>
      <c r="C76" s="134"/>
      <c r="D76" s="134"/>
      <c r="E76" s="134"/>
      <c r="F76" s="134"/>
      <c r="G76" s="134"/>
      <c r="H76" s="134"/>
      <c r="I76" s="134"/>
      <c r="J76" s="134"/>
      <c r="K76" s="134"/>
      <c r="L76" s="134"/>
      <c r="M76" s="134"/>
      <c r="N76" s="134"/>
    </row>
    <row r="77" s="145" customFormat="1" ht="12">
      <c r="B77" s="194"/>
    </row>
    <row r="78" s="145" customFormat="1" ht="12">
      <c r="B78" s="194"/>
    </row>
    <row r="79" s="145" customFormat="1" ht="12">
      <c r="B79" s="194"/>
    </row>
    <row r="80" s="145" customFormat="1" ht="12">
      <c r="B80" s="194"/>
    </row>
    <row r="81" s="145" customFormat="1" ht="12">
      <c r="B81" s="194"/>
    </row>
    <row r="82" s="145" customFormat="1" ht="12">
      <c r="B82" s="194"/>
    </row>
    <row r="83" s="145" customFormat="1" ht="12">
      <c r="B83" s="194"/>
    </row>
    <row r="84" s="145" customFormat="1" ht="12">
      <c r="B84" s="194"/>
    </row>
    <row r="85" s="145" customFormat="1" ht="12">
      <c r="B85" s="194"/>
    </row>
    <row r="86" s="145" customFormat="1" ht="12">
      <c r="B86" s="194"/>
    </row>
    <row r="87" s="145" customFormat="1" ht="12">
      <c r="B87" s="194"/>
    </row>
    <row r="88" s="145" customFormat="1" ht="12">
      <c r="B88" s="194"/>
    </row>
    <row r="89" s="145" customFormat="1" ht="12">
      <c r="B89" s="194"/>
    </row>
    <row r="90" s="145" customFormat="1" ht="12">
      <c r="B90" s="194"/>
    </row>
    <row r="91" s="145" customFormat="1" ht="12">
      <c r="B91" s="194"/>
    </row>
    <row r="92" s="145" customFormat="1" ht="12">
      <c r="B92" s="194"/>
    </row>
    <row r="93" s="145" customFormat="1" ht="12">
      <c r="B93" s="194"/>
    </row>
    <row r="94" s="145" customFormat="1" ht="12">
      <c r="B94" s="194"/>
    </row>
    <row r="95" s="145" customFormat="1" ht="12">
      <c r="B95" s="194"/>
    </row>
    <row r="96" s="145" customFormat="1" ht="12">
      <c r="B96" s="194"/>
    </row>
    <row r="97" s="145" customFormat="1" ht="12">
      <c r="B97" s="194"/>
    </row>
    <row r="98" s="145" customFormat="1" ht="12">
      <c r="B98" s="194"/>
    </row>
    <row r="99" s="145" customFormat="1" ht="12">
      <c r="B99" s="194"/>
    </row>
    <row r="100" s="145" customFormat="1" ht="12">
      <c r="B100" s="194"/>
    </row>
    <row r="101" s="145" customFormat="1" ht="12">
      <c r="B101" s="194"/>
    </row>
    <row r="102" s="145" customFormat="1" ht="12">
      <c r="B102" s="194"/>
    </row>
    <row r="103" s="145" customFormat="1" ht="12">
      <c r="B103" s="194"/>
    </row>
    <row r="104" s="145" customFormat="1" ht="12">
      <c r="B104" s="194"/>
    </row>
    <row r="105" s="145" customFormat="1" ht="12">
      <c r="B105" s="194"/>
    </row>
    <row r="106" s="145" customFormat="1" ht="12">
      <c r="B106" s="194"/>
    </row>
    <row r="107" s="145" customFormat="1" ht="12">
      <c r="B107" s="194"/>
    </row>
    <row r="108" s="145" customFormat="1" ht="12">
      <c r="B108" s="194"/>
    </row>
    <row r="109" s="145" customFormat="1" ht="12">
      <c r="B109" s="194"/>
    </row>
    <row r="110" s="145" customFormat="1" ht="12">
      <c r="B110" s="194"/>
    </row>
    <row r="111" s="145" customFormat="1" ht="12">
      <c r="B111" s="194"/>
    </row>
    <row r="112" s="145" customFormat="1" ht="12">
      <c r="B112" s="194"/>
    </row>
    <row r="113" s="145" customFormat="1" ht="12">
      <c r="B113" s="194"/>
    </row>
    <row r="114" s="145" customFormat="1" ht="12">
      <c r="B114" s="194"/>
    </row>
    <row r="115" s="145" customFormat="1" ht="12">
      <c r="B115" s="194"/>
    </row>
    <row r="116" s="145" customFormat="1" ht="12">
      <c r="B116" s="194"/>
    </row>
    <row r="117" s="145" customFormat="1" ht="12">
      <c r="B117" s="194"/>
    </row>
    <row r="118" s="145" customFormat="1" ht="12">
      <c r="B118" s="194"/>
    </row>
    <row r="119" s="145" customFormat="1" ht="12">
      <c r="B119" s="194"/>
    </row>
    <row r="120" s="145" customFormat="1" ht="12">
      <c r="B120" s="194"/>
    </row>
    <row r="121" s="145" customFormat="1" ht="12">
      <c r="B121" s="194"/>
    </row>
    <row r="122" s="145" customFormat="1" ht="12">
      <c r="B122" s="194"/>
    </row>
    <row r="123" s="145" customFormat="1" ht="12">
      <c r="B123" s="194"/>
    </row>
    <row r="124" s="145" customFormat="1" ht="12">
      <c r="B124" s="194"/>
    </row>
    <row r="125" s="145" customFormat="1" ht="12">
      <c r="B125" s="194"/>
    </row>
    <row r="126" s="145" customFormat="1" ht="12">
      <c r="B126" s="194"/>
    </row>
    <row r="127" s="145" customFormat="1" ht="12">
      <c r="B127" s="194"/>
    </row>
    <row r="128" s="145" customFormat="1" ht="12">
      <c r="B128" s="194"/>
    </row>
    <row r="129" s="145" customFormat="1" ht="12">
      <c r="B129" s="194"/>
    </row>
    <row r="130" s="145" customFormat="1" ht="12">
      <c r="B130" s="194"/>
    </row>
    <row r="131" s="145" customFormat="1" ht="12">
      <c r="B131" s="194"/>
    </row>
    <row r="132" s="145" customFormat="1" ht="12">
      <c r="B132" s="194"/>
    </row>
    <row r="133" s="145" customFormat="1" ht="12">
      <c r="B133" s="194"/>
    </row>
    <row r="134" s="145" customFormat="1" ht="12">
      <c r="B134" s="194"/>
    </row>
    <row r="135" s="145" customFormat="1" ht="12">
      <c r="B135" s="194"/>
    </row>
    <row r="136" s="145" customFormat="1" ht="12">
      <c r="B136" s="194"/>
    </row>
    <row r="137" s="145" customFormat="1" ht="12">
      <c r="B137" s="194"/>
    </row>
    <row r="138" s="145" customFormat="1" ht="12">
      <c r="B138" s="194"/>
    </row>
    <row r="139" spans="1:14" ht="12.75">
      <c r="A139" s="145"/>
      <c r="B139" s="194"/>
      <c r="C139" s="145"/>
      <c r="D139" s="145"/>
      <c r="E139" s="145"/>
      <c r="F139" s="145"/>
      <c r="G139" s="145"/>
      <c r="H139" s="145"/>
      <c r="I139" s="145"/>
      <c r="J139" s="145"/>
      <c r="K139" s="145"/>
      <c r="L139" s="145"/>
      <c r="M139" s="145"/>
      <c r="N139" s="145"/>
    </row>
    <row r="140" spans="1:2" ht="12.75">
      <c r="A140" s="145"/>
      <c r="B140" s="176"/>
    </row>
    <row r="141" spans="1:2" ht="12.75">
      <c r="A141" s="145"/>
      <c r="B141" s="176"/>
    </row>
    <row r="142" spans="1:2" ht="12.75">
      <c r="A142" s="145"/>
      <c r="B142" s="176"/>
    </row>
    <row r="143" spans="1:2" ht="12.75">
      <c r="A143" s="145"/>
      <c r="B143" s="176"/>
    </row>
    <row r="144" spans="1:2" ht="12.75">
      <c r="A144" s="145"/>
      <c r="B144" s="176"/>
    </row>
    <row r="145" spans="1:2" ht="12.75">
      <c r="A145" s="145"/>
      <c r="B145" s="176"/>
    </row>
    <row r="146" ht="12.75">
      <c r="B146" s="176"/>
    </row>
    <row r="147" ht="12.75">
      <c r="B147" s="176"/>
    </row>
    <row r="148" ht="12.75">
      <c r="B148" s="176"/>
    </row>
    <row r="149" ht="12.75">
      <c r="B149" s="176"/>
    </row>
    <row r="150" ht="12.75">
      <c r="B150" s="176"/>
    </row>
    <row r="151" ht="12.75">
      <c r="B151" s="176"/>
    </row>
    <row r="152" ht="12.75">
      <c r="B152" s="176"/>
    </row>
    <row r="153" ht="12.75">
      <c r="B153" s="176"/>
    </row>
    <row r="154" ht="12.75">
      <c r="B154" s="176"/>
    </row>
    <row r="155" ht="12.75">
      <c r="B155" s="176"/>
    </row>
    <row r="156" ht="12.75">
      <c r="B156" s="176"/>
    </row>
    <row r="157" ht="12.75">
      <c r="B157" s="176"/>
    </row>
    <row r="158" ht="12.75">
      <c r="B158" s="176"/>
    </row>
  </sheetData>
  <mergeCells count="4">
    <mergeCell ref="G5:I6"/>
    <mergeCell ref="D5:F6"/>
    <mergeCell ref="K5:N6"/>
    <mergeCell ref="K51:M51"/>
  </mergeCells>
  <printOptions horizontalCentered="1"/>
  <pageMargins left="0.28" right="0" top="0.54" bottom="0.5" header="0.35" footer="0.25"/>
  <pageSetup horizontalDpi="600" verticalDpi="600" orientation="landscape" scale="60" r:id="rId1"/>
</worksheet>
</file>

<file path=xl/worksheets/sheet6.xml><?xml version="1.0" encoding="utf-8"?>
<worksheet xmlns="http://schemas.openxmlformats.org/spreadsheetml/2006/main" xmlns:r="http://schemas.openxmlformats.org/officeDocument/2006/relationships">
  <sheetPr>
    <tabColor indexed="12"/>
    <pageSetUpPr fitToPage="1"/>
  </sheetPr>
  <dimension ref="A1:P68"/>
  <sheetViews>
    <sheetView workbookViewId="0" topLeftCell="A1">
      <selection activeCell="C19" sqref="C19"/>
    </sheetView>
  </sheetViews>
  <sheetFormatPr defaultColWidth="9.140625" defaultRowHeight="12.75"/>
  <cols>
    <col min="1" max="1" width="3.00390625" style="323" bestFit="1" customWidth="1"/>
    <col min="2" max="2" width="53.28125" style="323" customWidth="1"/>
    <col min="3" max="3" width="11.7109375" style="323" customWidth="1"/>
    <col min="4" max="4" width="12.57421875" style="323" customWidth="1"/>
    <col min="5" max="5" width="12.57421875" style="323" bestFit="1" customWidth="1"/>
    <col min="6" max="6" width="11.7109375" style="323" customWidth="1"/>
    <col min="7" max="7" width="18.140625" style="323" customWidth="1"/>
    <col min="8" max="8" width="15.7109375" style="323" customWidth="1"/>
    <col min="9" max="9" width="14.57421875" style="323" customWidth="1"/>
    <col min="10" max="10" width="13.00390625" style="323" customWidth="1"/>
    <col min="11" max="12" width="14.8515625" style="323" customWidth="1"/>
    <col min="13" max="13" width="17.28125" style="323" customWidth="1"/>
    <col min="14" max="14" width="14.7109375" style="323" customWidth="1"/>
    <col min="15" max="15" width="15.140625" style="323" customWidth="1"/>
    <col min="16" max="16" width="9.28125" style="323" bestFit="1" customWidth="1"/>
    <col min="17" max="16384" width="9.140625" style="323" customWidth="1"/>
  </cols>
  <sheetData>
    <row r="1" spans="1:15" ht="12.75">
      <c r="A1" s="322" t="s">
        <v>0</v>
      </c>
      <c r="O1" s="324" t="s">
        <v>314</v>
      </c>
    </row>
    <row r="2" spans="1:15" ht="12.75">
      <c r="A2" s="322" t="s">
        <v>315</v>
      </c>
      <c r="O2" s="324" t="s">
        <v>124</v>
      </c>
    </row>
    <row r="4" spans="1:14" ht="15.75">
      <c r="A4" s="322"/>
      <c r="L4" s="5"/>
      <c r="M4" s="5"/>
      <c r="N4" s="5"/>
    </row>
    <row r="6" spans="1:13" ht="51">
      <c r="A6" s="491" t="s">
        <v>316</v>
      </c>
      <c r="B6" s="492"/>
      <c r="C6" s="325" t="s">
        <v>317</v>
      </c>
      <c r="D6" s="325" t="s">
        <v>318</v>
      </c>
      <c r="E6" s="325" t="s">
        <v>319</v>
      </c>
      <c r="F6" s="325" t="s">
        <v>320</v>
      </c>
      <c r="G6" s="326" t="s">
        <v>321</v>
      </c>
      <c r="H6" s="327" t="s">
        <v>322</v>
      </c>
      <c r="I6" s="328" t="s">
        <v>323</v>
      </c>
      <c r="J6" s="325" t="s">
        <v>324</v>
      </c>
      <c r="K6" s="327" t="s">
        <v>325</v>
      </c>
      <c r="L6" s="327" t="s">
        <v>326</v>
      </c>
      <c r="M6" s="328" t="s">
        <v>327</v>
      </c>
    </row>
    <row r="7" spans="3:13" ht="12.75">
      <c r="C7" s="329" t="s">
        <v>56</v>
      </c>
      <c r="D7" s="329" t="s">
        <v>98</v>
      </c>
      <c r="E7" s="330" t="s">
        <v>127</v>
      </c>
      <c r="F7" s="330" t="s">
        <v>128</v>
      </c>
      <c r="G7" s="329" t="s">
        <v>129</v>
      </c>
      <c r="H7" s="331" t="s">
        <v>130</v>
      </c>
      <c r="I7" s="329" t="s">
        <v>162</v>
      </c>
      <c r="J7" s="329" t="s">
        <v>131</v>
      </c>
      <c r="K7" s="331" t="s">
        <v>220</v>
      </c>
      <c r="L7" s="332" t="s">
        <v>132</v>
      </c>
      <c r="M7" s="331" t="s">
        <v>133</v>
      </c>
    </row>
    <row r="8" spans="1:12" ht="22.5" customHeight="1">
      <c r="A8" s="323">
        <v>8</v>
      </c>
      <c r="B8" s="322" t="s">
        <v>328</v>
      </c>
      <c r="C8" s="333"/>
      <c r="D8" s="333"/>
      <c r="E8" s="334"/>
      <c r="F8" s="334"/>
      <c r="G8" s="333"/>
      <c r="H8" s="335" t="s">
        <v>329</v>
      </c>
      <c r="I8" s="333"/>
      <c r="J8" s="333"/>
      <c r="K8" s="336" t="s">
        <v>330</v>
      </c>
      <c r="L8" s="337" t="s">
        <v>331</v>
      </c>
    </row>
    <row r="9" spans="1:13" ht="12.75">
      <c r="A9" s="323">
        <v>9</v>
      </c>
      <c r="B9" s="322" t="s">
        <v>332</v>
      </c>
      <c r="C9" s="338">
        <v>2674025</v>
      </c>
      <c r="D9" s="338">
        <v>-2304134</v>
      </c>
      <c r="E9" s="338">
        <v>-63401</v>
      </c>
      <c r="F9" s="338">
        <v>-158442</v>
      </c>
      <c r="G9" s="339">
        <v>1199275</v>
      </c>
      <c r="H9" s="340">
        <f>+G9+D9+E9+F9</f>
        <v>-1326702</v>
      </c>
      <c r="I9" s="339">
        <v>60580</v>
      </c>
      <c r="J9" s="338">
        <v>-148048</v>
      </c>
      <c r="K9" s="340">
        <f>+I9+J9</f>
        <v>-87468</v>
      </c>
      <c r="L9" s="341">
        <f>+C9+H9+K9</f>
        <v>1259855</v>
      </c>
      <c r="M9" s="339">
        <f>+H9+K9</f>
        <v>-1414170</v>
      </c>
    </row>
    <row r="10" spans="1:12" ht="12.75">
      <c r="A10" s="323">
        <v>10</v>
      </c>
      <c r="C10" s="338"/>
      <c r="D10" s="342" t="s">
        <v>333</v>
      </c>
      <c r="E10" s="342" t="s">
        <v>333</v>
      </c>
      <c r="F10" s="342" t="s">
        <v>333</v>
      </c>
      <c r="G10" s="342" t="s">
        <v>334</v>
      </c>
      <c r="H10" s="343" t="s">
        <v>335</v>
      </c>
      <c r="I10" s="342" t="s">
        <v>336</v>
      </c>
      <c r="J10" s="342" t="s">
        <v>337</v>
      </c>
      <c r="K10" s="343" t="s">
        <v>338</v>
      </c>
      <c r="L10" s="344"/>
    </row>
    <row r="11" spans="1:13" ht="12.75">
      <c r="A11" s="323">
        <v>11</v>
      </c>
      <c r="B11" s="323" t="s">
        <v>219</v>
      </c>
      <c r="C11" s="345">
        <v>0.605</v>
      </c>
      <c r="D11" s="345">
        <v>0.605</v>
      </c>
      <c r="E11" s="346">
        <v>0.605</v>
      </c>
      <c r="F11" s="346">
        <v>0.605</v>
      </c>
      <c r="G11" s="346">
        <v>0.605</v>
      </c>
      <c r="H11" s="347">
        <v>0.605</v>
      </c>
      <c r="I11" s="346">
        <v>0.605</v>
      </c>
      <c r="J11" s="348">
        <v>0.605</v>
      </c>
      <c r="K11" s="349">
        <v>0.605</v>
      </c>
      <c r="L11" s="350">
        <v>0.605</v>
      </c>
      <c r="M11" s="351"/>
    </row>
    <row r="12" spans="1:13" ht="12.75">
      <c r="A12" s="323">
        <v>12</v>
      </c>
      <c r="B12" s="322" t="s">
        <v>339</v>
      </c>
      <c r="C12" s="338">
        <f aca="true" t="shared" si="0" ref="C12:K12">ROUND(+C9*C11,0)</f>
        <v>1617785</v>
      </c>
      <c r="D12" s="338">
        <f t="shared" si="0"/>
        <v>-1394001</v>
      </c>
      <c r="E12" s="338">
        <f t="shared" si="0"/>
        <v>-38358</v>
      </c>
      <c r="F12" s="338">
        <f t="shared" si="0"/>
        <v>-95857</v>
      </c>
      <c r="G12" s="338">
        <f t="shared" si="0"/>
        <v>725561</v>
      </c>
      <c r="H12" s="352">
        <f t="shared" si="0"/>
        <v>-802655</v>
      </c>
      <c r="I12" s="338">
        <f t="shared" si="0"/>
        <v>36651</v>
      </c>
      <c r="J12" s="338">
        <f t="shared" si="0"/>
        <v>-89569</v>
      </c>
      <c r="K12" s="352">
        <f t="shared" si="0"/>
        <v>-52918</v>
      </c>
      <c r="L12" s="341">
        <f>+C12+H12+K12</f>
        <v>762212</v>
      </c>
      <c r="M12" s="339">
        <f>+H12+K12</f>
        <v>-855573</v>
      </c>
    </row>
    <row r="13" spans="1:12" ht="12.75">
      <c r="A13" s="323">
        <v>13</v>
      </c>
      <c r="G13" s="342" t="s">
        <v>334</v>
      </c>
      <c r="H13" s="343" t="s">
        <v>333</v>
      </c>
      <c r="I13" s="342" t="s">
        <v>336</v>
      </c>
      <c r="J13" s="342" t="s">
        <v>337</v>
      </c>
      <c r="K13" s="343" t="s">
        <v>338</v>
      </c>
      <c r="L13" s="344"/>
    </row>
    <row r="14" spans="1:12" ht="12.75">
      <c r="A14" s="323">
        <v>14</v>
      </c>
      <c r="B14" s="322" t="s">
        <v>340</v>
      </c>
      <c r="H14" s="353"/>
      <c r="K14" s="353"/>
      <c r="L14" s="354"/>
    </row>
    <row r="15" spans="1:13" ht="12.75" customHeight="1">
      <c r="A15" s="323">
        <v>15</v>
      </c>
      <c r="B15" s="322" t="s">
        <v>332</v>
      </c>
      <c r="C15" s="338">
        <v>2674025</v>
      </c>
      <c r="D15" s="338">
        <v>-2304134</v>
      </c>
      <c r="E15" s="338">
        <v>-63401</v>
      </c>
      <c r="F15" s="338">
        <v>-158442</v>
      </c>
      <c r="G15" s="355">
        <f>+'DDM 05 - page 1'!M44</f>
        <v>1524658.4956</v>
      </c>
      <c r="H15" s="340">
        <f>+G15+D15+E15+F15</f>
        <v>-1001318.5044</v>
      </c>
      <c r="I15" s="355" t="e">
        <f>+'DDM 03'!J38</f>
        <v>#REF!</v>
      </c>
      <c r="J15" s="338">
        <f>+J9</f>
        <v>-148048</v>
      </c>
      <c r="K15" s="340" t="e">
        <f>+I15+J15</f>
        <v>#REF!</v>
      </c>
      <c r="L15" s="341" t="e">
        <f>+C15+H15+K15</f>
        <v>#REF!</v>
      </c>
      <c r="M15" s="339" t="e">
        <f>+H15+K15</f>
        <v>#REF!</v>
      </c>
    </row>
    <row r="16" spans="1:12" ht="12.75">
      <c r="A16" s="323">
        <v>16</v>
      </c>
      <c r="C16" s="338"/>
      <c r="D16" s="342" t="s">
        <v>341</v>
      </c>
      <c r="E16" s="342" t="s">
        <v>333</v>
      </c>
      <c r="F16" s="342" t="s">
        <v>333</v>
      </c>
      <c r="G16" s="342" t="s">
        <v>342</v>
      </c>
      <c r="H16" s="343"/>
      <c r="I16" s="342" t="s">
        <v>343</v>
      </c>
      <c r="J16" s="342" t="s">
        <v>337</v>
      </c>
      <c r="K16" s="343"/>
      <c r="L16" s="344"/>
    </row>
    <row r="17" spans="1:12" ht="12.75">
      <c r="A17" s="323">
        <v>17</v>
      </c>
      <c r="B17" s="323" t="s">
        <v>219</v>
      </c>
      <c r="C17" s="345">
        <v>0.605</v>
      </c>
      <c r="D17" s="345">
        <v>0.605</v>
      </c>
      <c r="E17" s="346">
        <v>0.605</v>
      </c>
      <c r="F17" s="346">
        <v>0.605</v>
      </c>
      <c r="G17" s="345">
        <v>0.605</v>
      </c>
      <c r="H17" s="356">
        <v>0.605</v>
      </c>
      <c r="I17" s="345">
        <v>0.605</v>
      </c>
      <c r="J17" s="345">
        <v>0.605</v>
      </c>
      <c r="K17" s="357">
        <v>0.605</v>
      </c>
      <c r="L17" s="358">
        <v>0.605</v>
      </c>
    </row>
    <row r="18" spans="1:16" ht="12.75">
      <c r="A18" s="323">
        <v>18</v>
      </c>
      <c r="B18" s="322" t="s">
        <v>339</v>
      </c>
      <c r="C18" s="338">
        <f aca="true" t="shared" si="1" ref="C18:K18">ROUND(+C15*C17,0)</f>
        <v>1617785</v>
      </c>
      <c r="D18" s="338">
        <f t="shared" si="1"/>
        <v>-1394001</v>
      </c>
      <c r="E18" s="338">
        <f t="shared" si="1"/>
        <v>-38358</v>
      </c>
      <c r="F18" s="338">
        <f t="shared" si="1"/>
        <v>-95857</v>
      </c>
      <c r="G18" s="338">
        <f t="shared" si="1"/>
        <v>922418</v>
      </c>
      <c r="H18" s="352">
        <f t="shared" si="1"/>
        <v>-605798</v>
      </c>
      <c r="I18" s="338" t="e">
        <f t="shared" si="1"/>
        <v>#REF!</v>
      </c>
      <c r="J18" s="338">
        <f t="shared" si="1"/>
        <v>-89569</v>
      </c>
      <c r="K18" s="352" t="e">
        <f t="shared" si="1"/>
        <v>#REF!</v>
      </c>
      <c r="L18" s="341" t="e">
        <f>+C18+H18+K18</f>
        <v>#REF!</v>
      </c>
      <c r="M18" s="339" t="e">
        <f>+H18+K18</f>
        <v>#REF!</v>
      </c>
      <c r="P18" s="339"/>
    </row>
    <row r="19" spans="1:12" ht="12.75">
      <c r="A19" s="323">
        <v>19</v>
      </c>
      <c r="G19" s="342"/>
      <c r="H19" s="343"/>
      <c r="I19" s="359"/>
      <c r="J19" s="342" t="s">
        <v>337</v>
      </c>
      <c r="K19" s="343"/>
      <c r="L19" s="344"/>
    </row>
    <row r="20" spans="1:13" ht="12.75">
      <c r="A20" s="323">
        <v>20</v>
      </c>
      <c r="B20" s="322" t="s">
        <v>344</v>
      </c>
      <c r="H20" s="360">
        <f>+H18-H12</f>
        <v>196857</v>
      </c>
      <c r="I20" s="322"/>
      <c r="J20" s="361"/>
      <c r="K20" s="360" t="e">
        <f>+K18-K12</f>
        <v>#REF!</v>
      </c>
      <c r="L20" s="362"/>
      <c r="M20" s="363"/>
    </row>
    <row r="21" spans="8:12" ht="12.75">
      <c r="H21" s="353"/>
      <c r="L21" s="353"/>
    </row>
    <row r="22" spans="1:15" ht="63.75">
      <c r="A22" s="491" t="s">
        <v>345</v>
      </c>
      <c r="B22" s="492"/>
      <c r="C22" s="325" t="s">
        <v>317</v>
      </c>
      <c r="D22" s="325" t="s">
        <v>346</v>
      </c>
      <c r="E22" s="325" t="s">
        <v>347</v>
      </c>
      <c r="F22" s="325" t="s">
        <v>348</v>
      </c>
      <c r="G22" s="328" t="s">
        <v>349</v>
      </c>
      <c r="H22" s="328" t="s">
        <v>350</v>
      </c>
      <c r="I22" s="327" t="s">
        <v>351</v>
      </c>
      <c r="J22" s="328" t="s">
        <v>352</v>
      </c>
      <c r="K22" s="328" t="s">
        <v>323</v>
      </c>
      <c r="L22" s="325" t="s">
        <v>324</v>
      </c>
      <c r="M22" s="327" t="s">
        <v>322</v>
      </c>
      <c r="N22" s="327" t="s">
        <v>353</v>
      </c>
      <c r="O22" s="328" t="s">
        <v>327</v>
      </c>
    </row>
    <row r="23" spans="3:15" ht="12.75">
      <c r="C23" s="329" t="s">
        <v>56</v>
      </c>
      <c r="D23" s="329" t="s">
        <v>98</v>
      </c>
      <c r="E23" s="330" t="s">
        <v>127</v>
      </c>
      <c r="F23" s="330" t="s">
        <v>128</v>
      </c>
      <c r="G23" s="329" t="s">
        <v>129</v>
      </c>
      <c r="H23" s="329" t="s">
        <v>130</v>
      </c>
      <c r="I23" s="332" t="s">
        <v>162</v>
      </c>
      <c r="J23" s="329" t="s">
        <v>131</v>
      </c>
      <c r="K23" s="329" t="s">
        <v>220</v>
      </c>
      <c r="L23" s="329" t="s">
        <v>132</v>
      </c>
      <c r="M23" s="331" t="s">
        <v>133</v>
      </c>
      <c r="N23" s="331" t="s">
        <v>262</v>
      </c>
      <c r="O23" s="329" t="s">
        <v>223</v>
      </c>
    </row>
    <row r="24" spans="1:14" ht="12.75">
      <c r="A24" s="323">
        <v>24</v>
      </c>
      <c r="B24" s="322" t="s">
        <v>328</v>
      </c>
      <c r="C24" s="333"/>
      <c r="D24" s="333"/>
      <c r="E24" s="334"/>
      <c r="F24" s="334"/>
      <c r="G24" s="333"/>
      <c r="I24" s="364" t="s">
        <v>329</v>
      </c>
      <c r="J24" s="329" t="s">
        <v>354</v>
      </c>
      <c r="K24" s="333"/>
      <c r="L24" s="333"/>
      <c r="M24" s="336" t="s">
        <v>355</v>
      </c>
      <c r="N24" s="365" t="s">
        <v>356</v>
      </c>
    </row>
    <row r="25" spans="1:14" ht="12.75">
      <c r="A25" s="323">
        <v>25</v>
      </c>
      <c r="B25" s="322" t="s">
        <v>357</v>
      </c>
      <c r="C25" s="338">
        <v>-24703760.1736</v>
      </c>
      <c r="D25" s="338">
        <f>-C25</f>
        <v>24703760.1736</v>
      </c>
      <c r="E25" s="338">
        <v>-63401</v>
      </c>
      <c r="F25" s="338">
        <v>-25689787</v>
      </c>
      <c r="G25" s="339">
        <v>-1595663</v>
      </c>
      <c r="H25" s="338"/>
      <c r="I25" s="340">
        <f>+D25+E25+F25+G25</f>
        <v>-2645090.8264000006</v>
      </c>
      <c r="J25" s="339">
        <f>+C25+I25</f>
        <v>-27348851</v>
      </c>
      <c r="K25" s="339">
        <v>-60580</v>
      </c>
      <c r="L25" s="338">
        <v>148048</v>
      </c>
      <c r="M25" s="340">
        <f>+K25+L25</f>
        <v>87468</v>
      </c>
      <c r="N25" s="340">
        <f>+J25+M25</f>
        <v>-27261383</v>
      </c>
    </row>
    <row r="26" spans="1:14" ht="12.75">
      <c r="A26" s="323">
        <v>26</v>
      </c>
      <c r="C26" s="338"/>
      <c r="D26" s="342" t="s">
        <v>358</v>
      </c>
      <c r="E26" s="342" t="s">
        <v>358</v>
      </c>
      <c r="F26" s="342" t="s">
        <v>358</v>
      </c>
      <c r="G26" s="342" t="s">
        <v>358</v>
      </c>
      <c r="H26" s="342"/>
      <c r="I26" s="343"/>
      <c r="K26" s="342" t="s">
        <v>336</v>
      </c>
      <c r="L26" s="338"/>
      <c r="M26" s="343" t="s">
        <v>338</v>
      </c>
      <c r="N26" s="343"/>
    </row>
    <row r="27" spans="1:14" ht="12.75">
      <c r="A27" s="323">
        <v>27</v>
      </c>
      <c r="B27" s="323" t="s">
        <v>219</v>
      </c>
      <c r="C27" s="366"/>
      <c r="D27" s="346"/>
      <c r="E27" s="346">
        <v>0.605</v>
      </c>
      <c r="F27" s="346">
        <v>0.6276999999999999</v>
      </c>
      <c r="G27" s="346">
        <v>0.6276999999999999</v>
      </c>
      <c r="H27" s="348"/>
      <c r="I27" s="347"/>
      <c r="J27" s="367"/>
      <c r="K27" s="346">
        <f>+G27</f>
        <v>0.6276999999999999</v>
      </c>
      <c r="L27" s="346">
        <f>+K27</f>
        <v>0.6276999999999999</v>
      </c>
      <c r="M27" s="349">
        <v>0.6277</v>
      </c>
      <c r="N27" s="349">
        <v>0.628</v>
      </c>
    </row>
    <row r="28" spans="1:15" ht="12.75">
      <c r="A28" s="323">
        <v>28</v>
      </c>
      <c r="B28" s="322" t="s">
        <v>359</v>
      </c>
      <c r="C28" s="338">
        <v>-15690969</v>
      </c>
      <c r="D28" s="338">
        <f>-C28</f>
        <v>15690969</v>
      </c>
      <c r="E28" s="338">
        <f>ROUND(+E25*E27,0)</f>
        <v>-38358</v>
      </c>
      <c r="F28" s="338">
        <f>ROUND(+F25*F27,0)-1</f>
        <v>-16125480</v>
      </c>
      <c r="G28" s="338">
        <f>ROUND(+G25*G27,0)</f>
        <v>-1001598</v>
      </c>
      <c r="H28" s="338"/>
      <c r="I28" s="340">
        <f>+G28+D28+E28+F28</f>
        <v>-1474467</v>
      </c>
      <c r="J28" s="339">
        <f>+C28+I28</f>
        <v>-17165436</v>
      </c>
      <c r="K28" s="338">
        <f>ROUND(+K25*K27,0)</f>
        <v>-38026</v>
      </c>
      <c r="L28" s="338">
        <f>ROUND(+L25*L27,0)-2</f>
        <v>92928</v>
      </c>
      <c r="M28" s="352">
        <f>+K28+L28</f>
        <v>54902</v>
      </c>
      <c r="N28" s="340">
        <f>+J28+M28</f>
        <v>-17110534</v>
      </c>
      <c r="O28" s="339">
        <f>+I28+M28</f>
        <v>-1419565</v>
      </c>
    </row>
    <row r="29" spans="1:14" ht="12.75">
      <c r="A29" s="323">
        <v>29</v>
      </c>
      <c r="G29" s="342"/>
      <c r="I29" s="343"/>
      <c r="K29" s="342" t="s">
        <v>336</v>
      </c>
      <c r="L29" s="342"/>
      <c r="M29" s="343" t="s">
        <v>338</v>
      </c>
      <c r="N29" s="343"/>
    </row>
    <row r="30" spans="1:14" ht="12.75">
      <c r="A30" s="323">
        <v>30</v>
      </c>
      <c r="B30" s="322" t="s">
        <v>340</v>
      </c>
      <c r="I30" s="353"/>
      <c r="M30" s="353"/>
      <c r="N30" s="353"/>
    </row>
    <row r="31" spans="1:14" ht="12.75" customHeight="1">
      <c r="A31" s="323">
        <v>31</v>
      </c>
      <c r="B31" s="322" t="s">
        <v>357</v>
      </c>
      <c r="C31" s="338">
        <v>-24703760.1736</v>
      </c>
      <c r="D31" s="338">
        <f>-C31</f>
        <v>24703760.1736</v>
      </c>
      <c r="E31" s="488" t="s">
        <v>360</v>
      </c>
      <c r="F31" s="338">
        <v>-25689787</v>
      </c>
      <c r="G31" s="339">
        <f>'DDM 05 - page 1'!K56</f>
        <v>-1524658.4956</v>
      </c>
      <c r="H31" s="368">
        <f>+'DDM 05 - page 1'!K55</f>
        <v>1564096.81</v>
      </c>
      <c r="I31" s="340">
        <f>+D31+F31+G31+H31</f>
        <v>-946588.5120000006</v>
      </c>
      <c r="J31" s="339">
        <f>+C31+I31</f>
        <v>-25650348.6856</v>
      </c>
      <c r="K31" s="355" t="e">
        <f>-'DDM 03'!H38</f>
        <v>#REF!</v>
      </c>
      <c r="L31" s="488" t="s">
        <v>360</v>
      </c>
      <c r="M31" s="340" t="e">
        <f>+K31</f>
        <v>#REF!</v>
      </c>
      <c r="N31" s="340" t="e">
        <f>+J31+M31</f>
        <v>#REF!</v>
      </c>
    </row>
    <row r="32" spans="1:14" ht="12.75">
      <c r="A32" s="323">
        <v>32</v>
      </c>
      <c r="C32" s="338"/>
      <c r="D32" s="342" t="s">
        <v>358</v>
      </c>
      <c r="E32" s="488"/>
      <c r="F32" s="342" t="s">
        <v>358</v>
      </c>
      <c r="G32" s="342" t="s">
        <v>342</v>
      </c>
      <c r="H32" s="342" t="s">
        <v>361</v>
      </c>
      <c r="I32" s="343"/>
      <c r="K32" s="342" t="s">
        <v>362</v>
      </c>
      <c r="L32" s="488"/>
      <c r="M32" s="343"/>
      <c r="N32" s="343"/>
    </row>
    <row r="33" spans="1:14" ht="12.75">
      <c r="A33" s="323">
        <v>33</v>
      </c>
      <c r="B33" s="323" t="s">
        <v>219</v>
      </c>
      <c r="C33" s="366"/>
      <c r="D33" s="345"/>
      <c r="E33" s="488"/>
      <c r="F33" s="346">
        <v>0.6276999999999999</v>
      </c>
      <c r="G33" s="345">
        <v>0.6276999999999999</v>
      </c>
      <c r="H33" s="345">
        <v>0.6276999999999999</v>
      </c>
      <c r="I33" s="347"/>
      <c r="K33" s="345">
        <v>0.6277</v>
      </c>
      <c r="L33" s="488"/>
      <c r="M33" s="357">
        <f>+M27</f>
        <v>0.6277</v>
      </c>
      <c r="N33" s="357" t="e">
        <f>+N34/N31</f>
        <v>#REF!</v>
      </c>
    </row>
    <row r="34" spans="1:15" ht="12.75">
      <c r="A34" s="323">
        <v>34</v>
      </c>
      <c r="B34" s="322" t="s">
        <v>359</v>
      </c>
      <c r="C34" s="338">
        <v>-15690969</v>
      </c>
      <c r="D34" s="338">
        <f>-C34</f>
        <v>15690969</v>
      </c>
      <c r="E34" s="488"/>
      <c r="F34" s="338">
        <f>ROUND(+F31*F33,0)-1</f>
        <v>-16125480</v>
      </c>
      <c r="G34" s="338">
        <f>ROUND(+G31*G33,0)</f>
        <v>-957028</v>
      </c>
      <c r="H34" s="338">
        <f>ROUND(+H31*H33,0)-1</f>
        <v>981783</v>
      </c>
      <c r="I34" s="340">
        <f>+G34+D34+F34+H34</f>
        <v>-409756</v>
      </c>
      <c r="J34" s="339">
        <f>+C34+I34</f>
        <v>-16100725</v>
      </c>
      <c r="K34" s="338" t="e">
        <f>ROUND(+K31*K33,0)</f>
        <v>#REF!</v>
      </c>
      <c r="L34" s="488"/>
      <c r="M34" s="352" t="e">
        <f>ROUND(+M31*M33,0)</f>
        <v>#REF!</v>
      </c>
      <c r="N34" s="340" t="e">
        <f>+J34+M34</f>
        <v>#REF!</v>
      </c>
      <c r="O34" s="339" t="e">
        <f>+I34+M34</f>
        <v>#REF!</v>
      </c>
    </row>
    <row r="35" spans="1:14" ht="12.75">
      <c r="A35" s="323">
        <v>35</v>
      </c>
      <c r="G35" s="342"/>
      <c r="H35" s="342" t="s">
        <v>363</v>
      </c>
      <c r="I35" s="343"/>
      <c r="K35" s="359"/>
      <c r="L35" s="359"/>
      <c r="M35" s="343"/>
      <c r="N35" s="343"/>
    </row>
    <row r="36" spans="1:15" ht="12.75">
      <c r="A36" s="323">
        <v>36</v>
      </c>
      <c r="B36" s="322" t="s">
        <v>344</v>
      </c>
      <c r="F36" s="363"/>
      <c r="G36" s="369"/>
      <c r="H36" s="363"/>
      <c r="I36" s="360">
        <f>+I34-I28</f>
        <v>1064711</v>
      </c>
      <c r="J36" s="369"/>
      <c r="K36" s="361"/>
      <c r="L36" s="322"/>
      <c r="M36" s="360" t="e">
        <f>+M34-M28</f>
        <v>#REF!</v>
      </c>
      <c r="N36" s="369"/>
      <c r="O36" s="339"/>
    </row>
    <row r="38" spans="1:14" ht="51">
      <c r="A38" s="491" t="s">
        <v>364</v>
      </c>
      <c r="B38" s="492"/>
      <c r="C38" s="325" t="s">
        <v>317</v>
      </c>
      <c r="D38" s="325" t="s">
        <v>365</v>
      </c>
      <c r="E38" s="328" t="s">
        <v>366</v>
      </c>
      <c r="F38" s="327" t="s">
        <v>367</v>
      </c>
      <c r="H38" s="493" t="s">
        <v>368</v>
      </c>
      <c r="I38" s="494"/>
      <c r="J38" s="495"/>
      <c r="K38" s="325" t="s">
        <v>317</v>
      </c>
      <c r="L38" s="325" t="s">
        <v>365</v>
      </c>
      <c r="M38" s="326" t="s">
        <v>369</v>
      </c>
      <c r="N38" s="327" t="s">
        <v>367</v>
      </c>
    </row>
    <row r="39" spans="3:14" ht="12.75">
      <c r="C39" s="329" t="s">
        <v>56</v>
      </c>
      <c r="D39" s="330" t="s">
        <v>98</v>
      </c>
      <c r="E39" s="329" t="s">
        <v>127</v>
      </c>
      <c r="F39" s="332" t="s">
        <v>128</v>
      </c>
      <c r="K39" s="329" t="s">
        <v>220</v>
      </c>
      <c r="L39" s="330" t="s">
        <v>132</v>
      </c>
      <c r="M39" s="329" t="s">
        <v>133</v>
      </c>
      <c r="N39" s="332" t="s">
        <v>262</v>
      </c>
    </row>
    <row r="40" spans="1:14" ht="12.75">
      <c r="A40" s="323">
        <v>40</v>
      </c>
      <c r="B40" s="322" t="s">
        <v>328</v>
      </c>
      <c r="C40" s="333"/>
      <c r="D40" s="334"/>
      <c r="E40" s="333"/>
      <c r="F40" s="335" t="s">
        <v>370</v>
      </c>
      <c r="H40" s="322" t="s">
        <v>328</v>
      </c>
      <c r="K40" s="333"/>
      <c r="L40" s="334"/>
      <c r="M40" s="333"/>
      <c r="N40" s="335" t="s">
        <v>371</v>
      </c>
    </row>
    <row r="41" spans="1:14" ht="12.75">
      <c r="A41" s="323">
        <v>41</v>
      </c>
      <c r="B41" s="322" t="s">
        <v>372</v>
      </c>
      <c r="C41" s="338">
        <v>37021117</v>
      </c>
      <c r="D41" s="338">
        <v>-2056607</v>
      </c>
      <c r="E41" s="339">
        <v>1103779</v>
      </c>
      <c r="F41" s="340">
        <f>+E41+D41</f>
        <v>-952828</v>
      </c>
      <c r="H41" s="322" t="s">
        <v>373</v>
      </c>
      <c r="I41" s="322"/>
      <c r="K41" s="338">
        <v>141275</v>
      </c>
      <c r="L41" s="338">
        <f>-K41</f>
        <v>-141275</v>
      </c>
      <c r="M41" s="339">
        <v>0</v>
      </c>
      <c r="N41" s="340">
        <f>+M41+L41</f>
        <v>-141275</v>
      </c>
    </row>
    <row r="42" spans="1:14" ht="12.75">
      <c r="A42" s="323">
        <v>42</v>
      </c>
      <c r="C42" s="338"/>
      <c r="D42" s="342" t="s">
        <v>374</v>
      </c>
      <c r="E42" s="342" t="s">
        <v>374</v>
      </c>
      <c r="F42" s="343"/>
      <c r="K42" s="338"/>
      <c r="L42" s="342" t="s">
        <v>374</v>
      </c>
      <c r="M42" s="342" t="s">
        <v>374</v>
      </c>
      <c r="N42" s="343"/>
    </row>
    <row r="43" spans="1:14" ht="12.75">
      <c r="A43" s="323">
        <v>43</v>
      </c>
      <c r="B43" s="322" t="s">
        <v>375</v>
      </c>
      <c r="C43" s="338">
        <v>23771864</v>
      </c>
      <c r="D43" s="338">
        <v>-1382953</v>
      </c>
      <c r="E43" s="338">
        <v>789533</v>
      </c>
      <c r="F43" s="340">
        <f>+E43+D43</f>
        <v>-593420</v>
      </c>
      <c r="G43" s="370"/>
      <c r="H43" s="322" t="s">
        <v>376</v>
      </c>
      <c r="I43" s="322"/>
      <c r="K43" s="338">
        <v>90444</v>
      </c>
      <c r="L43" s="338">
        <f>-K43</f>
        <v>-90444</v>
      </c>
      <c r="M43" s="338">
        <v>0</v>
      </c>
      <c r="N43" s="340">
        <f>+M43+L43</f>
        <v>-90444</v>
      </c>
    </row>
    <row r="44" spans="1:14" ht="12.75">
      <c r="A44" s="323">
        <v>44</v>
      </c>
      <c r="D44" s="342" t="s">
        <v>374</v>
      </c>
      <c r="E44" s="342" t="s">
        <v>374</v>
      </c>
      <c r="F44" s="353"/>
      <c r="L44" s="342" t="s">
        <v>374</v>
      </c>
      <c r="M44" s="342" t="s">
        <v>374</v>
      </c>
      <c r="N44" s="353"/>
    </row>
    <row r="45" spans="1:14" ht="12.75">
      <c r="A45" s="323">
        <v>45</v>
      </c>
      <c r="B45" s="322" t="s">
        <v>340</v>
      </c>
      <c r="F45" s="353"/>
      <c r="N45" s="353"/>
    </row>
    <row r="46" spans="1:14" ht="12.75">
      <c r="A46" s="323">
        <v>46</v>
      </c>
      <c r="B46" s="322" t="s">
        <v>372</v>
      </c>
      <c r="C46" s="338">
        <v>37021117</v>
      </c>
      <c r="D46" s="338">
        <v>-2056607</v>
      </c>
      <c r="E46" s="371" t="e">
        <f>+'DDM 02 - page 1'!D38</f>
        <v>#REF!</v>
      </c>
      <c r="F46" s="340" t="e">
        <f>+E46+D46</f>
        <v>#REF!</v>
      </c>
      <c r="H46" s="322" t="s">
        <v>373</v>
      </c>
      <c r="I46" s="322"/>
      <c r="K46" s="338">
        <v>141275</v>
      </c>
      <c r="L46" s="338">
        <f>-K46</f>
        <v>-141275</v>
      </c>
      <c r="M46" s="339">
        <v>0</v>
      </c>
      <c r="N46" s="340">
        <f>+M46+L46</f>
        <v>-141275</v>
      </c>
    </row>
    <row r="47" spans="1:14" ht="12.75">
      <c r="A47" s="323">
        <v>47</v>
      </c>
      <c r="C47" s="338"/>
      <c r="D47" s="342" t="s">
        <v>374</v>
      </c>
      <c r="E47" s="372" t="s">
        <v>377</v>
      </c>
      <c r="F47" s="343"/>
      <c r="K47" s="338"/>
      <c r="L47" s="342" t="s">
        <v>374</v>
      </c>
      <c r="M47" s="373">
        <v>0.7355</v>
      </c>
      <c r="N47" s="343"/>
    </row>
    <row r="48" spans="1:14" ht="12.75">
      <c r="A48" s="323">
        <v>48</v>
      </c>
      <c r="B48" s="322" t="s">
        <v>375</v>
      </c>
      <c r="C48" s="338">
        <v>23771864</v>
      </c>
      <c r="D48" s="338">
        <v>-1382953</v>
      </c>
      <c r="E48" s="374" t="e">
        <f>+'DDM 02 - page 1'!F38</f>
        <v>#REF!</v>
      </c>
      <c r="F48" s="340" t="e">
        <f>+E48+D48</f>
        <v>#REF!</v>
      </c>
      <c r="H48" s="322" t="s">
        <v>376</v>
      </c>
      <c r="I48" s="322"/>
      <c r="K48" s="338">
        <v>90444</v>
      </c>
      <c r="L48" s="338">
        <f>-K48</f>
        <v>-90444</v>
      </c>
      <c r="M48" s="338">
        <f>ROUND(+M46*M47,0)</f>
        <v>0</v>
      </c>
      <c r="N48" s="340">
        <f>+M48+L48</f>
        <v>-90444</v>
      </c>
    </row>
    <row r="49" spans="1:14" ht="12.75">
      <c r="A49" s="323">
        <v>49</v>
      </c>
      <c r="B49" s="322"/>
      <c r="C49" s="338"/>
      <c r="D49" s="342" t="s">
        <v>374</v>
      </c>
      <c r="E49" s="342" t="s">
        <v>377</v>
      </c>
      <c r="F49" s="340"/>
      <c r="H49" s="322"/>
      <c r="I49" s="322"/>
      <c r="L49" s="342" t="s">
        <v>374</v>
      </c>
      <c r="M49" s="338"/>
      <c r="N49" s="340"/>
    </row>
    <row r="50" spans="1:14" ht="12.75">
      <c r="A50" s="323">
        <v>50</v>
      </c>
      <c r="B50" s="322" t="s">
        <v>344</v>
      </c>
      <c r="C50" s="338"/>
      <c r="D50" s="342"/>
      <c r="E50" s="338"/>
      <c r="F50" s="360" t="e">
        <f>+F48-F43</f>
        <v>#REF!</v>
      </c>
      <c r="H50" s="322" t="s">
        <v>344</v>
      </c>
      <c r="I50" s="322"/>
      <c r="N50" s="375">
        <f>+N48-N43</f>
        <v>0</v>
      </c>
    </row>
    <row r="51" spans="2:13" ht="13.5" thickBot="1">
      <c r="B51" s="322"/>
      <c r="C51" s="338"/>
      <c r="D51" s="342"/>
      <c r="E51" s="338"/>
      <c r="F51" s="340"/>
      <c r="M51"/>
    </row>
    <row r="52" spans="1:14" ht="64.5" thickTop="1">
      <c r="A52" s="489" t="s">
        <v>378</v>
      </c>
      <c r="B52" s="490"/>
      <c r="C52" s="376" t="s">
        <v>317</v>
      </c>
      <c r="D52" s="376" t="s">
        <v>365</v>
      </c>
      <c r="E52" s="376" t="s">
        <v>379</v>
      </c>
      <c r="F52" s="377" t="s">
        <v>380</v>
      </c>
      <c r="H52"/>
      <c r="I52"/>
      <c r="J52"/>
      <c r="K52"/>
      <c r="L52"/>
      <c r="M52"/>
      <c r="N52"/>
    </row>
    <row r="53" spans="1:14" ht="12.75">
      <c r="A53" s="378"/>
      <c r="B53" s="379"/>
      <c r="C53" s="329" t="s">
        <v>56</v>
      </c>
      <c r="D53" s="330" t="s">
        <v>98</v>
      </c>
      <c r="E53" s="329" t="s">
        <v>127</v>
      </c>
      <c r="F53" s="380" t="s">
        <v>128</v>
      </c>
      <c r="G53" s="363"/>
      <c r="H53"/>
      <c r="I53"/>
      <c r="J53"/>
      <c r="K53"/>
      <c r="L53"/>
      <c r="M53"/>
      <c r="N53"/>
    </row>
    <row r="54" spans="1:14" ht="12.75">
      <c r="A54" s="381">
        <v>55</v>
      </c>
      <c r="B54" s="382" t="s">
        <v>328</v>
      </c>
      <c r="C54" s="383"/>
      <c r="D54" s="384"/>
      <c r="E54" s="383"/>
      <c r="F54" s="385" t="s">
        <v>381</v>
      </c>
      <c r="G54" s="363"/>
      <c r="H54"/>
      <c r="I54"/>
      <c r="J54"/>
      <c r="K54"/>
      <c r="L54"/>
      <c r="M54"/>
      <c r="N54"/>
    </row>
    <row r="55" spans="1:14" ht="12.75">
      <c r="A55" s="386">
        <v>56</v>
      </c>
      <c r="B55" s="387" t="s">
        <v>382</v>
      </c>
      <c r="C55" s="388">
        <v>46253</v>
      </c>
      <c r="D55" s="388">
        <v>0</v>
      </c>
      <c r="E55" s="389">
        <v>46253</v>
      </c>
      <c r="F55" s="389">
        <f>+E55+D55</f>
        <v>46253</v>
      </c>
      <c r="G55" s="363"/>
      <c r="H55"/>
      <c r="I55"/>
      <c r="J55"/>
      <c r="K55"/>
      <c r="L55"/>
      <c r="M55"/>
      <c r="N55"/>
    </row>
    <row r="56" spans="1:14" ht="12.75">
      <c r="A56" s="386">
        <v>57</v>
      </c>
      <c r="B56" s="390"/>
      <c r="C56" s="391">
        <v>0.7355</v>
      </c>
      <c r="D56" s="392"/>
      <c r="E56" s="391">
        <v>0.7355</v>
      </c>
      <c r="F56" s="392"/>
      <c r="G56" s="363"/>
      <c r="H56"/>
      <c r="I56"/>
      <c r="J56"/>
      <c r="K56"/>
      <c r="L56"/>
      <c r="M56"/>
      <c r="N56"/>
    </row>
    <row r="57" spans="1:14" ht="12.75">
      <c r="A57" s="381">
        <v>58</v>
      </c>
      <c r="B57" s="387" t="s">
        <v>383</v>
      </c>
      <c r="C57" s="393">
        <f>+C55*C56</f>
        <v>34019.0815</v>
      </c>
      <c r="D57" s="393"/>
      <c r="E57" s="393">
        <f>+E55*E56</f>
        <v>34019.0815</v>
      </c>
      <c r="F57" s="394">
        <f>+E57+D57</f>
        <v>34019.0815</v>
      </c>
      <c r="G57" s="363"/>
      <c r="H57"/>
      <c r="I57"/>
      <c r="J57"/>
      <c r="K57"/>
      <c r="L57"/>
      <c r="M57"/>
      <c r="N57"/>
    </row>
    <row r="58" spans="1:14" ht="12.75">
      <c r="A58" s="386">
        <v>59</v>
      </c>
      <c r="B58" s="382"/>
      <c r="C58" s="383"/>
      <c r="D58" s="392"/>
      <c r="E58" s="392"/>
      <c r="F58" s="383"/>
      <c r="G58" s="363"/>
      <c r="H58"/>
      <c r="I58"/>
      <c r="J58"/>
      <c r="K58"/>
      <c r="L58"/>
      <c r="M58"/>
      <c r="N58"/>
    </row>
    <row r="59" spans="1:14" ht="12.75">
      <c r="A59" s="386">
        <v>60</v>
      </c>
      <c r="B59" s="382" t="s">
        <v>340</v>
      </c>
      <c r="C59" s="383"/>
      <c r="D59" s="383"/>
      <c r="E59" s="383"/>
      <c r="F59" s="383"/>
      <c r="G59" s="363"/>
      <c r="H59"/>
      <c r="I59"/>
      <c r="J59"/>
      <c r="K59"/>
      <c r="L59"/>
      <c r="M59"/>
      <c r="N59"/>
    </row>
    <row r="60" spans="1:14" ht="12.75">
      <c r="A60" s="381">
        <v>61</v>
      </c>
      <c r="B60" s="387" t="s">
        <v>382</v>
      </c>
      <c r="C60" s="388">
        <v>46253</v>
      </c>
      <c r="D60" s="388"/>
      <c r="E60" s="389">
        <v>55338</v>
      </c>
      <c r="F60" s="389">
        <f>+E60+D60</f>
        <v>55338</v>
      </c>
      <c r="G60" s="363"/>
      <c r="H60"/>
      <c r="I60"/>
      <c r="J60"/>
      <c r="K60"/>
      <c r="L60"/>
      <c r="M60"/>
      <c r="N60"/>
    </row>
    <row r="61" spans="1:14" ht="12.75">
      <c r="A61" s="386">
        <v>62</v>
      </c>
      <c r="B61" s="390"/>
      <c r="C61" s="391">
        <v>0.7355</v>
      </c>
      <c r="D61" s="392"/>
      <c r="E61" s="391">
        <v>0.7355</v>
      </c>
      <c r="F61" s="392"/>
      <c r="G61" s="363"/>
      <c r="H61"/>
      <c r="I61"/>
      <c r="J61"/>
      <c r="K61"/>
      <c r="L61"/>
      <c r="M61"/>
      <c r="N61"/>
    </row>
    <row r="62" spans="1:14" ht="12.75">
      <c r="A62" s="386">
        <v>63</v>
      </c>
      <c r="B62" s="387" t="s">
        <v>383</v>
      </c>
      <c r="C62" s="393">
        <f>+C60*C61</f>
        <v>34019.0815</v>
      </c>
      <c r="D62" s="393"/>
      <c r="E62" s="393">
        <f>+E60*E61</f>
        <v>40701.099</v>
      </c>
      <c r="F62" s="394">
        <f>+E62+D62</f>
        <v>40701.099</v>
      </c>
      <c r="G62" s="363"/>
      <c r="H62"/>
      <c r="I62"/>
      <c r="J62"/>
      <c r="K62"/>
      <c r="L62"/>
      <c r="M62"/>
      <c r="N62"/>
    </row>
    <row r="63" spans="1:14" ht="12.75">
      <c r="A63" s="381">
        <v>64</v>
      </c>
      <c r="B63" s="382"/>
      <c r="C63" s="393"/>
      <c r="D63" s="392"/>
      <c r="E63" s="392"/>
      <c r="F63" s="394"/>
      <c r="G63" s="363"/>
      <c r="H63"/>
      <c r="I63"/>
      <c r="J63"/>
      <c r="K63"/>
      <c r="L63"/>
      <c r="M63"/>
      <c r="N63"/>
    </row>
    <row r="64" spans="1:14" ht="12.75">
      <c r="A64" s="386">
        <v>65</v>
      </c>
      <c r="B64" s="395" t="s">
        <v>344</v>
      </c>
      <c r="C64" s="393"/>
      <c r="D64" s="392"/>
      <c r="E64" s="393"/>
      <c r="F64" s="396">
        <f>+F62-F57</f>
        <v>6682.017500000002</v>
      </c>
      <c r="G64" s="363"/>
      <c r="H64"/>
      <c r="I64"/>
      <c r="J64"/>
      <c r="K64"/>
      <c r="L64"/>
      <c r="M64"/>
      <c r="N64"/>
    </row>
    <row r="65" spans="1:13" ht="12.75">
      <c r="A65" s="382"/>
      <c r="B65" s="382"/>
      <c r="C65" s="383"/>
      <c r="D65" s="383"/>
      <c r="E65" s="383"/>
      <c r="F65" s="383"/>
      <c r="G65" s="363"/>
      <c r="M65"/>
    </row>
    <row r="66" spans="1:13" ht="12.75">
      <c r="A66" s="363"/>
      <c r="B66" s="363"/>
      <c r="C66" s="363"/>
      <c r="D66" s="363"/>
      <c r="E66" s="363"/>
      <c r="F66" s="363"/>
      <c r="G66" s="363"/>
      <c r="M66"/>
    </row>
    <row r="67" spans="1:13" ht="12.75">
      <c r="A67" s="363"/>
      <c r="B67" s="363"/>
      <c r="C67" s="363"/>
      <c r="D67" s="363"/>
      <c r="E67" s="363"/>
      <c r="F67" s="363"/>
      <c r="G67" s="363"/>
      <c r="M67"/>
    </row>
    <row r="68" spans="1:13" ht="12.75">
      <c r="A68" s="363"/>
      <c r="B68" s="363"/>
      <c r="C68" s="363"/>
      <c r="D68" s="363"/>
      <c r="E68" s="363"/>
      <c r="F68" s="363"/>
      <c r="G68" s="363"/>
      <c r="M68"/>
    </row>
  </sheetData>
  <mergeCells count="7">
    <mergeCell ref="L31:L34"/>
    <mergeCell ref="A52:B52"/>
    <mergeCell ref="A22:B22"/>
    <mergeCell ref="A6:B6"/>
    <mergeCell ref="A38:B38"/>
    <mergeCell ref="H38:J38"/>
    <mergeCell ref="E31:E34"/>
  </mergeCells>
  <printOptions/>
  <pageMargins left="0.88" right="0.51" top="0.48" bottom="0.35" header="0.35" footer="0.25"/>
  <pageSetup fitToHeight="1" fitToWidth="1" horizontalDpi="600" verticalDpi="600" orientation="landscape" scale="51" r:id="rId1"/>
</worksheet>
</file>

<file path=xl/worksheets/sheet7.xml><?xml version="1.0" encoding="utf-8"?>
<worksheet xmlns="http://schemas.openxmlformats.org/spreadsheetml/2006/main" xmlns:r="http://schemas.openxmlformats.org/officeDocument/2006/relationships">
  <sheetPr>
    <tabColor indexed="12"/>
    <pageSetUpPr fitToPage="1"/>
  </sheetPr>
  <dimension ref="A1:I46"/>
  <sheetViews>
    <sheetView workbookViewId="0" topLeftCell="A1">
      <selection activeCell="C19" sqref="C19"/>
    </sheetView>
  </sheetViews>
  <sheetFormatPr defaultColWidth="9.140625" defaultRowHeight="12.75"/>
  <cols>
    <col min="1" max="1" width="4.28125" style="0" customWidth="1"/>
    <col min="2" max="2" width="36.28125" style="0" customWidth="1"/>
    <col min="3" max="3" width="31.140625" style="0" customWidth="1"/>
    <col min="4" max="4" width="20.00390625" style="0" customWidth="1"/>
    <col min="5" max="5" width="21.57421875" style="0" customWidth="1"/>
    <col min="6" max="6" width="16.7109375" style="0" customWidth="1"/>
    <col min="7" max="7" width="16.57421875" style="0" customWidth="1"/>
  </cols>
  <sheetData>
    <row r="1" spans="1:7" ht="12.75">
      <c r="A1" s="172" t="s">
        <v>384</v>
      </c>
      <c r="G1" s="397" t="s">
        <v>385</v>
      </c>
    </row>
    <row r="2" spans="1:7" ht="12.75">
      <c r="A2" s="172" t="s">
        <v>386</v>
      </c>
      <c r="G2" s="397" t="s">
        <v>90</v>
      </c>
    </row>
    <row r="4" spans="2:8" ht="15.75">
      <c r="B4" s="496" t="s">
        <v>387</v>
      </c>
      <c r="C4" s="496"/>
      <c r="D4" s="496"/>
      <c r="E4" s="398"/>
      <c r="F4" s="398"/>
      <c r="G4" s="399"/>
      <c r="H4" s="399"/>
    </row>
    <row r="5" spans="4:7" ht="12.75">
      <c r="D5" s="176" t="s">
        <v>388</v>
      </c>
      <c r="E5" s="400" t="s">
        <v>388</v>
      </c>
      <c r="F5" s="400"/>
      <c r="G5" s="400" t="s">
        <v>389</v>
      </c>
    </row>
    <row r="6" spans="4:7" ht="12.75">
      <c r="D6" s="401" t="s">
        <v>390</v>
      </c>
      <c r="E6" s="402" t="s">
        <v>391</v>
      </c>
      <c r="F6" s="402" t="s">
        <v>60</v>
      </c>
      <c r="G6" s="402" t="s">
        <v>60</v>
      </c>
    </row>
    <row r="7" spans="1:7" ht="12.75">
      <c r="A7" s="403" t="s">
        <v>392</v>
      </c>
      <c r="B7" s="143" t="s">
        <v>393</v>
      </c>
      <c r="C7" s="143" t="s">
        <v>394</v>
      </c>
      <c r="D7" s="404">
        <f>ROUND(+E7*D9,0)</f>
        <v>3909668</v>
      </c>
      <c r="E7" s="405">
        <v>0.5</v>
      </c>
      <c r="F7" s="405">
        <v>0.076</v>
      </c>
      <c r="G7" s="406">
        <v>0.038</v>
      </c>
    </row>
    <row r="8" spans="1:7" ht="12.75">
      <c r="A8" s="403" t="s">
        <v>395</v>
      </c>
      <c r="B8" t="s">
        <v>396</v>
      </c>
      <c r="C8" t="s">
        <v>394</v>
      </c>
      <c r="D8" s="407">
        <f>ROUND(+E8*D9,0)</f>
        <v>3909668</v>
      </c>
      <c r="E8" s="408">
        <v>0.5</v>
      </c>
      <c r="F8" s="409">
        <v>0.125</v>
      </c>
      <c r="G8" s="402">
        <v>0.0625</v>
      </c>
    </row>
    <row r="9" spans="1:7" ht="13.5" thickBot="1">
      <c r="A9" s="403" t="s">
        <v>397</v>
      </c>
      <c r="B9" t="s">
        <v>398</v>
      </c>
      <c r="C9" t="s">
        <v>399</v>
      </c>
      <c r="D9" s="410">
        <v>7819336.179</v>
      </c>
      <c r="E9" s="411">
        <v>1</v>
      </c>
      <c r="F9" s="412"/>
      <c r="G9" s="411">
        <v>0.1005</v>
      </c>
    </row>
    <row r="10" spans="1:7" ht="13.5" thickTop="1">
      <c r="A10" s="403"/>
      <c r="D10" s="413" t="s">
        <v>400</v>
      </c>
      <c r="E10" s="414"/>
      <c r="F10" s="414"/>
      <c r="G10" s="414"/>
    </row>
    <row r="11" spans="1:7" ht="12.75">
      <c r="A11" s="403"/>
      <c r="D11" s="413" t="s">
        <v>401</v>
      </c>
      <c r="E11" s="414"/>
      <c r="F11" s="414"/>
      <c r="G11" s="414"/>
    </row>
    <row r="12" spans="1:7" ht="12.75">
      <c r="A12" s="403"/>
      <c r="C12" s="415"/>
      <c r="D12" s="416"/>
      <c r="F12" s="414"/>
      <c r="G12" s="414"/>
    </row>
    <row r="13" spans="1:7" ht="12.75">
      <c r="A13" s="403"/>
      <c r="B13" s="415" t="s">
        <v>402</v>
      </c>
      <c r="C13" s="415"/>
      <c r="F13" s="417" t="s">
        <v>403</v>
      </c>
      <c r="G13" s="414"/>
    </row>
    <row r="14" spans="1:7" ht="12.75">
      <c r="A14" s="403" t="s">
        <v>404</v>
      </c>
      <c r="B14" t="s">
        <v>405</v>
      </c>
      <c r="C14" s="416" t="s">
        <v>406</v>
      </c>
      <c r="F14" s="418">
        <f>+D7*F7</f>
        <v>297134.768</v>
      </c>
      <c r="G14" s="414"/>
    </row>
    <row r="15" ht="12.75">
      <c r="A15" s="403"/>
    </row>
    <row r="17" spans="1:9" ht="12.75">
      <c r="A17" s="172" t="s">
        <v>384</v>
      </c>
      <c r="B17" s="173"/>
      <c r="C17" s="173"/>
      <c r="D17" s="419"/>
      <c r="E17" s="419"/>
      <c r="F17" s="420"/>
      <c r="G17" s="397"/>
      <c r="I17" s="421"/>
    </row>
    <row r="18" spans="1:9" ht="12.75">
      <c r="A18" s="172" t="s">
        <v>407</v>
      </c>
      <c r="B18" s="173"/>
      <c r="C18" s="173"/>
      <c r="D18" s="419"/>
      <c r="E18" s="419"/>
      <c r="F18" s="420"/>
      <c r="G18" s="403"/>
      <c r="I18" s="421"/>
    </row>
    <row r="19" spans="2:9" ht="12.75">
      <c r="B19" s="173"/>
      <c r="C19" s="173"/>
      <c r="D19" s="419"/>
      <c r="E19" s="419"/>
      <c r="F19" s="420"/>
      <c r="I19" s="421"/>
    </row>
    <row r="20" spans="2:9" ht="12.75">
      <c r="B20" s="422" t="s">
        <v>408</v>
      </c>
      <c r="C20" s="173"/>
      <c r="D20" s="176"/>
      <c r="E20" s="176"/>
      <c r="F20" s="420"/>
      <c r="I20" s="421"/>
    </row>
    <row r="21" spans="1:6" ht="12.75">
      <c r="A21" s="171">
        <v>1</v>
      </c>
      <c r="B21" s="423" t="s">
        <v>409</v>
      </c>
      <c r="C21" s="423"/>
      <c r="F21" s="424">
        <v>1</v>
      </c>
    </row>
    <row r="22" spans="1:6" ht="12.75">
      <c r="A22" s="425">
        <v>2</v>
      </c>
      <c r="B22" s="423" t="s">
        <v>410</v>
      </c>
      <c r="C22" s="423" t="s">
        <v>411</v>
      </c>
      <c r="F22" s="426">
        <v>0</v>
      </c>
    </row>
    <row r="23" spans="1:6" ht="12.75">
      <c r="A23" s="425">
        <v>3</v>
      </c>
      <c r="B23" s="423" t="s">
        <v>412</v>
      </c>
      <c r="C23" s="423" t="s">
        <v>413</v>
      </c>
      <c r="F23" s="424">
        <f>+F21-F22</f>
        <v>1</v>
      </c>
    </row>
    <row r="24" spans="1:6" ht="12.75">
      <c r="A24" s="171">
        <v>4</v>
      </c>
      <c r="B24" s="423" t="s">
        <v>414</v>
      </c>
      <c r="C24" s="427" t="s">
        <v>415</v>
      </c>
      <c r="F24" s="426">
        <f>0.05*F23</f>
        <v>0.05</v>
      </c>
    </row>
    <row r="25" spans="1:6" ht="15" customHeight="1">
      <c r="A25" s="171">
        <v>5</v>
      </c>
      <c r="B25" s="428" t="s">
        <v>416</v>
      </c>
      <c r="C25" s="428" t="s">
        <v>417</v>
      </c>
      <c r="F25" s="424">
        <f>+F23-F24</f>
        <v>0.95</v>
      </c>
    </row>
    <row r="26" spans="1:6" ht="15" customHeight="1">
      <c r="A26" s="171">
        <v>6</v>
      </c>
      <c r="B26" s="428" t="s">
        <v>418</v>
      </c>
      <c r="C26" s="428" t="s">
        <v>419</v>
      </c>
      <c r="F26" s="424">
        <v>0.34</v>
      </c>
    </row>
    <row r="27" spans="1:6" ht="15" customHeight="1">
      <c r="A27" s="171">
        <v>7</v>
      </c>
      <c r="B27" s="428" t="s">
        <v>420</v>
      </c>
      <c r="C27" s="428" t="s">
        <v>421</v>
      </c>
      <c r="F27" s="424">
        <f>+F25*F26</f>
        <v>0.323</v>
      </c>
    </row>
    <row r="28" spans="1:6" ht="12.75">
      <c r="A28" s="425">
        <v>8</v>
      </c>
      <c r="B28" s="423" t="s">
        <v>422</v>
      </c>
      <c r="C28" s="423" t="s">
        <v>423</v>
      </c>
      <c r="F28" s="424">
        <f>+F25-F27</f>
        <v>0.627</v>
      </c>
    </row>
    <row r="29" spans="1:6" ht="12.75">
      <c r="A29" s="425">
        <v>9</v>
      </c>
      <c r="B29" s="429" t="s">
        <v>424</v>
      </c>
      <c r="C29" s="429" t="s">
        <v>425</v>
      </c>
      <c r="F29" s="430">
        <f>1/F28</f>
        <v>1.594896331738437</v>
      </c>
    </row>
    <row r="30" spans="1:6" ht="12.75">
      <c r="A30">
        <v>10</v>
      </c>
      <c r="B30" t="s">
        <v>426</v>
      </c>
      <c r="C30" t="s">
        <v>427</v>
      </c>
      <c r="F30" s="253">
        <f>+D9</f>
        <v>7819336.179</v>
      </c>
    </row>
    <row r="31" spans="1:6" ht="12.75">
      <c r="A31">
        <v>11</v>
      </c>
      <c r="B31" t="s">
        <v>428</v>
      </c>
      <c r="C31" t="s">
        <v>427</v>
      </c>
      <c r="F31" s="431">
        <f>+G9</f>
        <v>0.1005</v>
      </c>
    </row>
    <row r="32" spans="1:6" ht="12.75">
      <c r="A32">
        <v>12</v>
      </c>
      <c r="B32" t="s">
        <v>429</v>
      </c>
      <c r="C32" t="s">
        <v>430</v>
      </c>
      <c r="F32" s="338">
        <f>ROUND(+F30*F31,0)</f>
        <v>785843</v>
      </c>
    </row>
    <row r="33" spans="1:6" ht="12.75">
      <c r="A33">
        <v>13</v>
      </c>
      <c r="B33" t="s">
        <v>431</v>
      </c>
      <c r="C33" t="s">
        <v>432</v>
      </c>
      <c r="F33" s="432">
        <f>+F14</f>
        <v>297134.768</v>
      </c>
    </row>
    <row r="34" spans="1:6" ht="12.75">
      <c r="A34">
        <v>14</v>
      </c>
      <c r="B34" t="s">
        <v>433</v>
      </c>
      <c r="C34" t="s">
        <v>434</v>
      </c>
      <c r="F34" s="338">
        <f>+F32-F33</f>
        <v>488708.232</v>
      </c>
    </row>
    <row r="35" spans="1:6" ht="12.75">
      <c r="A35">
        <v>15</v>
      </c>
      <c r="B35" t="s">
        <v>435</v>
      </c>
      <c r="C35" t="s">
        <v>436</v>
      </c>
      <c r="F35" s="433">
        <f>+F29*F34</f>
        <v>779438.9665071771</v>
      </c>
    </row>
    <row r="36" spans="1:6" ht="13.5" thickBot="1">
      <c r="A36">
        <v>16</v>
      </c>
      <c r="B36" t="s">
        <v>437</v>
      </c>
      <c r="C36" t="s">
        <v>438</v>
      </c>
      <c r="F36" s="434">
        <f>+F35+F33</f>
        <v>1076573.734507177</v>
      </c>
    </row>
    <row r="37" spans="1:6" ht="13.5" thickTop="1">
      <c r="A37">
        <v>17</v>
      </c>
      <c r="B37" t="s">
        <v>439</v>
      </c>
      <c r="C37" t="s">
        <v>440</v>
      </c>
      <c r="F37" s="253">
        <v>4474346.903444959</v>
      </c>
    </row>
    <row r="38" spans="1:6" ht="12.75">
      <c r="A38">
        <v>18</v>
      </c>
      <c r="B38" t="s">
        <v>441</v>
      </c>
      <c r="C38" t="s">
        <v>442</v>
      </c>
      <c r="F38" s="253">
        <v>4452064</v>
      </c>
    </row>
    <row r="39" spans="1:7" ht="12.75">
      <c r="A39">
        <v>19</v>
      </c>
      <c r="B39" t="s">
        <v>443</v>
      </c>
      <c r="C39" t="s">
        <v>444</v>
      </c>
      <c r="F39" s="253">
        <f>+F37-F38</f>
        <v>22282.90344495885</v>
      </c>
      <c r="G39" s="253"/>
    </row>
    <row r="40" spans="1:6" ht="13.5" thickBot="1">
      <c r="A40">
        <v>20</v>
      </c>
      <c r="B40" t="s">
        <v>445</v>
      </c>
      <c r="C40" t="s">
        <v>446</v>
      </c>
      <c r="F40" s="434">
        <f>+F36-F39</f>
        <v>1054290.8310622182</v>
      </c>
    </row>
    <row r="41" spans="6:7" ht="13.5" thickTop="1">
      <c r="F41" s="435"/>
      <c r="G41" s="253"/>
    </row>
    <row r="42" ht="12.75">
      <c r="F42" s="435"/>
    </row>
    <row r="43" spans="2:6" ht="12.75">
      <c r="B43" s="172" t="s">
        <v>447</v>
      </c>
      <c r="F43" s="435"/>
    </row>
    <row r="44" ht="12.75">
      <c r="F44" s="435"/>
    </row>
    <row r="45" ht="12.75">
      <c r="F45" s="435"/>
    </row>
    <row r="46" ht="12.75">
      <c r="F46" s="435"/>
    </row>
  </sheetData>
  <mergeCells count="1">
    <mergeCell ref="B4:D4"/>
  </mergeCells>
  <printOptions/>
  <pageMargins left="0.75" right="0.56" top="0.5" bottom="0.44" header="0.39" footer="0.38"/>
  <pageSetup fitToHeight="1" fitToWidth="1" horizontalDpi="600" verticalDpi="600" orientation="portrait" scale="63" r:id="rId2"/>
  <drawing r:id="rId1"/>
</worksheet>
</file>

<file path=xl/worksheets/sheet8.xml><?xml version="1.0" encoding="utf-8"?>
<worksheet xmlns="http://schemas.openxmlformats.org/spreadsheetml/2006/main" xmlns:r="http://schemas.openxmlformats.org/officeDocument/2006/relationships">
  <sheetPr>
    <tabColor indexed="12"/>
  </sheetPr>
  <dimension ref="A1:K29"/>
  <sheetViews>
    <sheetView workbookViewId="0" topLeftCell="A1">
      <selection activeCell="C19" sqref="C19"/>
    </sheetView>
  </sheetViews>
  <sheetFormatPr defaultColWidth="9.140625" defaultRowHeight="12.75"/>
  <cols>
    <col min="1" max="1" width="3.140625" style="0" customWidth="1"/>
    <col min="2" max="2" width="35.7109375" style="0" customWidth="1"/>
    <col min="3" max="3" width="17.00390625" style="0" customWidth="1"/>
    <col min="4" max="4" width="14.28125" style="0" customWidth="1"/>
    <col min="5" max="5" width="13.8515625" style="0" customWidth="1"/>
    <col min="6" max="6" width="12.00390625" style="0" customWidth="1"/>
    <col min="7" max="7" width="12.57421875" style="0" customWidth="1"/>
    <col min="8" max="8" width="13.7109375" style="0" customWidth="1"/>
    <col min="9" max="9" width="14.00390625" style="0" bestFit="1" customWidth="1"/>
    <col min="10" max="10" width="12.421875" style="0" customWidth="1"/>
  </cols>
  <sheetData>
    <row r="1" spans="1:10" ht="12.75">
      <c r="A1" s="497" t="s">
        <v>448</v>
      </c>
      <c r="B1" s="498"/>
      <c r="D1" s="172"/>
      <c r="J1" s="397" t="s">
        <v>385</v>
      </c>
    </row>
    <row r="2" spans="1:10" ht="12.75">
      <c r="A2" s="172" t="s">
        <v>449</v>
      </c>
      <c r="D2" s="172"/>
      <c r="J2" s="397" t="s">
        <v>124</v>
      </c>
    </row>
    <row r="3" spans="1:4" ht="12.75">
      <c r="A3" s="172" t="s">
        <v>450</v>
      </c>
      <c r="D3" s="172"/>
    </row>
    <row r="5" spans="1:2" ht="33.75" customHeight="1">
      <c r="A5" s="171"/>
      <c r="B5" s="171"/>
    </row>
    <row r="6" spans="1:10" ht="12.75">
      <c r="A6" s="171">
        <v>1</v>
      </c>
      <c r="B6" s="171" t="s">
        <v>451</v>
      </c>
      <c r="C6" s="171" t="s">
        <v>452</v>
      </c>
      <c r="D6" s="172"/>
      <c r="J6" s="436">
        <v>1076573.734507177</v>
      </c>
    </row>
    <row r="7" spans="1:10" ht="12.75">
      <c r="A7" s="171">
        <v>2</v>
      </c>
      <c r="B7" s="171" t="s">
        <v>453</v>
      </c>
      <c r="C7" s="171" t="s">
        <v>454</v>
      </c>
      <c r="D7" s="172"/>
      <c r="J7" s="436">
        <f>+'DDM 06 - page 1'!F14</f>
        <v>297134.768</v>
      </c>
    </row>
    <row r="8" spans="1:10" ht="12.75">
      <c r="A8" s="171">
        <v>3</v>
      </c>
      <c r="B8" s="171" t="s">
        <v>455</v>
      </c>
      <c r="C8" s="171" t="s">
        <v>413</v>
      </c>
      <c r="D8" s="172"/>
      <c r="G8" s="437" t="s">
        <v>456</v>
      </c>
      <c r="J8" s="436">
        <f>+J6-J7</f>
        <v>779438.9665071771</v>
      </c>
    </row>
    <row r="9" spans="1:10" ht="12.75">
      <c r="A9" s="171">
        <v>4</v>
      </c>
      <c r="B9" s="171" t="s">
        <v>457</v>
      </c>
      <c r="C9" s="171" t="s">
        <v>458</v>
      </c>
      <c r="D9" s="172"/>
      <c r="G9" s="438">
        <v>0.05</v>
      </c>
      <c r="J9" s="439">
        <f>ROUND(+J8*G9,0)</f>
        <v>38972</v>
      </c>
    </row>
    <row r="10" spans="1:10" ht="12.75">
      <c r="A10" s="171">
        <v>5</v>
      </c>
      <c r="B10" s="171" t="s">
        <v>459</v>
      </c>
      <c r="C10" s="171" t="s">
        <v>460</v>
      </c>
      <c r="D10" s="172"/>
      <c r="G10" s="438"/>
      <c r="J10" s="440">
        <f>+J8-J9</f>
        <v>740466.9665071771</v>
      </c>
    </row>
    <row r="11" spans="1:4" ht="22.5" customHeight="1">
      <c r="A11" s="171"/>
      <c r="B11" s="171" t="s">
        <v>461</v>
      </c>
      <c r="C11" s="172"/>
      <c r="D11" s="172"/>
    </row>
    <row r="12" spans="4:9" ht="25.5">
      <c r="D12" s="437" t="s">
        <v>462</v>
      </c>
      <c r="E12" s="437" t="s">
        <v>463</v>
      </c>
      <c r="F12" s="437" t="s">
        <v>464</v>
      </c>
      <c r="G12" s="437" t="s">
        <v>456</v>
      </c>
      <c r="H12" s="437" t="s">
        <v>465</v>
      </c>
      <c r="I12" s="437" t="s">
        <v>466</v>
      </c>
    </row>
    <row r="13" spans="1:9" ht="12.75">
      <c r="A13">
        <v>6</v>
      </c>
      <c r="B13" t="s">
        <v>467</v>
      </c>
      <c r="D13" s="436">
        <v>0</v>
      </c>
      <c r="E13" s="441">
        <v>50000</v>
      </c>
      <c r="F13" s="441">
        <f>+E13-D13</f>
        <v>50000</v>
      </c>
      <c r="G13" s="438">
        <v>0.15</v>
      </c>
      <c r="H13" s="441">
        <f>IF(J10&gt;F13,+F13,J10)</f>
        <v>50000</v>
      </c>
      <c r="I13" s="441">
        <f>ROUND(+H13*G13,0)</f>
        <v>7500</v>
      </c>
    </row>
    <row r="14" spans="1:9" ht="12.75">
      <c r="A14">
        <v>7</v>
      </c>
      <c r="B14" t="s">
        <v>468</v>
      </c>
      <c r="D14" s="442">
        <v>50000</v>
      </c>
      <c r="E14" s="338">
        <v>75000</v>
      </c>
      <c r="F14" s="338">
        <f>+E14-E13</f>
        <v>25000</v>
      </c>
      <c r="G14" s="438">
        <v>0.25</v>
      </c>
      <c r="H14" s="443">
        <v>25000</v>
      </c>
      <c r="I14" s="443">
        <f>ROUND(+H14*G14,0)</f>
        <v>6250</v>
      </c>
    </row>
    <row r="15" spans="1:9" ht="12.75">
      <c r="A15">
        <v>8</v>
      </c>
      <c r="B15" t="s">
        <v>468</v>
      </c>
      <c r="D15" s="442">
        <v>75000</v>
      </c>
      <c r="E15" s="338">
        <v>100000</v>
      </c>
      <c r="F15" s="338">
        <f>+E15-E14</f>
        <v>25000</v>
      </c>
      <c r="G15" s="438">
        <v>0.34</v>
      </c>
      <c r="H15" s="443">
        <v>25000</v>
      </c>
      <c r="I15" s="443">
        <f>ROUND(+H15*G15,0)</f>
        <v>8500</v>
      </c>
    </row>
    <row r="16" spans="1:9" ht="12.75">
      <c r="A16">
        <v>9</v>
      </c>
      <c r="B16" t="s">
        <v>468</v>
      </c>
      <c r="D16" s="442">
        <v>100000</v>
      </c>
      <c r="E16" s="338">
        <v>335000</v>
      </c>
      <c r="F16" s="338">
        <f>+E16-E15</f>
        <v>235000</v>
      </c>
      <c r="G16" s="444">
        <v>0.39</v>
      </c>
      <c r="H16" s="445">
        <v>235000</v>
      </c>
      <c r="I16" s="445">
        <f>ROUND(+H16*G16,0)</f>
        <v>91650</v>
      </c>
    </row>
    <row r="17" spans="1:9" ht="12.75">
      <c r="A17">
        <v>10</v>
      </c>
      <c r="B17" t="s">
        <v>469</v>
      </c>
      <c r="D17" s="442"/>
      <c r="E17" s="338"/>
      <c r="F17" s="338"/>
      <c r="G17" s="438">
        <f>+I17/H17</f>
        <v>0.34</v>
      </c>
      <c r="H17" s="443">
        <f>SUM(H13:H16)</f>
        <v>335000</v>
      </c>
      <c r="I17" s="443">
        <f>SUM(I13:I16)</f>
        <v>113900</v>
      </c>
    </row>
    <row r="18" spans="1:9" ht="12.75">
      <c r="A18">
        <v>11</v>
      </c>
      <c r="B18" t="s">
        <v>470</v>
      </c>
      <c r="C18" t="s">
        <v>471</v>
      </c>
      <c r="D18" s="442">
        <v>335000</v>
      </c>
      <c r="E18" s="338">
        <v>10000000</v>
      </c>
      <c r="F18" s="338">
        <f>+E18-E16</f>
        <v>9665000</v>
      </c>
      <c r="G18" s="446">
        <v>0.34</v>
      </c>
      <c r="H18" s="445">
        <f>+J10-H13-H14-H15-H16</f>
        <v>405466.9665071771</v>
      </c>
      <c r="I18" s="445">
        <f>ROUND(+H18*G18,0)</f>
        <v>137859</v>
      </c>
    </row>
    <row r="19" spans="1:10" ht="12.75">
      <c r="A19">
        <v>12</v>
      </c>
      <c r="B19" t="s">
        <v>472</v>
      </c>
      <c r="C19" t="s">
        <v>473</v>
      </c>
      <c r="D19" s="442"/>
      <c r="E19" s="338"/>
      <c r="F19" s="338"/>
      <c r="G19" s="446">
        <f>+J19/H19</f>
        <v>0.34000031248870005</v>
      </c>
      <c r="H19" s="447">
        <f>+H17+H18</f>
        <v>740466.9665071771</v>
      </c>
      <c r="I19" s="448"/>
      <c r="J19" s="447">
        <f>+I17+I18</f>
        <v>251759</v>
      </c>
    </row>
    <row r="20" spans="1:11" ht="17.25" customHeight="1">
      <c r="A20">
        <v>13</v>
      </c>
      <c r="B20" t="s">
        <v>474</v>
      </c>
      <c r="C20" t="s">
        <v>475</v>
      </c>
      <c r="D20" s="403"/>
      <c r="J20" s="447">
        <f>+J6-J9-J19</f>
        <v>785842.734507177</v>
      </c>
      <c r="K20" s="174"/>
    </row>
    <row r="21" spans="1:10" ht="12.75">
      <c r="A21">
        <v>14</v>
      </c>
      <c r="B21" t="s">
        <v>476</v>
      </c>
      <c r="C21" t="s">
        <v>477</v>
      </c>
      <c r="J21" s="447">
        <v>7819336.179</v>
      </c>
    </row>
    <row r="22" spans="1:10" ht="12.75">
      <c r="A22">
        <v>15</v>
      </c>
      <c r="B22" t="s">
        <v>447</v>
      </c>
      <c r="C22" t="s">
        <v>478</v>
      </c>
      <c r="J22" s="449">
        <f>+J20/J21</f>
        <v>0.10049992947197686</v>
      </c>
    </row>
    <row r="23" ht="12.75">
      <c r="J23" s="449"/>
    </row>
    <row r="24" ht="25.5">
      <c r="J24" s="450" t="s">
        <v>479</v>
      </c>
    </row>
    <row r="25" ht="12.75">
      <c r="J25" s="451"/>
    </row>
    <row r="26" spans="1:10" ht="12.75">
      <c r="A26">
        <v>16</v>
      </c>
      <c r="B26" t="s">
        <v>480</v>
      </c>
      <c r="J26" s="452"/>
    </row>
    <row r="27" spans="1:10" ht="12.75">
      <c r="A27">
        <v>17</v>
      </c>
      <c r="B27" s="453" t="s">
        <v>481</v>
      </c>
      <c r="I27" t="s">
        <v>482</v>
      </c>
      <c r="J27" s="436">
        <f>+J9</f>
        <v>38972</v>
      </c>
    </row>
    <row r="28" spans="1:10" ht="12.75">
      <c r="A28">
        <v>18</v>
      </c>
      <c r="B28" s="454" t="s">
        <v>483</v>
      </c>
      <c r="I28" t="s">
        <v>484</v>
      </c>
      <c r="J28" s="253">
        <f>+J19</f>
        <v>251759</v>
      </c>
    </row>
    <row r="29" spans="1:10" ht="13.5" thickBot="1">
      <c r="A29">
        <v>19</v>
      </c>
      <c r="B29" t="s">
        <v>485</v>
      </c>
      <c r="J29" s="434">
        <f>+J27+J28</f>
        <v>290731</v>
      </c>
    </row>
    <row r="30" ht="13.5" thickTop="1"/>
  </sheetData>
  <mergeCells count="1">
    <mergeCell ref="A1:B1"/>
  </mergeCells>
  <printOptions/>
  <pageMargins left="0.75" right="0.75" top="0.61" bottom="1" header="0.5" footer="0.5"/>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Meredith</dc:creator>
  <cp:keywords/>
  <dc:description/>
  <cp:lastModifiedBy>lm</cp:lastModifiedBy>
  <dcterms:created xsi:type="dcterms:W3CDTF">2005-12-14T15:48:20Z</dcterms:created>
  <dcterms:modified xsi:type="dcterms:W3CDTF">2005-12-15T15:46:10Z</dcterms:modified>
  <cp:category/>
  <cp:version/>
  <cp:contentType/>
  <cp:contentStatus/>
</cp:coreProperties>
</file>