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9120" tabRatio="941" firstSheet="16" activeTab="16"/>
  </bookViews>
  <sheets>
    <sheet name="EXH 1 STATE" sheetId="1" r:id="rId1"/>
    <sheet name="EXH 1 NOTES" sheetId="2" r:id="rId2"/>
    <sheet name="EXH 2" sheetId="3" r:id="rId3"/>
    <sheet name="REV 2.1 LOCAL" sheetId="4" r:id="rId4"/>
    <sheet name="REV 2.2 ACCESS" sheetId="5" r:id="rId5"/>
    <sheet name="REV 2.3 " sheetId="6" r:id="rId6"/>
    <sheet name="EXH 3 CAP" sheetId="7" r:id="rId7"/>
    <sheet name="EXH 4 TAX STATE" sheetId="8" r:id="rId8"/>
    <sheet name="EXH 5 2005 Plant Additions " sheetId="9" r:id="rId9"/>
    <sheet name="EXH 6  Depr ADJ" sheetId="10" r:id="rId10"/>
    <sheet name="EXH 7 EXCESS DEPR" sheetId="11" r:id="rId11"/>
    <sheet name="EXH 8 TB Apport." sheetId="12" r:id="rId12"/>
    <sheet name="EXH 9 TOT COMP" sheetId="13" r:id="rId13"/>
    <sheet name="EXH 9 NOTES " sheetId="14" r:id="rId14"/>
    <sheet name="EXH 10 TOT COMP REV" sheetId="15" r:id="rId15"/>
    <sheet name="EXH 11 INT ACCESS REV" sheetId="16" r:id="rId16"/>
    <sheet name="EXH 12 TAX TOT COMP" sheetId="17" r:id="rId17"/>
  </sheets>
  <externalReferences>
    <externalReference r:id="rId20"/>
    <externalReference r:id="rId21"/>
    <externalReference r:id="rId22"/>
    <externalReference r:id="rId23"/>
    <externalReference r:id="rId24"/>
    <externalReference r:id="rId25"/>
  </externalReferences>
  <definedNames>
    <definedName name="_Order1" hidden="1">0</definedName>
    <definedName name="_Order2" hidden="1">0</definedName>
    <definedName name="Acct_Desc">#REF!</definedName>
    <definedName name="Acct_Desc_2004">#REF!</definedName>
    <definedName name="BSF36EXP" localSheetId="3">#REF!</definedName>
    <definedName name="BSF36EXP">#REF!</definedName>
    <definedName name="BSF36INV" localSheetId="3">#REF!</definedName>
    <definedName name="BSF36INV">#REF!</definedName>
    <definedName name="BSF69EXPER" localSheetId="3">#REF!</definedName>
    <definedName name="BSF69EXPER">#REF!</definedName>
    <definedName name="BSF69EXPRA" localSheetId="3">#REF!</definedName>
    <definedName name="BSF69EXPRA">#REF!</definedName>
    <definedName name="BSF69EXPTI" localSheetId="3">#REF!</definedName>
    <definedName name="BSF69EXPTI">#REF!</definedName>
    <definedName name="BSF69INVER" localSheetId="3">#REF!</definedName>
    <definedName name="BSF69INVER">#REF!</definedName>
    <definedName name="BSF69INVRA" localSheetId="3">#REF!</definedName>
    <definedName name="BSF69INVRA">#REF!</definedName>
    <definedName name="BSF69INVTI" localSheetId="3">#REF!</definedName>
    <definedName name="BSF69INVTI">#REF!</definedName>
    <definedName name="BsfTitles" localSheetId="3">#REF!</definedName>
    <definedName name="BsfTitles">#REF!</definedName>
    <definedName name="CAP_W_O_TIER" localSheetId="9">'[4]RBASE:COSTCAP'!$B$34:$R$209</definedName>
    <definedName name="CAP_W_O_TIER" localSheetId="3">'[5]RBASE:COSTCAP'!$B$34:$R$209</definedName>
    <definedName name="CAP_W_O_TIER">'[1]RBASE:COSTCAP'!$B$34:$R$209</definedName>
    <definedName name="CAPITAL" localSheetId="9">'[4]RBASE:COSTCAP'!$B$37:$R$209</definedName>
    <definedName name="CAPITAL" localSheetId="3">'[5]RBASE:COSTCAP'!$B$37:$R$209</definedName>
    <definedName name="CAPITAL">'[1]RBASE:COSTCAP'!$B$37:$R$209</definedName>
    <definedName name="CompanyName" localSheetId="3">#REF!</definedName>
    <definedName name="CompanyName">#REF!</definedName>
    <definedName name="DEPRECIATION" localSheetId="9">'[4]DEPR'!#REF!</definedName>
    <definedName name="DEPRECIATION" localSheetId="3">'[5]DEPR'!#REF!</definedName>
    <definedName name="DEPRECIATION">'[1]DEPR'!#REF!</definedName>
    <definedName name="FactorFileLoaded" localSheetId="3">#REF!</definedName>
    <definedName name="FactorFileLoaded">#REF!</definedName>
    <definedName name="INPUT1" localSheetId="3">#REF!</definedName>
    <definedName name="INPUT1">#REF!</definedName>
    <definedName name="INPUT2" localSheetId="3">#REF!</definedName>
    <definedName name="INPUT2">#REF!</definedName>
    <definedName name="INPUT3" localSheetId="3">#REF!</definedName>
    <definedName name="INPUT3">#REF!</definedName>
    <definedName name="InputTitles" localSheetId="3">#REF!</definedName>
    <definedName name="InputTitles">#REF!</definedName>
    <definedName name="INTER1" localSheetId="3">#REF!</definedName>
    <definedName name="INTER1">#REF!</definedName>
    <definedName name="INTER2" localSheetId="3">#REF!</definedName>
    <definedName name="INTER2">#REF!</definedName>
    <definedName name="MonthlyCostTitles" localSheetId="3">#REF!</definedName>
    <definedName name="MonthlyCostTitles">#REF!</definedName>
    <definedName name="MRS" localSheetId="3">#REF!</definedName>
    <definedName name="MRS">#REF!</definedName>
    <definedName name="NetPlant36" localSheetId="3">#REF!</definedName>
    <definedName name="NetPlant36">#REF!</definedName>
    <definedName name="NetPlantEr" localSheetId="3">#REF!</definedName>
    <definedName name="NetPlantEr">#REF!</definedName>
    <definedName name="NetPlantRaEr" localSheetId="3">#REF!</definedName>
    <definedName name="NetPlantRaEr">#REF!</definedName>
    <definedName name="NetPlantRaRa" localSheetId="3">#REF!</definedName>
    <definedName name="NetPlantRaRa">#REF!</definedName>
    <definedName name="OperExpense36" localSheetId="3">#REF!</definedName>
    <definedName name="OperExpense36">#REF!</definedName>
    <definedName name="OperExpense362" localSheetId="3">#REF!</definedName>
    <definedName name="OperExpense362">#REF!</definedName>
    <definedName name="OperExpenseEr" localSheetId="3">#REF!</definedName>
    <definedName name="OperExpenseEr">#REF!</definedName>
    <definedName name="OperExpenseEr2" localSheetId="3">#REF!</definedName>
    <definedName name="OperExpenseEr2">#REF!</definedName>
    <definedName name="OperExpenseRaEr" localSheetId="3">#REF!</definedName>
    <definedName name="OperExpenseRaEr">#REF!</definedName>
    <definedName name="OperExpenseRaEr2" localSheetId="3">#REF!</definedName>
    <definedName name="OperExpenseRaEr2">#REF!</definedName>
    <definedName name="OperExpenseRaRa" localSheetId="3">#REF!</definedName>
    <definedName name="OperExpenseRaRa">#REF!</definedName>
    <definedName name="OperExpenseRaRa2" localSheetId="3">#REF!</definedName>
    <definedName name="OperExpenseRaRa2">#REF!</definedName>
    <definedName name="PART36" localSheetId="3">#REF!</definedName>
    <definedName name="PART36">#REF!</definedName>
    <definedName name="PART361" localSheetId="3">#REF!</definedName>
    <definedName name="PART361">#REF!</definedName>
    <definedName name="Part69Titles" localSheetId="3">#REF!</definedName>
    <definedName name="Part69Titles">#REF!</definedName>
    <definedName name="_xlnm.Print_Area" localSheetId="1">'EXH 1 NOTES'!$A$1:$I$88</definedName>
    <definedName name="_xlnm.Print_Area" localSheetId="0">'EXH 1 STATE'!$A$1:$O$61</definedName>
    <definedName name="_xlnm.Print_Area" localSheetId="14">'EXH 10 TOT COMP REV'!$A$1:$H$32</definedName>
    <definedName name="_xlnm.Print_Area" localSheetId="2">'EXH 2'!$A$1:$H$28</definedName>
    <definedName name="_xlnm.Print_Area" localSheetId="6">'EXH 3 CAP'!$A$1:$I$54</definedName>
    <definedName name="_xlnm.Print_Area" localSheetId="9">'EXH 6  Depr ADJ'!$A$1:$N$53</definedName>
    <definedName name="_xlnm.Print_Area" localSheetId="13">'EXH 9 NOTES '!$A$1:$I$90</definedName>
    <definedName name="_xlnm.Print_Area" localSheetId="12">'EXH 9 TOT COMP'!$A$1:$O$61</definedName>
    <definedName name="_xlnm.Print_Area" localSheetId="3">'REV 2.1 LOCAL'!$A$1:$L$38</definedName>
    <definedName name="_xlnm.Print_Area" localSheetId="4">'REV 2.2 ACCESS'!$A$1:$J$33</definedName>
    <definedName name="_xlnm.Print_Area" localSheetId="5">'REV 2.3 '!$A$1:$J$51</definedName>
    <definedName name="_xlnm.Print_Titles" localSheetId="0">'EXH 1 STATE'!$B:$B</definedName>
    <definedName name="_xlnm.Print_Titles" localSheetId="12">'EXH 9 TOT COMP'!$B:$B</definedName>
    <definedName name="_xlnm.Print_Titles" localSheetId="3">'REV 2.1 LOCAL'!$1:$8</definedName>
    <definedName name="_xlnm.Print_Titles" localSheetId="5">'REV 2.3 '!$A:$B</definedName>
    <definedName name="RAER1" localSheetId="3">#REF!</definedName>
    <definedName name="RAER1">#REF!</definedName>
    <definedName name="RAER2" localSheetId="3">#REF!</definedName>
    <definedName name="RAER2">#REF!</definedName>
    <definedName name="RARA1" localSheetId="3">#REF!</definedName>
    <definedName name="RARA1">#REF!</definedName>
    <definedName name="RARA2" localSheetId="3">#REF!</definedName>
    <definedName name="RARA2">#REF!</definedName>
    <definedName name="RevPaySummary" localSheetId="3">#REF!</definedName>
    <definedName name="RevPaySummary">#REF!</definedName>
    <definedName name="RevReq36" localSheetId="3">#REF!</definedName>
    <definedName name="RevReq36">#REF!</definedName>
    <definedName name="RevReqEr" localSheetId="3">#REF!</definedName>
    <definedName name="RevReqEr">#REF!</definedName>
    <definedName name="RevReqRaEr" localSheetId="3">#REF!</definedName>
    <definedName name="RevReqRaEr">#REF!</definedName>
    <definedName name="RevReqRaRa" localSheetId="3">#REF!</definedName>
    <definedName name="RevReqRaRa">#REF!</definedName>
    <definedName name="Ror36" localSheetId="3">#REF!</definedName>
    <definedName name="Ror36">#REF!</definedName>
    <definedName name="RorAnalysisSummary" localSheetId="3">#REF!</definedName>
    <definedName name="RorAnalysisSummary">#REF!</definedName>
    <definedName name="RorEr" localSheetId="3">#REF!</definedName>
    <definedName name="RorEr">#REF!</definedName>
    <definedName name="RorRaEr" localSheetId="3">#REF!</definedName>
    <definedName name="RorRaEr">#REF!</definedName>
    <definedName name="RorRaRa" localSheetId="3">#REF!</definedName>
    <definedName name="RorRaRa">#REF!</definedName>
    <definedName name="RorSummary" localSheetId="3">#REF!</definedName>
    <definedName name="RorSummary">#REF!</definedName>
    <definedName name="SAC" localSheetId="3">#REF!</definedName>
    <definedName name="SAC">#REF!</definedName>
    <definedName name="StudyPeriod" localSheetId="3">#REF!</definedName>
    <definedName name="StudyPeriod">#REF!</definedName>
    <definedName name="TitleColumns" localSheetId="3">#REF!</definedName>
    <definedName name="TitleColumns">#REF!</definedName>
    <definedName name="TRP1A" localSheetId="3">#REF!</definedName>
    <definedName name="TRP1A">#REF!</definedName>
    <definedName name="TRP1B" localSheetId="3">#REF!</definedName>
    <definedName name="TRP1B">#REF!</definedName>
    <definedName name="TRP2A" localSheetId="3">#REF!</definedName>
    <definedName name="TRP2A">#REF!</definedName>
    <definedName name="TRP2B" localSheetId="3">#REF!</definedName>
    <definedName name="TRP2B">#REF!</definedName>
    <definedName name="TrpDescTitles" localSheetId="3">#REF!</definedName>
    <definedName name="TrpDescTitles">#REF!</definedName>
    <definedName name="TrpSummary" localSheetId="3">#REF!</definedName>
    <definedName name="TrpSummary">#REF!</definedName>
    <definedName name="TrpTitles" localSheetId="3">#REF!</definedName>
    <definedName name="TrpTitles">#REF!</definedName>
    <definedName name="Ver" localSheetId="3">#REF!</definedName>
    <definedName name="Ver">#REF!</definedName>
  </definedNames>
  <calcPr fullCalcOnLoad="1"/>
</workbook>
</file>

<file path=xl/comments1.xml><?xml version="1.0" encoding="utf-8"?>
<comments xmlns="http://schemas.openxmlformats.org/spreadsheetml/2006/main">
  <authors>
    <author>Julie</author>
    <author>Ajay Tipnis</author>
    <author>scott</author>
  </authors>
  <commentList>
    <comment ref="E14" authorId="0">
      <text>
        <r>
          <rPr>
            <sz val="8"/>
            <rFont val="Tahoma"/>
            <family val="0"/>
          </rPr>
          <t xml:space="preserve">
from 5001.00 to 5060.00
 (includes End User)</t>
        </r>
      </text>
    </comment>
    <comment ref="E17" authorId="0">
      <text>
        <r>
          <rPr>
            <sz val="8"/>
            <rFont val="Tahoma"/>
            <family val="0"/>
          </rPr>
          <t xml:space="preserve">
5084.10 to 5084.20
</t>
        </r>
      </text>
    </comment>
    <comment ref="E18" authorId="0">
      <text>
        <r>
          <rPr>
            <sz val="8"/>
            <rFont val="Tahoma"/>
            <family val="0"/>
          </rPr>
          <t xml:space="preserve">
5084.30
</t>
        </r>
      </text>
    </comment>
    <comment ref="E19" authorId="0">
      <text>
        <r>
          <rPr>
            <sz val="8"/>
            <rFont val="Tahoma"/>
            <family val="0"/>
          </rPr>
          <t xml:space="preserve">
5230.00 to 5260.10</t>
        </r>
      </text>
    </comment>
    <comment ref="E20" authorId="0">
      <text>
        <r>
          <rPr>
            <sz val="8"/>
            <rFont val="Tahoma"/>
            <family val="0"/>
          </rPr>
          <t xml:space="preserve">
5301.00
</t>
        </r>
      </text>
    </comment>
    <comment ref="E32" authorId="0">
      <text>
        <r>
          <rPr>
            <sz val="8"/>
            <rFont val="Tahoma"/>
            <family val="0"/>
          </rPr>
          <t>This number omits everything from 7240.00 to 7540.20 (Operating Taxes and Other Income &amp; Expense</t>
        </r>
      </text>
    </comment>
    <comment ref="F17" authorId="1">
      <text>
        <r>
          <rPr>
            <sz val="8"/>
            <rFont val="Tahoma"/>
            <family val="0"/>
          </rPr>
          <t xml:space="preserve">DS3 frame relay -- Circuit ID# 64.YIGA.001776
Amount  $5,053.00 monthly account 5084.30 State Special Access
</t>
        </r>
      </text>
    </comment>
    <comment ref="B20" authorId="2">
      <text>
        <r>
          <rPr>
            <b/>
            <sz val="10"/>
            <rFont val="Tahoma"/>
            <family val="0"/>
          </rPr>
          <t>scott:</t>
        </r>
        <r>
          <rPr>
            <sz val="10"/>
            <rFont val="Tahoma"/>
            <family val="0"/>
          </rPr>
          <t xml:space="preserve">
Is any uncollectible interstate?  Usually insignificant&gt;</t>
        </r>
      </text>
    </comment>
  </commentList>
</comments>
</file>

<file path=xl/comments13.xml><?xml version="1.0" encoding="utf-8"?>
<comments xmlns="http://schemas.openxmlformats.org/spreadsheetml/2006/main">
  <authors>
    <author>Julie</author>
    <author>Ajay Tipnis</author>
    <author>scott</author>
  </authors>
  <commentList>
    <comment ref="E14" authorId="0">
      <text>
        <r>
          <rPr>
            <sz val="8"/>
            <rFont val="Tahoma"/>
            <family val="0"/>
          </rPr>
          <t xml:space="preserve">
from 5001.00 to 5060.00
 (includes End User)</t>
        </r>
      </text>
    </comment>
    <comment ref="E18" authorId="0">
      <text>
        <r>
          <rPr>
            <sz val="8"/>
            <rFont val="Tahoma"/>
            <family val="0"/>
          </rPr>
          <t xml:space="preserve">
5084.10 to 5084.20
</t>
        </r>
      </text>
    </comment>
    <comment ref="E19" authorId="0">
      <text>
        <r>
          <rPr>
            <sz val="8"/>
            <rFont val="Tahoma"/>
            <family val="0"/>
          </rPr>
          <t xml:space="preserve">
5084.30
</t>
        </r>
      </text>
    </comment>
    <comment ref="E20" authorId="0">
      <text>
        <r>
          <rPr>
            <sz val="8"/>
            <rFont val="Tahoma"/>
            <family val="0"/>
          </rPr>
          <t xml:space="preserve">
5230.00 to 5260.10</t>
        </r>
      </text>
    </comment>
    <comment ref="E21" authorId="0">
      <text>
        <r>
          <rPr>
            <sz val="8"/>
            <rFont val="Tahoma"/>
            <family val="0"/>
          </rPr>
          <t xml:space="preserve">
5301.00
</t>
        </r>
      </text>
    </comment>
    <comment ref="E33" authorId="0">
      <text>
        <r>
          <rPr>
            <sz val="8"/>
            <rFont val="Tahoma"/>
            <family val="0"/>
          </rPr>
          <t>This number omits everything from 7240.00 to 7540.20 (Operating Taxes and Other Income &amp; Expense</t>
        </r>
      </text>
    </comment>
    <comment ref="F18" authorId="1">
      <text>
        <r>
          <rPr>
            <sz val="8"/>
            <rFont val="Tahoma"/>
            <family val="0"/>
          </rPr>
          <t xml:space="preserve">DS3 frame relay -- Circuit ID# 64.YIGA.001776
Amount  $5,053.00 monthly account 5084.30 State Special Access
</t>
        </r>
      </text>
    </comment>
    <comment ref="B21" authorId="2">
      <text>
        <r>
          <rPr>
            <b/>
            <sz val="10"/>
            <rFont val="Tahoma"/>
            <family val="0"/>
          </rPr>
          <t>scott:</t>
        </r>
        <r>
          <rPr>
            <sz val="10"/>
            <rFont val="Tahoma"/>
            <family val="0"/>
          </rPr>
          <t xml:space="preserve">
Is any uncollectible interstate?  Usually insignificant&gt;</t>
        </r>
      </text>
    </comment>
    <comment ref="E15" authorId="0">
      <text>
        <r>
          <rPr>
            <sz val="8"/>
            <rFont val="Tahoma"/>
            <family val="0"/>
          </rPr>
          <t xml:space="preserve">
includes 5081.10 to 5081.30
</t>
        </r>
      </text>
    </comment>
  </commentList>
</comments>
</file>

<file path=xl/comments5.xml><?xml version="1.0" encoding="utf-8"?>
<comments xmlns="http://schemas.openxmlformats.org/spreadsheetml/2006/main">
  <authors>
    <author>Ajay Tipnis</author>
  </authors>
  <commentList>
    <comment ref="G12" authorId="0">
      <text>
        <r>
          <rPr>
            <sz val="9"/>
            <rFont val="Tahoma"/>
            <family val="2"/>
          </rPr>
          <t>Local Transport under current tariff is a composite rate.  Includes 3 elements -mileage, termination, bip (billing percent). This composite rate was calculated using booked revenues/total minutes.</t>
        </r>
      </text>
    </comment>
  </commentList>
</comments>
</file>

<file path=xl/sharedStrings.xml><?xml version="1.0" encoding="utf-8"?>
<sst xmlns="http://schemas.openxmlformats.org/spreadsheetml/2006/main" count="1304" uniqueCount="747">
  <si>
    <t xml:space="preserve"> CENTRAL OFFICE SWITCHING EQUIPMENT</t>
  </si>
  <si>
    <t xml:space="preserve"> OPERATOR SYSTEMS EQUIPMENT</t>
  </si>
  <si>
    <t xml:space="preserve"> CENTRAL OFFICE TRANSMISSION EQUIPMENT</t>
  </si>
  <si>
    <t xml:space="preserve"> INFORMATION ORIG/TERM EQUIPMENT</t>
  </si>
  <si>
    <t xml:space="preserve"> CABLE AND WIRE FACILITIES</t>
  </si>
  <si>
    <t xml:space="preserve"> TANGIBLE ASSETS</t>
  </si>
  <si>
    <t xml:space="preserve"> INTANGIBLE ASSETS</t>
  </si>
  <si>
    <t xml:space="preserve">   TOTAL PLANT IN SERVICE  A/C 2001</t>
  </si>
  <si>
    <t xml:space="preserve"> PROPERTY HELD FOR FUTURE USE</t>
  </si>
  <si>
    <t xml:space="preserve"> TEL PLANT UNDER CONSTRUCTION</t>
  </si>
  <si>
    <t xml:space="preserve"> RESERVED FOR FUTURE USE</t>
  </si>
  <si>
    <t xml:space="preserve"> TELEPHONE PLANT ADJUSTMENT</t>
  </si>
  <si>
    <t xml:space="preserve"> NONOPERATING PLANT</t>
  </si>
  <si>
    <t xml:space="preserve"> GOODWILL</t>
  </si>
  <si>
    <t xml:space="preserve">   TOTAL PROPERTY, PLANT &amp; EQUIPMENT</t>
  </si>
  <si>
    <t xml:space="preserve"> ACCUM DEPRECIATION - PLANT IN SERVICE</t>
  </si>
  <si>
    <t xml:space="preserve"> ACCUM DEPRECIATION - FUTURE USE</t>
  </si>
  <si>
    <t xml:space="preserve"> ACCUM AMORTIZATION - TANGIBLE PROPERTY</t>
  </si>
  <si>
    <t xml:space="preserve"> ACCUM AMORTIZATION - INTANGIBLE PROPERTY</t>
  </si>
  <si>
    <t xml:space="preserve"> ACCUM AMORTIZATION - TEL PLANT ADJUSTMENT</t>
  </si>
  <si>
    <t xml:space="preserve"> NONCURRENT DEFERRED INCOME TAX - NET</t>
  </si>
  <si>
    <t xml:space="preserve"> OTHER DEFERRED CREDITS - NET</t>
  </si>
  <si>
    <t xml:space="preserve"> CUSTOMER DEPOSITS</t>
  </si>
  <si>
    <t xml:space="preserve">   NET TELEPHONE PLANT</t>
  </si>
  <si>
    <t xml:space="preserve"> MATERIALS AND SUPPLIES</t>
  </si>
  <si>
    <t xml:space="preserve"> INVESTMENT IN NONAFFILIATED CO'S</t>
  </si>
  <si>
    <t xml:space="preserve"> EQUAL ACCESS EQUIPMENT</t>
  </si>
  <si>
    <t xml:space="preserve"> OTHER JURISDICTIONAL ASSETS</t>
  </si>
  <si>
    <t xml:space="preserve"> CASH WORKING CAPITAL</t>
  </si>
  <si>
    <t>XXXX</t>
  </si>
  <si>
    <t xml:space="preserve">   NET TEL PLANT, M&amp;S AND CASH WORKING CAPITAL</t>
  </si>
  <si>
    <t>OPERATING EXPENSE AND TAX SUMMARY</t>
  </si>
  <si>
    <t xml:space="preserve"> NETWORK SUPPORT EXPENSE</t>
  </si>
  <si>
    <t xml:space="preserve"> GENERAL SUPPORT EXPENSE</t>
  </si>
  <si>
    <t xml:space="preserve"> CENTRAL OFFICE EXPENSE</t>
  </si>
  <si>
    <t xml:space="preserve"> INFORMATION ORIG/TERM EXPENSE</t>
  </si>
  <si>
    <t xml:space="preserve"> CABLE AND WIRE FACILITIES EXPENSE</t>
  </si>
  <si>
    <t xml:space="preserve"> OTHER PLANT EXPENSE</t>
  </si>
  <si>
    <t>Qwest DS3</t>
  </si>
  <si>
    <t>adjustment</t>
  </si>
  <si>
    <t>Balance</t>
  </si>
  <si>
    <t>Lives</t>
  </si>
  <si>
    <t>Existing</t>
  </si>
  <si>
    <t>Change</t>
  </si>
  <si>
    <t>for Proposed</t>
  </si>
  <si>
    <t>Approved</t>
  </si>
  <si>
    <t>Booked</t>
  </si>
  <si>
    <t>Adjustments</t>
  </si>
  <si>
    <t>SUM(D)..(J)</t>
  </si>
  <si>
    <t>(M)</t>
  </si>
  <si>
    <t>(K) + (L)</t>
  </si>
  <si>
    <t>Remove FUSC</t>
  </si>
  <si>
    <t>5081.0</t>
  </si>
  <si>
    <t>ANALYSIS OF 2004 INTERSTATE ACCESS REVENUE</t>
  </si>
  <si>
    <t>Removal of      Out-of-Period</t>
  </si>
  <si>
    <t xml:space="preserve">  INTERSTATE USF</t>
  </si>
  <si>
    <t>Combined Adjustments</t>
  </si>
  <si>
    <t xml:space="preserve">FUSC EXPENSE REMOVAL </t>
  </si>
  <si>
    <t>Total X Jurisdictional Factor</t>
  </si>
  <si>
    <t>50% of Total Capital</t>
  </si>
  <si>
    <t>EXH 1 Ln 33 Col K</t>
  </si>
  <si>
    <t>1/2 Rate Base * Cost of Debt</t>
  </si>
  <si>
    <t xml:space="preserve">MULTIPLIER </t>
  </si>
  <si>
    <t>1 / Ln 7</t>
  </si>
  <si>
    <t>Not Used</t>
  </si>
  <si>
    <t>Rate of Return - Composite</t>
  </si>
  <si>
    <t>EXH 1 Col K Ln 18</t>
  </si>
  <si>
    <t>EXH 1 Col K Ln 10</t>
  </si>
  <si>
    <t>Ln 13 - Ln 14</t>
  </si>
  <si>
    <t>SCH A LN  177</t>
  </si>
  <si>
    <t>SCH A LN  178</t>
  </si>
  <si>
    <t>EXHIBIT 4</t>
  </si>
  <si>
    <t>IRS Corporate Tax Rate Table</t>
  </si>
  <si>
    <t xml:space="preserve">     "                          "</t>
  </si>
  <si>
    <t>Ave Rate - First $235,000 of Income</t>
  </si>
  <si>
    <t>EXH 3 Ln d</t>
  </si>
  <si>
    <t>5% * Ln 9</t>
  </si>
  <si>
    <t>Ln 3 - Ln 4</t>
  </si>
  <si>
    <t>Total Taxable Income and Tax</t>
  </si>
  <si>
    <t>Ln  5 - Ln 11</t>
  </si>
  <si>
    <t>Ln 5 10 + Ln 11</t>
  </si>
  <si>
    <t>Residual at 34% Rate</t>
  </si>
  <si>
    <t>EXH 1 Ln 33 Col M</t>
  </si>
  <si>
    <t>Ln 1 - Ln 4 - Ln 12</t>
  </si>
  <si>
    <t>Ln 13 / Ln 14</t>
  </si>
  <si>
    <t>EXHIBIT 3</t>
  </si>
  <si>
    <t>Less Interest</t>
  </si>
  <si>
    <t>Ln d</t>
  </si>
  <si>
    <t>Return Net of Interest</t>
  </si>
  <si>
    <t>Gross Up for Taxes</t>
  </si>
  <si>
    <t>Total Return and Taxes</t>
  </si>
  <si>
    <t>FED TAX RATE</t>
  </si>
  <si>
    <t>LN 5 * LN 6</t>
  </si>
  <si>
    <t>EFFECTIVE FED TAX RATE</t>
  </si>
  <si>
    <t>EXH 4</t>
  </si>
  <si>
    <t>Ln 5 - Ln 7</t>
  </si>
  <si>
    <t>Ln 12 - L 13</t>
  </si>
  <si>
    <t>Ln 14 * Ln 9</t>
  </si>
  <si>
    <t>Ln 13 + Ln 15</t>
  </si>
  <si>
    <t>Ln 16 - Ln 19</t>
  </si>
  <si>
    <t>Notes to Exhibit 1</t>
  </si>
  <si>
    <t>Removal of Qwest DS3 Special Access Revenue</t>
  </si>
  <si>
    <t>Monthly</t>
  </si>
  <si>
    <t>Annual (Monthly X 12)</t>
  </si>
  <si>
    <t>EXHIBIT 2</t>
  </si>
  <si>
    <t>EXHIBIT 2.2</t>
  </si>
  <si>
    <t>Exhibit 2.2</t>
  </si>
  <si>
    <t>Note A</t>
  </si>
  <si>
    <t>Exhibit 1 Col M Ln 10</t>
  </si>
  <si>
    <t>Exhibit 1 Col L Ln 10</t>
  </si>
  <si>
    <t>TAX ADJUSTMENT</t>
  </si>
  <si>
    <t xml:space="preserve">      TOTAL TAXES</t>
  </si>
  <si>
    <t>Per Books</t>
  </si>
  <si>
    <t xml:space="preserve">EXH 1 COL D </t>
  </si>
  <si>
    <t>Required Adjustment</t>
  </si>
  <si>
    <t>Tax Requirement</t>
  </si>
  <si>
    <t>Ln 4</t>
  </si>
  <si>
    <t>Ln 12</t>
  </si>
  <si>
    <t>D - A</t>
  </si>
  <si>
    <t>Reference Forward</t>
  </si>
  <si>
    <t>EXH 1 Col L Ln 21</t>
  </si>
  <si>
    <t>EXH 1 Col L Ln 22</t>
  </si>
  <si>
    <t>Six Months Depreciation</t>
  </si>
  <si>
    <t>Impact of June 30 Addition on Average Reserve</t>
  </si>
  <si>
    <t>Reserve Addition at Proposed Rates</t>
  </si>
  <si>
    <t>ACCT '2001 at 50%</t>
  </si>
  <si>
    <t>L11 Col(F) * 50%</t>
  </si>
  <si>
    <t>(L11 Col(G)+ L11 Col(H))* 50%</t>
  </si>
  <si>
    <t>L11 Col(I) * 50%</t>
  </si>
  <si>
    <t xml:space="preserve">    (C) = (A) + (B)</t>
  </si>
  <si>
    <t>Interstate Rev Req Impact:</t>
  </si>
  <si>
    <t>Interstate Depreciation Factor</t>
  </si>
  <si>
    <t>CARBON / EMERY TELCOM</t>
  </si>
  <si>
    <t>SUMMARY OF TOTAL COMPANY REVENUE SOURCES</t>
  </si>
  <si>
    <t>Note A - State Universal Service Fund (USF) Requirement</t>
  </si>
  <si>
    <t>The state USF requirement is the total proposed revenue change less</t>
  </si>
  <si>
    <t>the proposed changes for local and state access revenues.</t>
  </si>
  <si>
    <t>2004 Rate Case - Revenue Requirement Calculation</t>
  </si>
  <si>
    <t>Intrastate</t>
  </si>
  <si>
    <t>EXHIBIT 1</t>
  </si>
  <si>
    <t>j</t>
  </si>
  <si>
    <t>Ln j</t>
  </si>
  <si>
    <t>Ln i</t>
  </si>
  <si>
    <t>JURISDICTIONAL APPORTIONMENT OF INVESTMENT AND EXPENSES</t>
  </si>
  <si>
    <t xml:space="preserve">  SUBTOAL - PLANT SPECIFIC OPERATIONS EXPENSE</t>
  </si>
  <si>
    <t xml:space="preserve">   SUBTOTAL CUSTOMER OPERATIONS</t>
  </si>
  <si>
    <t xml:space="preserve">   SUBTOTAL CORPORATE OPERATIONS</t>
  </si>
  <si>
    <t>Total Company Adjustments</t>
  </si>
  <si>
    <t>Factor</t>
  </si>
  <si>
    <t>INTRASTATE PORTION</t>
  </si>
  <si>
    <t>Six Months Depreciation at Proposed  Rates</t>
  </si>
  <si>
    <t>Ln11 * Ln12 * 50%</t>
  </si>
  <si>
    <t>Ln 13 / 2</t>
  </si>
  <si>
    <t>Ln 11 * Ln 15 * 50%</t>
  </si>
  <si>
    <t>Ln 16 - Ln 13</t>
  </si>
  <si>
    <t>Ln 16 / 2</t>
  </si>
  <si>
    <t>Ln 32 * Ln 33</t>
  </si>
  <si>
    <t>Intrastate Portion</t>
  </si>
  <si>
    <t>Interstate Portion</t>
  </si>
  <si>
    <t>Ln 32 - Ln 34</t>
  </si>
  <si>
    <t>EXH 7.2</t>
  </si>
  <si>
    <t>Plant Adjustments</t>
  </si>
  <si>
    <t>EXH 1 Ln 22  Col M</t>
  </si>
  <si>
    <t>EXH 3 Ln 13</t>
  </si>
  <si>
    <t>EXH XX          Ln 33 Col K</t>
  </si>
  <si>
    <t>EXH 1           Ln 45 Col K</t>
  </si>
  <si>
    <t>Total              Less State</t>
  </si>
  <si>
    <t>Total Company</t>
  </si>
  <si>
    <t>Total Calculated Based on 1/2 Rate Base X Cost of Debt</t>
  </si>
  <si>
    <t>State Allocated based on Plant Factor (Line g)</t>
  </si>
  <si>
    <t>Ln e * Ln h</t>
  </si>
  <si>
    <t>Interstate + State</t>
  </si>
  <si>
    <t>Jurisdictional Factors</t>
  </si>
  <si>
    <t>Ln i / Ln e</t>
  </si>
  <si>
    <t>k</t>
  </si>
  <si>
    <t>Source for Line h</t>
  </si>
  <si>
    <t>Source for Line e</t>
  </si>
  <si>
    <t xml:space="preserve">FCC </t>
  </si>
  <si>
    <t>Ln c</t>
  </si>
  <si>
    <t>Source for Line j</t>
  </si>
  <si>
    <t>2004 RATE CASE</t>
  </si>
  <si>
    <t>INCOME TAX CALCULATION - INTRASTATE ONLY</t>
  </si>
  <si>
    <t>DEPRECIATION ADJUSTMENT</t>
  </si>
  <si>
    <t>EXHIBIT 6</t>
  </si>
  <si>
    <t>EXHIBIT 7</t>
  </si>
  <si>
    <t>PAGE 1 OF 2</t>
  </si>
  <si>
    <t>PAGE 2 OF 2</t>
  </si>
  <si>
    <t>EXHIBIT 8</t>
  </si>
  <si>
    <t>OVERSTATED DEPRECIATION EXPENSE</t>
  </si>
  <si>
    <t>To EXH 6</t>
  </si>
  <si>
    <t>EXHIBIT 9</t>
  </si>
  <si>
    <t>EXHIBIT 10</t>
  </si>
  <si>
    <t>Total Additions to  Plant Operations Expense</t>
  </si>
  <si>
    <t>Total Additions to Accumulated Depreciation Reserve</t>
  </si>
  <si>
    <t>EXHIBIT 12</t>
  </si>
  <si>
    <t>INCOME TAX CALCULATION - TOTAL COMPANY</t>
  </si>
  <si>
    <t>EXHIBIT 11</t>
  </si>
  <si>
    <t>ADJUSTED</t>
  </si>
  <si>
    <t>FEDERAL BASELINE LIFELINE REDUCTION</t>
  </si>
  <si>
    <t>INTERSTATE FEDERAL UNIVERSAL SERVICE CHARGE</t>
  </si>
  <si>
    <t>INTERSTATE COMMON LINE ACCESS REVENUE</t>
  </si>
  <si>
    <t>INTERSTATE SWITCHED ACCESS REVENUE</t>
  </si>
  <si>
    <t>INTERSTATE POOL ADJUSTMENTS</t>
  </si>
  <si>
    <t>INTERSTATE CARRIER COMMON LINE - NECA</t>
  </si>
  <si>
    <t>INTERSTATE SWITCHED ACCESS - NECA</t>
  </si>
  <si>
    <t>INTERSTATE PRIOR PERIOD ADJMNTS - NECA</t>
  </si>
  <si>
    <t>INTERSTATE LONG TERM SUPPORT - NECA</t>
  </si>
  <si>
    <t>INTERSTATE LOCAL SWITCHING SUPPORT - NECA</t>
  </si>
  <si>
    <t>INTERSTATE COMMON LINE SUPPORT - NECA</t>
  </si>
  <si>
    <t>INTERSTATE SPECIAL ACCESS - NECA</t>
  </si>
  <si>
    <t>INTERSTATE SPECIAL ACCESS REVENUE</t>
  </si>
  <si>
    <t>Per Trial Bal.</t>
  </si>
  <si>
    <t>Per Trial Bal</t>
  </si>
  <si>
    <t>SCH A LN 72</t>
  </si>
  <si>
    <t>SCH A LN 98</t>
  </si>
  <si>
    <t>SCH A LN 99</t>
  </si>
  <si>
    <t>Trial Balance</t>
  </si>
  <si>
    <t xml:space="preserve">CARBON/EMERY </t>
  </si>
  <si>
    <t>SCH A LN 109</t>
  </si>
  <si>
    <t>SCH A LN  111</t>
  </si>
  <si>
    <t>SCH A LN 133</t>
  </si>
  <si>
    <t>SCH A LN  143</t>
  </si>
  <si>
    <t>SCH A LN  150</t>
  </si>
  <si>
    <t>SCH A LN  170</t>
  </si>
  <si>
    <t>SCH A LN  159</t>
  </si>
  <si>
    <t xml:space="preserve">Plant </t>
  </si>
  <si>
    <t>Composite Rate of Return</t>
  </si>
  <si>
    <t xml:space="preserve">Total Capital </t>
  </si>
  <si>
    <t>a</t>
  </si>
  <si>
    <t>b</t>
  </si>
  <si>
    <t>c</t>
  </si>
  <si>
    <t>d</t>
  </si>
  <si>
    <t>e</t>
  </si>
  <si>
    <t>f</t>
  </si>
  <si>
    <t>g</t>
  </si>
  <si>
    <t>Ln 1 - Ln 2</t>
  </si>
  <si>
    <t>5 %  * Ln 5</t>
  </si>
  <si>
    <t>Ln 5 - Ln 6</t>
  </si>
  <si>
    <t>Required Return</t>
  </si>
  <si>
    <t>h</t>
  </si>
  <si>
    <t>i</t>
  </si>
  <si>
    <t>Adjusted Test Year Revenue</t>
  </si>
  <si>
    <t>Adjusted Test Year Expense</t>
  </si>
  <si>
    <t>Adjusted Net Income Before Income Taxes</t>
  </si>
  <si>
    <t>Carbon/Emory Telephone Company</t>
  </si>
  <si>
    <t>Plant Adjustment for Known and Measurable Changes</t>
  </si>
  <si>
    <t>Projects To Be Started  &amp; Completed in 2005</t>
  </si>
  <si>
    <t>Plant- Aerial Cable</t>
  </si>
  <si>
    <t>Plant - Underground Cable</t>
  </si>
  <si>
    <t>Plant - Underground Conduit</t>
  </si>
  <si>
    <t>Plant - Digital Switching</t>
  </si>
  <si>
    <t>Plant - Radio</t>
  </si>
  <si>
    <t>Inter-exchange Circuit</t>
  </si>
  <si>
    <t>Total CWF</t>
  </si>
  <si>
    <t>Fiber to Gordon Creek</t>
  </si>
  <si>
    <t xml:space="preserve">Fiber to C Canyon </t>
  </si>
  <si>
    <t>Fiber to Walker Remote</t>
  </si>
  <si>
    <t>Fiber to Miller Creek remote</t>
  </si>
  <si>
    <t xml:space="preserve">Fiber to Kenilworth </t>
  </si>
  <si>
    <t xml:space="preserve">Fiber to Columbia </t>
  </si>
  <si>
    <t xml:space="preserve">Electronics for 3000 S. Hwy. 10 </t>
  </si>
  <si>
    <t>Upgrade DMS 100 for Caller ID trunk capabilities</t>
  </si>
  <si>
    <t>*9</t>
  </si>
  <si>
    <t>Radio change out Price to Myton</t>
  </si>
  <si>
    <t>*10</t>
  </si>
  <si>
    <t>Radio change out Castle Dale to Price</t>
  </si>
  <si>
    <t>Total Workorders to Be Completed to Acct 2001</t>
  </si>
  <si>
    <t>Sum Ln 1~10</t>
  </si>
  <si>
    <t>Approved Depreciation Rate</t>
  </si>
  <si>
    <t>Ln 10 * Ln 11</t>
  </si>
  <si>
    <t>Proposed Depreciation Rates</t>
  </si>
  <si>
    <t>Additional Depreciation Expense at Proposed Rates</t>
  </si>
  <si>
    <t>Total Interstate Access Revenue</t>
  </si>
  <si>
    <t>INTERSTATE END USER REVENUE</t>
  </si>
  <si>
    <t>12/31/03</t>
  </si>
  <si>
    <t xml:space="preserve">  DEPRECIATION AND AMORTIZATION</t>
  </si>
  <si>
    <t>B</t>
  </si>
  <si>
    <t>E</t>
  </si>
  <si>
    <t>F</t>
  </si>
  <si>
    <t>INTERSTATE ACCESS</t>
  </si>
  <si>
    <t xml:space="preserve">  MISC-INTRASTATE</t>
  </si>
  <si>
    <t>LN</t>
  </si>
  <si>
    <t>Gross Plt</t>
  </si>
  <si>
    <t>Net</t>
  </si>
  <si>
    <t>Reserve</t>
  </si>
  <si>
    <t>Plant</t>
  </si>
  <si>
    <t>Rates</t>
  </si>
  <si>
    <t>General Support Plant</t>
  </si>
  <si>
    <t>Sub-Total</t>
  </si>
  <si>
    <t>Central Office Plant</t>
  </si>
  <si>
    <t>Cable &amp; Wire Facilities</t>
  </si>
  <si>
    <t xml:space="preserve"> NETWORK OPERATIONS EXPENSE</t>
  </si>
  <si>
    <t xml:space="preserve"> ACCESS CHARGE EXPENSE</t>
  </si>
  <si>
    <t xml:space="preserve"> FEDERAL SUPPORT EXPENSE</t>
  </si>
  <si>
    <t xml:space="preserve"> MARKETING EXPENSE</t>
  </si>
  <si>
    <t xml:space="preserve"> SERVICES EXPENSE</t>
  </si>
  <si>
    <t xml:space="preserve"> EXECUTIVE AND PLANNING EXPENSE</t>
  </si>
  <si>
    <t xml:space="preserve"> GENERAL AND ADMINISTRATIVE EXPENSE</t>
  </si>
  <si>
    <t xml:space="preserve">   SUBTOTAL OPERATING EXPENSES</t>
  </si>
  <si>
    <t>2004</t>
  </si>
  <si>
    <t xml:space="preserve"> DEPRECIATION AND AMORTIZATION</t>
  </si>
  <si>
    <t xml:space="preserve"> OTHER OPERATING TAX</t>
  </si>
  <si>
    <t xml:space="preserve"> EQUAL ACCESS EXPENSE</t>
  </si>
  <si>
    <t xml:space="preserve"> INTEREST ON CUSTOMER DEPOSITS</t>
  </si>
  <si>
    <t xml:space="preserve"> RENT REVENUE - ACCESS</t>
  </si>
  <si>
    <t xml:space="preserve">   TOTAL OPERATING EXPENSE AND TAX</t>
  </si>
  <si>
    <t>3100</t>
  </si>
  <si>
    <t>CARBON/EMERY TELCOM</t>
  </si>
  <si>
    <t>2004 TEST YEAR</t>
  </si>
  <si>
    <t>PBX TRUNK</t>
  </si>
  <si>
    <t>NON-RECURRING CHARGES</t>
  </si>
  <si>
    <t>TOTAL NONRECURRING CHARGES</t>
  </si>
  <si>
    <t>Net Investment</t>
  </si>
  <si>
    <t>Required Revenue Increase</t>
  </si>
  <si>
    <t>6561</t>
  </si>
  <si>
    <t>Reference</t>
  </si>
  <si>
    <t xml:space="preserve">SCH A LN </t>
  </si>
  <si>
    <t>SUM LNS 1~9</t>
  </si>
  <si>
    <t>SUM LNS 11-17</t>
  </si>
  <si>
    <t>-----------------------</t>
  </si>
  <si>
    <t>Capital</t>
  </si>
  <si>
    <t>Weighted</t>
  </si>
  <si>
    <t>Amount</t>
  </si>
  <si>
    <t>Ratio</t>
  </si>
  <si>
    <t>Cost</t>
  </si>
  <si>
    <t>EQUITY</t>
  </si>
  <si>
    <t>INTEREST ADJUSTMENT BASED ON A 50/50 HYPOTHETICAL CAPITAL STRUCTURE</t>
  </si>
  <si>
    <t>COMBINED INTRASTATE AND INTERSTATE RATES OF RETURN</t>
  </si>
  <si>
    <t>Interstate</t>
  </si>
  <si>
    <t>State</t>
  </si>
  <si>
    <t>Return</t>
  </si>
  <si>
    <t>GROSS-UP/DOWN</t>
  </si>
  <si>
    <t>BAD DEBTS</t>
  </si>
  <si>
    <t>`</t>
  </si>
  <si>
    <t>NET REV</t>
  </si>
  <si>
    <t>STATE TX 5%</t>
  </si>
  <si>
    <t>FED TXBL INC</t>
  </si>
  <si>
    <t>NOI</t>
  </si>
  <si>
    <t>CAPITAL STRUCTURE ANALYSIS</t>
  </si>
  <si>
    <t>Interest Deduction</t>
  </si>
  <si>
    <t>Taxable Income</t>
  </si>
  <si>
    <t>CARBON/EMERY RATE CASE</t>
  </si>
  <si>
    <t>COMBINED</t>
  </si>
  <si>
    <t>CENTRAL OFFICE SW</t>
  </si>
  <si>
    <t>SURCHARGE REVENUE</t>
  </si>
  <si>
    <t>State Income Taxes</t>
  </si>
  <si>
    <t>Amount Subject to Federal Income Taxes</t>
  </si>
  <si>
    <t>Federal Income Taxes</t>
  </si>
  <si>
    <t>Taxable income Over</t>
  </si>
  <si>
    <t>But Not Over</t>
  </si>
  <si>
    <t>Rate Layer Amount</t>
  </si>
  <si>
    <t>Income in Layer</t>
  </si>
  <si>
    <t>Tax</t>
  </si>
  <si>
    <t>Return After Income Taxes</t>
  </si>
  <si>
    <t>Rate Base</t>
  </si>
  <si>
    <t>Rate of Return</t>
  </si>
  <si>
    <t>Net Operating Income Before Taxes</t>
  </si>
  <si>
    <t>Tax Rate</t>
  </si>
  <si>
    <t>SUMMARY OF ADJUSTMENT AT TRIAL BALANCE LEVEL</t>
  </si>
  <si>
    <t>SWITCHING EQUIP</t>
  </si>
  <si>
    <t>COE TRANSMISSION</t>
  </si>
  <si>
    <t>CABLE &amp; WIRE FAC</t>
  </si>
  <si>
    <t xml:space="preserve">   TOTAL</t>
  </si>
  <si>
    <t>(I) = SUM (B) thru (E)</t>
  </si>
  <si>
    <t>L18 Col(G)+ L11 Col(H)</t>
  </si>
  <si>
    <t>L18 Col(F)</t>
  </si>
  <si>
    <t>L16 Col(F)</t>
  </si>
  <si>
    <t>L16 Col(G)+ L11 Col(H)</t>
  </si>
  <si>
    <t>L18 Col(I)</t>
  </si>
  <si>
    <t>L16 Col(I)</t>
  </si>
  <si>
    <t>Interstate Revenue Requirement Before Plant Adjustment</t>
  </si>
  <si>
    <t>Interstate Revenue Requirement After Plant Adjustment</t>
  </si>
  <si>
    <t xml:space="preserve">  Adjustment to Interstate Revenue Req</t>
  </si>
  <si>
    <t>12/31/04</t>
  </si>
  <si>
    <t>Net Adjustment</t>
  </si>
  <si>
    <t>(a)</t>
  </si>
  <si>
    <t>(b)</t>
  </si>
  <si>
    <t>(c)</t>
  </si>
  <si>
    <t>(d)</t>
  </si>
  <si>
    <t>CHANGE IN REVENUE USING PROPOSED ACCESS RATES</t>
  </si>
  <si>
    <t>(H)</t>
  </si>
  <si>
    <t>Total Co</t>
  </si>
  <si>
    <t>(note a)</t>
  </si>
  <si>
    <t>(note e)</t>
  </si>
  <si>
    <t>with adj. taxes</t>
  </si>
  <si>
    <t xml:space="preserve">  INTERSTATE ACCESS</t>
  </si>
  <si>
    <t>(K)</t>
  </si>
  <si>
    <t>(L)</t>
  </si>
  <si>
    <t>Difference</t>
  </si>
  <si>
    <t>(note b)</t>
  </si>
  <si>
    <t>(note c)</t>
  </si>
  <si>
    <t>(note f)</t>
  </si>
  <si>
    <t>TOTAL</t>
  </si>
  <si>
    <t>INCOME</t>
  </si>
  <si>
    <t>COMPANY</t>
  </si>
  <si>
    <t>STATEMENT</t>
  </si>
  <si>
    <t>(D)</t>
  </si>
  <si>
    <t>(E)</t>
  </si>
  <si>
    <t>(F)</t>
  </si>
  <si>
    <t>(G)</t>
  </si>
  <si>
    <t>(I)</t>
  </si>
  <si>
    <t>==========</t>
  </si>
  <si>
    <t>------------------</t>
  </si>
  <si>
    <t xml:space="preserve">   TOTAL OP REVENUE</t>
  </si>
  <si>
    <t xml:space="preserve">  PLANT SPECIFIC OP</t>
  </si>
  <si>
    <t xml:space="preserve">  PLANT NONSPECIFIC OP</t>
  </si>
  <si>
    <t xml:space="preserve">  CUSTOMER OPERATIONS</t>
  </si>
  <si>
    <t xml:space="preserve">  CORPORATE OPERATIONS</t>
  </si>
  <si>
    <t xml:space="preserve">   TOTAL OP EXPENSE</t>
  </si>
  <si>
    <t xml:space="preserve">  OP INCOME B4 INT &amp; TAXES</t>
  </si>
  <si>
    <t xml:space="preserve">  STATE INCOME TAX</t>
  </si>
  <si>
    <t xml:space="preserve">  FEDERAL INCOME TAX</t>
  </si>
  <si>
    <t xml:space="preserve">   TOTAL OP TAXES</t>
  </si>
  <si>
    <t xml:space="preserve">  NET OP INCOME</t>
  </si>
  <si>
    <t>(A)</t>
  </si>
  <si>
    <t>(B)</t>
  </si>
  <si>
    <t>(C)</t>
  </si>
  <si>
    <t>[(A) + (B)] / 2</t>
  </si>
  <si>
    <t>AVERAGE</t>
  </si>
  <si>
    <t xml:space="preserve">  PLANT IN SERVICE</t>
  </si>
  <si>
    <t xml:space="preserve">  DEPR. RESERVE</t>
  </si>
  <si>
    <t xml:space="preserve">  DEFERRED TAXES</t>
  </si>
  <si>
    <t xml:space="preserve">  CUSTOMER DEPOSITS</t>
  </si>
  <si>
    <t xml:space="preserve">  PREPAYMENTS</t>
  </si>
  <si>
    <t xml:space="preserve">  MATERIALS</t>
  </si>
  <si>
    <t xml:space="preserve">   TOTAL RATE BASE</t>
  </si>
  <si>
    <t>RETURN ON RATE BASE</t>
  </si>
  <si>
    <t>LONG TERM DEBT</t>
  </si>
  <si>
    <t>REVENUE</t>
  </si>
  <si>
    <t>Proposed</t>
  </si>
  <si>
    <t>Current</t>
  </si>
  <si>
    <t>Annual</t>
  </si>
  <si>
    <t>Code</t>
  </si>
  <si>
    <t>Description</t>
  </si>
  <si>
    <t>Rate</t>
  </si>
  <si>
    <t>Total</t>
  </si>
  <si>
    <t>REVENUES BEFORE</t>
  </si>
  <si>
    <t>PROPOSED RATE</t>
  </si>
  <si>
    <t>PROJECTED</t>
  </si>
  <si>
    <t>Line</t>
  </si>
  <si>
    <t>DESCRIPTION</t>
  </si>
  <si>
    <t>RATE INCREASE</t>
  </si>
  <si>
    <t>CHANGE</t>
  </si>
  <si>
    <t>REVENUES</t>
  </si>
  <si>
    <t>#</t>
  </si>
  <si>
    <t xml:space="preserve">    (A)</t>
  </si>
  <si>
    <t xml:space="preserve">    (B)</t>
  </si>
  <si>
    <t>LOCAL</t>
  </si>
  <si>
    <t>STATE USF</t>
  </si>
  <si>
    <t>INTERSTATE USF</t>
  </si>
  <si>
    <t xml:space="preserve">      TOTAL</t>
  </si>
  <si>
    <t>A</t>
  </si>
  <si>
    <t>C</t>
  </si>
  <si>
    <t>D</t>
  </si>
  <si>
    <t>PROPOSED</t>
  </si>
  <si>
    <t>RATES</t>
  </si>
  <si>
    <t>CURRENT AVERAGE ACCESS RATES</t>
  </si>
  <si>
    <t>ACCESS</t>
  </si>
  <si>
    <t>TARIFF</t>
  </si>
  <si>
    <t>MINUTES</t>
  </si>
  <si>
    <t>CARRIER COMMON LINE - ORIG</t>
  </si>
  <si>
    <t>CARRIER COMMON LINE - TERM</t>
  </si>
  <si>
    <t>LOCAL TRANSPORT</t>
  </si>
  <si>
    <t>LOCAL SWITCHING</t>
  </si>
  <si>
    <t>BILLING &amp; COLLECTION</t>
  </si>
  <si>
    <t>TOTAL REVENUE</t>
  </si>
  <si>
    <t>PROPOSED ACCESS RATES</t>
  </si>
  <si>
    <t>Tariff</t>
  </si>
  <si>
    <t>Reg./</t>
  </si>
  <si>
    <t xml:space="preserve">Annual </t>
  </si>
  <si>
    <t>Inc.</t>
  </si>
  <si>
    <t>Page</t>
  </si>
  <si>
    <t>N-Reg</t>
  </si>
  <si>
    <t xml:space="preserve">Revenue </t>
  </si>
  <si>
    <t>Revenue</t>
  </si>
  <si>
    <t>(Dec.)</t>
  </si>
  <si>
    <t>R</t>
  </si>
  <si>
    <t>R1</t>
  </si>
  <si>
    <t>B2</t>
  </si>
  <si>
    <t>R2</t>
  </si>
  <si>
    <t>NL</t>
  </si>
  <si>
    <t>CND</t>
  </si>
  <si>
    <t>CND-B</t>
  </si>
  <si>
    <t>COT</t>
  </si>
  <si>
    <t>TRACE</t>
  </si>
  <si>
    <t>Ln</t>
  </si>
  <si>
    <t xml:space="preserve">  STATE   UNCOLLECT.</t>
  </si>
  <si>
    <t xml:space="preserve">  STATE ACCESS</t>
  </si>
  <si>
    <t>(J)</t>
  </si>
  <si>
    <t>TOTAL LOCAL RATES Res / Bus</t>
  </si>
  <si>
    <t>BCFW</t>
  </si>
  <si>
    <t>TRAP</t>
  </si>
  <si>
    <t>CWTA</t>
  </si>
  <si>
    <t xml:space="preserve">  RTB STOCK</t>
  </si>
  <si>
    <t>MISCELLANEOUS-State</t>
  </si>
  <si>
    <t>UNCOLLECTIBLE-State</t>
  </si>
  <si>
    <t>(note d)</t>
  </si>
  <si>
    <t xml:space="preserve">  OPERATING TAXES</t>
  </si>
  <si>
    <t xml:space="preserve">  OTHER INCOME &amp; EXPENSE</t>
  </si>
  <si>
    <t>REQUIREMENT</t>
  </si>
  <si>
    <t>INTRASTATE</t>
  </si>
  <si>
    <t>ADDITIONAL</t>
  </si>
  <si>
    <t>REQUIRED</t>
  </si>
  <si>
    <t xml:space="preserve">  STATE USF</t>
  </si>
  <si>
    <t>STATE ACCESS</t>
  </si>
  <si>
    <t>Plant Bal.</t>
  </si>
  <si>
    <t xml:space="preserve">  WORKING CASH</t>
  </si>
  <si>
    <t>NSF CHECK CHARGE</t>
  </si>
  <si>
    <t>LOCAL SERVICES RATE DEVELOPMENT</t>
  </si>
  <si>
    <t>SWITCHED ACCESS RATE DEVELOPMENT</t>
  </si>
  <si>
    <t>Depreciation</t>
  </si>
  <si>
    <t xml:space="preserve">  STATE SPECIAL ACCESS</t>
  </si>
  <si>
    <t>STATE SPECIAL ACCESS</t>
  </si>
  <si>
    <t xml:space="preserve">  PLANT UNDER CONSTR.</t>
  </si>
  <si>
    <t xml:space="preserve">  LOCAL SERVICE</t>
  </si>
  <si>
    <t>RESIDENCE ONE-PARTY SERVICE</t>
  </si>
  <si>
    <t>BUSINESS ONE-PARTY SERVICE</t>
  </si>
  <si>
    <t>RESIDENCE EXTENDED AREA SERVICE</t>
  </si>
  <si>
    <t>BUSINESS EXTENDED AREA SERVICE</t>
  </si>
  <si>
    <t xml:space="preserve"> </t>
  </si>
  <si>
    <t>RESIDENCE ACCESS ORDER-SERVICE CHARGE</t>
  </si>
  <si>
    <t>BUSINESS ACCESS ORDER-SERVICE CHARGE</t>
  </si>
  <si>
    <t>RESIDENCE ACCESS ORDER-WIRE CENTER CHARGE</t>
  </si>
  <si>
    <t>BUSINESS ACCESS ORDER-WIRE CENTER CHARGE</t>
  </si>
  <si>
    <t>RESIDENCE ACCESS ORDER-PREMISE VISIT</t>
  </si>
  <si>
    <t>BUSINESS ACCESS ORDER-PREMISE VISIT</t>
  </si>
  <si>
    <t>Adjustment</t>
  </si>
  <si>
    <t>BASIC LOCAL RATES</t>
  </si>
  <si>
    <t>LAND</t>
  </si>
  <si>
    <t>MOTOR VEHICLES</t>
  </si>
  <si>
    <t>OTHER WORK EQUIPM</t>
  </si>
  <si>
    <t>BUILDINGS</t>
  </si>
  <si>
    <t>OFFICE FURNITURE</t>
  </si>
  <si>
    <t>COMMUNICATIONS EQ</t>
  </si>
  <si>
    <t>GENERAL PURPOSE C</t>
  </si>
  <si>
    <t>DIGITAL ELECTRONI</t>
  </si>
  <si>
    <t>INTEREXCHANGE CIR</t>
  </si>
  <si>
    <t>MICROWAVE TRANSMI</t>
  </si>
  <si>
    <t>SUBSCRIBER CIRCUI</t>
  </si>
  <si>
    <t>OTHER TERMINAL EQ</t>
  </si>
  <si>
    <t>POLES</t>
  </si>
  <si>
    <t>AERIAL CABLE</t>
  </si>
  <si>
    <t>UNDERGROUND CABLE</t>
  </si>
  <si>
    <t>BURIED CABLE</t>
  </si>
  <si>
    <t>INTRABUILDING NET</t>
  </si>
  <si>
    <t>AERIAL WIRE</t>
  </si>
  <si>
    <t>CONDUIT SYSTEMS</t>
  </si>
  <si>
    <t>Accumulated</t>
  </si>
  <si>
    <t>Account</t>
  </si>
  <si>
    <t>INTRALATA</t>
  </si>
  <si>
    <t>INTERSTATE</t>
  </si>
  <si>
    <t>A/C</t>
  </si>
  <si>
    <t>INTERLATA</t>
  </si>
  <si>
    <t>NET INVESTMENT SUMMARY</t>
  </si>
  <si>
    <t xml:space="preserve"> GENERAL SUPPORT FACILITIES</t>
  </si>
  <si>
    <t xml:space="preserve">       REVENUE REQUIREMENT SUMMARY</t>
  </si>
  <si>
    <t xml:space="preserve">          INTRASTATE INTRALATA</t>
  </si>
  <si>
    <t xml:space="preserve">          INTRASTATE INTERLATA</t>
  </si>
  <si>
    <t>COMMON</t>
  </si>
  <si>
    <t>SPECIAL</t>
  </si>
  <si>
    <t xml:space="preserve">     REVENUE REQUIREMENT SUMMARY </t>
  </si>
  <si>
    <t xml:space="preserve"> SWITCHING</t>
  </si>
  <si>
    <t>INFO</t>
  </si>
  <si>
    <t>TRANSPORT</t>
  </si>
  <si>
    <t>B &amp; C</t>
  </si>
  <si>
    <t>LINE</t>
  </si>
  <si>
    <t xml:space="preserve"> NET INVESTMENT</t>
  </si>
  <si>
    <t xml:space="preserve"> RATE OF RETURN</t>
  </si>
  <si>
    <t xml:space="preserve"> RETURN FOR SETTLEMENTS</t>
  </si>
  <si>
    <t xml:space="preserve"> ALLOWANCE FOR FUNDS USED DURING CONSTR</t>
  </si>
  <si>
    <t xml:space="preserve"> NET RETURN FOR SETTLEMENTS</t>
  </si>
  <si>
    <t xml:space="preserve"> INTEREST AND RELATED ITEMS</t>
  </si>
  <si>
    <t xml:space="preserve"> OTHER INCOME ADJUSTMENTS</t>
  </si>
  <si>
    <t xml:space="preserve"> FEDERAL ITC AMORTIZATION</t>
  </si>
  <si>
    <t xml:space="preserve"> FIT BASE</t>
  </si>
  <si>
    <t xml:space="preserve"> FEDERAL TAXABLE INCOME</t>
  </si>
  <si>
    <t xml:space="preserve"> FEDERAL OPERATING INCOME TAX      </t>
  </si>
  <si>
    <t xml:space="preserve"> FEDERAL SURTAX EXEMPTION</t>
  </si>
  <si>
    <t xml:space="preserve"> NET FEDERAL INCOME TAX</t>
  </si>
  <si>
    <t xml:space="preserve"> STATE ITC AMORTIZATION</t>
  </si>
  <si>
    <t xml:space="preserve"> SIT BASE</t>
  </si>
  <si>
    <t xml:space="preserve"> STATE TAXABLE INCOME </t>
  </si>
  <si>
    <t xml:space="preserve"> STATE SURTAX EXEMPTION</t>
  </si>
  <si>
    <t xml:space="preserve"> NET STATE INCOME TAX</t>
  </si>
  <si>
    <t xml:space="preserve"> OPERATING EXPENSES AND TAX</t>
  </si>
  <si>
    <t xml:space="preserve"> NON OPERATING EXPENSE</t>
  </si>
  <si>
    <t xml:space="preserve"> UNCOLLECTIBLES</t>
  </si>
  <si>
    <t xml:space="preserve">   BASIS FOR GROSS RECEIPTS TAX</t>
  </si>
  <si>
    <t xml:space="preserve"> GROSS RECEIPTS TAX RATE</t>
  </si>
  <si>
    <t xml:space="preserve"> GROSS RECEIPTS TAX</t>
  </si>
  <si>
    <t xml:space="preserve">   REVENUE REQUIREMENT BEFORE ADJUSTMENTS</t>
  </si>
  <si>
    <t xml:space="preserve">   ACCESS ADJUSTMENTS:</t>
  </si>
  <si>
    <t xml:space="preserve">      ALLOCATION OF LOCAL SW LINE PORT COSTS</t>
  </si>
  <si>
    <t xml:space="preserve">      TIC REVENUE REALLOCATION</t>
  </si>
  <si>
    <t xml:space="preserve">   PROJECTED REVENUE REQUIREMENT</t>
  </si>
  <si>
    <t xml:space="preserve">  ANNUALIZED PROJECTED REVENUE REQUIREMENT</t>
  </si>
  <si>
    <t xml:space="preserve">  (LINE 30 ANNUALIZED TO TWELVE MONTHS)</t>
  </si>
  <si>
    <t xml:space="preserve"> STATE AND LOCAL INCOME TAX  (TAX CODE A)</t>
  </si>
  <si>
    <t xml:space="preserve">              TOTAL INTRASTATE ACCESS</t>
  </si>
  <si>
    <t>EXHIBIT 2.3</t>
  </si>
  <si>
    <t>PAGE 3 OF 3</t>
  </si>
  <si>
    <t>PAGE 2 OF 3</t>
  </si>
  <si>
    <t>Demand - Annual Minutes of Use</t>
  </si>
  <si>
    <t>Exhibit 2.1</t>
  </si>
  <si>
    <t>COMBINED INCREASE IN LOCAL REVENUE</t>
  </si>
  <si>
    <t>EXHIBIT 2.1</t>
  </si>
  <si>
    <t>To EXH 2</t>
  </si>
  <si>
    <t>H = C * F</t>
  </si>
  <si>
    <t>G = C * E</t>
  </si>
  <si>
    <t>EXH 1 Ln 12</t>
  </si>
  <si>
    <t xml:space="preserve">  SUBTOAL - PLANT NONSPECIFIC OPERATIONS EXPENSE</t>
  </si>
  <si>
    <t>EXH 1 Ln 14</t>
  </si>
  <si>
    <t>EXH 1 Ln 15</t>
  </si>
  <si>
    <t>EXH 1 Ln 16</t>
  </si>
  <si>
    <t>EXH 1 Ln 17</t>
  </si>
  <si>
    <t>EXH 1 Ln 35</t>
  </si>
  <si>
    <t>EXH 1 Ln 36</t>
  </si>
  <si>
    <t>EXH 1 Ln 37</t>
  </si>
  <si>
    <t>EXH 1 Ln 39</t>
  </si>
  <si>
    <t>EXH 1 Ln 41</t>
  </si>
  <si>
    <t>EXH 1 Ln 43</t>
  </si>
  <si>
    <t>PER SUPPLEMENT A</t>
  </si>
  <si>
    <t>PER SUPPLEMENT B</t>
  </si>
  <si>
    <t>Revised Rate per Minute of Use</t>
  </si>
  <si>
    <t>To Exhibit 2.2</t>
  </si>
  <si>
    <t>Ln 14 Col B</t>
  </si>
  <si>
    <t>Ln 15 Col B</t>
  </si>
  <si>
    <t>Line 1</t>
  </si>
  <si>
    <t>Line 2</t>
  </si>
  <si>
    <t>Line 3 - Line 7</t>
  </si>
  <si>
    <t>Line 4</t>
  </si>
  <si>
    <t>Source</t>
  </si>
  <si>
    <t>Less Excess Depreciation Booked IN 2004 - Per Exhibit 7</t>
  </si>
  <si>
    <t>Depreciation Adjustments</t>
  </si>
  <si>
    <t>EXH 1</t>
  </si>
  <si>
    <t>Capital Structure and Rate of Return</t>
  </si>
  <si>
    <t>(e)</t>
  </si>
  <si>
    <t>Income Taxes</t>
  </si>
  <si>
    <t>(f)</t>
  </si>
  <si>
    <t>Intrastate Revenue Changes</t>
  </si>
  <si>
    <t>Proposed Increase</t>
  </si>
  <si>
    <t>(g)</t>
  </si>
  <si>
    <t xml:space="preserve">Intrastate unadjusted expenses are calculated based on the total company balances </t>
  </si>
  <si>
    <t>Intrastate Expense and Investment Apportionment</t>
  </si>
  <si>
    <t>Adjusted</t>
  </si>
  <si>
    <t>Plant Operations Expense Adjustment</t>
  </si>
  <si>
    <t>Interstate Factor</t>
  </si>
  <si>
    <t>Interstate Revenue Impact of Plant Operations Expens Adj</t>
  </si>
  <si>
    <t>Input</t>
  </si>
  <si>
    <t>Supp B</t>
  </si>
  <si>
    <t>Ln 30 * Ln 31</t>
  </si>
  <si>
    <t>Ln 25 + Ln 32</t>
  </si>
  <si>
    <t>To EXHIBIT 9</t>
  </si>
  <si>
    <t>(h)</t>
  </si>
  <si>
    <t>(i)</t>
  </si>
  <si>
    <t>Reserve Impact</t>
  </si>
  <si>
    <t>EXH 9</t>
  </si>
  <si>
    <t>Ln 32 * 50%</t>
  </si>
  <si>
    <t>Current Year Expense Effect</t>
  </si>
  <si>
    <t xml:space="preserve">  Net Impact on Reserve</t>
  </si>
  <si>
    <t>Depreciation Reserve Reduction</t>
  </si>
  <si>
    <t>Depreciation Expense Increase</t>
  </si>
  <si>
    <t>FUSC</t>
  </si>
  <si>
    <t>Out-of-Period</t>
  </si>
  <si>
    <t>FACTORS FROM SUPPLEMENT B</t>
  </si>
  <si>
    <r>
      <t xml:space="preserve">From </t>
    </r>
    <r>
      <rPr>
        <b/>
        <sz val="11"/>
        <rFont val="Arial"/>
        <family val="0"/>
      </rPr>
      <t>EXHIBIT 6</t>
    </r>
    <r>
      <rPr>
        <sz val="11"/>
        <rFont val="Arial"/>
        <family val="0"/>
      </rPr>
      <t>, Line 35</t>
    </r>
  </si>
  <si>
    <t>No Note (d) for Intrastate Revenue Requirement (EXHIBIT 1)</t>
  </si>
  <si>
    <t>No Note (e) for Intrastate Revenue Requirement (EXHIBIT 1)</t>
  </si>
  <si>
    <t>Page 1</t>
  </si>
  <si>
    <t>Page 2</t>
  </si>
  <si>
    <t>Page 3</t>
  </si>
  <si>
    <r>
      <t>EXHIBIT 2</t>
    </r>
    <r>
      <rPr>
        <sz val="12"/>
        <rFont val="Arial"/>
        <family val="2"/>
      </rPr>
      <t xml:space="preserve"> summarizes changes in intrastate revenues that the company proposes in this rate case.</t>
    </r>
  </si>
  <si>
    <r>
      <t xml:space="preserve">EXHIBIT 2.1 </t>
    </r>
    <r>
      <rPr>
        <sz val="12"/>
        <rFont val="Arial"/>
        <family val="2"/>
      </rPr>
      <t>summarizes the impact of proposed changes in local rates.</t>
    </r>
  </si>
  <si>
    <t>transport rates.</t>
  </si>
  <si>
    <r>
      <t>EXHIBIT 2.2</t>
    </r>
    <r>
      <rPr>
        <sz val="12"/>
        <rFont val="Arial"/>
        <family val="2"/>
      </rPr>
      <t xml:space="preserve"> summarizes the impact of proposed changes in intrastate switched access and </t>
    </r>
  </si>
  <si>
    <r>
      <t xml:space="preserve">EXHIBIT 2.3 </t>
    </r>
    <r>
      <rPr>
        <sz val="12"/>
        <rFont val="Arial"/>
        <family val="2"/>
      </rPr>
      <t>shows the calculation of proposed intrastate local switching and transport</t>
    </r>
  </si>
  <si>
    <t>per minute rates.</t>
  </si>
  <si>
    <t>To EXHIBIT 1</t>
  </si>
  <si>
    <t>Total Additions to Depreciation Expense Adjustment</t>
  </si>
  <si>
    <r>
      <t xml:space="preserve">To </t>
    </r>
    <r>
      <rPr>
        <b/>
        <sz val="10"/>
        <rFont val="Arial"/>
        <family val="2"/>
      </rPr>
      <t>EXHIBIT 1</t>
    </r>
  </si>
  <si>
    <r>
      <t xml:space="preserve">From </t>
    </r>
    <r>
      <rPr>
        <b/>
        <sz val="10"/>
        <rFont val="Arial"/>
        <family val="2"/>
      </rPr>
      <t>EXH 5</t>
    </r>
    <r>
      <rPr>
        <sz val="10"/>
        <rFont val="Arial"/>
        <family val="0"/>
      </rPr>
      <t xml:space="preserve"> Ln 22 Col G</t>
    </r>
  </si>
  <si>
    <r>
      <t xml:space="preserve">From </t>
    </r>
    <r>
      <rPr>
        <b/>
        <sz val="10"/>
        <rFont val="Arial"/>
        <family val="2"/>
      </rPr>
      <t>EXH 5</t>
    </r>
    <r>
      <rPr>
        <sz val="10"/>
        <rFont val="Arial"/>
        <family val="0"/>
      </rPr>
      <t xml:space="preserve"> Ln 22 Col D</t>
    </r>
  </si>
  <si>
    <r>
      <t xml:space="preserve">From </t>
    </r>
    <r>
      <rPr>
        <b/>
        <sz val="10"/>
        <rFont val="Arial"/>
        <family val="2"/>
      </rPr>
      <t>EXH 5</t>
    </r>
    <r>
      <rPr>
        <sz val="10"/>
        <rFont val="Arial"/>
        <family val="0"/>
      </rPr>
      <t xml:space="preserve"> Ln 22 Col A</t>
    </r>
  </si>
  <si>
    <t>Per Exhibit 2.1</t>
  </si>
  <si>
    <t>Exhibit 1 Col K Ln 10</t>
  </si>
  <si>
    <t>To EXHIBIT 2</t>
  </si>
  <si>
    <t>2004 Access Minutes</t>
  </si>
  <si>
    <t>To</t>
  </si>
  <si>
    <t>COL L LN 1</t>
  </si>
  <si>
    <t>EXH 1 Col L Ln 24</t>
  </si>
  <si>
    <t>EXH 1 Col L Ln 25</t>
  </si>
  <si>
    <t>5% * Ln 3</t>
  </si>
  <si>
    <t>Ln  5 - Ln 10</t>
  </si>
  <si>
    <t>EXH 1 Ln 45 Col KI</t>
  </si>
  <si>
    <t>Notes to Exhibit 9</t>
  </si>
  <si>
    <r>
      <t xml:space="preserve">From </t>
    </r>
    <r>
      <rPr>
        <b/>
        <sz val="10"/>
        <rFont val="Arial"/>
        <family val="2"/>
      </rPr>
      <t>EXH 5</t>
    </r>
    <r>
      <rPr>
        <sz val="10"/>
        <rFont val="Arial"/>
        <family val="0"/>
      </rPr>
      <t xml:space="preserve"> Ln 30 Col A</t>
    </r>
  </si>
  <si>
    <t>COLUMN F</t>
  </si>
  <si>
    <t>Adjustment to Interstate Access Revenue - Increase</t>
  </si>
  <si>
    <r>
      <t xml:space="preserve">From </t>
    </r>
    <r>
      <rPr>
        <b/>
        <sz val="10"/>
        <rFont val="Arial"/>
        <family val="2"/>
      </rPr>
      <t>EXH 5</t>
    </r>
    <r>
      <rPr>
        <sz val="10"/>
        <rFont val="Arial"/>
        <family val="0"/>
      </rPr>
      <t xml:space="preserve"> Ln 33Col A</t>
    </r>
  </si>
  <si>
    <r>
      <t xml:space="preserve">From </t>
    </r>
    <r>
      <rPr>
        <b/>
        <sz val="11"/>
        <rFont val="Arial"/>
        <family val="0"/>
      </rPr>
      <t>EXHIBIT 6</t>
    </r>
    <r>
      <rPr>
        <sz val="11"/>
        <rFont val="Arial"/>
        <family val="0"/>
      </rPr>
      <t>, Line 32</t>
    </r>
  </si>
  <si>
    <r>
      <t xml:space="preserve">From </t>
    </r>
    <r>
      <rPr>
        <b/>
        <sz val="11"/>
        <rFont val="Arial"/>
        <family val="0"/>
      </rPr>
      <t>EXHIBIT</t>
    </r>
    <r>
      <rPr>
        <sz val="11"/>
        <rFont val="Arial"/>
        <family val="0"/>
      </rPr>
      <t xml:space="preserve"> </t>
    </r>
    <r>
      <rPr>
        <b/>
        <sz val="11"/>
        <rFont val="Arial"/>
        <family val="2"/>
      </rPr>
      <t>6</t>
    </r>
    <r>
      <rPr>
        <sz val="11"/>
        <rFont val="Arial"/>
        <family val="0"/>
      </rPr>
      <t xml:space="preserve"> Line 38</t>
    </r>
  </si>
  <si>
    <r>
      <t xml:space="preserve">From </t>
    </r>
    <r>
      <rPr>
        <b/>
        <sz val="11"/>
        <rFont val="Arial"/>
        <family val="0"/>
      </rPr>
      <t>EXHIBIT</t>
    </r>
    <r>
      <rPr>
        <sz val="11"/>
        <rFont val="Arial"/>
        <family val="0"/>
      </rPr>
      <t xml:space="preserve"> </t>
    </r>
    <r>
      <rPr>
        <b/>
        <sz val="11"/>
        <rFont val="Arial"/>
        <family val="2"/>
      </rPr>
      <t>6</t>
    </r>
    <r>
      <rPr>
        <sz val="11"/>
        <rFont val="Arial"/>
        <family val="0"/>
      </rPr>
      <t xml:space="preserve"> Line 39</t>
    </r>
  </si>
  <si>
    <t xml:space="preserve">EXHIBIT 9 also includes an adjustment for the </t>
  </si>
  <si>
    <t xml:space="preserve">effect on interstate access revenue for the </t>
  </si>
  <si>
    <t>above adjustment to depreciation expense.</t>
  </si>
  <si>
    <t>Removal of Federal Universal Service Contribution Recovery and Expense</t>
  </si>
  <si>
    <t>Removal of Prior Period Amounts from Interstate Access Revenue</t>
  </si>
  <si>
    <t>FUSC Revenue Removed</t>
  </si>
  <si>
    <r>
      <t xml:space="preserve">From </t>
    </r>
    <r>
      <rPr>
        <b/>
        <sz val="11"/>
        <rFont val="Arial"/>
        <family val="0"/>
      </rPr>
      <t>EXHIBIT</t>
    </r>
    <r>
      <rPr>
        <sz val="11"/>
        <rFont val="Arial"/>
        <family val="0"/>
      </rPr>
      <t xml:space="preserve"> </t>
    </r>
    <r>
      <rPr>
        <b/>
        <sz val="11"/>
        <rFont val="Arial"/>
        <family val="2"/>
      </rPr>
      <t>11</t>
    </r>
  </si>
  <si>
    <t>FUSC Expense Removed</t>
  </si>
  <si>
    <t xml:space="preserve">Note:  FUSC Expense is not an amount included for interstate access charge </t>
  </si>
  <si>
    <t>revenue requirement, thus no adjustment to interstate access revenue is required.</t>
  </si>
  <si>
    <r>
      <t xml:space="preserve">From </t>
    </r>
    <r>
      <rPr>
        <b/>
        <sz val="12"/>
        <rFont val="Arial"/>
        <family val="0"/>
      </rPr>
      <t>EXHIBIT</t>
    </r>
    <r>
      <rPr>
        <sz val="12"/>
        <rFont val="Arial"/>
        <family val="0"/>
      </rPr>
      <t xml:space="preserve"> </t>
    </r>
    <r>
      <rPr>
        <b/>
        <sz val="12"/>
        <rFont val="Arial"/>
        <family val="0"/>
      </rPr>
      <t>6</t>
    </r>
    <r>
      <rPr>
        <sz val="12"/>
        <rFont val="Arial"/>
        <family val="0"/>
      </rPr>
      <t xml:space="preserve"> Line 34</t>
    </r>
  </si>
  <si>
    <r>
      <t>EXHIBIT 10</t>
    </r>
    <r>
      <rPr>
        <sz val="12"/>
        <rFont val="Arial"/>
        <family val="2"/>
      </rPr>
      <t xml:space="preserve"> summarizes changes in total company revenues that the company proposes in this rate case.</t>
    </r>
  </si>
  <si>
    <r>
      <t xml:space="preserve">The calculation of income taxes is shown at </t>
    </r>
    <r>
      <rPr>
        <b/>
        <sz val="12"/>
        <rFont val="Arial"/>
        <family val="0"/>
      </rPr>
      <t>EXHIBIT 12.</t>
    </r>
  </si>
  <si>
    <t>Total Company Revenue Changes</t>
  </si>
  <si>
    <t>Exhibit 9 Col L Ln 11</t>
  </si>
  <si>
    <t>Exhibit 9 Col M Ln 11</t>
  </si>
  <si>
    <t>2004 Test Year Rate Case</t>
  </si>
  <si>
    <t>EXHIBIT 5</t>
  </si>
  <si>
    <t>multiplied by the applicable intrastate factor for the account reflected in Supplement B.</t>
  </si>
  <si>
    <r>
      <t>The calculation of income taxes is shown at</t>
    </r>
    <r>
      <rPr>
        <sz val="10"/>
        <rFont val="Arial"/>
        <family val="0"/>
      </rPr>
      <t xml:space="preserve"> </t>
    </r>
    <r>
      <rPr>
        <b/>
        <sz val="10"/>
        <rFont val="Arial"/>
        <family val="2"/>
      </rPr>
      <t>EXHIBIT 4.</t>
    </r>
  </si>
  <si>
    <t xml:space="preserve">SUMMARY OF INTRASTATE REGULATED REVENUES </t>
  </si>
  <si>
    <t>See Exhibit 1 Notes (b) and (c)</t>
  </si>
  <si>
    <t>BASED ON MOST RECENT COST STUDY (2003)</t>
  </si>
  <si>
    <t>Note:  (a) Noncurrent Deferred Income Tax not used as rate base item as balance is a debit (negative deferred income tax).</t>
  </si>
  <si>
    <t xml:space="preserve">Total Additions to Telecommunications Plant in Service </t>
  </si>
  <si>
    <t>EXHIBIT 8 - Apportionment of total company expense and investment to intrastate.</t>
  </si>
  <si>
    <t>CAPITAL STRUCTURE   - 50/50 DEBT TO EQUITY</t>
  </si>
  <si>
    <t>Plant - Buried Cable</t>
  </si>
  <si>
    <t>Combined Interstate Access Revenue Adjustment</t>
  </si>
  <si>
    <t>DIGITAL ELECTRONIC</t>
  </si>
  <si>
    <t xml:space="preserve">Potential for access line losses exists, however the company is using the </t>
  </si>
  <si>
    <t>current count to conservatively state the amount of revenue that will</t>
  </si>
  <si>
    <t>be generated from increasing basic rates in order not to overstate</t>
  </si>
  <si>
    <t>the calculation of required state Universal Service Support.</t>
  </si>
  <si>
    <t>Service Order Counts are projections based on September 2004 year to date activity.</t>
  </si>
  <si>
    <t>Customer counts used for Basic Local Rate increase effect are those as of May, 2005.</t>
  </si>
  <si>
    <t>A significant portion of transport minutes billed in 2004 are for transiting Citizens traffic.</t>
  </si>
  <si>
    <t>Citizens is in the process of preparing to reroute this traffic and by the end of</t>
  </si>
  <si>
    <t>2005 will no longer pass any traffic through Carbon/Emery facilities.</t>
  </si>
  <si>
    <t>Excess Depreciation  -Four Years</t>
  </si>
  <si>
    <t>Ln 31 * 4 (also Per EXH 7 Ln 9)</t>
  </si>
  <si>
    <t>Qty (a)</t>
  </si>
  <si>
    <t>Note:</t>
  </si>
  <si>
    <t>LOSS OF CITIZENS TRANSPORT  (a)</t>
  </si>
  <si>
    <t>Supplement B</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</si>
</sst>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
    <numFmt numFmtId="167" formatCode="0.00000"/>
    <numFmt numFmtId="168" formatCode="#,##0.00000"/>
    <numFmt numFmtId="169" formatCode="#,##0.0000"/>
    <numFmt numFmtId="170" formatCode="_(* #,##0_);_(* \(#,##0\);_(* &quot;-&quot;??_);_(@_)"/>
    <numFmt numFmtId="171" formatCode="0.0000%"/>
    <numFmt numFmtId="172" formatCode="#,##0.000000_);\(#,##0.000000\)"/>
    <numFmt numFmtId="173" formatCode="#,##0.00000_);\(#,##0.00000\)"/>
    <numFmt numFmtId="174" formatCode="0.00000_)"/>
    <numFmt numFmtId="175" formatCode="0.00_)"/>
    <numFmt numFmtId="176" formatCode="0_)"/>
    <numFmt numFmtId="177" formatCode="0_);\(0\)"/>
    <numFmt numFmtId="178" formatCode="0.0_);\(0.0\)"/>
    <numFmt numFmtId="179" formatCode="_(&quot;$&quot;* #,##0_);_(&quot;$&quot;* \(#,##0\);_(&quot;$&quot;* &quot;-&quot;??_);_(@_)"/>
    <numFmt numFmtId="180" formatCode="0.0%"/>
    <numFmt numFmtId="181" formatCode="&quot;$&quot;#,##0.00"/>
    <numFmt numFmtId="182" formatCode="#,##0.0000_);\(#,##0.0000\)"/>
    <numFmt numFmtId="183" formatCode="&quot;$&quot;#,##0.00000"/>
    <numFmt numFmtId="184" formatCode="_(* #,##0.000000_);_(* \(#,##0.000000\);_(* &quot;-&quot;??_);_(@_)"/>
    <numFmt numFmtId="185" formatCode="_(* #,##0.0_);_(* \(#,##0.0\);_(* &quot;-&quot;??_);_(@_)"/>
    <numFmt numFmtId="186" formatCode="&quot;$&quot;#,##0.0"/>
    <numFmt numFmtId="187" formatCode="&quot;$&quot;#,##0"/>
    <numFmt numFmtId="188" formatCode="#,##0.0_);\(#,##0.0\)"/>
    <numFmt numFmtId="189" formatCode="#,##0.000_);\(#,##0.000\)"/>
    <numFmt numFmtId="190" formatCode="#,##0.0000000_);\(#,##0.0000000\)"/>
    <numFmt numFmtId="191" formatCode="#,##0.00000000_);\(#,##0.00000000\)"/>
  </numFmts>
  <fonts count="52">
    <font>
      <sz val="10"/>
      <name val="Arial"/>
      <family val="0"/>
    </font>
    <font>
      <b/>
      <sz val="10"/>
      <name val="Arial"/>
      <family val="2"/>
    </font>
    <font>
      <sz val="12"/>
      <name val="Arial"/>
      <family val="2"/>
    </font>
    <font>
      <b/>
      <sz val="12"/>
      <name val="Arial"/>
      <family val="2"/>
    </font>
    <font>
      <u val="single"/>
      <sz val="10"/>
      <name val="Arial"/>
      <family val="2"/>
    </font>
    <font>
      <sz val="10"/>
      <color indexed="12"/>
      <name val="Arial"/>
      <family val="2"/>
    </font>
    <font>
      <sz val="12"/>
      <name val="Helv"/>
      <family val="0"/>
    </font>
    <font>
      <sz val="12"/>
      <color indexed="12"/>
      <name val="Arial"/>
      <family val="2"/>
    </font>
    <font>
      <sz val="16"/>
      <name val="Arial"/>
      <family val="2"/>
    </font>
    <font>
      <u val="single"/>
      <sz val="12"/>
      <color indexed="12"/>
      <name val="Arial"/>
      <family val="2"/>
    </font>
    <font>
      <u val="double"/>
      <sz val="12"/>
      <name val="Arial"/>
      <family val="2"/>
    </font>
    <font>
      <sz val="10"/>
      <name val="Helv"/>
      <family val="0"/>
    </font>
    <font>
      <u val="single"/>
      <sz val="10"/>
      <name val="Helv"/>
      <family val="0"/>
    </font>
    <font>
      <b/>
      <sz val="8"/>
      <name val="Arial"/>
      <family val="2"/>
    </font>
    <font>
      <u val="single"/>
      <sz val="6.5"/>
      <color indexed="12"/>
      <name val="Arial"/>
      <family val="0"/>
    </font>
    <font>
      <u val="single"/>
      <sz val="6.5"/>
      <color indexed="36"/>
      <name val="Arial"/>
      <family val="0"/>
    </font>
    <font>
      <b/>
      <sz val="12"/>
      <color indexed="10"/>
      <name val="Arial"/>
      <family val="2"/>
    </font>
    <font>
      <sz val="8"/>
      <name val="Tahoma"/>
      <family val="0"/>
    </font>
    <font>
      <b/>
      <u val="single"/>
      <sz val="10"/>
      <color indexed="10"/>
      <name val="Arial"/>
      <family val="2"/>
    </font>
    <font>
      <sz val="10"/>
      <color indexed="10"/>
      <name val="Arial"/>
      <family val="2"/>
    </font>
    <font>
      <b/>
      <sz val="10"/>
      <name val="Verdana"/>
      <family val="2"/>
    </font>
    <font>
      <sz val="10"/>
      <name val="Times New Roman"/>
      <family val="0"/>
    </font>
    <font>
      <b/>
      <i/>
      <sz val="10"/>
      <name val="Helv"/>
      <family val="0"/>
    </font>
    <font>
      <sz val="9"/>
      <name val="Tahoma"/>
      <family val="2"/>
    </font>
    <font>
      <b/>
      <sz val="18"/>
      <name val="Arial"/>
      <family val="0"/>
    </font>
    <font>
      <sz val="9"/>
      <name val="Arial"/>
      <family val="2"/>
    </font>
    <font>
      <b/>
      <sz val="9"/>
      <name val="Arial"/>
      <family val="2"/>
    </font>
    <font>
      <sz val="9"/>
      <color indexed="12"/>
      <name val="Arial"/>
      <family val="2"/>
    </font>
    <font>
      <sz val="10"/>
      <name val="Verdana"/>
      <family val="0"/>
    </font>
    <font>
      <sz val="10"/>
      <name val="Tahoma"/>
      <family val="0"/>
    </font>
    <font>
      <b/>
      <sz val="10"/>
      <name val="Tahoma"/>
      <family val="0"/>
    </font>
    <font>
      <b/>
      <sz val="12"/>
      <name val="Times New Roman"/>
      <family val="1"/>
    </font>
    <font>
      <sz val="12"/>
      <name val="Times New Roman"/>
      <family val="1"/>
    </font>
    <font>
      <sz val="10"/>
      <name val="Arial Unicode MS"/>
      <family val="0"/>
    </font>
    <font>
      <b/>
      <sz val="10"/>
      <name val="Arial Unicode MS"/>
      <family val="0"/>
    </font>
    <font>
      <b/>
      <i/>
      <sz val="10"/>
      <name val="Arial"/>
      <family val="2"/>
    </font>
    <font>
      <i/>
      <sz val="10"/>
      <name val="Arial"/>
      <family val="2"/>
    </font>
    <font>
      <b/>
      <sz val="10"/>
      <name val="Univers (W1)"/>
      <family val="0"/>
    </font>
    <font>
      <sz val="11"/>
      <name val="Arial"/>
      <family val="0"/>
    </font>
    <font>
      <b/>
      <sz val="11"/>
      <name val="Arial"/>
      <family val="0"/>
    </font>
    <font>
      <u val="single"/>
      <sz val="12"/>
      <name val="Arial"/>
      <family val="2"/>
    </font>
    <font>
      <sz val="10"/>
      <color indexed="8"/>
      <name val="Arial"/>
      <family val="2"/>
    </font>
    <font>
      <b/>
      <sz val="10"/>
      <color indexed="8"/>
      <name val="Arial"/>
      <family val="2"/>
    </font>
    <font>
      <b/>
      <sz val="10"/>
      <color indexed="8"/>
      <name val="Helv"/>
      <family val="0"/>
    </font>
    <font>
      <b/>
      <sz val="16"/>
      <name val="Arial"/>
      <family val="2"/>
    </font>
    <font>
      <i/>
      <sz val="10"/>
      <color indexed="8"/>
      <name val="Arial"/>
      <family val="0"/>
    </font>
    <font>
      <sz val="9"/>
      <color indexed="8"/>
      <name val="Arial"/>
      <family val="2"/>
    </font>
    <font>
      <b/>
      <sz val="9"/>
      <color indexed="8"/>
      <name val="Arial"/>
      <family val="2"/>
    </font>
    <font>
      <b/>
      <sz val="8"/>
      <color indexed="8"/>
      <name val="Arial"/>
      <family val="2"/>
    </font>
    <font>
      <u val="single"/>
      <sz val="9"/>
      <color indexed="8"/>
      <name val="Arial"/>
      <family val="2"/>
    </font>
    <font>
      <sz val="12"/>
      <color indexed="8"/>
      <name val="Arial"/>
      <family val="2"/>
    </font>
    <font>
      <b/>
      <u val="single"/>
      <sz val="10"/>
      <color indexed="8"/>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20">
    <border>
      <left/>
      <right/>
      <top/>
      <bottom/>
      <diagonal/>
    </border>
    <border>
      <left/>
      <right/>
      <top style="double"/>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lignment/>
      <protection/>
    </xf>
    <xf numFmtId="2" fontId="2" fillId="0" borderId="0" applyFont="0" applyFill="0" applyBorder="0" applyAlignment="0" applyProtection="0"/>
    <xf numFmtId="0" fontId="15" fillId="0" borderId="0" applyNumberFormat="0" applyFill="0" applyBorder="0" applyAlignment="0" applyProtection="0"/>
    <xf numFmtId="0" fontId="24" fillId="0" borderId="0">
      <alignment/>
      <protection/>
    </xf>
    <xf numFmtId="0" fontId="3" fillId="0" borderId="0">
      <alignment/>
      <protection/>
    </xf>
    <xf numFmtId="0" fontId="14" fillId="0" borderId="0" applyNumberFormat="0" applyFill="0" applyBorder="0" applyAlignment="0" applyProtection="0"/>
    <xf numFmtId="37" fontId="6" fillId="0" borderId="0">
      <alignment/>
      <protection/>
    </xf>
    <xf numFmtId="0" fontId="0" fillId="0" borderId="0">
      <alignment/>
      <protection/>
    </xf>
    <xf numFmtId="0" fontId="28" fillId="0" borderId="0">
      <alignment/>
      <protection/>
    </xf>
    <xf numFmtId="0" fontId="28" fillId="0" borderId="0">
      <alignment/>
      <protection/>
    </xf>
    <xf numFmtId="176" fontId="0" fillId="0" borderId="0">
      <alignment/>
      <protection/>
    </xf>
    <xf numFmtId="0" fontId="21" fillId="0" borderId="0">
      <alignment/>
      <protection/>
    </xf>
    <xf numFmtId="37" fontId="0" fillId="0" borderId="0">
      <alignment/>
      <protection/>
    </xf>
    <xf numFmtId="9" fontId="0" fillId="0" borderId="0" applyFont="0" applyFill="0" applyBorder="0" applyAlignment="0" applyProtection="0"/>
    <xf numFmtId="0" fontId="0" fillId="0" borderId="1">
      <alignment/>
      <protection/>
    </xf>
  </cellStyleXfs>
  <cellXfs count="502">
    <xf numFmtId="0" fontId="0" fillId="0" borderId="0" xfId="0" applyAlignment="1">
      <alignment/>
    </xf>
    <xf numFmtId="0" fontId="0" fillId="0" borderId="0" xfId="0" applyFont="1" applyAlignment="1">
      <alignment/>
    </xf>
    <xf numFmtId="39" fontId="0" fillId="0" borderId="0" xfId="0" applyNumberFormat="1" applyFont="1" applyAlignment="1" applyProtection="1">
      <alignment/>
      <protection locked="0"/>
    </xf>
    <xf numFmtId="0" fontId="0" fillId="0" borderId="0" xfId="0" applyFont="1" applyAlignment="1" applyProtection="1">
      <alignment horizontal="center"/>
      <protection locked="0"/>
    </xf>
    <xf numFmtId="37" fontId="0" fillId="0" borderId="0" xfId="0" applyNumberFormat="1" applyFont="1" applyAlignment="1" applyProtection="1">
      <alignment horizontal="center"/>
      <protection locked="0"/>
    </xf>
    <xf numFmtId="37" fontId="0" fillId="0" borderId="0" xfId="0" applyNumberFormat="1" applyFont="1" applyAlignment="1" applyProtection="1" quotePrefix="1">
      <alignment horizontal="center"/>
      <protection locked="0"/>
    </xf>
    <xf numFmtId="0" fontId="0" fillId="0" borderId="0" xfId="0" applyFont="1" applyAlignment="1">
      <alignment horizontal="center"/>
    </xf>
    <xf numFmtId="37" fontId="0" fillId="0" borderId="0" xfId="0" applyNumberFormat="1" applyFont="1" applyAlignment="1">
      <alignment horizontal="center"/>
    </xf>
    <xf numFmtId="37" fontId="0" fillId="0" borderId="0" xfId="0" applyNumberFormat="1" applyFont="1" applyBorder="1" applyAlignment="1" applyProtection="1">
      <alignment horizontal="center"/>
      <protection locked="0"/>
    </xf>
    <xf numFmtId="0" fontId="0" fillId="0" borderId="0" xfId="0" applyNumberFormat="1" applyFont="1" applyAlignment="1" applyProtection="1">
      <alignment horizontal="center"/>
      <protection locked="0"/>
    </xf>
    <xf numFmtId="0" fontId="0" fillId="0" borderId="0" xfId="0" applyNumberFormat="1" applyFont="1" applyAlignment="1">
      <alignment horizontal="center"/>
    </xf>
    <xf numFmtId="0" fontId="0" fillId="0" borderId="0" xfId="0" applyNumberFormat="1" applyFont="1" applyBorder="1" applyAlignment="1" applyProtection="1">
      <alignment horizontal="center"/>
      <protection locked="0"/>
    </xf>
    <xf numFmtId="0" fontId="0" fillId="0" borderId="0" xfId="0" applyFont="1" applyAlignment="1" applyProtection="1">
      <alignment/>
      <protection locked="0"/>
    </xf>
    <xf numFmtId="37" fontId="0" fillId="0" borderId="0" xfId="0" applyNumberFormat="1" applyFont="1" applyAlignment="1" applyProtection="1">
      <alignment/>
      <protection locked="0"/>
    </xf>
    <xf numFmtId="39" fontId="0" fillId="0" borderId="0" xfId="0" applyNumberFormat="1" applyFont="1" applyAlignment="1">
      <alignment/>
    </xf>
    <xf numFmtId="39" fontId="0" fillId="0" borderId="0" xfId="0" applyNumberFormat="1" applyFont="1" applyAlignment="1" applyProtection="1">
      <alignment/>
      <protection locked="0"/>
    </xf>
    <xf numFmtId="37" fontId="0" fillId="0" borderId="0" xfId="17" applyNumberFormat="1" applyFont="1" applyAlignment="1" applyProtection="1">
      <alignment/>
      <protection locked="0"/>
    </xf>
    <xf numFmtId="37" fontId="0" fillId="0" borderId="0" xfId="17" applyNumberFormat="1" applyFont="1" applyAlignment="1" applyProtection="1">
      <alignment/>
      <protection/>
    </xf>
    <xf numFmtId="37" fontId="0" fillId="0" borderId="0" xfId="20" applyNumberFormat="1" applyFont="1" applyAlignment="1">
      <alignment/>
    </xf>
    <xf numFmtId="168" fontId="0" fillId="0" borderId="0" xfId="0" applyNumberFormat="1" applyAlignment="1">
      <alignment/>
    </xf>
    <xf numFmtId="37" fontId="0" fillId="0" borderId="0" xfId="17" applyNumberFormat="1" applyFont="1" applyAlignment="1" applyProtection="1">
      <alignment/>
      <protection locked="0"/>
    </xf>
    <xf numFmtId="37" fontId="0" fillId="0" borderId="0" xfId="17" applyNumberFormat="1" applyFont="1" applyAlignment="1" applyProtection="1">
      <alignment/>
      <protection/>
    </xf>
    <xf numFmtId="39" fontId="0" fillId="0" borderId="0" xfId="17" applyNumberFormat="1" applyFont="1" applyAlignment="1" applyProtection="1">
      <alignment/>
      <protection locked="0"/>
    </xf>
    <xf numFmtId="37" fontId="0" fillId="0" borderId="0" xfId="0" applyNumberFormat="1" applyFont="1" applyAlignment="1">
      <alignment/>
    </xf>
    <xf numFmtId="39" fontId="0" fillId="0" borderId="0" xfId="0" applyNumberFormat="1" applyAlignment="1">
      <alignment/>
    </xf>
    <xf numFmtId="39" fontId="0" fillId="0" borderId="0" xfId="0" applyNumberFormat="1" applyFont="1" applyFill="1" applyAlignment="1">
      <alignment/>
    </xf>
    <xf numFmtId="37" fontId="0" fillId="0" borderId="0" xfId="17" applyNumberFormat="1" applyFont="1" applyFill="1" applyAlignment="1" applyProtection="1">
      <alignment/>
      <protection locked="0"/>
    </xf>
    <xf numFmtId="39" fontId="0" fillId="0" borderId="0" xfId="17" applyNumberFormat="1" applyFont="1" applyAlignment="1" applyProtection="1">
      <alignment/>
      <protection/>
    </xf>
    <xf numFmtId="39" fontId="0" fillId="0" borderId="0" xfId="0" applyNumberFormat="1" applyFont="1" applyFill="1" applyAlignment="1" applyProtection="1">
      <alignment/>
      <protection locked="0"/>
    </xf>
    <xf numFmtId="37" fontId="0" fillId="0" borderId="0" xfId="18" applyNumberFormat="1" applyFont="1" applyAlignment="1" applyProtection="1">
      <alignment/>
      <protection locked="0"/>
    </xf>
    <xf numFmtId="37" fontId="0" fillId="0" borderId="0" xfId="17" applyNumberFormat="1" applyFont="1" applyAlignment="1" applyProtection="1">
      <alignment horizontal="right"/>
      <protection locked="0"/>
    </xf>
    <xf numFmtId="39" fontId="1" fillId="0" borderId="0" xfId="0" applyNumberFormat="1" applyFont="1" applyBorder="1" applyAlignment="1" applyProtection="1">
      <alignment/>
      <protection locked="0"/>
    </xf>
    <xf numFmtId="37" fontId="1" fillId="0" borderId="0" xfId="17" applyNumberFormat="1" applyFont="1" applyBorder="1" applyAlignment="1" applyProtection="1">
      <alignment/>
      <protection locked="0"/>
    </xf>
    <xf numFmtId="39" fontId="1" fillId="0" borderId="0" xfId="17" applyNumberFormat="1" applyFont="1" applyBorder="1" applyAlignment="1" applyProtection="1">
      <alignment/>
      <protection locked="0"/>
    </xf>
    <xf numFmtId="37" fontId="0" fillId="0" borderId="0" xfId="17" applyNumberFormat="1" applyFont="1" applyAlignment="1" applyProtection="1">
      <alignment horizontal="center"/>
      <protection locked="0"/>
    </xf>
    <xf numFmtId="37" fontId="0" fillId="0" borderId="0" xfId="17" applyNumberFormat="1" applyFont="1" applyAlignment="1" applyProtection="1">
      <alignment horizontal="center"/>
      <protection/>
    </xf>
    <xf numFmtId="10" fontId="1" fillId="0" borderId="0" xfId="34" applyNumberFormat="1" applyFont="1" applyAlignment="1" applyProtection="1">
      <alignment/>
      <protection locked="0"/>
    </xf>
    <xf numFmtId="164" fontId="1" fillId="0" borderId="0" xfId="34" applyNumberFormat="1" applyFont="1" applyAlignment="1" applyProtection="1">
      <alignment/>
      <protection locked="0"/>
    </xf>
    <xf numFmtId="164" fontId="0" fillId="0" borderId="0" xfId="34" applyNumberFormat="1" applyFont="1" applyFill="1" applyAlignment="1" applyProtection="1">
      <alignment horizontal="center"/>
      <protection locked="0"/>
    </xf>
    <xf numFmtId="37" fontId="1" fillId="0" borderId="0" xfId="0" applyNumberFormat="1" applyFont="1" applyAlignment="1" applyProtection="1" quotePrefix="1">
      <alignment horizontal="center"/>
      <protection locked="0"/>
    </xf>
    <xf numFmtId="37" fontId="0" fillId="0" borderId="0" xfId="17" applyNumberFormat="1" applyFont="1" applyFill="1" applyAlignment="1" applyProtection="1">
      <alignment/>
      <protection/>
    </xf>
    <xf numFmtId="10" fontId="1" fillId="0" borderId="0" xfId="34" applyNumberFormat="1" applyFont="1" applyAlignment="1">
      <alignment/>
    </xf>
    <xf numFmtId="37" fontId="5" fillId="0" borderId="0" xfId="17" applyNumberFormat="1" applyFont="1" applyAlignment="1" applyProtection="1">
      <alignment/>
      <protection locked="0"/>
    </xf>
    <xf numFmtId="37" fontId="5" fillId="0" borderId="0" xfId="17" applyNumberFormat="1" applyFont="1" applyFill="1" applyAlignment="1" applyProtection="1">
      <alignment/>
      <protection locked="0"/>
    </xf>
    <xf numFmtId="37" fontId="5" fillId="0" borderId="0" xfId="17" applyNumberFormat="1" applyFont="1" applyAlignment="1" applyProtection="1">
      <alignment/>
      <protection locked="0"/>
    </xf>
    <xf numFmtId="37" fontId="5" fillId="0" borderId="0" xfId="17" applyNumberFormat="1" applyFont="1" applyAlignment="1" applyProtection="1">
      <alignment/>
      <protection/>
    </xf>
    <xf numFmtId="37" fontId="2" fillId="0" borderId="0" xfId="27" applyFont="1" applyAlignment="1">
      <alignment horizontal="center"/>
      <protection/>
    </xf>
    <xf numFmtId="37" fontId="2" fillId="0" borderId="0" xfId="27" applyFont="1">
      <alignment/>
      <protection/>
    </xf>
    <xf numFmtId="37" fontId="8" fillId="0" borderId="0" xfId="27" applyFont="1">
      <alignment/>
      <protection/>
    </xf>
    <xf numFmtId="37" fontId="2" fillId="0" borderId="0" xfId="27" applyNumberFormat="1" applyFont="1" applyAlignment="1" applyProtection="1" quotePrefix="1">
      <alignment horizontal="center"/>
      <protection/>
    </xf>
    <xf numFmtId="37" fontId="2" fillId="0" borderId="0" xfId="27" applyNumberFormat="1" applyFont="1" applyAlignment="1" applyProtection="1">
      <alignment horizontal="center"/>
      <protection/>
    </xf>
    <xf numFmtId="37" fontId="2" fillId="0" borderId="0" xfId="27" applyFont="1" applyAlignment="1">
      <alignment horizontal="fill"/>
      <protection/>
    </xf>
    <xf numFmtId="10" fontId="7" fillId="0" borderId="0" xfId="27" applyNumberFormat="1" applyFont="1" applyProtection="1">
      <alignment/>
      <protection/>
    </xf>
    <xf numFmtId="37" fontId="7" fillId="0" borderId="0" xfId="27" applyFont="1">
      <alignment/>
      <protection/>
    </xf>
    <xf numFmtId="37" fontId="8" fillId="0" borderId="0" xfId="27" applyFont="1" applyAlignment="1">
      <alignment horizontal="center"/>
      <protection/>
    </xf>
    <xf numFmtId="37" fontId="11" fillId="0" borderId="0" xfId="27" applyFont="1">
      <alignment/>
      <protection/>
    </xf>
    <xf numFmtId="37" fontId="11" fillId="0" borderId="0" xfId="27" applyFont="1" applyAlignment="1">
      <alignment horizontal="center"/>
      <protection/>
    </xf>
    <xf numFmtId="37" fontId="11" fillId="0" borderId="2" xfId="27" applyFont="1" applyBorder="1" applyAlignment="1">
      <alignment horizontal="center"/>
      <protection/>
    </xf>
    <xf numFmtId="37" fontId="0" fillId="0" borderId="0" xfId="27" applyFont="1">
      <alignment/>
      <protection/>
    </xf>
    <xf numFmtId="37" fontId="0" fillId="0" borderId="0" xfId="27" applyFont="1" applyAlignment="1">
      <alignment horizontal="center"/>
      <protection/>
    </xf>
    <xf numFmtId="37" fontId="0" fillId="0" borderId="0" xfId="27" applyFont="1" applyAlignment="1">
      <alignment horizontal="left"/>
      <protection/>
    </xf>
    <xf numFmtId="37" fontId="1" fillId="0" borderId="0" xfId="27" applyFont="1" applyAlignment="1">
      <alignment horizontal="center"/>
      <protection/>
    </xf>
    <xf numFmtId="37" fontId="1" fillId="0" borderId="0" xfId="27" applyFont="1" applyAlignment="1">
      <alignment horizontal="centerContinuous"/>
      <protection/>
    </xf>
    <xf numFmtId="37" fontId="0" fillId="0" borderId="0" xfId="27" applyFont="1" applyAlignment="1">
      <alignment horizontal="centerContinuous"/>
      <protection/>
    </xf>
    <xf numFmtId="37" fontId="0" fillId="0" borderId="0" xfId="27" applyFont="1" applyAlignment="1" quotePrefix="1">
      <alignment horizontal="center"/>
      <protection/>
    </xf>
    <xf numFmtId="37" fontId="4" fillId="0" borderId="0" xfId="27" applyFont="1">
      <alignment/>
      <protection/>
    </xf>
    <xf numFmtId="37" fontId="4" fillId="0" borderId="0" xfId="27" applyFont="1" applyAlignment="1">
      <alignment horizontal="center"/>
      <protection/>
    </xf>
    <xf numFmtId="37" fontId="0" fillId="0" borderId="0" xfId="27" applyFont="1" applyAlignment="1">
      <alignment horizontal="center"/>
      <protection/>
    </xf>
    <xf numFmtId="37" fontId="12" fillId="0" borderId="0" xfId="27" applyFont="1" applyAlignment="1">
      <alignment horizontal="center"/>
      <protection/>
    </xf>
    <xf numFmtId="37" fontId="0" fillId="0" borderId="2" xfId="27" applyFont="1" applyBorder="1" applyAlignment="1">
      <alignment horizontal="center"/>
      <protection/>
    </xf>
    <xf numFmtId="37" fontId="0" fillId="0" borderId="0" xfId="27" applyFont="1" applyBorder="1">
      <alignment/>
      <protection/>
    </xf>
    <xf numFmtId="37" fontId="0" fillId="0" borderId="0" xfId="27" applyFont="1" applyBorder="1" applyAlignment="1">
      <alignment horizontal="center"/>
      <protection/>
    </xf>
    <xf numFmtId="5" fontId="0" fillId="0" borderId="0" xfId="27" applyNumberFormat="1" applyFont="1">
      <alignment/>
      <protection/>
    </xf>
    <xf numFmtId="5" fontId="0" fillId="0" borderId="0" xfId="27" applyNumberFormat="1" applyFont="1" applyBorder="1">
      <alignment/>
      <protection/>
    </xf>
    <xf numFmtId="44" fontId="5" fillId="0" borderId="0" xfId="18" applyNumberFormat="1" applyFont="1" applyAlignment="1">
      <alignment/>
    </xf>
    <xf numFmtId="7" fontId="5" fillId="0" borderId="0" xfId="18" applyNumberFormat="1" applyFont="1" applyAlignment="1">
      <alignment horizontal="right"/>
    </xf>
    <xf numFmtId="7" fontId="5" fillId="0" borderId="0" xfId="18" applyNumberFormat="1" applyFont="1" applyAlignment="1">
      <alignment horizontal="center"/>
    </xf>
    <xf numFmtId="37" fontId="6" fillId="0" borderId="0" xfId="27" applyAlignment="1">
      <alignment horizontal="center"/>
      <protection/>
    </xf>
    <xf numFmtId="37" fontId="2" fillId="0" borderId="3" xfId="27" applyFont="1" applyBorder="1" applyAlignment="1">
      <alignment horizontal="center"/>
      <protection/>
    </xf>
    <xf numFmtId="37" fontId="2" fillId="0" borderId="3" xfId="27" applyFont="1" applyBorder="1">
      <alignment/>
      <protection/>
    </xf>
    <xf numFmtId="37" fontId="2" fillId="0" borderId="3" xfId="27" applyNumberFormat="1" applyFont="1" applyBorder="1" applyAlignment="1" applyProtection="1">
      <alignment horizontal="center"/>
      <protection/>
    </xf>
    <xf numFmtId="0" fontId="0" fillId="0" borderId="0" xfId="0" applyAlignment="1">
      <alignment horizontal="center"/>
    </xf>
    <xf numFmtId="178" fontId="0" fillId="0" borderId="0" xfId="27" applyNumberFormat="1" applyFont="1" applyAlignment="1">
      <alignment horizontal="center"/>
      <protection/>
    </xf>
    <xf numFmtId="165" fontId="0" fillId="0" borderId="0" xfId="27" applyNumberFormat="1" applyFont="1" applyAlignment="1">
      <alignment horizontal="center"/>
      <protection/>
    </xf>
    <xf numFmtId="10" fontId="13" fillId="0" borderId="0" xfId="34" applyNumberFormat="1" applyFont="1" applyAlignment="1" applyProtection="1">
      <alignment horizontal="right"/>
      <protection locked="0"/>
    </xf>
    <xf numFmtId="37" fontId="0" fillId="0" borderId="0" xfId="0" applyNumberFormat="1" applyAlignment="1">
      <alignment/>
    </xf>
    <xf numFmtId="37" fontId="0" fillId="0" borderId="0" xfId="27" applyFont="1">
      <alignment/>
      <protection/>
    </xf>
    <xf numFmtId="37" fontId="0" fillId="0" borderId="0" xfId="17" applyNumberFormat="1" applyFont="1" applyAlignment="1" applyProtection="1" quotePrefix="1">
      <alignment horizontal="center"/>
      <protection locked="0"/>
    </xf>
    <xf numFmtId="37" fontId="2" fillId="0" borderId="0" xfId="27" applyFont="1" applyFill="1" applyAlignment="1">
      <alignment horizontal="center"/>
      <protection/>
    </xf>
    <xf numFmtId="37" fontId="2" fillId="0" borderId="0" xfId="27" applyFont="1" applyFill="1">
      <alignment/>
      <protection/>
    </xf>
    <xf numFmtId="37" fontId="2" fillId="0" borderId="0" xfId="27" applyFont="1" applyFill="1" applyAlignment="1">
      <alignment horizontal="fill"/>
      <protection/>
    </xf>
    <xf numFmtId="37" fontId="2" fillId="0" borderId="0" xfId="27" applyFont="1" applyFill="1" applyAlignment="1">
      <alignment horizontal="left"/>
      <protection/>
    </xf>
    <xf numFmtId="42" fontId="2" fillId="0" borderId="0" xfId="27" applyNumberFormat="1" applyFont="1" applyFill="1">
      <alignment/>
      <protection/>
    </xf>
    <xf numFmtId="42" fontId="2" fillId="0" borderId="0" xfId="27" applyNumberFormat="1" applyFont="1" applyFill="1" applyProtection="1">
      <alignment/>
      <protection/>
    </xf>
    <xf numFmtId="5" fontId="2" fillId="0" borderId="0" xfId="27" applyNumberFormat="1" applyFont="1" applyFill="1">
      <alignment/>
      <protection/>
    </xf>
    <xf numFmtId="5" fontId="2" fillId="0" borderId="0" xfId="27" applyNumberFormat="1" applyFont="1" applyFill="1" applyProtection="1">
      <alignment/>
      <protection/>
    </xf>
    <xf numFmtId="5" fontId="7" fillId="0" borderId="0" xfId="27" applyNumberFormat="1" applyFont="1" applyFill="1">
      <alignment/>
      <protection/>
    </xf>
    <xf numFmtId="5" fontId="2" fillId="0" borderId="0" xfId="27" applyNumberFormat="1" applyFont="1" applyFill="1" applyAlignment="1">
      <alignment horizontal="fill"/>
      <protection/>
    </xf>
    <xf numFmtId="42" fontId="2" fillId="0" borderId="0" xfId="27" applyNumberFormat="1" applyFont="1" applyFill="1" applyAlignment="1">
      <alignment horizontal="fill"/>
      <protection/>
    </xf>
    <xf numFmtId="42" fontId="2" fillId="0" borderId="0" xfId="27" applyNumberFormat="1" applyFont="1" applyFill="1" applyBorder="1">
      <alignment/>
      <protection/>
    </xf>
    <xf numFmtId="5" fontId="9" fillId="0" borderId="0" xfId="27" applyNumberFormat="1" applyFont="1" applyFill="1" applyBorder="1" applyProtection="1">
      <alignment/>
      <protection/>
    </xf>
    <xf numFmtId="5" fontId="2" fillId="0" borderId="0" xfId="27" applyNumberFormat="1" applyFont="1" applyFill="1" applyBorder="1">
      <alignment/>
      <protection/>
    </xf>
    <xf numFmtId="42" fontId="2" fillId="0" borderId="3" xfId="27" applyNumberFormat="1" applyFont="1" applyFill="1" applyBorder="1">
      <alignment/>
      <protection/>
    </xf>
    <xf numFmtId="42" fontId="2" fillId="0" borderId="4" xfId="27" applyNumberFormat="1" applyFont="1" applyFill="1" applyBorder="1">
      <alignment/>
      <protection/>
    </xf>
    <xf numFmtId="5" fontId="10" fillId="0" borderId="0" xfId="27" applyNumberFormat="1" applyFont="1" applyFill="1" applyBorder="1">
      <alignment/>
      <protection/>
    </xf>
    <xf numFmtId="0" fontId="1" fillId="0" borderId="0" xfId="0" applyFont="1" applyAlignment="1" applyProtection="1" quotePrefix="1">
      <alignment/>
      <protection locked="0"/>
    </xf>
    <xf numFmtId="179" fontId="2" fillId="0" borderId="0" xfId="18" applyNumberFormat="1" applyFont="1" applyFill="1" applyAlignment="1">
      <alignment/>
    </xf>
    <xf numFmtId="37" fontId="11" fillId="0" borderId="2" xfId="27" applyFont="1" applyFill="1" applyBorder="1" applyAlignment="1">
      <alignment horizontal="center"/>
      <protection/>
    </xf>
    <xf numFmtId="164" fontId="1" fillId="0" borderId="0" xfId="34" applyNumberFormat="1" applyFont="1" applyFill="1" applyAlignment="1" applyProtection="1">
      <alignment horizontal="center"/>
      <protection locked="0"/>
    </xf>
    <xf numFmtId="37" fontId="1" fillId="0" borderId="0" xfId="27" applyFont="1" applyBorder="1" applyAlignment="1">
      <alignment horizontal="center"/>
      <protection/>
    </xf>
    <xf numFmtId="37" fontId="5" fillId="0" borderId="0" xfId="27" applyFont="1" applyFill="1" applyAlignment="1">
      <alignment horizontal="center"/>
      <protection/>
    </xf>
    <xf numFmtId="37" fontId="0" fillId="0" borderId="0" xfId="27" applyFont="1" applyFill="1" applyAlignment="1" quotePrefix="1">
      <alignment horizontal="center"/>
      <protection/>
    </xf>
    <xf numFmtId="37" fontId="11" fillId="0" borderId="0" xfId="27" applyFont="1" applyFill="1" applyAlignment="1">
      <alignment horizontal="center"/>
      <protection/>
    </xf>
    <xf numFmtId="37" fontId="12" fillId="0" borderId="0" xfId="27" applyFont="1" applyFill="1" applyAlignment="1">
      <alignment horizontal="center"/>
      <protection/>
    </xf>
    <xf numFmtId="37" fontId="0" fillId="0" borderId="0" xfId="27" applyFont="1" applyFill="1">
      <alignment/>
      <protection/>
    </xf>
    <xf numFmtId="5" fontId="0" fillId="0" borderId="5" xfId="27" applyNumberFormat="1" applyFont="1" applyBorder="1">
      <alignment/>
      <protection/>
    </xf>
    <xf numFmtId="14" fontId="0" fillId="0" borderId="0" xfId="0" applyNumberFormat="1" applyFont="1" applyAlignment="1" applyProtection="1">
      <alignment horizontal="center"/>
      <protection locked="0"/>
    </xf>
    <xf numFmtId="0" fontId="19" fillId="0" borderId="0" xfId="0" applyNumberFormat="1" applyFont="1" applyAlignment="1" applyProtection="1">
      <alignment horizontal="center"/>
      <protection locked="0"/>
    </xf>
    <xf numFmtId="170" fontId="0" fillId="0" borderId="0" xfId="15" applyNumberFormat="1" applyAlignment="1">
      <alignment/>
    </xf>
    <xf numFmtId="43" fontId="0" fillId="0" borderId="0" xfId="0" applyNumberFormat="1" applyAlignment="1">
      <alignment/>
    </xf>
    <xf numFmtId="37" fontId="0" fillId="0" borderId="0" xfId="0" applyNumberFormat="1" applyFont="1" applyFill="1" applyAlignment="1" applyProtection="1">
      <alignment/>
      <protection locked="0"/>
    </xf>
    <xf numFmtId="3" fontId="0" fillId="0" borderId="0" xfId="31" applyNumberFormat="1" applyFont="1" applyProtection="1">
      <alignment/>
      <protection locked="0"/>
    </xf>
    <xf numFmtId="0" fontId="0" fillId="0" borderId="6" xfId="31" applyNumberFormat="1" applyFont="1" applyBorder="1" applyAlignment="1" applyProtection="1">
      <alignment horizontal="center"/>
      <protection locked="0"/>
    </xf>
    <xf numFmtId="0" fontId="0" fillId="0" borderId="7" xfId="31" applyNumberFormat="1" applyFont="1" applyBorder="1" applyAlignment="1" applyProtection="1" quotePrefix="1">
      <alignment horizontal="center"/>
      <protection locked="0"/>
    </xf>
    <xf numFmtId="0" fontId="0" fillId="0" borderId="0" xfId="31" applyNumberFormat="1" applyFont="1" applyProtection="1">
      <alignment/>
      <protection locked="0"/>
    </xf>
    <xf numFmtId="0" fontId="0" fillId="0" borderId="0" xfId="31" applyNumberFormat="1" applyFont="1" applyAlignment="1" applyProtection="1">
      <alignment horizontal="right"/>
      <protection locked="0"/>
    </xf>
    <xf numFmtId="176" fontId="0" fillId="0" borderId="0" xfId="33" applyNumberFormat="1" applyFont="1" applyProtection="1">
      <alignment/>
      <protection locked="0"/>
    </xf>
    <xf numFmtId="37" fontId="0" fillId="0" borderId="0" xfId="33" applyFont="1" applyProtection="1">
      <alignment/>
      <protection locked="0"/>
    </xf>
    <xf numFmtId="37" fontId="0" fillId="0" borderId="0" xfId="27" applyFont="1" applyFill="1" applyAlignment="1">
      <alignment horizontal="center"/>
      <protection/>
    </xf>
    <xf numFmtId="37" fontId="18" fillId="0" borderId="0" xfId="0" applyNumberFormat="1" applyFont="1" applyAlignment="1">
      <alignment horizontal="center"/>
    </xf>
    <xf numFmtId="37" fontId="22" fillId="0" borderId="0" xfId="27" applyFont="1" applyFill="1" applyAlignment="1">
      <alignment horizontal="center"/>
      <protection/>
    </xf>
    <xf numFmtId="37" fontId="0" fillId="0" borderId="0" xfId="0" applyNumberFormat="1" applyFont="1" applyFill="1" applyAlignment="1" applyProtection="1">
      <alignment horizontal="center"/>
      <protection locked="0"/>
    </xf>
    <xf numFmtId="37" fontId="0" fillId="0" borderId="0" xfId="0" applyNumberFormat="1" applyFont="1" applyFill="1" applyAlignment="1">
      <alignment horizontal="center"/>
    </xf>
    <xf numFmtId="37" fontId="1" fillId="0" borderId="0" xfId="0" applyNumberFormat="1" applyFont="1" applyFill="1" applyAlignment="1">
      <alignment horizontal="center"/>
    </xf>
    <xf numFmtId="37" fontId="0" fillId="0" borderId="0" xfId="17" applyNumberFormat="1" applyFont="1" applyFill="1" applyAlignment="1" applyProtection="1">
      <alignment horizontal="right"/>
      <protection locked="0"/>
    </xf>
    <xf numFmtId="2" fontId="0" fillId="0" borderId="0" xfId="0" applyNumberFormat="1" applyAlignment="1">
      <alignment/>
    </xf>
    <xf numFmtId="0" fontId="0" fillId="0" borderId="0" xfId="0" applyNumberFormat="1" applyFont="1" applyFill="1" applyAlignment="1">
      <alignment horizontal="center"/>
    </xf>
    <xf numFmtId="37" fontId="1" fillId="0" borderId="0" xfId="17" applyNumberFormat="1" applyFont="1" applyFill="1" applyBorder="1" applyAlignment="1" applyProtection="1">
      <alignment/>
      <protection locked="0"/>
    </xf>
    <xf numFmtId="0" fontId="25" fillId="0" borderId="0" xfId="0" applyFont="1" applyAlignment="1">
      <alignment/>
    </xf>
    <xf numFmtId="0" fontId="13" fillId="0" borderId="0" xfId="0" applyFont="1" applyAlignment="1">
      <alignment horizontal="center" vertical="center"/>
    </xf>
    <xf numFmtId="0" fontId="25" fillId="0" borderId="0" xfId="0" applyFont="1" applyAlignment="1">
      <alignment horizontal="center"/>
    </xf>
    <xf numFmtId="0" fontId="25" fillId="0" borderId="2" xfId="0" applyFont="1" applyBorder="1" applyAlignment="1">
      <alignment horizontal="center"/>
    </xf>
    <xf numFmtId="0" fontId="26" fillId="0" borderId="2" xfId="0" applyFont="1" applyBorder="1" applyAlignment="1">
      <alignment horizontal="center"/>
    </xf>
    <xf numFmtId="14" fontId="13" fillId="0" borderId="2" xfId="0" applyNumberFormat="1" applyFont="1" applyBorder="1" applyAlignment="1">
      <alignment horizontal="center" vertical="center"/>
    </xf>
    <xf numFmtId="0" fontId="13" fillId="0" borderId="2" xfId="0" applyFont="1" applyBorder="1" applyAlignment="1">
      <alignment horizontal="center" vertical="center"/>
    </xf>
    <xf numFmtId="0" fontId="26" fillId="0" borderId="0" xfId="0" applyFont="1" applyAlignment="1">
      <alignment horizontal="center"/>
    </xf>
    <xf numFmtId="37" fontId="25" fillId="0" borderId="0" xfId="0" applyNumberFormat="1" applyFont="1" applyAlignment="1">
      <alignment/>
    </xf>
    <xf numFmtId="10" fontId="27" fillId="0" borderId="0" xfId="0" applyNumberFormat="1" applyFont="1" applyAlignment="1">
      <alignment/>
    </xf>
    <xf numFmtId="2" fontId="25" fillId="0" borderId="0" xfId="0" applyNumberFormat="1" applyFont="1" applyAlignment="1">
      <alignment/>
    </xf>
    <xf numFmtId="37" fontId="25" fillId="0" borderId="2" xfId="0" applyNumberFormat="1" applyFont="1" applyBorder="1" applyAlignment="1">
      <alignment/>
    </xf>
    <xf numFmtId="10" fontId="25" fillId="0" borderId="0" xfId="0" applyNumberFormat="1" applyFont="1" applyAlignment="1">
      <alignment/>
    </xf>
    <xf numFmtId="2" fontId="27" fillId="0" borderId="0" xfId="0" applyNumberFormat="1" applyFont="1" applyAlignment="1">
      <alignment/>
    </xf>
    <xf numFmtId="2" fontId="25" fillId="0" borderId="0" xfId="0" applyNumberFormat="1" applyFont="1" applyBorder="1" applyAlignment="1">
      <alignment/>
    </xf>
    <xf numFmtId="0" fontId="25" fillId="0" borderId="0" xfId="0" applyFont="1" applyBorder="1" applyAlignment="1">
      <alignment/>
    </xf>
    <xf numFmtId="37" fontId="0" fillId="0" borderId="0" xfId="0" applyNumberFormat="1" applyFont="1" applyBorder="1" applyAlignment="1" applyProtection="1" quotePrefix="1">
      <alignment horizontal="center"/>
      <protection locked="0"/>
    </xf>
    <xf numFmtId="37" fontId="0" fillId="0" borderId="0" xfId="33" applyFont="1" applyAlignment="1" applyProtection="1">
      <alignment horizontal="left"/>
      <protection locked="0"/>
    </xf>
    <xf numFmtId="0" fontId="21" fillId="0" borderId="0" xfId="32" applyProtection="1">
      <alignment/>
      <protection locked="0"/>
    </xf>
    <xf numFmtId="1" fontId="0" fillId="0" borderId="0" xfId="33" applyNumberFormat="1" applyFont="1" applyProtection="1">
      <alignment/>
      <protection locked="0"/>
    </xf>
    <xf numFmtId="0" fontId="28" fillId="0" borderId="0" xfId="29">
      <alignment/>
      <protection/>
    </xf>
    <xf numFmtId="0" fontId="28" fillId="0" borderId="0" xfId="29" applyFill="1">
      <alignment/>
      <protection/>
    </xf>
    <xf numFmtId="0" fontId="0" fillId="0" borderId="0" xfId="0" applyFill="1" applyAlignment="1">
      <alignment/>
    </xf>
    <xf numFmtId="37" fontId="0" fillId="0" borderId="0" xfId="0" applyNumberFormat="1" applyFont="1" applyAlignment="1" applyProtection="1" quotePrefix="1">
      <alignment/>
      <protection locked="0"/>
    </xf>
    <xf numFmtId="37" fontId="1" fillId="0" borderId="0" xfId="34" applyNumberFormat="1" applyFont="1" applyAlignment="1" applyProtection="1">
      <alignment/>
      <protection locked="0"/>
    </xf>
    <xf numFmtId="37" fontId="0" fillId="0" borderId="0" xfId="17" applyNumberFormat="1" applyFont="1" applyFill="1" applyAlignment="1" applyProtection="1" quotePrefix="1">
      <alignment/>
      <protection locked="0"/>
    </xf>
    <xf numFmtId="170" fontId="28" fillId="0" borderId="0" xfId="29" applyNumberFormat="1" applyFill="1">
      <alignment/>
      <protection/>
    </xf>
    <xf numFmtId="170" fontId="28" fillId="0" borderId="0" xfId="29" applyNumberFormat="1" applyFill="1" applyBorder="1">
      <alignment/>
      <protection/>
    </xf>
    <xf numFmtId="170" fontId="20" fillId="0" borderId="8" xfId="29" applyNumberFormat="1" applyFont="1" applyFill="1" applyBorder="1">
      <alignment/>
      <protection/>
    </xf>
    <xf numFmtId="0" fontId="32" fillId="0" borderId="0" xfId="0" applyFont="1" applyBorder="1" applyAlignment="1">
      <alignment/>
    </xf>
    <xf numFmtId="181" fontId="0" fillId="0" borderId="8" xfId="0" applyNumberFormat="1" applyBorder="1" applyAlignment="1">
      <alignment horizontal="center" vertical="center" wrapText="1"/>
    </xf>
    <xf numFmtId="0" fontId="0" fillId="0" borderId="8" xfId="0" applyFill="1" applyBorder="1" applyAlignment="1">
      <alignment horizontal="center" vertical="center" wrapText="1"/>
    </xf>
    <xf numFmtId="0" fontId="28" fillId="0" borderId="0" xfId="29" applyFont="1" applyFill="1">
      <alignment/>
      <protection/>
    </xf>
    <xf numFmtId="0" fontId="0" fillId="0" borderId="8" xfId="0" applyBorder="1" applyAlignment="1">
      <alignment horizontal="center" vertical="center" wrapText="1"/>
    </xf>
    <xf numFmtId="0" fontId="0" fillId="0" borderId="0" xfId="0" applyBorder="1" applyAlignment="1">
      <alignment horizontal="center" vertical="center" wrapText="1"/>
    </xf>
    <xf numFmtId="170" fontId="0" fillId="0" borderId="0" xfId="0" applyNumberFormat="1" applyAlignment="1">
      <alignment/>
    </xf>
    <xf numFmtId="42" fontId="1" fillId="2" borderId="9" xfId="0" applyNumberFormat="1" applyFont="1" applyFill="1" applyBorder="1" applyAlignment="1">
      <alignment/>
    </xf>
    <xf numFmtId="0" fontId="3" fillId="0" borderId="0" xfId="0" applyFont="1" applyAlignment="1">
      <alignment/>
    </xf>
    <xf numFmtId="181" fontId="0" fillId="0" borderId="0" xfId="0" applyNumberFormat="1" applyAlignment="1">
      <alignment/>
    </xf>
    <xf numFmtId="0" fontId="31" fillId="0" borderId="0" xfId="0" applyFont="1" applyAlignment="1">
      <alignment/>
    </xf>
    <xf numFmtId="181" fontId="1" fillId="3" borderId="8" xfId="0" applyNumberFormat="1" applyFont="1" applyFill="1" applyBorder="1" applyAlignment="1">
      <alignment horizontal="center" vertical="center" wrapText="1"/>
    </xf>
    <xf numFmtId="0" fontId="31" fillId="3" borderId="8" xfId="0" applyFont="1" applyFill="1" applyBorder="1" applyAlignment="1">
      <alignment/>
    </xf>
    <xf numFmtId="181" fontId="1" fillId="3" borderId="8"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81" fontId="0" fillId="0" borderId="0" xfId="0" applyNumberFormat="1" applyBorder="1" applyAlignment="1">
      <alignment horizontal="center" vertical="center" wrapText="1"/>
    </xf>
    <xf numFmtId="0" fontId="32" fillId="0" borderId="0" xfId="0" applyFont="1" applyAlignment="1">
      <alignment/>
    </xf>
    <xf numFmtId="179" fontId="0" fillId="0" borderId="0" xfId="0" applyNumberFormat="1" applyAlignment="1">
      <alignment/>
    </xf>
    <xf numFmtId="41" fontId="0" fillId="0" borderId="0" xfId="0" applyNumberFormat="1" applyAlignment="1">
      <alignment/>
    </xf>
    <xf numFmtId="0" fontId="0" fillId="0" borderId="0" xfId="0" applyAlignment="1">
      <alignment horizontal="right"/>
    </xf>
    <xf numFmtId="41" fontId="0" fillId="0" borderId="2" xfId="0" applyNumberFormat="1" applyBorder="1" applyAlignment="1">
      <alignment/>
    </xf>
    <xf numFmtId="179" fontId="0" fillId="0" borderId="2" xfId="0" applyNumberFormat="1" applyBorder="1" applyAlignment="1">
      <alignment/>
    </xf>
    <xf numFmtId="42" fontId="0" fillId="0" borderId="0" xfId="0" applyNumberFormat="1" applyAlignment="1">
      <alignment/>
    </xf>
    <xf numFmtId="181" fontId="1" fillId="0" borderId="0" xfId="0" applyNumberFormat="1" applyFont="1" applyAlignment="1">
      <alignment/>
    </xf>
    <xf numFmtId="10" fontId="0" fillId="0" borderId="0" xfId="34" applyNumberFormat="1" applyAlignment="1">
      <alignment horizontal="center"/>
    </xf>
    <xf numFmtId="42" fontId="0" fillId="0" borderId="9" xfId="0" applyNumberFormat="1" applyBorder="1" applyAlignment="1">
      <alignment/>
    </xf>
    <xf numFmtId="42" fontId="0" fillId="2" borderId="9" xfId="0" applyNumberFormat="1" applyFill="1" applyBorder="1" applyAlignment="1">
      <alignment/>
    </xf>
    <xf numFmtId="0" fontId="1" fillId="0" borderId="0" xfId="0" applyFont="1" applyAlignment="1">
      <alignment/>
    </xf>
    <xf numFmtId="10" fontId="0" fillId="0" borderId="0" xfId="0" applyNumberFormat="1" applyAlignment="1">
      <alignment/>
    </xf>
    <xf numFmtId="42" fontId="33" fillId="0" borderId="0" xfId="0" applyNumberFormat="1" applyFont="1" applyAlignment="1">
      <alignment/>
    </xf>
    <xf numFmtId="9" fontId="34" fillId="0" borderId="0" xfId="34" applyFont="1" applyAlignment="1">
      <alignment horizontal="center"/>
    </xf>
    <xf numFmtId="0" fontId="34" fillId="0" borderId="8" xfId="0" applyFont="1" applyBorder="1" applyAlignment="1">
      <alignment horizontal="center" vertical="center" wrapText="1"/>
    </xf>
    <xf numFmtId="42" fontId="33" fillId="0" borderId="0" xfId="15" applyNumberFormat="1" applyFont="1" applyAlignment="1">
      <alignment/>
    </xf>
    <xf numFmtId="3" fontId="33" fillId="0" borderId="0" xfId="0" applyNumberFormat="1" applyFont="1" applyAlignment="1">
      <alignment/>
    </xf>
    <xf numFmtId="170" fontId="0" fillId="0" borderId="0" xfId="15" applyNumberFormat="1" applyAlignment="1">
      <alignment/>
    </xf>
    <xf numFmtId="41" fontId="33" fillId="0" borderId="0" xfId="15" applyNumberFormat="1" applyFont="1" applyAlignment="1">
      <alignment/>
    </xf>
    <xf numFmtId="41" fontId="33" fillId="0" borderId="2" xfId="15" applyNumberFormat="1" applyFont="1" applyBorder="1" applyAlignment="1">
      <alignment/>
    </xf>
    <xf numFmtId="10" fontId="0" fillId="0" borderId="0" xfId="34" applyNumberFormat="1" applyAlignment="1">
      <alignment/>
    </xf>
    <xf numFmtId="179" fontId="0" fillId="0" borderId="5" xfId="0" applyNumberFormat="1" applyBorder="1" applyAlignment="1">
      <alignment/>
    </xf>
    <xf numFmtId="0" fontId="1" fillId="0" borderId="0" xfId="0" applyFont="1" applyAlignment="1">
      <alignment horizontal="right"/>
    </xf>
    <xf numFmtId="0" fontId="0" fillId="0" borderId="8" xfId="0" applyBorder="1" applyAlignment="1" quotePrefix="1">
      <alignment horizontal="center"/>
    </xf>
    <xf numFmtId="181" fontId="0" fillId="0" borderId="8" xfId="0" applyNumberFormat="1" applyBorder="1" applyAlignment="1" quotePrefix="1">
      <alignment horizontal="center"/>
    </xf>
    <xf numFmtId="168" fontId="0" fillId="0" borderId="4" xfId="0" applyNumberForma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6" xfId="0" applyFont="1" applyBorder="1" applyAlignment="1">
      <alignment horizontal="center"/>
    </xf>
    <xf numFmtId="0" fontId="3" fillId="0" borderId="0" xfId="0" applyFont="1" applyAlignment="1">
      <alignment horizontal="centerContinuous"/>
    </xf>
    <xf numFmtId="0" fontId="3" fillId="0" borderId="0" xfId="0" applyFont="1" applyAlignment="1">
      <alignment horizontal="center"/>
    </xf>
    <xf numFmtId="169" fontId="0" fillId="0" borderId="0" xfId="0" applyNumberFormat="1" applyAlignment="1">
      <alignment/>
    </xf>
    <xf numFmtId="168" fontId="0" fillId="0" borderId="0" xfId="0" applyNumberFormat="1" applyAlignment="1">
      <alignment horizontal="center"/>
    </xf>
    <xf numFmtId="0" fontId="0" fillId="0" borderId="2" xfId="0" applyBorder="1" applyAlignment="1">
      <alignment horizontal="center"/>
    </xf>
    <xf numFmtId="168" fontId="0" fillId="0" borderId="2" xfId="0" applyNumberFormat="1" applyBorder="1" applyAlignment="1">
      <alignment horizontal="center"/>
    </xf>
    <xf numFmtId="0" fontId="0" fillId="0" borderId="0" xfId="0" applyBorder="1" applyAlignment="1">
      <alignment/>
    </xf>
    <xf numFmtId="170" fontId="0" fillId="0" borderId="0" xfId="15" applyNumberFormat="1" applyBorder="1" applyAlignment="1">
      <alignment/>
    </xf>
    <xf numFmtId="168" fontId="0" fillId="0" borderId="0" xfId="0" applyNumberFormat="1" applyBorder="1" applyAlignment="1">
      <alignment horizontal="center"/>
    </xf>
    <xf numFmtId="170" fontId="0" fillId="0" borderId="2" xfId="0" applyNumberFormat="1" applyBorder="1" applyAlignment="1">
      <alignment/>
    </xf>
    <xf numFmtId="170" fontId="0" fillId="0" borderId="4" xfId="15" applyNumberFormat="1" applyBorder="1" applyAlignment="1">
      <alignment/>
    </xf>
    <xf numFmtId="168" fontId="0" fillId="0" borderId="0" xfId="0" applyNumberFormat="1" applyBorder="1" applyAlignment="1">
      <alignment/>
    </xf>
    <xf numFmtId="9" fontId="0" fillId="0" borderId="0" xfId="34" applyFont="1" applyAlignment="1">
      <alignment/>
    </xf>
    <xf numFmtId="4" fontId="0" fillId="0" borderId="0" xfId="0" applyNumberFormat="1" applyAlignment="1">
      <alignment/>
    </xf>
    <xf numFmtId="43" fontId="1" fillId="0" borderId="0" xfId="15" applyFont="1" applyBorder="1" applyAlignment="1">
      <alignment/>
    </xf>
    <xf numFmtId="0" fontId="1" fillId="0" borderId="0" xfId="0" applyFont="1" applyBorder="1" applyAlignment="1" quotePrefix="1">
      <alignment horizontal="center"/>
    </xf>
    <xf numFmtId="0" fontId="1" fillId="0" borderId="2" xfId="0" applyFont="1" applyBorder="1" applyAlignment="1">
      <alignment horizontal="center"/>
    </xf>
    <xf numFmtId="0" fontId="4" fillId="0" borderId="0" xfId="0" applyFont="1" applyAlignment="1">
      <alignment/>
    </xf>
    <xf numFmtId="0" fontId="0" fillId="0" borderId="0" xfId="0" applyAlignment="1">
      <alignment horizontal="left"/>
    </xf>
    <xf numFmtId="3" fontId="0" fillId="0" borderId="0" xfId="0" applyNumberFormat="1" applyFont="1" applyFill="1" applyAlignment="1">
      <alignment/>
    </xf>
    <xf numFmtId="3" fontId="0" fillId="0" borderId="0" xfId="0" applyNumberFormat="1" applyAlignment="1">
      <alignment/>
    </xf>
    <xf numFmtId="3" fontId="0" fillId="0" borderId="0" xfId="0" applyNumberFormat="1" applyFont="1" applyBorder="1" applyAlignment="1" quotePrefix="1">
      <alignment horizontal="right"/>
    </xf>
    <xf numFmtId="37" fontId="0" fillId="0" borderId="0" xfId="0" applyNumberFormat="1" applyBorder="1" applyAlignment="1">
      <alignment/>
    </xf>
    <xf numFmtId="5" fontId="1" fillId="0" borderId="0" xfId="0" applyNumberFormat="1" applyFont="1" applyAlignment="1">
      <alignment/>
    </xf>
    <xf numFmtId="5" fontId="0" fillId="0" borderId="0" xfId="0" applyNumberFormat="1" applyFont="1" applyAlignment="1">
      <alignment/>
    </xf>
    <xf numFmtId="10" fontId="0" fillId="0" borderId="0" xfId="34" applyNumberFormat="1" applyFont="1" applyAlignment="1">
      <alignment/>
    </xf>
    <xf numFmtId="3" fontId="0" fillId="0" borderId="0" xfId="17" applyFont="1" applyAlignment="1" applyProtection="1">
      <alignment/>
      <protection locked="0"/>
    </xf>
    <xf numFmtId="3" fontId="0" fillId="0" borderId="0" xfId="17" applyFont="1" applyBorder="1" applyAlignment="1" applyProtection="1">
      <alignment/>
      <protection locked="0"/>
    </xf>
    <xf numFmtId="167" fontId="0" fillId="0" borderId="0" xfId="22" applyNumberFormat="1" applyFont="1" applyAlignment="1">
      <alignment/>
    </xf>
    <xf numFmtId="0" fontId="28" fillId="0" borderId="0" xfId="29" applyFont="1" applyFill="1" applyBorder="1">
      <alignment/>
      <protection/>
    </xf>
    <xf numFmtId="164" fontId="0" fillId="0" borderId="0" xfId="34" applyNumberFormat="1" applyAlignment="1">
      <alignment/>
    </xf>
    <xf numFmtId="41" fontId="0" fillId="0" borderId="8" xfId="0" applyNumberFormat="1" applyBorder="1" applyAlignment="1">
      <alignment/>
    </xf>
    <xf numFmtId="37" fontId="16" fillId="0" borderId="0" xfId="27" applyFont="1" applyAlignment="1">
      <alignment horizontal="center"/>
      <protection/>
    </xf>
    <xf numFmtId="0" fontId="28" fillId="0" borderId="0" xfId="30">
      <alignment/>
      <protection/>
    </xf>
    <xf numFmtId="0" fontId="0" fillId="0" borderId="0" xfId="28" applyAlignment="1">
      <alignment horizontal="center"/>
      <protection/>
    </xf>
    <xf numFmtId="5" fontId="2" fillId="0" borderId="0" xfId="18" applyNumberFormat="1" applyFont="1" applyFill="1" applyAlignment="1" applyProtection="1">
      <alignment/>
      <protection/>
    </xf>
    <xf numFmtId="9" fontId="34" fillId="0" borderId="2" xfId="34" applyFont="1" applyBorder="1" applyAlignment="1">
      <alignment horizontal="center"/>
    </xf>
    <xf numFmtId="164" fontId="34" fillId="0" borderId="0" xfId="34" applyNumberFormat="1" applyFont="1" applyAlignment="1">
      <alignment horizontal="center"/>
    </xf>
    <xf numFmtId="10" fontId="0" fillId="0" borderId="0" xfId="34" applyNumberFormat="1" applyFont="1" applyFill="1" applyAlignment="1">
      <alignment/>
    </xf>
    <xf numFmtId="182" fontId="0" fillId="0" borderId="0" xfId="0" applyNumberFormat="1" applyFont="1" applyAlignment="1" applyProtection="1">
      <alignment/>
      <protection locked="0"/>
    </xf>
    <xf numFmtId="182" fontId="5" fillId="0" borderId="0" xfId="17" applyNumberFormat="1" applyFont="1" applyFill="1" applyAlignment="1" applyProtection="1">
      <alignment/>
      <protection locked="0"/>
    </xf>
    <xf numFmtId="0" fontId="35" fillId="0" borderId="0" xfId="0" applyFont="1" applyAlignment="1">
      <alignment/>
    </xf>
    <xf numFmtId="0" fontId="36" fillId="0" borderId="0" xfId="0" applyFont="1" applyAlignment="1">
      <alignment horizontal="center"/>
    </xf>
    <xf numFmtId="0" fontId="36" fillId="0" borderId="0" xfId="0" applyFont="1" applyAlignment="1">
      <alignment/>
    </xf>
    <xf numFmtId="5" fontId="0" fillId="0" borderId="0" xfId="0" applyNumberFormat="1" applyFont="1" applyAlignment="1" quotePrefix="1">
      <alignment/>
    </xf>
    <xf numFmtId="37" fontId="0" fillId="0" borderId="5" xfId="0" applyNumberFormat="1" applyBorder="1" applyAlignment="1">
      <alignment/>
    </xf>
    <xf numFmtId="44" fontId="0" fillId="0" borderId="0" xfId="0" applyNumberFormat="1" applyAlignment="1">
      <alignment/>
    </xf>
    <xf numFmtId="0" fontId="0" fillId="0" borderId="8" xfId="0" applyBorder="1" applyAlignment="1">
      <alignment horizontal="center"/>
    </xf>
    <xf numFmtId="0" fontId="0" fillId="0" borderId="0" xfId="0" applyBorder="1" applyAlignment="1">
      <alignment horizontal="center"/>
    </xf>
    <xf numFmtId="170" fontId="0" fillId="0" borderId="0" xfId="0" applyNumberFormat="1" applyBorder="1" applyAlignment="1">
      <alignment horizontal="center"/>
    </xf>
    <xf numFmtId="0" fontId="0" fillId="0" borderId="8" xfId="0" applyBorder="1" applyAlignment="1">
      <alignment horizontal="center" wrapText="1"/>
    </xf>
    <xf numFmtId="170" fontId="0" fillId="0" borderId="0" xfId="0" applyNumberFormat="1" applyBorder="1" applyAlignment="1">
      <alignment horizontal="center" vertical="center" wrapText="1"/>
    </xf>
    <xf numFmtId="0" fontId="28" fillId="0" borderId="0" xfId="29" applyFont="1" applyFill="1" applyAlignment="1" quotePrefix="1">
      <alignment horizontal="right"/>
      <protection/>
    </xf>
    <xf numFmtId="41" fontId="33" fillId="0" borderId="0" xfId="15" applyNumberFormat="1" applyFont="1" applyBorder="1" applyAlignment="1">
      <alignment/>
    </xf>
    <xf numFmtId="10" fontId="0" fillId="0" borderId="2" xfId="34" applyNumberFormat="1" applyFont="1" applyBorder="1" applyAlignment="1">
      <alignment/>
    </xf>
    <xf numFmtId="170" fontId="0" fillId="0" borderId="2" xfId="15" applyNumberFormat="1" applyBorder="1" applyAlignment="1">
      <alignment/>
    </xf>
    <xf numFmtId="37" fontId="0" fillId="0" borderId="9" xfId="0" applyNumberFormat="1" applyBorder="1" applyAlignment="1">
      <alignment/>
    </xf>
    <xf numFmtId="0" fontId="0" fillId="0" borderId="6" xfId="0" applyBorder="1" applyAlignment="1">
      <alignment horizontal="center" wrapText="1"/>
    </xf>
    <xf numFmtId="0" fontId="0" fillId="4" borderId="8" xfId="0" applyFill="1" applyBorder="1" applyAlignment="1">
      <alignment horizontal="center"/>
    </xf>
    <xf numFmtId="37" fontId="16" fillId="0" borderId="0" xfId="27" applyFont="1">
      <alignment/>
      <protection/>
    </xf>
    <xf numFmtId="37" fontId="3" fillId="0" borderId="0" xfId="27" applyFont="1" applyAlignment="1">
      <alignment horizontal="left"/>
      <protection/>
    </xf>
    <xf numFmtId="37" fontId="3" fillId="0" borderId="0" xfId="27" applyFont="1">
      <alignment/>
      <protection/>
    </xf>
    <xf numFmtId="179" fontId="0" fillId="0" borderId="0" xfId="0" applyNumberFormat="1" applyBorder="1" applyAlignment="1">
      <alignment/>
    </xf>
    <xf numFmtId="42" fontId="0" fillId="0" borderId="0" xfId="15" applyNumberFormat="1" applyFont="1" applyBorder="1" applyAlignment="1">
      <alignment/>
    </xf>
    <xf numFmtId="37" fontId="0" fillId="0" borderId="8" xfId="0" applyNumberFormat="1" applyBorder="1" applyAlignment="1">
      <alignment/>
    </xf>
    <xf numFmtId="3" fontId="0" fillId="0" borderId="8" xfId="0" applyNumberFormat="1" applyFont="1" applyFill="1" applyBorder="1" applyAlignment="1">
      <alignment horizontal="center" vertical="top" wrapText="1"/>
    </xf>
    <xf numFmtId="3" fontId="0" fillId="0" borderId="8" xfId="0" applyNumberFormat="1" applyFont="1" applyFill="1" applyBorder="1" applyAlignment="1">
      <alignment horizontal="center" wrapText="1"/>
    </xf>
    <xf numFmtId="0" fontId="0" fillId="4" borderId="0" xfId="0" applyFill="1" applyAlignment="1">
      <alignment horizontal="left"/>
    </xf>
    <xf numFmtId="10" fontId="1" fillId="0" borderId="0" xfId="0" applyNumberFormat="1" applyFont="1" applyBorder="1" applyAlignment="1">
      <alignment/>
    </xf>
    <xf numFmtId="10" fontId="0" fillId="0" borderId="8" xfId="0" applyNumberFormat="1" applyFont="1" applyBorder="1" applyAlignment="1">
      <alignment horizontal="center"/>
    </xf>
    <xf numFmtId="37" fontId="1" fillId="0" borderId="0" xfId="0" applyNumberFormat="1" applyFont="1" applyAlignment="1">
      <alignment/>
    </xf>
    <xf numFmtId="175" fontId="37" fillId="0" borderId="0" xfId="32" applyNumberFormat="1" applyFont="1" applyAlignment="1" applyProtection="1">
      <alignment horizontal="left"/>
      <protection locked="0"/>
    </xf>
    <xf numFmtId="0" fontId="1" fillId="0" borderId="0" xfId="0" applyFont="1" applyAlignment="1">
      <alignment/>
    </xf>
    <xf numFmtId="37" fontId="1" fillId="0" borderId="0" xfId="0" applyNumberFormat="1" applyFont="1" applyAlignment="1">
      <alignment/>
    </xf>
    <xf numFmtId="0" fontId="0" fillId="0" borderId="6" xfId="0" applyFont="1" applyBorder="1" applyAlignment="1">
      <alignment horizontal="center"/>
    </xf>
    <xf numFmtId="0" fontId="0" fillId="0" borderId="10" xfId="0" applyFont="1" applyBorder="1" applyAlignment="1">
      <alignment horizontal="center"/>
    </xf>
    <xf numFmtId="181" fontId="0" fillId="0" borderId="5" xfId="0" applyNumberFormat="1" applyBorder="1" applyAlignment="1">
      <alignment/>
    </xf>
    <xf numFmtId="37" fontId="0" fillId="0" borderId="0" xfId="31" applyNumberFormat="1" applyFont="1" applyAlignment="1" applyProtection="1" quotePrefix="1">
      <alignment horizontal="right"/>
      <protection locked="0"/>
    </xf>
    <xf numFmtId="37" fontId="0" fillId="0" borderId="6" xfId="33" applyFont="1" applyBorder="1" applyAlignment="1" applyProtection="1">
      <alignment horizontal="center"/>
      <protection locked="0"/>
    </xf>
    <xf numFmtId="37" fontId="0" fillId="0" borderId="6" xfId="33" applyFont="1" applyBorder="1" applyProtection="1">
      <alignment/>
      <protection locked="0"/>
    </xf>
    <xf numFmtId="37" fontId="0" fillId="0" borderId="10" xfId="33" applyFont="1" applyBorder="1" applyAlignment="1" applyProtection="1">
      <alignment horizontal="center"/>
      <protection locked="0"/>
    </xf>
    <xf numFmtId="37" fontId="0" fillId="0" borderId="10" xfId="33" applyFont="1" applyBorder="1" applyProtection="1">
      <alignment/>
      <protection locked="0"/>
    </xf>
    <xf numFmtId="37" fontId="0" fillId="0" borderId="7" xfId="33" applyFont="1" applyBorder="1" applyAlignment="1" applyProtection="1">
      <alignment horizontal="left"/>
      <protection locked="0"/>
    </xf>
    <xf numFmtId="37" fontId="0" fillId="0" borderId="7" xfId="33" applyFont="1" applyBorder="1" applyAlignment="1" applyProtection="1">
      <alignment horizontal="center"/>
      <protection locked="0"/>
    </xf>
    <xf numFmtId="37" fontId="0" fillId="0" borderId="0" xfId="33" applyFont="1" applyAlignment="1" applyProtection="1">
      <alignment horizontal="fill"/>
      <protection locked="0"/>
    </xf>
    <xf numFmtId="37" fontId="0" fillId="0" borderId="0" xfId="33" applyNumberFormat="1" applyFont="1" applyProtection="1">
      <alignment/>
      <protection locked="0"/>
    </xf>
    <xf numFmtId="171" fontId="0" fillId="0" borderId="0" xfId="33" applyNumberFormat="1" applyFont="1" applyProtection="1">
      <alignment/>
      <protection locked="0"/>
    </xf>
    <xf numFmtId="10" fontId="0" fillId="0" borderId="0" xfId="33" applyNumberFormat="1" applyFont="1" applyProtection="1">
      <alignment/>
      <protection locked="0"/>
    </xf>
    <xf numFmtId="164" fontId="0" fillId="0" borderId="0" xfId="33" applyNumberFormat="1" applyFont="1" applyProtection="1">
      <alignment/>
      <protection locked="0"/>
    </xf>
    <xf numFmtId="37" fontId="0" fillId="0" borderId="0" xfId="33" applyFont="1" applyAlignment="1" applyProtection="1" quotePrefix="1">
      <alignment horizontal="left"/>
      <protection locked="0"/>
    </xf>
    <xf numFmtId="37" fontId="0" fillId="0" borderId="0" xfId="33" applyNumberFormat="1" applyFont="1" applyAlignment="1" applyProtection="1" quotePrefix="1">
      <alignment horizontal="right"/>
      <protection locked="0"/>
    </xf>
    <xf numFmtId="37" fontId="3" fillId="0" borderId="0" xfId="0" applyNumberFormat="1" applyFont="1" applyAlignment="1">
      <alignment/>
    </xf>
    <xf numFmtId="3" fontId="0" fillId="0" borderId="8" xfId="31" applyNumberFormat="1" applyFont="1" applyBorder="1" applyAlignment="1" applyProtection="1">
      <alignment horizontal="center"/>
      <protection locked="0"/>
    </xf>
    <xf numFmtId="3" fontId="0" fillId="0" borderId="0" xfId="31" applyNumberFormat="1" applyFont="1" applyBorder="1" applyAlignment="1" applyProtection="1">
      <alignment horizontal="center"/>
      <protection locked="0"/>
    </xf>
    <xf numFmtId="41" fontId="0" fillId="0" borderId="0" xfId="0" applyNumberFormat="1" applyBorder="1" applyAlignment="1">
      <alignment/>
    </xf>
    <xf numFmtId="170" fontId="0" fillId="0" borderId="0" xfId="0" applyNumberFormat="1" applyFill="1" applyBorder="1" applyAlignment="1">
      <alignment horizontal="center"/>
    </xf>
    <xf numFmtId="10" fontId="0" fillId="0" borderId="0" xfId="34" applyNumberFormat="1" applyAlignment="1">
      <alignment/>
    </xf>
    <xf numFmtId="187" fontId="0" fillId="0" borderId="0" xfId="0" applyNumberFormat="1" applyAlignment="1">
      <alignment/>
    </xf>
    <xf numFmtId="181" fontId="36" fillId="0" borderId="0" xfId="0" applyNumberFormat="1" applyFont="1" applyAlignment="1">
      <alignment/>
    </xf>
    <xf numFmtId="170" fontId="36" fillId="0" borderId="0" xfId="0" applyNumberFormat="1" applyFont="1" applyBorder="1" applyAlignment="1">
      <alignment horizontal="center"/>
    </xf>
    <xf numFmtId="0" fontId="2" fillId="0" borderId="0" xfId="0" applyFont="1" applyAlignment="1">
      <alignment/>
    </xf>
    <xf numFmtId="42" fontId="2" fillId="0" borderId="0" xfId="0" applyNumberFormat="1" applyFont="1" applyAlignment="1">
      <alignment/>
    </xf>
    <xf numFmtId="42" fontId="2" fillId="0" borderId="5" xfId="0" applyNumberFormat="1" applyFont="1" applyBorder="1" applyAlignment="1">
      <alignment/>
    </xf>
    <xf numFmtId="0" fontId="38" fillId="0" borderId="0" xfId="0" applyFont="1" applyAlignment="1">
      <alignment/>
    </xf>
    <xf numFmtId="42" fontId="38" fillId="0" borderId="0" xfId="0" applyNumberFormat="1" applyFont="1" applyAlignment="1">
      <alignment/>
    </xf>
    <xf numFmtId="10" fontId="38" fillId="0" borderId="0" xfId="0" applyNumberFormat="1" applyFont="1" applyAlignment="1">
      <alignment/>
    </xf>
    <xf numFmtId="41" fontId="38" fillId="0" borderId="0" xfId="0" applyNumberFormat="1" applyFont="1" applyAlignment="1">
      <alignment/>
    </xf>
    <xf numFmtId="0" fontId="2" fillId="0" borderId="0" xfId="0" applyFont="1" applyAlignment="1">
      <alignment horizontal="right"/>
    </xf>
    <xf numFmtId="0" fontId="2" fillId="0" borderId="0" xfId="0" applyFont="1" applyAlignment="1">
      <alignment/>
    </xf>
    <xf numFmtId="0" fontId="3" fillId="0" borderId="0" xfId="0" applyFont="1" applyAlignment="1">
      <alignment/>
    </xf>
    <xf numFmtId="42" fontId="2" fillId="0" borderId="0" xfId="0" applyNumberFormat="1" applyFont="1" applyBorder="1" applyAlignment="1">
      <alignment/>
    </xf>
    <xf numFmtId="0" fontId="3" fillId="0" borderId="0" xfId="0" applyFont="1" applyAlignment="1">
      <alignment horizontal="left"/>
    </xf>
    <xf numFmtId="42" fontId="25" fillId="0" borderId="0" xfId="0" applyNumberFormat="1" applyFont="1" applyAlignment="1">
      <alignment/>
    </xf>
    <xf numFmtId="42" fontId="1" fillId="0" borderId="0" xfId="0" applyNumberFormat="1" applyFont="1" applyAlignment="1">
      <alignment/>
    </xf>
    <xf numFmtId="0" fontId="1" fillId="0" borderId="7" xfId="0" applyFont="1" applyBorder="1" applyAlignment="1">
      <alignment horizontal="center"/>
    </xf>
    <xf numFmtId="37" fontId="36" fillId="0" borderId="0" xfId="27" applyFont="1">
      <alignment/>
      <protection/>
    </xf>
    <xf numFmtId="44" fontId="41" fillId="0" borderId="0" xfId="18" applyNumberFormat="1" applyFont="1" applyAlignment="1">
      <alignment horizontal="right"/>
    </xf>
    <xf numFmtId="168" fontId="41" fillId="0" borderId="0" xfId="0" applyNumberFormat="1" applyFont="1" applyBorder="1" applyAlignment="1">
      <alignment horizontal="center"/>
    </xf>
    <xf numFmtId="168" fontId="41" fillId="0" borderId="2" xfId="0" applyNumberFormat="1" applyFont="1" applyBorder="1" applyAlignment="1">
      <alignment horizontal="center"/>
    </xf>
    <xf numFmtId="168" fontId="41" fillId="0" borderId="0" xfId="0" applyNumberFormat="1" applyFont="1" applyAlignment="1">
      <alignment horizontal="center"/>
    </xf>
    <xf numFmtId="10" fontId="41" fillId="0" borderId="0" xfId="0" applyNumberFormat="1" applyFont="1" applyAlignment="1">
      <alignment/>
    </xf>
    <xf numFmtId="37" fontId="41" fillId="0" borderId="0" xfId="17" applyNumberFormat="1" applyFont="1" applyFill="1" applyAlignment="1" applyProtection="1">
      <alignment/>
      <protection locked="0"/>
    </xf>
    <xf numFmtId="37" fontId="41" fillId="0" borderId="0" xfId="17" applyNumberFormat="1" applyFont="1" applyAlignment="1" applyProtection="1">
      <alignment/>
      <protection locked="0"/>
    </xf>
    <xf numFmtId="37" fontId="42" fillId="0" borderId="0" xfId="17" applyNumberFormat="1" applyFont="1" applyAlignment="1" applyProtection="1">
      <alignment/>
      <protection/>
    </xf>
    <xf numFmtId="37" fontId="41" fillId="0" borderId="0" xfId="17" applyNumberFormat="1" applyFont="1" applyAlignment="1" applyProtection="1">
      <alignment/>
      <protection/>
    </xf>
    <xf numFmtId="10" fontId="41" fillId="0" borderId="0" xfId="34" applyNumberFormat="1" applyFont="1" applyFill="1" applyAlignment="1" applyProtection="1">
      <alignment horizontal="center"/>
      <protection locked="0"/>
    </xf>
    <xf numFmtId="7" fontId="41" fillId="0" borderId="8" xfId="18" applyNumberFormat="1" applyFont="1" applyBorder="1" applyAlignment="1">
      <alignment horizontal="center"/>
    </xf>
    <xf numFmtId="7" fontId="0" fillId="0" borderId="8" xfId="0" applyNumberFormat="1" applyBorder="1" applyAlignment="1">
      <alignment horizontal="center"/>
    </xf>
    <xf numFmtId="37" fontId="41" fillId="0" borderId="0" xfId="27" applyFont="1" applyAlignment="1">
      <alignment horizontal="center"/>
      <protection/>
    </xf>
    <xf numFmtId="44" fontId="41" fillId="0" borderId="0" xfId="18" applyNumberFormat="1" applyFont="1" applyAlignment="1">
      <alignment/>
    </xf>
    <xf numFmtId="7" fontId="41" fillId="0" borderId="0" xfId="18" applyNumberFormat="1" applyFont="1" applyAlignment="1">
      <alignment horizontal="right"/>
    </xf>
    <xf numFmtId="37" fontId="36" fillId="0" borderId="0" xfId="27" applyFont="1" applyAlignment="1">
      <alignment horizontal="center"/>
      <protection/>
    </xf>
    <xf numFmtId="37" fontId="44" fillId="0" borderId="0" xfId="27" applyFont="1">
      <alignment/>
      <protection/>
    </xf>
    <xf numFmtId="37" fontId="0" fillId="0" borderId="0" xfId="27" applyFont="1" applyFill="1">
      <alignment/>
      <protection/>
    </xf>
    <xf numFmtId="37" fontId="36" fillId="0" borderId="0" xfId="27" applyFont="1" applyFill="1" applyAlignment="1">
      <alignment horizontal="center"/>
      <protection/>
    </xf>
    <xf numFmtId="37" fontId="41" fillId="0" borderId="0" xfId="27" applyFont="1" applyFill="1" applyAlignment="1">
      <alignment horizontal="right"/>
      <protection/>
    </xf>
    <xf numFmtId="37" fontId="12" fillId="0" borderId="0" xfId="27" applyFont="1" applyFill="1" applyAlignment="1">
      <alignment horizontal="left"/>
      <protection/>
    </xf>
    <xf numFmtId="37" fontId="12" fillId="0" borderId="0" xfId="27" applyFont="1" applyAlignment="1">
      <alignment horizontal="left"/>
      <protection/>
    </xf>
    <xf numFmtId="37" fontId="43" fillId="0" borderId="0" xfId="27" applyFont="1" applyAlignment="1">
      <alignment horizontal="left"/>
      <protection/>
    </xf>
    <xf numFmtId="37" fontId="42" fillId="0" borderId="0" xfId="27" applyFont="1" applyAlignment="1">
      <alignment horizontal="left"/>
      <protection/>
    </xf>
    <xf numFmtId="37" fontId="1" fillId="0" borderId="0" xfId="27" applyFont="1" applyAlignment="1">
      <alignment horizontal="center"/>
      <protection/>
    </xf>
    <xf numFmtId="37" fontId="0" fillId="0" borderId="8" xfId="27" applyFont="1" applyBorder="1" applyAlignment="1">
      <alignment horizontal="center"/>
      <protection/>
    </xf>
    <xf numFmtId="177" fontId="0" fillId="0" borderId="11" xfId="27" applyNumberFormat="1" applyFont="1" applyBorder="1" applyAlignment="1">
      <alignment horizontal="center"/>
      <protection/>
    </xf>
    <xf numFmtId="37" fontId="0" fillId="0" borderId="12" xfId="27" applyFont="1" applyBorder="1" applyAlignment="1">
      <alignment horizontal="center"/>
      <protection/>
    </xf>
    <xf numFmtId="37" fontId="0" fillId="0" borderId="12" xfId="27" applyFont="1" applyBorder="1">
      <alignment/>
      <protection/>
    </xf>
    <xf numFmtId="37" fontId="0" fillId="0" borderId="13" xfId="27" applyFont="1" applyBorder="1" applyAlignment="1">
      <alignment horizontal="center"/>
      <protection/>
    </xf>
    <xf numFmtId="37" fontId="0" fillId="0" borderId="14" xfId="27" applyFont="1" applyBorder="1" applyAlignment="1">
      <alignment horizontal="center"/>
      <protection/>
    </xf>
    <xf numFmtId="37" fontId="0" fillId="0" borderId="2" xfId="27" applyFont="1" applyBorder="1" applyAlignment="1">
      <alignment horizontal="center"/>
      <protection/>
    </xf>
    <xf numFmtId="37" fontId="0" fillId="0" borderId="2" xfId="27" applyFont="1" applyBorder="1">
      <alignment/>
      <protection/>
    </xf>
    <xf numFmtId="37" fontId="0" fillId="0" borderId="0" xfId="27" applyFont="1" applyBorder="1">
      <alignment/>
      <protection/>
    </xf>
    <xf numFmtId="37" fontId="0" fillId="0" borderId="15" xfId="27" applyFont="1" applyBorder="1">
      <alignment/>
      <protection/>
    </xf>
    <xf numFmtId="37" fontId="0" fillId="0" borderId="11" xfId="27" applyFont="1" applyFill="1" applyBorder="1">
      <alignment/>
      <protection/>
    </xf>
    <xf numFmtId="166" fontId="41" fillId="0" borderId="15" xfId="15" applyNumberFormat="1" applyFont="1" applyBorder="1" applyAlignment="1">
      <alignment/>
    </xf>
    <xf numFmtId="42" fontId="0" fillId="0" borderId="6" xfId="27" applyNumberFormat="1" applyFont="1" applyBorder="1">
      <alignment/>
      <protection/>
    </xf>
    <xf numFmtId="37" fontId="0" fillId="0" borderId="14" xfId="27" applyFont="1" applyBorder="1">
      <alignment/>
      <protection/>
    </xf>
    <xf numFmtId="37" fontId="0" fillId="0" borderId="13" xfId="27" applyFont="1" applyFill="1" applyBorder="1">
      <alignment/>
      <protection/>
    </xf>
    <xf numFmtId="166" fontId="41" fillId="0" borderId="0" xfId="15" applyNumberFormat="1" applyFont="1" applyBorder="1" applyAlignment="1">
      <alignment/>
    </xf>
    <xf numFmtId="37" fontId="0" fillId="0" borderId="16" xfId="27" applyFont="1" applyBorder="1">
      <alignment/>
      <protection/>
    </xf>
    <xf numFmtId="37" fontId="0" fillId="4" borderId="17" xfId="27" applyFont="1" applyFill="1" applyBorder="1">
      <alignment/>
      <protection/>
    </xf>
    <xf numFmtId="37" fontId="0" fillId="4" borderId="16" xfId="27" applyFont="1" applyFill="1" applyBorder="1">
      <alignment/>
      <protection/>
    </xf>
    <xf numFmtId="42" fontId="0" fillId="0" borderId="8" xfId="27" applyNumberFormat="1" applyFont="1" applyBorder="1">
      <alignment/>
      <protection/>
    </xf>
    <xf numFmtId="37" fontId="0" fillId="0" borderId="18" xfId="27" applyFont="1" applyBorder="1">
      <alignment/>
      <protection/>
    </xf>
    <xf numFmtId="37" fontId="0" fillId="0" borderId="9" xfId="27" applyFont="1" applyBorder="1">
      <alignment/>
      <protection/>
    </xf>
    <xf numFmtId="184" fontId="0" fillId="0" borderId="9" xfId="15" applyNumberFormat="1" applyFont="1" applyBorder="1" applyAlignment="1">
      <alignment/>
    </xf>
    <xf numFmtId="42" fontId="0" fillId="0" borderId="19" xfId="27" applyNumberFormat="1" applyFont="1" applyBorder="1">
      <alignment/>
      <protection/>
    </xf>
    <xf numFmtId="184" fontId="0" fillId="0" borderId="0" xfId="15" applyNumberFormat="1" applyFont="1" applyAlignment="1">
      <alignment/>
    </xf>
    <xf numFmtId="177" fontId="5" fillId="0" borderId="11" xfId="27" applyNumberFormat="1" applyFont="1" applyFill="1" applyBorder="1" applyAlignment="1">
      <alignment horizontal="center"/>
      <protection/>
    </xf>
    <xf numFmtId="37" fontId="0" fillId="0" borderId="13" xfId="27" applyFont="1" applyFill="1" applyBorder="1" applyAlignment="1">
      <alignment horizontal="center"/>
      <protection/>
    </xf>
    <xf numFmtId="37" fontId="0" fillId="0" borderId="17" xfId="27" applyFont="1" applyFill="1" applyBorder="1" applyAlignment="1">
      <alignment horizontal="center"/>
      <protection/>
    </xf>
    <xf numFmtId="37" fontId="0" fillId="0" borderId="16" xfId="27" applyFont="1" applyBorder="1" applyAlignment="1">
      <alignment horizontal="center"/>
      <protection/>
    </xf>
    <xf numFmtId="37" fontId="0" fillId="0" borderId="11" xfId="27" applyFont="1" applyBorder="1">
      <alignment/>
      <protection/>
    </xf>
    <xf numFmtId="37" fontId="0" fillId="0" borderId="15" xfId="27" applyFont="1" applyFill="1" applyBorder="1">
      <alignment/>
      <protection/>
    </xf>
    <xf numFmtId="173" fontId="41" fillId="0" borderId="12" xfId="27" applyNumberFormat="1" applyFont="1" applyBorder="1">
      <alignment/>
      <protection/>
    </xf>
    <xf numFmtId="37" fontId="0" fillId="0" borderId="13" xfId="27" applyFont="1" applyBorder="1">
      <alignment/>
      <protection/>
    </xf>
    <xf numFmtId="37" fontId="0" fillId="0" borderId="0" xfId="27" applyFont="1" applyFill="1" applyBorder="1">
      <alignment/>
      <protection/>
    </xf>
    <xf numFmtId="173" fontId="41" fillId="0" borderId="14" xfId="27" applyNumberFormat="1" applyFont="1" applyBorder="1">
      <alignment/>
      <protection/>
    </xf>
    <xf numFmtId="37" fontId="0" fillId="0" borderId="17" xfId="27" applyFont="1" applyBorder="1">
      <alignment/>
      <protection/>
    </xf>
    <xf numFmtId="42" fontId="0" fillId="0" borderId="4" xfId="27" applyNumberFormat="1" applyFont="1" applyBorder="1">
      <alignment/>
      <protection/>
    </xf>
    <xf numFmtId="41" fontId="0" fillId="0" borderId="10" xfId="27" applyNumberFormat="1" applyFont="1" applyBorder="1">
      <alignment/>
      <protection/>
    </xf>
    <xf numFmtId="41" fontId="0" fillId="0" borderId="7" xfId="27" applyNumberFormat="1" applyFont="1" applyBorder="1">
      <alignment/>
      <protection/>
    </xf>
    <xf numFmtId="37" fontId="41" fillId="0" borderId="0" xfId="33" applyNumberFormat="1" applyFont="1" applyFill="1" applyProtection="1">
      <alignment/>
      <protection locked="0"/>
    </xf>
    <xf numFmtId="171" fontId="41" fillId="0" borderId="0" xfId="33" applyNumberFormat="1" applyFont="1" applyProtection="1">
      <alignment/>
      <protection locked="0"/>
    </xf>
    <xf numFmtId="37" fontId="41" fillId="0" borderId="0" xfId="33" applyNumberFormat="1" applyFont="1" applyProtection="1">
      <alignment/>
      <protection locked="0"/>
    </xf>
    <xf numFmtId="37" fontId="41" fillId="0" borderId="0" xfId="33" applyFont="1" applyProtection="1">
      <alignment/>
      <protection locked="0"/>
    </xf>
    <xf numFmtId="0" fontId="41" fillId="0" borderId="0" xfId="0" applyFont="1" applyAlignment="1">
      <alignment/>
    </xf>
    <xf numFmtId="183" fontId="41" fillId="0" borderId="0" xfId="0" applyNumberFormat="1" applyFont="1" applyAlignment="1">
      <alignment/>
    </xf>
    <xf numFmtId="0" fontId="45" fillId="0" borderId="0" xfId="0" applyFont="1" applyAlignment="1">
      <alignment/>
    </xf>
    <xf numFmtId="41" fontId="41" fillId="0" borderId="0" xfId="0" applyNumberFormat="1" applyFont="1" applyFill="1" applyAlignment="1">
      <alignment/>
    </xf>
    <xf numFmtId="179" fontId="41" fillId="0" borderId="0" xfId="0" applyNumberFormat="1" applyFont="1" applyFill="1" applyAlignment="1">
      <alignment/>
    </xf>
    <xf numFmtId="180" fontId="41" fillId="0" borderId="0" xfId="0" applyNumberFormat="1" applyFont="1" applyFill="1" applyAlignment="1">
      <alignment/>
    </xf>
    <xf numFmtId="41" fontId="41" fillId="0" borderId="2" xfId="0" applyNumberFormat="1" applyFont="1" applyFill="1" applyBorder="1" applyAlignment="1">
      <alignment/>
    </xf>
    <xf numFmtId="179" fontId="41" fillId="0" borderId="2" xfId="0" applyNumberFormat="1" applyFont="1" applyFill="1" applyBorder="1" applyAlignment="1">
      <alignment/>
    </xf>
    <xf numFmtId="180" fontId="41" fillId="0" borderId="0" xfId="34" applyNumberFormat="1" applyFont="1" applyFill="1" applyAlignment="1">
      <alignment/>
    </xf>
    <xf numFmtId="10" fontId="46" fillId="0" borderId="0" xfId="0" applyNumberFormat="1" applyFont="1" applyFill="1" applyAlignment="1">
      <alignment/>
    </xf>
    <xf numFmtId="10" fontId="47" fillId="0" borderId="0" xfId="0" applyNumberFormat="1" applyFont="1" applyFill="1" applyAlignment="1">
      <alignment horizontal="center"/>
    </xf>
    <xf numFmtId="10" fontId="46" fillId="0" borderId="0" xfId="0" applyNumberFormat="1" applyFont="1" applyAlignment="1">
      <alignment/>
    </xf>
    <xf numFmtId="0" fontId="46" fillId="0" borderId="0" xfId="0" applyFont="1" applyAlignment="1">
      <alignment/>
    </xf>
    <xf numFmtId="37" fontId="46" fillId="0" borderId="0" xfId="0" applyNumberFormat="1" applyFont="1" applyAlignment="1">
      <alignment/>
    </xf>
    <xf numFmtId="2" fontId="46" fillId="0" borderId="0" xfId="0" applyNumberFormat="1" applyFont="1" applyAlignment="1">
      <alignment/>
    </xf>
    <xf numFmtId="37" fontId="46" fillId="0" borderId="2" xfId="0" applyNumberFormat="1" applyFont="1" applyBorder="1" applyAlignment="1">
      <alignment/>
    </xf>
    <xf numFmtId="10" fontId="46" fillId="0" borderId="0" xfId="0" applyNumberFormat="1" applyFont="1" applyFill="1" applyBorder="1" applyAlignment="1">
      <alignment/>
    </xf>
    <xf numFmtId="2" fontId="46" fillId="0" borderId="0" xfId="0" applyNumberFormat="1" applyFont="1" applyBorder="1" applyAlignment="1">
      <alignment/>
    </xf>
    <xf numFmtId="37" fontId="43" fillId="0" borderId="0" xfId="27" applyFont="1" applyAlignment="1">
      <alignment/>
      <protection/>
    </xf>
    <xf numFmtId="0" fontId="42" fillId="0" borderId="0" xfId="0" applyFont="1" applyAlignment="1">
      <alignment/>
    </xf>
    <xf numFmtId="0" fontId="48" fillId="0" borderId="0" xfId="0" applyFont="1" applyAlignment="1">
      <alignment horizontal="center" vertical="center"/>
    </xf>
    <xf numFmtId="0" fontId="46" fillId="0" borderId="0" xfId="0" applyFont="1" applyAlignment="1">
      <alignment horizontal="center"/>
    </xf>
    <xf numFmtId="0" fontId="46" fillId="0" borderId="2" xfId="0" applyFont="1" applyBorder="1" applyAlignment="1">
      <alignment horizontal="center"/>
    </xf>
    <xf numFmtId="0" fontId="47" fillId="0" borderId="2" xfId="0" applyFont="1" applyBorder="1" applyAlignment="1">
      <alignment horizontal="center"/>
    </xf>
    <xf numFmtId="14" fontId="48" fillId="0" borderId="2" xfId="0" applyNumberFormat="1" applyFont="1" applyBorder="1" applyAlignment="1">
      <alignment horizontal="center" vertical="center"/>
    </xf>
    <xf numFmtId="0" fontId="48" fillId="0" borderId="2" xfId="0" applyFont="1" applyBorder="1" applyAlignment="1">
      <alignment horizontal="center" vertical="center"/>
    </xf>
    <xf numFmtId="0" fontId="47" fillId="0" borderId="0" xfId="0" applyFont="1" applyBorder="1" applyAlignment="1">
      <alignment horizontal="center"/>
    </xf>
    <xf numFmtId="0" fontId="47" fillId="0" borderId="0" xfId="0" applyFont="1" applyAlignment="1">
      <alignment horizontal="center"/>
    </xf>
    <xf numFmtId="2" fontId="41" fillId="0" borderId="0" xfId="0" applyNumberFormat="1" applyFont="1" applyAlignment="1">
      <alignment/>
    </xf>
    <xf numFmtId="0" fontId="46" fillId="0" borderId="0" xfId="0" applyFont="1" applyFill="1" applyAlignment="1">
      <alignment/>
    </xf>
    <xf numFmtId="0" fontId="47" fillId="0" borderId="0" xfId="0" applyFont="1" applyFill="1" applyAlignment="1">
      <alignment horizontal="center"/>
    </xf>
    <xf numFmtId="0" fontId="46" fillId="0" borderId="0" xfId="0" applyFont="1" applyAlignment="1">
      <alignment horizontal="right"/>
    </xf>
    <xf numFmtId="0" fontId="46" fillId="0" borderId="0" xfId="0" applyFont="1" applyAlignment="1">
      <alignment/>
    </xf>
    <xf numFmtId="42" fontId="46" fillId="0" borderId="5" xfId="0" applyNumberFormat="1" applyFont="1" applyBorder="1" applyAlignment="1">
      <alignment/>
    </xf>
    <xf numFmtId="0" fontId="49" fillId="0" borderId="0" xfId="0" applyFont="1" applyAlignment="1">
      <alignment/>
    </xf>
    <xf numFmtId="42" fontId="46" fillId="0" borderId="0" xfId="0" applyNumberFormat="1" applyFont="1" applyAlignment="1">
      <alignment/>
    </xf>
    <xf numFmtId="0" fontId="41" fillId="0" borderId="0" xfId="0" applyFont="1" applyAlignment="1" applyProtection="1">
      <alignment/>
      <protection locked="0"/>
    </xf>
    <xf numFmtId="37" fontId="41" fillId="0" borderId="0" xfId="0" applyNumberFormat="1" applyFont="1" applyAlignment="1" applyProtection="1">
      <alignment/>
      <protection locked="0"/>
    </xf>
    <xf numFmtId="37" fontId="41" fillId="0" borderId="0" xfId="0" applyNumberFormat="1" applyFont="1" applyAlignment="1" applyProtection="1">
      <alignment horizontal="center"/>
      <protection locked="0"/>
    </xf>
    <xf numFmtId="0" fontId="41" fillId="0" borderId="0" xfId="0" applyFont="1" applyAlignment="1">
      <alignment/>
    </xf>
    <xf numFmtId="0" fontId="41" fillId="0" borderId="0" xfId="0" applyFont="1" applyFill="1" applyAlignment="1" applyProtection="1">
      <alignment horizontal="center"/>
      <protection locked="0"/>
    </xf>
    <xf numFmtId="0" fontId="41" fillId="0" borderId="0" xfId="0" applyFont="1" applyAlignment="1" applyProtection="1">
      <alignment horizontal="center"/>
      <protection locked="0"/>
    </xf>
    <xf numFmtId="37" fontId="41" fillId="0" borderId="0" xfId="27" applyFont="1">
      <alignment/>
      <protection/>
    </xf>
    <xf numFmtId="14" fontId="41" fillId="0" borderId="0" xfId="0" applyNumberFormat="1" applyFont="1" applyAlignment="1" applyProtection="1">
      <alignment horizontal="center"/>
      <protection locked="0"/>
    </xf>
    <xf numFmtId="37" fontId="42" fillId="0" borderId="0" xfId="0" applyNumberFormat="1" applyFont="1" applyAlignment="1" applyProtection="1" quotePrefix="1">
      <alignment horizontal="center"/>
      <protection locked="0"/>
    </xf>
    <xf numFmtId="0" fontId="41" fillId="0" borderId="0" xfId="0" applyNumberFormat="1" applyFont="1" applyAlignment="1">
      <alignment horizontal="center"/>
    </xf>
    <xf numFmtId="0" fontId="41" fillId="0" borderId="0" xfId="0" applyNumberFormat="1" applyFont="1" applyFill="1" applyAlignment="1">
      <alignment horizontal="center"/>
    </xf>
    <xf numFmtId="37" fontId="41" fillId="0" borderId="0" xfId="0" applyNumberFormat="1" applyFont="1" applyBorder="1" applyAlignment="1" applyProtection="1">
      <alignment horizontal="center"/>
      <protection locked="0"/>
    </xf>
    <xf numFmtId="37" fontId="41" fillId="0" borderId="0" xfId="0" applyNumberFormat="1" applyFont="1" applyBorder="1" applyAlignment="1" applyProtection="1" quotePrefix="1">
      <alignment horizontal="center"/>
      <protection locked="0"/>
    </xf>
    <xf numFmtId="37" fontId="51" fillId="0" borderId="0" xfId="0" applyNumberFormat="1" applyFont="1" applyAlignment="1">
      <alignment horizontal="center"/>
    </xf>
    <xf numFmtId="37" fontId="41" fillId="0" borderId="0" xfId="0" applyNumberFormat="1" applyFont="1" applyFill="1" applyAlignment="1" applyProtection="1">
      <alignment horizontal="center"/>
      <protection locked="0"/>
    </xf>
    <xf numFmtId="164" fontId="42" fillId="0" borderId="0" xfId="34" applyNumberFormat="1" applyFont="1" applyFill="1" applyAlignment="1" applyProtection="1">
      <alignment horizontal="center"/>
      <protection locked="0"/>
    </xf>
    <xf numFmtId="37" fontId="41" fillId="0" borderId="0" xfId="0" applyNumberFormat="1" applyFont="1" applyFill="1" applyAlignment="1">
      <alignment horizontal="center"/>
    </xf>
    <xf numFmtId="164" fontId="41" fillId="0" borderId="0" xfId="34" applyNumberFormat="1" applyFont="1" applyFill="1" applyAlignment="1" applyProtection="1">
      <alignment horizontal="center"/>
      <protection locked="0"/>
    </xf>
    <xf numFmtId="37" fontId="42" fillId="0" borderId="0" xfId="0" applyNumberFormat="1" applyFont="1" applyFill="1" applyAlignment="1">
      <alignment horizontal="center"/>
    </xf>
    <xf numFmtId="37" fontId="41" fillId="0" borderId="0" xfId="0" applyNumberFormat="1" applyFont="1" applyFill="1" applyAlignment="1" applyProtection="1">
      <alignment/>
      <protection locked="0"/>
    </xf>
    <xf numFmtId="37" fontId="41" fillId="0" borderId="0" xfId="0" applyNumberFormat="1" applyFont="1" applyAlignment="1" applyProtection="1" quotePrefix="1">
      <alignment/>
      <protection locked="0"/>
    </xf>
    <xf numFmtId="37" fontId="41" fillId="0" borderId="0" xfId="20" applyNumberFormat="1" applyFont="1" applyAlignment="1">
      <alignment/>
    </xf>
    <xf numFmtId="39" fontId="41" fillId="0" borderId="0" xfId="0" applyNumberFormat="1" applyFont="1" applyAlignment="1" applyProtection="1">
      <alignment/>
      <protection locked="0"/>
    </xf>
    <xf numFmtId="37" fontId="41" fillId="0" borderId="0" xfId="17" applyNumberFormat="1" applyFont="1" applyFill="1" applyAlignment="1" applyProtection="1">
      <alignment horizontal="right"/>
      <protection locked="0"/>
    </xf>
    <xf numFmtId="37" fontId="41" fillId="0" borderId="0" xfId="0" applyNumberFormat="1" applyFont="1" applyAlignment="1">
      <alignment/>
    </xf>
    <xf numFmtId="37" fontId="41" fillId="0" borderId="0" xfId="17" applyNumberFormat="1" applyFont="1" applyAlignment="1" applyProtection="1">
      <alignment/>
      <protection locked="0"/>
    </xf>
    <xf numFmtId="37" fontId="41" fillId="0" borderId="0" xfId="17" applyNumberFormat="1" applyFont="1" applyAlignment="1" applyProtection="1">
      <alignment/>
      <protection/>
    </xf>
    <xf numFmtId="182" fontId="41" fillId="0" borderId="0" xfId="17" applyNumberFormat="1" applyFont="1" applyFill="1" applyAlignment="1" applyProtection="1">
      <alignment/>
      <protection locked="0"/>
    </xf>
    <xf numFmtId="39" fontId="41" fillId="0" borderId="0" xfId="0" applyNumberFormat="1" applyFont="1" applyFill="1" applyAlignment="1">
      <alignment/>
    </xf>
    <xf numFmtId="37" fontId="41" fillId="0" borderId="0" xfId="17" applyNumberFormat="1" applyFont="1" applyFill="1" applyAlignment="1" applyProtection="1">
      <alignment/>
      <protection/>
    </xf>
    <xf numFmtId="37" fontId="41" fillId="0" borderId="0" xfId="17" applyNumberFormat="1" applyFont="1" applyAlignment="1" applyProtection="1">
      <alignment horizontal="right"/>
      <protection locked="0"/>
    </xf>
    <xf numFmtId="39" fontId="41" fillId="0" borderId="0" xfId="0" applyNumberFormat="1" applyFont="1" applyFill="1" applyAlignment="1" applyProtection="1">
      <alignment/>
      <protection locked="0"/>
    </xf>
    <xf numFmtId="37" fontId="41" fillId="0" borderId="0" xfId="18" applyNumberFormat="1" applyFont="1" applyAlignment="1" applyProtection="1">
      <alignment/>
      <protection locked="0"/>
    </xf>
    <xf numFmtId="39" fontId="42" fillId="0" borderId="0" xfId="0" applyNumberFormat="1" applyFont="1" applyBorder="1" applyAlignment="1" applyProtection="1">
      <alignment/>
      <protection locked="0"/>
    </xf>
    <xf numFmtId="37" fontId="42" fillId="0" borderId="0" xfId="17" applyNumberFormat="1" applyFont="1" applyBorder="1" applyAlignment="1" applyProtection="1">
      <alignment/>
      <protection locked="0"/>
    </xf>
    <xf numFmtId="37" fontId="42" fillId="0" borderId="0" xfId="17" applyNumberFormat="1" applyFont="1" applyFill="1" applyBorder="1" applyAlignment="1" applyProtection="1">
      <alignment/>
      <protection locked="0"/>
    </xf>
    <xf numFmtId="37" fontId="41" fillId="0" borderId="0" xfId="17" applyNumberFormat="1" applyFont="1" applyAlignment="1" applyProtection="1" quotePrefix="1">
      <alignment horizontal="center"/>
      <protection locked="0"/>
    </xf>
    <xf numFmtId="37" fontId="41" fillId="0" borderId="0" xfId="17" applyNumberFormat="1" applyFont="1" applyAlignment="1" applyProtection="1">
      <alignment horizontal="center"/>
      <protection locked="0"/>
    </xf>
    <xf numFmtId="37" fontId="41" fillId="0" borderId="0" xfId="17" applyNumberFormat="1" applyFont="1" applyAlignment="1" applyProtection="1">
      <alignment horizontal="center"/>
      <protection/>
    </xf>
    <xf numFmtId="37" fontId="41" fillId="0" borderId="0" xfId="0" applyNumberFormat="1" applyFont="1" applyAlignment="1">
      <alignment horizontal="center"/>
    </xf>
    <xf numFmtId="37" fontId="41" fillId="0" borderId="0" xfId="0" applyNumberFormat="1" applyFont="1" applyAlignment="1" applyProtection="1" quotePrefix="1">
      <alignment horizontal="center"/>
      <protection locked="0"/>
    </xf>
    <xf numFmtId="0" fontId="41" fillId="0" borderId="0" xfId="0" applyNumberFormat="1" applyFont="1" applyAlignment="1" applyProtection="1">
      <alignment horizontal="center"/>
      <protection locked="0"/>
    </xf>
    <xf numFmtId="37" fontId="41" fillId="0" borderId="0" xfId="17" applyNumberFormat="1" applyFont="1" applyFill="1" applyAlignment="1" applyProtection="1" quotePrefix="1">
      <alignment/>
      <protection locked="0"/>
    </xf>
    <xf numFmtId="37" fontId="42" fillId="0" borderId="0" xfId="34" applyNumberFormat="1" applyFont="1" applyAlignment="1" applyProtection="1">
      <alignment/>
      <protection locked="0"/>
    </xf>
    <xf numFmtId="10" fontId="42" fillId="0" borderId="0" xfId="34" applyNumberFormat="1" applyFont="1" applyAlignment="1" applyProtection="1">
      <alignment/>
      <protection locked="0"/>
    </xf>
    <xf numFmtId="10" fontId="48" fillId="0" borderId="0" xfId="34" applyNumberFormat="1" applyFont="1" applyAlignment="1" applyProtection="1">
      <alignment horizontal="right"/>
      <protection locked="0"/>
    </xf>
    <xf numFmtId="0" fontId="42" fillId="0" borderId="0" xfId="0" applyFont="1" applyAlignment="1" applyProtection="1" quotePrefix="1">
      <alignment/>
      <protection locked="0"/>
    </xf>
    <xf numFmtId="7" fontId="5" fillId="0" borderId="8" xfId="18" applyNumberFormat="1" applyFont="1" applyBorder="1" applyAlignment="1">
      <alignment horizontal="center"/>
    </xf>
    <xf numFmtId="0" fontId="3" fillId="0" borderId="0" xfId="0" applyFont="1" applyAlignment="1">
      <alignment horizontal="right"/>
    </xf>
    <xf numFmtId="37" fontId="39" fillId="0" borderId="0" xfId="27" applyFont="1" applyAlignment="1">
      <alignment horizontal="right"/>
      <protection/>
    </xf>
    <xf numFmtId="0" fontId="39" fillId="0" borderId="0" xfId="0" applyFont="1" applyAlignment="1">
      <alignment horizontal="right"/>
    </xf>
    <xf numFmtId="37" fontId="0" fillId="0" borderId="0" xfId="0" applyNumberFormat="1" applyFont="1" applyAlignment="1" applyProtection="1">
      <alignment horizontal="right"/>
      <protection locked="0"/>
    </xf>
    <xf numFmtId="37" fontId="2" fillId="0" borderId="0" xfId="0" applyNumberFormat="1" applyFont="1" applyAlignment="1" applyProtection="1">
      <alignment horizontal="center"/>
      <protection locked="0"/>
    </xf>
    <xf numFmtId="0" fontId="0" fillId="0" borderId="18" xfId="0" applyBorder="1" applyAlignment="1">
      <alignment horizontal="center"/>
    </xf>
    <xf numFmtId="0" fontId="0" fillId="0" borderId="9" xfId="0" applyBorder="1" applyAlignment="1">
      <alignment horizontal="center"/>
    </xf>
    <xf numFmtId="0" fontId="0" fillId="0" borderId="19" xfId="0" applyBorder="1" applyAlignment="1">
      <alignment horizontal="center"/>
    </xf>
    <xf numFmtId="37" fontId="3" fillId="0" borderId="0" xfId="27" applyFont="1" applyAlignment="1">
      <alignment horizontal="left"/>
      <protection/>
    </xf>
    <xf numFmtId="37" fontId="42" fillId="0" borderId="0" xfId="27" applyFont="1" applyAlignment="1">
      <alignment horizontal="center"/>
      <protection/>
    </xf>
    <xf numFmtId="37" fontId="1" fillId="0" borderId="0" xfId="27" applyFont="1" applyAlignment="1">
      <alignment horizontal="center"/>
      <protection/>
    </xf>
    <xf numFmtId="37" fontId="1" fillId="0" borderId="0" xfId="27" applyFont="1" applyAlignment="1">
      <alignment horizontal="left"/>
      <protection/>
    </xf>
    <xf numFmtId="0" fontId="0" fillId="0" borderId="8" xfId="0" applyBorder="1" applyAlignment="1">
      <alignment horizontal="center" wrapText="1"/>
    </xf>
    <xf numFmtId="0" fontId="0" fillId="0" borderId="8" xfId="0" applyBorder="1" applyAlignment="1">
      <alignment horizontal="center"/>
    </xf>
    <xf numFmtId="0" fontId="0" fillId="4" borderId="8" xfId="0" applyFill="1" applyBorder="1" applyAlignment="1">
      <alignment horizontal="center"/>
    </xf>
    <xf numFmtId="37" fontId="1" fillId="0" borderId="0" xfId="0" applyNumberFormat="1" applyFont="1" applyAlignment="1">
      <alignment horizontal="left"/>
    </xf>
    <xf numFmtId="0" fontId="1" fillId="0" borderId="0" xfId="0" applyFont="1" applyAlignment="1">
      <alignment horizontal="left"/>
    </xf>
    <xf numFmtId="41" fontId="0" fillId="0" borderId="18" xfId="0" applyNumberFormat="1" applyBorder="1" applyAlignment="1">
      <alignment horizontal="center" wrapText="1"/>
    </xf>
    <xf numFmtId="41" fontId="0" fillId="0" borderId="19" xfId="0" applyNumberFormat="1" applyBorder="1" applyAlignment="1">
      <alignment horizontal="center" wrapText="1"/>
    </xf>
    <xf numFmtId="37" fontId="50" fillId="0" borderId="0" xfId="0" applyNumberFormat="1" applyFont="1" applyAlignment="1" applyProtection="1">
      <alignment horizontal="center"/>
      <protection locked="0"/>
    </xf>
    <xf numFmtId="37" fontId="41" fillId="0" borderId="0" xfId="0" applyNumberFormat="1" applyFont="1" applyAlignment="1" applyProtection="1">
      <alignment horizontal="center"/>
      <protection locked="0"/>
    </xf>
  </cellXfs>
  <cellStyles count="22">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247RTC98" xfId="27"/>
    <cellStyle name="Normal_Carbon Rate Case 2002 TY  Wrkbk  11-16-03" xfId="28"/>
    <cellStyle name="Normal_EmeryCarbon 2003 Trial Balance" xfId="29"/>
    <cellStyle name="Normal_Local Revenue Analysis June 2005" xfId="30"/>
    <cellStyle name="Normal_RMS36-9.XLS" xfId="31"/>
    <cellStyle name="Normal_Rmsmgr13" xfId="32"/>
    <cellStyle name="Normal_RMSMGR9.XLS" xfId="33"/>
    <cellStyle name="Percent" xfId="34"/>
    <cellStyle name="Total"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104775</xdr:rowOff>
    </xdr:from>
    <xdr:to>
      <xdr:col>8</xdr:col>
      <xdr:colOff>1485900</xdr:colOff>
      <xdr:row>6</xdr:row>
      <xdr:rowOff>1028700</xdr:rowOff>
    </xdr:to>
    <xdr:sp>
      <xdr:nvSpPr>
        <xdr:cNvPr id="1" name="TextBox 1"/>
        <xdr:cNvSpPr txBox="1">
          <a:spLocks noChangeArrowheads="1"/>
        </xdr:cNvSpPr>
      </xdr:nvSpPr>
      <xdr:spPr>
        <a:xfrm>
          <a:off x="285750" y="1028700"/>
          <a:ext cx="6924675" cy="108585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Carbon and Qwest have a DS3 for exchanging frame relay traffic. Carbon bills the underlying carriers for the capacity usage on that DS3 and so maintains this not be run through the billing &amp; revenue recognition process with Qwest. However Qwest insists on paying Carbon and billing Carbon for the same. This adjustment reflects the exclusion of those revenues included Carbon's G/L where the expense side has been excluded.
</a:t>
          </a:r>
          <a:r>
            <a:rPr lang="en-US" cap="none" sz="1000" b="0" i="0" u="none" baseline="0">
              <a:latin typeface="Arial"/>
              <a:ea typeface="Arial"/>
              <a:cs typeface="Arial"/>
            </a:rPr>
            <a:t>
</a:t>
          </a:r>
        </a:p>
      </xdr:txBody>
    </xdr:sp>
    <xdr:clientData/>
  </xdr:twoCellAnchor>
  <xdr:twoCellAnchor>
    <xdr:from>
      <xdr:col>1</xdr:col>
      <xdr:colOff>0</xdr:colOff>
      <xdr:row>12</xdr:row>
      <xdr:rowOff>95250</xdr:rowOff>
    </xdr:from>
    <xdr:to>
      <xdr:col>8</xdr:col>
      <xdr:colOff>1485900</xdr:colOff>
      <xdr:row>12</xdr:row>
      <xdr:rowOff>2276475</xdr:rowOff>
    </xdr:to>
    <xdr:sp>
      <xdr:nvSpPr>
        <xdr:cNvPr id="2" name="TextBox 3"/>
        <xdr:cNvSpPr txBox="1">
          <a:spLocks noChangeArrowheads="1"/>
        </xdr:cNvSpPr>
      </xdr:nvSpPr>
      <xdr:spPr>
        <a:xfrm>
          <a:off x="276225" y="3219450"/>
          <a:ext cx="6934200" cy="2190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200" b="0" i="0" u="none" baseline="0">
              <a:latin typeface="Arial"/>
              <a:ea typeface="Arial"/>
              <a:cs typeface="Arial"/>
            </a:rPr>
            <a:t>he following adjustments reflect known and measurable plant additions to be completed during 2005 together with workorders for contracted buried cable maintenance.  The intrastate portion of the plant operations expense, calculated at the 2003 intrastate factor, is entered originally in </a:t>
          </a:r>
          <a:r>
            <a:rPr lang="en-US" cap="none" sz="1200" b="1" i="0" u="none" baseline="0">
              <a:latin typeface="Arial"/>
              <a:ea typeface="Arial"/>
              <a:cs typeface="Arial"/>
            </a:rPr>
            <a:t>EXHIBIT 1</a:t>
          </a:r>
          <a:r>
            <a:rPr lang="en-US" cap="none" sz="1200" b="0" i="0" u="none" baseline="0">
              <a:latin typeface="Arial"/>
              <a:ea typeface="Arial"/>
              <a:cs typeface="Arial"/>
            </a:rPr>
            <a:t>.
The plant addition adjustments are entered originally into EXHIBIT 5 where appropriate calculations for six months depreciation expense and additions to reserve at 50% of the six months depreciation are made.  Additionally, the plant additions are multiplied by 50 percent to derive the adjustment to the plant balance.  The balances carried forward below for Intrastate reflect the foregoing.  The amounts for entry into Exhibit 1 have been multiplied by the appropriate jurisdictional factor from </a:t>
          </a:r>
          <a:r>
            <a:rPr lang="en-US" cap="none" sz="1200" b="1" i="0" u="none" baseline="0">
              <a:latin typeface="Arial"/>
              <a:ea typeface="Arial"/>
              <a:cs typeface="Arial"/>
            </a:rPr>
            <a:t>Supplement B</a:t>
          </a:r>
          <a:r>
            <a:rPr lang="en-US" cap="none" sz="1200" b="0" i="0" u="none" baseline="0">
              <a:latin typeface="Arial"/>
              <a:ea typeface="Arial"/>
              <a:cs typeface="Arial"/>
            </a:rPr>
            <a:t>.</a:t>
          </a:r>
          <a:r>
            <a:rPr lang="en-US" cap="none" sz="1000" b="0" i="0" u="none" baseline="0">
              <a:latin typeface="Arial"/>
              <a:ea typeface="Arial"/>
              <a:cs typeface="Arial"/>
            </a:rPr>
            <a:t>
</a:t>
          </a:r>
        </a:p>
      </xdr:txBody>
    </xdr:sp>
    <xdr:clientData/>
  </xdr:twoCellAnchor>
  <xdr:twoCellAnchor>
    <xdr:from>
      <xdr:col>0</xdr:col>
      <xdr:colOff>171450</xdr:colOff>
      <xdr:row>33</xdr:row>
      <xdr:rowOff>66675</xdr:rowOff>
    </xdr:from>
    <xdr:to>
      <xdr:col>9</xdr:col>
      <xdr:colOff>0</xdr:colOff>
      <xdr:row>33</xdr:row>
      <xdr:rowOff>2305050</xdr:rowOff>
    </xdr:to>
    <xdr:sp>
      <xdr:nvSpPr>
        <xdr:cNvPr id="3" name="Text 10"/>
        <xdr:cNvSpPr txBox="1">
          <a:spLocks noChangeArrowheads="1"/>
        </xdr:cNvSpPr>
      </xdr:nvSpPr>
      <xdr:spPr>
        <a:xfrm>
          <a:off x="171450" y="9582150"/>
          <a:ext cx="7038975" cy="22383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Carbon/Emery has requested adjusted depreciation rates in this case.  Based on approval of proposed rates, depreciation expense was increased to reflect the estimated increase in depreciation expense generated from the proposed rates.   Additionally, Carbon/Emery adopted Emery's depreciation rates at the time of acquisition of Qwest exchanges.  Carbon over-depreciated four accounts by using rates other than Commission approved rates.  Therefore, the amount of over-depreciation was removed from test year expenses and accumulated depreciation.  The intrastate portion was calculated by assuming an intrastate factor from the separations results reflected in Supplement B.  
</a:t>
          </a:r>
          <a:r>
            <a:rPr lang="en-US" cap="none" sz="1200" b="1" i="0" u="none" baseline="0">
              <a:latin typeface="Arial"/>
              <a:ea typeface="Arial"/>
              <a:cs typeface="Arial"/>
            </a:rPr>
            <a:t>EXHIBIT 6</a:t>
          </a:r>
          <a:r>
            <a:rPr lang="en-US" cap="none" sz="1200" b="0" i="0" u="none" baseline="0">
              <a:latin typeface="Arial"/>
              <a:ea typeface="Arial"/>
              <a:cs typeface="Arial"/>
            </a:rPr>
            <a:t> shows the calculation of the effect of the proposed increase in depreciation rates.
</a:t>
          </a:r>
          <a:r>
            <a:rPr lang="en-US" cap="none" sz="1200" b="1" i="0" u="none" baseline="0">
              <a:latin typeface="Arial"/>
              <a:ea typeface="Arial"/>
              <a:cs typeface="Arial"/>
            </a:rPr>
            <a:t>
EXHIBIT 7 </a:t>
          </a:r>
          <a:r>
            <a:rPr lang="en-US" cap="none" sz="1200" b="0" i="0" u="none" baseline="0">
              <a:latin typeface="Arial"/>
              <a:ea typeface="Arial"/>
              <a:cs typeface="Arial"/>
            </a:rPr>
            <a:t>shows the calculation of the effect of the effect of using the depreciation rates of Emery.
</a:t>
          </a:r>
        </a:p>
      </xdr:txBody>
    </xdr:sp>
    <xdr:clientData/>
  </xdr:twoCellAnchor>
  <xdr:twoCellAnchor>
    <xdr:from>
      <xdr:col>1</xdr:col>
      <xdr:colOff>9525</xdr:colOff>
      <xdr:row>44</xdr:row>
      <xdr:rowOff>133350</xdr:rowOff>
    </xdr:from>
    <xdr:to>
      <xdr:col>9</xdr:col>
      <xdr:colOff>0</xdr:colOff>
      <xdr:row>45</xdr:row>
      <xdr:rowOff>1466850</xdr:rowOff>
    </xdr:to>
    <xdr:sp>
      <xdr:nvSpPr>
        <xdr:cNvPr id="4" name="Text 3"/>
        <xdr:cNvSpPr txBox="1">
          <a:spLocks noChangeArrowheads="1"/>
        </xdr:cNvSpPr>
      </xdr:nvSpPr>
      <xdr:spPr>
        <a:xfrm>
          <a:off x="285750" y="13849350"/>
          <a:ext cx="6924675" cy="14954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Company proposes a 10.05% return on rate base.  The 10.05% return is based on the assumption that capital is split equally between debt and equity for which the maximum allowable after-tax cost of equity is 12.5%, and the maximum allowable cost of debt is 7.6%.  The calculation of the 10.05 rate of return is shown at </a:t>
          </a:r>
          <a:r>
            <a:rPr lang="en-US" cap="none" sz="1200" b="1" i="0" u="none" baseline="0">
              <a:latin typeface="Arial"/>
              <a:ea typeface="Arial"/>
              <a:cs typeface="Arial"/>
            </a:rPr>
            <a:t>EXHIBIT 3.</a:t>
          </a:r>
          <a:r>
            <a:rPr lang="en-US" cap="none" sz="1200" b="0" i="0" u="none" baseline="0">
              <a:latin typeface="Arial"/>
              <a:ea typeface="Arial"/>
              <a:cs typeface="Arial"/>
            </a:rPr>
            <a:t>
Also shown at </a:t>
          </a:r>
          <a:r>
            <a:rPr lang="en-US" cap="none" sz="1200" b="1" i="0" u="none" baseline="0">
              <a:latin typeface="Arial"/>
              <a:ea typeface="Arial"/>
              <a:cs typeface="Arial"/>
            </a:rPr>
            <a:t>EXHIBIT 3</a:t>
          </a:r>
          <a:r>
            <a:rPr lang="en-US" cap="none" sz="1200" b="0" i="0" u="none" baseline="0">
              <a:latin typeface="Arial"/>
              <a:ea typeface="Arial"/>
              <a:cs typeface="Arial"/>
            </a:rPr>
            <a:t> is the calculation of the required return on net-investment at the proposed rate of return.  The return is grossed up for income taxes reflective of nontaxable interest.
</a:t>
          </a:r>
          <a:r>
            <a:rPr lang="en-US" cap="none" sz="1000" b="0" i="0" u="none" baseline="0">
              <a:latin typeface="Arial"/>
              <a:ea typeface="Arial"/>
              <a:cs typeface="Arial"/>
            </a:rPr>
            <a:t>
</a:t>
          </a:r>
        </a:p>
      </xdr:txBody>
    </xdr:sp>
    <xdr:clientData/>
  </xdr:twoCellAnchor>
  <xdr:twoCellAnchor>
    <xdr:from>
      <xdr:col>1</xdr:col>
      <xdr:colOff>180975</xdr:colOff>
      <xdr:row>66</xdr:row>
      <xdr:rowOff>47625</xdr:rowOff>
    </xdr:from>
    <xdr:to>
      <xdr:col>8</xdr:col>
      <xdr:colOff>1285875</xdr:colOff>
      <xdr:row>66</xdr:row>
      <xdr:rowOff>1009650</xdr:rowOff>
    </xdr:to>
    <xdr:sp>
      <xdr:nvSpPr>
        <xdr:cNvPr id="5" name="TextBox 6"/>
        <xdr:cNvSpPr txBox="1">
          <a:spLocks noChangeArrowheads="1"/>
        </xdr:cNvSpPr>
      </xdr:nvSpPr>
      <xdr:spPr>
        <a:xfrm>
          <a:off x="457200" y="19269075"/>
          <a:ext cx="6553200" cy="9620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Carbon/Emery's current basic local service rates are below the Affordable Base Rates established by the Commission.  At  </a:t>
          </a:r>
          <a:r>
            <a:rPr lang="en-US" cap="none" sz="1200" b="1" i="0" u="none" baseline="0">
              <a:latin typeface="Arial"/>
              <a:ea typeface="Arial"/>
              <a:cs typeface="Arial"/>
            </a:rPr>
            <a:t>EXHIBIT 2.1</a:t>
          </a:r>
          <a:r>
            <a:rPr lang="en-US" cap="none" sz="1200" b="0" i="0" u="none" baseline="0">
              <a:latin typeface="Arial"/>
              <a:ea typeface="Arial"/>
              <a:cs typeface="Arial"/>
            </a:rPr>
            <a:t>, the increase in revenue at current levels of customers is calculated.  Additionally, the company is proposing increases in nonrecurring charges related to service orders.
</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49</xdr:row>
      <xdr:rowOff>47625</xdr:rowOff>
    </xdr:from>
    <xdr:to>
      <xdr:col>7</xdr:col>
      <xdr:colOff>85725</xdr:colOff>
      <xdr:row>54</xdr:row>
      <xdr:rowOff>19050</xdr:rowOff>
    </xdr:to>
    <xdr:sp>
      <xdr:nvSpPr>
        <xdr:cNvPr id="1" name="Text 3"/>
        <xdr:cNvSpPr txBox="1">
          <a:spLocks noChangeArrowheads="1"/>
        </xdr:cNvSpPr>
      </xdr:nvSpPr>
      <xdr:spPr>
        <a:xfrm>
          <a:off x="304800" y="8515350"/>
          <a:ext cx="8867775" cy="7810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t>
          </a:r>
          <a:r>
            <a:rPr lang="en-US" cap="none" sz="1000" b="0" i="0" u="none" baseline="0">
              <a:latin typeface="Arial"/>
              <a:ea typeface="Arial"/>
              <a:cs typeface="Arial"/>
            </a:rPr>
            <a:t>Company proposes using a 10.05% rate of return for this Docket (approx. 13.9% pretax rate of return).  The 10.05% return is based on the assumption that capital is split equally between debt and equity, the maximum allowable after-tax cost of equity is 12.5%, and the maximum allowable cost of debt is 7.6%.  These figures are shown in the table above.  Additionally, to calculate a total company revenue requirement, the interstate return on rate base of 11.25% was considered which results in a total company return on rate base of 10.48% as shown above on Line 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18</xdr:row>
      <xdr:rowOff>76200</xdr:rowOff>
    </xdr:from>
    <xdr:to>
      <xdr:col>11</xdr:col>
      <xdr:colOff>314325</xdr:colOff>
      <xdr:row>28</xdr:row>
      <xdr:rowOff>152400</xdr:rowOff>
    </xdr:to>
    <xdr:sp>
      <xdr:nvSpPr>
        <xdr:cNvPr id="1" name="TextBox 1"/>
        <xdr:cNvSpPr txBox="1">
          <a:spLocks noChangeArrowheads="1"/>
        </xdr:cNvSpPr>
      </xdr:nvSpPr>
      <xdr:spPr>
        <a:xfrm>
          <a:off x="1143000" y="3314700"/>
          <a:ext cx="7029450" cy="16954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Carbon/Emery adopted Emery's depreciation rates at the time of acquisition of Qwest exchanges.  Carbon over-depreciated four accounts by using rates other than Commission approved rates.  Therefore, the amount of over-depreciation was removed from test year expenses and accumulated depreciation.  The intrastate portion was calculated by assuming an intrastate factor from the separations results reflected in Supplement B.  
For purposes of test year adjustments, the effect of using the unapproved depreciation rates is netted with the effect of the proposed changed depreciation rates at EXHIBIT 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104775</xdr:rowOff>
    </xdr:from>
    <xdr:to>
      <xdr:col>8</xdr:col>
      <xdr:colOff>1581150</xdr:colOff>
      <xdr:row>6</xdr:row>
      <xdr:rowOff>1028700</xdr:rowOff>
    </xdr:to>
    <xdr:sp>
      <xdr:nvSpPr>
        <xdr:cNvPr id="1" name="TextBox 1"/>
        <xdr:cNvSpPr txBox="1">
          <a:spLocks noChangeArrowheads="1"/>
        </xdr:cNvSpPr>
      </xdr:nvSpPr>
      <xdr:spPr>
        <a:xfrm>
          <a:off x="285750" y="1028700"/>
          <a:ext cx="7019925" cy="108585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Carbon and Qwest have a DS3 for exchanging frame relay traffic. Carbon bills the underlying carriers for the capacity usage on that DS3 and so maintains this not be run through the billing &amp; revenue recognition process with Qwest. However Qwest insists on paying Carbon and billing Carbon for the same. This adjustment reflects the exclusion of those revenues included Carbon's G/L where the expense side has been excluded.
</a:t>
          </a:r>
          <a:r>
            <a:rPr lang="en-US" cap="none" sz="1000" b="0" i="0" u="none" baseline="0">
              <a:latin typeface="Arial"/>
              <a:ea typeface="Arial"/>
              <a:cs typeface="Arial"/>
            </a:rPr>
            <a:t>
</a:t>
          </a:r>
        </a:p>
      </xdr:txBody>
    </xdr:sp>
    <xdr:clientData/>
  </xdr:twoCellAnchor>
  <xdr:twoCellAnchor>
    <xdr:from>
      <xdr:col>1</xdr:col>
      <xdr:colOff>0</xdr:colOff>
      <xdr:row>12</xdr:row>
      <xdr:rowOff>95250</xdr:rowOff>
    </xdr:from>
    <xdr:to>
      <xdr:col>9</xdr:col>
      <xdr:colOff>0</xdr:colOff>
      <xdr:row>12</xdr:row>
      <xdr:rowOff>1581150</xdr:rowOff>
    </xdr:to>
    <xdr:sp>
      <xdr:nvSpPr>
        <xdr:cNvPr id="2" name="TextBox 2"/>
        <xdr:cNvSpPr txBox="1">
          <a:spLocks noChangeArrowheads="1"/>
        </xdr:cNvSpPr>
      </xdr:nvSpPr>
      <xdr:spPr>
        <a:xfrm>
          <a:off x="276225" y="3219450"/>
          <a:ext cx="7029450" cy="1485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200" b="0" i="0" u="none" baseline="0">
              <a:latin typeface="Arial"/>
              <a:ea typeface="Arial"/>
              <a:cs typeface="Arial"/>
            </a:rPr>
            <a:t>he following adjustments reflect known and measurable plant additions to be completed during 2005 together with workorders for contracted buried cable maintenance.  .
The plant addition adjustments are entered originally into </a:t>
          </a:r>
          <a:r>
            <a:rPr lang="en-US" cap="none" sz="1200" b="1" i="0" u="none" baseline="0">
              <a:latin typeface="Arial"/>
              <a:ea typeface="Arial"/>
              <a:cs typeface="Arial"/>
            </a:rPr>
            <a:t>EXHIBIT 5</a:t>
          </a:r>
          <a:r>
            <a:rPr lang="en-US" cap="none" sz="1200" b="0" i="0" u="none" baseline="0">
              <a:latin typeface="Arial"/>
              <a:ea typeface="Arial"/>
              <a:cs typeface="Arial"/>
            </a:rPr>
            <a:t> where appropriate calculations for six months depreciation expense and additions to reserve at 50% of the six months depreciation are made.  Additionally, the plant additions are multiplied by 50 percent to derive the adjustment to the plant balance.  </a:t>
          </a:r>
        </a:p>
      </xdr:txBody>
    </xdr:sp>
    <xdr:clientData/>
  </xdr:twoCellAnchor>
  <xdr:twoCellAnchor>
    <xdr:from>
      <xdr:col>0</xdr:col>
      <xdr:colOff>171450</xdr:colOff>
      <xdr:row>35</xdr:row>
      <xdr:rowOff>66675</xdr:rowOff>
    </xdr:from>
    <xdr:to>
      <xdr:col>9</xdr:col>
      <xdr:colOff>0</xdr:colOff>
      <xdr:row>35</xdr:row>
      <xdr:rowOff>2305050</xdr:rowOff>
    </xdr:to>
    <xdr:sp>
      <xdr:nvSpPr>
        <xdr:cNvPr id="3" name="Text 10"/>
        <xdr:cNvSpPr txBox="1">
          <a:spLocks noChangeArrowheads="1"/>
        </xdr:cNvSpPr>
      </xdr:nvSpPr>
      <xdr:spPr>
        <a:xfrm>
          <a:off x="171450" y="9944100"/>
          <a:ext cx="7134225" cy="22383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Carbon/Emery has requested adjusted depreciation rates in this case.  Based on approval of proposed rates, depreciation expense was increased to reflect the estimated increase in depreciation expense generated from the proposed rates.   Additionally, Carbon/Emery adopted Emery's depreciation rates at the time of acquisition of Qwest exchanges.  Carbon over-depreciated four accounts by using rates other than Commission approved rates.  Therefore, the amount of over-depreciation was removed from test year expenses and accumulated depreciation.  
</a:t>
          </a:r>
          <a:r>
            <a:rPr lang="en-US" cap="none" sz="1200" b="1" i="0" u="none" baseline="0">
              <a:latin typeface="Arial"/>
              <a:ea typeface="Arial"/>
              <a:cs typeface="Arial"/>
            </a:rPr>
            <a:t>EXHIBIT 6</a:t>
          </a:r>
          <a:r>
            <a:rPr lang="en-US" cap="none" sz="1200" b="0" i="0" u="none" baseline="0">
              <a:latin typeface="Arial"/>
              <a:ea typeface="Arial"/>
              <a:cs typeface="Arial"/>
            </a:rPr>
            <a:t> shows the calculation of the effect of the proposed increase in depreciation rates.
</a:t>
          </a:r>
          <a:r>
            <a:rPr lang="en-US" cap="none" sz="1200" b="1" i="0" u="none" baseline="0">
              <a:latin typeface="Arial"/>
              <a:ea typeface="Arial"/>
              <a:cs typeface="Arial"/>
            </a:rPr>
            <a:t>
EXHIBIT 7 </a:t>
          </a:r>
          <a:r>
            <a:rPr lang="en-US" cap="none" sz="1200" b="0" i="0" u="none" baseline="0">
              <a:latin typeface="Arial"/>
              <a:ea typeface="Arial"/>
              <a:cs typeface="Arial"/>
            </a:rPr>
            <a:t>shows the calculation of the effect of the effect of using the depreciation rates of Emery.
</a:t>
          </a:r>
        </a:p>
      </xdr:txBody>
    </xdr:sp>
    <xdr:clientData/>
  </xdr:twoCellAnchor>
  <xdr:twoCellAnchor>
    <xdr:from>
      <xdr:col>1</xdr:col>
      <xdr:colOff>9525</xdr:colOff>
      <xdr:row>63</xdr:row>
      <xdr:rowOff>133350</xdr:rowOff>
    </xdr:from>
    <xdr:to>
      <xdr:col>8</xdr:col>
      <xdr:colOff>1304925</xdr:colOff>
      <xdr:row>64</xdr:row>
      <xdr:rowOff>2466975</xdr:rowOff>
    </xdr:to>
    <xdr:sp>
      <xdr:nvSpPr>
        <xdr:cNvPr id="4" name="Text 3"/>
        <xdr:cNvSpPr txBox="1">
          <a:spLocks noChangeArrowheads="1"/>
        </xdr:cNvSpPr>
      </xdr:nvSpPr>
      <xdr:spPr>
        <a:xfrm>
          <a:off x="285750" y="20259675"/>
          <a:ext cx="6743700" cy="249555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Company proposes a 10.05% return on rate base.  The intrastate rate of 10.05%  is based on the assumption that capital is split equally between debt and equity for which the maximum allowable after-tax cost of equity is 12.5%, and the maximum allowable cost of debt is 7.6%.  The calculation of the 10.05 rate of return is shown at </a:t>
          </a:r>
          <a:r>
            <a:rPr lang="en-US" cap="none" sz="1200" b="1" i="0" u="none" baseline="0">
              <a:latin typeface="Arial"/>
              <a:ea typeface="Arial"/>
              <a:cs typeface="Arial"/>
            </a:rPr>
            <a:t>EXHIBIT 3.  </a:t>
          </a:r>
          <a:r>
            <a:rPr lang="en-US" cap="none" sz="1200" b="0" i="0" u="none" baseline="0">
              <a:latin typeface="Arial"/>
              <a:ea typeface="Arial"/>
              <a:cs typeface="Arial"/>
            </a:rPr>
            <a:t>
The total company rate of return of 10.45% is the composite of the 10.05% intrastate rate of return and the current Federal Communicaitons Commission prescribed interstate rate of return of 11.25%.  Calculation of the composite 10.45% rate is also shown at </a:t>
          </a:r>
          <a:r>
            <a:rPr lang="en-US" cap="none" sz="1200" b="1" i="0" u="none" baseline="0">
              <a:latin typeface="Arial"/>
              <a:ea typeface="Arial"/>
              <a:cs typeface="Arial"/>
            </a:rPr>
            <a:t>EXHIBIT 3</a:t>
          </a:r>
          <a:r>
            <a:rPr lang="en-US" cap="none" sz="1200" b="0" i="0" u="none" baseline="0">
              <a:latin typeface="Arial"/>
              <a:ea typeface="Arial"/>
              <a:cs typeface="Arial"/>
            </a:rPr>
            <a:t>.
Also shown at </a:t>
          </a:r>
          <a:r>
            <a:rPr lang="en-US" cap="none" sz="1200" b="1" i="0" u="none" baseline="0">
              <a:latin typeface="Arial"/>
              <a:ea typeface="Arial"/>
              <a:cs typeface="Arial"/>
            </a:rPr>
            <a:t>EXHIBIT 3</a:t>
          </a:r>
          <a:r>
            <a:rPr lang="en-US" cap="none" sz="1200" b="0" i="0" u="none" baseline="0">
              <a:latin typeface="Arial"/>
              <a:ea typeface="Arial"/>
              <a:cs typeface="Arial"/>
            </a:rPr>
            <a:t> is the calculation of the required return on net-investment at the composite total company rate of return.  The return is grossed up for income taxes reflective of nontaxable interest.
</a:t>
          </a:r>
          <a:r>
            <a:rPr lang="en-US" cap="none" sz="1000" b="0" i="0" u="none" baseline="0">
              <a:latin typeface="Arial"/>
              <a:ea typeface="Arial"/>
              <a:cs typeface="Arial"/>
            </a:rPr>
            <a:t>
</a:t>
          </a:r>
        </a:p>
      </xdr:txBody>
    </xdr:sp>
    <xdr:clientData/>
  </xdr:twoCellAnchor>
  <xdr:twoCellAnchor>
    <xdr:from>
      <xdr:col>1</xdr:col>
      <xdr:colOff>180975</xdr:colOff>
      <xdr:row>75</xdr:row>
      <xdr:rowOff>47625</xdr:rowOff>
    </xdr:from>
    <xdr:to>
      <xdr:col>8</xdr:col>
      <xdr:colOff>1285875</xdr:colOff>
      <xdr:row>75</xdr:row>
      <xdr:rowOff>1009650</xdr:rowOff>
    </xdr:to>
    <xdr:sp>
      <xdr:nvSpPr>
        <xdr:cNvPr id="5" name="TextBox 5"/>
        <xdr:cNvSpPr txBox="1">
          <a:spLocks noChangeArrowheads="1"/>
        </xdr:cNvSpPr>
      </xdr:nvSpPr>
      <xdr:spPr>
        <a:xfrm>
          <a:off x="457200" y="24993600"/>
          <a:ext cx="6553200" cy="9620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Carbon/Emery's current basic local service rates are below the Affordable Base Rates established by the Commission.  At  </a:t>
          </a:r>
          <a:r>
            <a:rPr lang="en-US" cap="none" sz="1200" b="1" i="0" u="none" baseline="0">
              <a:latin typeface="Arial"/>
              <a:ea typeface="Arial"/>
              <a:cs typeface="Arial"/>
            </a:rPr>
            <a:t>EXHIBIT 2.1</a:t>
          </a:r>
          <a:r>
            <a:rPr lang="en-US" cap="none" sz="1200" b="0" i="0" u="none" baseline="0">
              <a:latin typeface="Arial"/>
              <a:ea typeface="Arial"/>
              <a:cs typeface="Arial"/>
            </a:rPr>
            <a:t>, the increase in revenue at current levels of customers is calculated.  Additionally, the company is proposing increases in nonrecurring charges related to service orders.
</a:t>
          </a:r>
          <a:r>
            <a:rPr lang="en-US" cap="none" sz="1000" b="0" i="0" u="none" baseline="0">
              <a:latin typeface="Arial"/>
              <a:ea typeface="Arial"/>
              <a:cs typeface="Arial"/>
            </a:rPr>
            <a:t>
</a:t>
          </a:r>
        </a:p>
      </xdr:txBody>
    </xdr:sp>
    <xdr:clientData/>
  </xdr:twoCellAnchor>
  <xdr:twoCellAnchor>
    <xdr:from>
      <xdr:col>1</xdr:col>
      <xdr:colOff>180975</xdr:colOff>
      <xdr:row>24</xdr:row>
      <xdr:rowOff>19050</xdr:rowOff>
    </xdr:from>
    <xdr:to>
      <xdr:col>8</xdr:col>
      <xdr:colOff>1200150</xdr:colOff>
      <xdr:row>24</xdr:row>
      <xdr:rowOff>1304925</xdr:rowOff>
    </xdr:to>
    <xdr:sp>
      <xdr:nvSpPr>
        <xdr:cNvPr id="6" name="TextBox 6"/>
        <xdr:cNvSpPr txBox="1">
          <a:spLocks noChangeArrowheads="1"/>
        </xdr:cNvSpPr>
      </xdr:nvSpPr>
      <xdr:spPr>
        <a:xfrm>
          <a:off x="457200" y="6696075"/>
          <a:ext cx="6467475" cy="1285875"/>
        </a:xfrm>
        <a:prstGeom prst="rect">
          <a:avLst/>
        </a:prstGeom>
        <a:solidFill>
          <a:srgbClr val="FFFFFF"/>
        </a:solidFill>
        <a:ln w="9525" cmpd="sng">
          <a:noFill/>
        </a:ln>
      </xdr:spPr>
      <xdr:txBody>
        <a:bodyPr vertOverflow="clip" wrap="square"/>
        <a:p>
          <a:pPr algn="l">
            <a:defRPr/>
          </a:pPr>
          <a:r>
            <a:rPr lang="en-US" cap="none" sz="1200" b="0" i="0" u="sng" baseline="0">
              <a:latin typeface="Arial"/>
              <a:ea typeface="Arial"/>
              <a:cs typeface="Arial"/>
            </a:rPr>
            <a:t>Interstate Access Revenue Effect of Plant Adjustments</a:t>
          </a:r>
          <a:r>
            <a:rPr lang="en-US" cap="none" sz="1200" b="0" i="0" u="none" baseline="0">
              <a:latin typeface="Arial"/>
              <a:ea typeface="Arial"/>
              <a:cs typeface="Arial"/>
            </a:rPr>
            <a:t>
EXHIBIT 9 also reflects an adjustment for increased interstate access revenue attributable to the
plant adjustments indicated above.  Development of the interstate access revenue adjustment is shown at </a:t>
          </a:r>
          <a:r>
            <a:rPr lang="en-US" cap="none" sz="1200" b="1" i="0" u="none" baseline="0">
              <a:latin typeface="Arial"/>
              <a:ea typeface="Arial"/>
              <a:cs typeface="Arial"/>
            </a:rPr>
            <a:t>EXHIBIT 5.  </a:t>
          </a:r>
          <a:r>
            <a:rPr lang="en-US" cap="none" sz="1200" b="0" i="0" u="none" baseline="0">
              <a:latin typeface="Arial"/>
              <a:ea typeface="Arial"/>
              <a:cs typeface="Arial"/>
            </a:rPr>
            <a:t>The adjustment reflects calculation of the cost study impact of the plant additions with the addition of the plant specific operations expense apportioned based on the respective interstate factor for plant specific operations expense.</a:t>
          </a:r>
        </a:p>
      </xdr:txBody>
    </xdr:sp>
    <xdr:clientData/>
  </xdr:twoCellAnchor>
  <xdr:twoCellAnchor>
    <xdr:from>
      <xdr:col>1</xdr:col>
      <xdr:colOff>85725</xdr:colOff>
      <xdr:row>47</xdr:row>
      <xdr:rowOff>104775</xdr:rowOff>
    </xdr:from>
    <xdr:to>
      <xdr:col>8</xdr:col>
      <xdr:colOff>1200150</xdr:colOff>
      <xdr:row>47</xdr:row>
      <xdr:rowOff>1819275</xdr:rowOff>
    </xdr:to>
    <xdr:sp>
      <xdr:nvSpPr>
        <xdr:cNvPr id="7" name="TextBox 7"/>
        <xdr:cNvSpPr txBox="1">
          <a:spLocks noChangeArrowheads="1"/>
        </xdr:cNvSpPr>
      </xdr:nvSpPr>
      <xdr:spPr>
        <a:xfrm>
          <a:off x="361950" y="14344650"/>
          <a:ext cx="6562725" cy="17145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company's 2004 revenue includes amounts billed to customers for recovery of the company's federal universal service contribution.  The Federal Universal Service Charge (FUSC) for purposes of recovery is billed pursuant to National Exchange Carrier Association (NECA) Tariff FCC No. 5 for which the company is an issuing carrier.  Because of tax recovery built into the FUSC rate charged end users and timing differences, the FUSC revenue of and expense are not equal.  Because the net impact on return is designed to be net zero, </a:t>
          </a:r>
          <a:r>
            <a:rPr lang="en-US" cap="none" sz="1200" b="1" i="0" u="none" baseline="0">
              <a:latin typeface="Arial"/>
              <a:ea typeface="Arial"/>
              <a:cs typeface="Arial"/>
            </a:rPr>
            <a:t>EXHIBIT 9</a:t>
          </a:r>
          <a:r>
            <a:rPr lang="en-US" cap="none" sz="1200" b="0" i="0" u="none" baseline="0">
              <a:latin typeface="Arial"/>
              <a:ea typeface="Arial"/>
              <a:cs typeface="Arial"/>
            </a:rPr>
            <a:t>, Column H reflects removal of both the revenue and expense.  The adjustment is summarized at </a:t>
          </a:r>
          <a:r>
            <a:rPr lang="en-US" cap="none" sz="1200" b="1" i="0" u="none" baseline="0">
              <a:latin typeface="Arial"/>
              <a:ea typeface="Arial"/>
              <a:cs typeface="Arial"/>
            </a:rPr>
            <a:t>EXHIBIT 11.  </a:t>
          </a:r>
          <a:r>
            <a:rPr lang="en-US" cap="none" sz="1200" b="0" i="0" u="none" baseline="0">
              <a:latin typeface="Arial"/>
              <a:ea typeface="Arial"/>
              <a:cs typeface="Arial"/>
            </a:rPr>
            <a:t>Absent this adjustment, the total company revenue requirement on EXHIBIT 9 would be overstated.  </a:t>
          </a:r>
        </a:p>
      </xdr:txBody>
    </xdr:sp>
    <xdr:clientData/>
  </xdr:twoCellAnchor>
  <xdr:twoCellAnchor>
    <xdr:from>
      <xdr:col>1</xdr:col>
      <xdr:colOff>133350</xdr:colOff>
      <xdr:row>57</xdr:row>
      <xdr:rowOff>66675</xdr:rowOff>
    </xdr:from>
    <xdr:to>
      <xdr:col>8</xdr:col>
      <xdr:colOff>1085850</xdr:colOff>
      <xdr:row>57</xdr:row>
      <xdr:rowOff>1323975</xdr:rowOff>
    </xdr:to>
    <xdr:sp>
      <xdr:nvSpPr>
        <xdr:cNvPr id="8" name="TextBox 8"/>
        <xdr:cNvSpPr txBox="1">
          <a:spLocks noChangeArrowheads="1"/>
        </xdr:cNvSpPr>
      </xdr:nvSpPr>
      <xdr:spPr>
        <a:xfrm>
          <a:off x="409575" y="17678400"/>
          <a:ext cx="6400800" cy="12573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As shown at EXHIBIT 11,  the company's 2005 booked interstate access revenue includes a prior period adjustment (debit) in the amount of</a:t>
          </a:r>
          <a:r>
            <a:rPr lang="en-US" cap="none" sz="1200" b="1" i="0" u="none" baseline="0">
              <a:latin typeface="Arial"/>
              <a:ea typeface="Arial"/>
              <a:cs typeface="Arial"/>
            </a:rPr>
            <a:t> $315,332.</a:t>
          </a:r>
          <a:r>
            <a:rPr lang="en-US" cap="none" sz="1200" b="0" i="0" u="none" baseline="0">
              <a:latin typeface="Arial"/>
              <a:ea typeface="Arial"/>
              <a:cs typeface="Arial"/>
            </a:rPr>
            <a:t>  Column I of EXHIBIT 9 reflects addition of this amount to the Test Year 2004 Interstate Access Revenue.  Absent addition of this amount, the 2004 adjusted Test Year total company revenue requirement on EXHIBIT 9 would be overstated.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e\WINDOWS\TEMP\247RTC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cott.JSI\Desktop\Emery\2003%20Rate%20Case%20Excel%20Workbooks\Carbon%20Emery%202003%20Depr%20Exp%20Workbo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upp%20A%20and%20B%20to%20App%20for%20Rate%20Increase%20CONFIDENTI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TEMP\247RTC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DOWS\TEMP\247RTC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scott.JSI\Local%20Settings\Temporary%20Internet%20Files\OLK7\Carbon%2002%20Total%20Co_Audit%20Report%2011-4-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BASE"/>
      <sheetName val="DEPR"/>
      <sheetName val="INCST"/>
      <sheetName val="COSTCAP"/>
      <sheetName val="REVDEF"/>
      <sheetName val="REVSRC"/>
      <sheetName val="RATES"/>
      <sheetName val="Qty"/>
      <sheetName val="factors"/>
      <sheetName val="W_CASH"/>
      <sheetName val="MOU"/>
      <sheetName val="Cap_Ex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2002 Plant Analysis"/>
      <sheetName val="B  Depreciation Adj for Stu"/>
      <sheetName val="C  Carbon Depr Reconcil"/>
      <sheetName val="Deprec Rates"/>
      <sheetName val="D Carbon 03  Depr Schedule"/>
      <sheetName val="E 2005 Addi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PP A TB"/>
      <sheetName val="SUP B JUR FAC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BASE"/>
      <sheetName val="DEPR"/>
      <sheetName val="INCST"/>
      <sheetName val="COSTCAP"/>
      <sheetName val="REVDEF"/>
      <sheetName val="REVSRC"/>
      <sheetName val="RATES"/>
      <sheetName val="Qty"/>
      <sheetName val="factors"/>
      <sheetName val="W_CASH"/>
      <sheetName val="MOU"/>
      <sheetName val="Cap_Ex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BASE"/>
      <sheetName val="DEPR"/>
      <sheetName val="INCST"/>
      <sheetName val="COSTCAP"/>
      <sheetName val="REVDEF"/>
      <sheetName val="REVSRC"/>
      <sheetName val="RATES"/>
      <sheetName val="Qty"/>
      <sheetName val="factors"/>
      <sheetName val="W_CASH"/>
      <sheetName val="MOU"/>
      <sheetName val="Cap_Exp"/>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cq-Plant"/>
      <sheetName val="Acq-Acc Depr"/>
      <sheetName val="Acq-Depr Exp &amp; Accum"/>
      <sheetName val="Factors"/>
      <sheetName val="Mgr"/>
      <sheetName val="02 TB"/>
      <sheetName val="MOU"/>
      <sheetName val="Part 69"/>
      <sheetName val="DeprExpAdj."/>
      <sheetName val="Depreciation"/>
      <sheetName val="Revenues"/>
      <sheetName val="Access"/>
      <sheetName val="Local"/>
      <sheetName val="Part 36"/>
      <sheetName val="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Z60"/>
  <sheetViews>
    <sheetView zoomScale="65" zoomScaleNormal="65" workbookViewId="0" topLeftCell="A1">
      <selection activeCell="A1" sqref="A1"/>
    </sheetView>
  </sheetViews>
  <sheetFormatPr defaultColWidth="9.140625" defaultRowHeight="12.75"/>
  <cols>
    <col min="1" max="1" width="5.00390625" style="12" customWidth="1"/>
    <col min="2" max="2" width="31.57421875" style="12" customWidth="1"/>
    <col min="3" max="3" width="13.140625" style="13" customWidth="1"/>
    <col min="4" max="4" width="15.28125" style="13" customWidth="1"/>
    <col min="5" max="5" width="15.140625" style="13" bestFit="1" customWidth="1"/>
    <col min="6" max="7" width="13.00390625" style="13" bestFit="1" customWidth="1"/>
    <col min="8" max="8" width="16.28125" style="13" bestFit="1" customWidth="1"/>
    <col min="9" max="9" width="14.57421875" style="13" bestFit="1" customWidth="1"/>
    <col min="10" max="10" width="13.00390625" style="13" bestFit="1" customWidth="1"/>
    <col min="11" max="11" width="15.28125" style="13" hidden="1" customWidth="1"/>
    <col min="12" max="12" width="14.00390625" style="13" customWidth="1"/>
    <col min="13" max="13" width="14.28125" style="13" bestFit="1" customWidth="1"/>
    <col min="14" max="14" width="13.28125" style="13" bestFit="1" customWidth="1"/>
    <col min="15" max="15" width="17.421875" style="13" bestFit="1" customWidth="1"/>
    <col min="16" max="16" width="13.00390625" style="12" customWidth="1"/>
    <col min="17" max="17" width="17.28125" style="12" customWidth="1"/>
    <col min="18" max="21" width="10.7109375" style="12" customWidth="1"/>
    <col min="22" max="22" width="15.00390625" style="12" customWidth="1"/>
    <col min="23" max="23" width="12.57421875" style="12" customWidth="1"/>
    <col min="24" max="24" width="14.00390625" style="12" customWidth="1"/>
    <col min="25" max="25" width="14.140625" style="12" customWidth="1"/>
    <col min="26" max="26" width="12.00390625" style="12" customWidth="1"/>
    <col min="27" max="27" width="11.8515625" style="12" customWidth="1"/>
    <col min="28" max="28" width="10.8515625" style="12" customWidth="1"/>
    <col min="29" max="29" width="17.00390625" style="12" customWidth="1"/>
    <col min="30" max="31" width="12.00390625" style="12" customWidth="1"/>
    <col min="32" max="32" width="15.7109375" style="12" customWidth="1"/>
    <col min="33" max="33" width="30.28125" style="12" customWidth="1"/>
    <col min="34" max="16384" width="10.8515625" style="12" customWidth="1"/>
  </cols>
  <sheetData>
    <row r="1" spans="6:15" ht="15">
      <c r="F1" s="485" t="s">
        <v>132</v>
      </c>
      <c r="G1" s="485"/>
      <c r="H1" s="485"/>
      <c r="I1" s="485"/>
      <c r="N1" s="484" t="s">
        <v>139</v>
      </c>
      <c r="O1" s="484"/>
    </row>
    <row r="2" spans="6:9" ht="15">
      <c r="F2" s="485" t="s">
        <v>137</v>
      </c>
      <c r="G2" s="485"/>
      <c r="H2" s="485"/>
      <c r="I2" s="485"/>
    </row>
    <row r="3" spans="6:9" ht="15">
      <c r="F3" s="485" t="s">
        <v>138</v>
      </c>
      <c r="G3" s="485"/>
      <c r="H3" s="485"/>
      <c r="I3" s="485"/>
    </row>
    <row r="4" spans="6:9" ht="12.75">
      <c r="F4"/>
      <c r="G4"/>
      <c r="H4"/>
      <c r="I4"/>
    </row>
    <row r="5" ht="12.75"/>
    <row r="6" spans="1:15" s="3" customFormat="1" ht="12.75">
      <c r="A6"/>
      <c r="D6" s="86"/>
      <c r="E6" s="116" t="s">
        <v>138</v>
      </c>
      <c r="F6" s="5" t="s">
        <v>382</v>
      </c>
      <c r="G6" s="4" t="s">
        <v>389</v>
      </c>
      <c r="H6" s="4" t="s">
        <v>390</v>
      </c>
      <c r="I6" s="4" t="s">
        <v>496</v>
      </c>
      <c r="J6" s="4" t="s">
        <v>383</v>
      </c>
      <c r="K6" s="39" t="s">
        <v>496</v>
      </c>
      <c r="L6" s="4" t="s">
        <v>391</v>
      </c>
      <c r="M6" s="4" t="s">
        <v>392</v>
      </c>
      <c r="N6" s="4" t="s">
        <v>501</v>
      </c>
      <c r="O6" s="4" t="s">
        <v>392</v>
      </c>
    </row>
    <row r="7" spans="1:33" s="10" customFormat="1" ht="12.75">
      <c r="A7"/>
      <c r="B7"/>
      <c r="D7" s="86"/>
      <c r="E7" s="136">
        <v>2004</v>
      </c>
      <c r="F7" s="8" t="s">
        <v>38</v>
      </c>
      <c r="G7" s="10" t="s">
        <v>225</v>
      </c>
      <c r="H7" s="4" t="s">
        <v>47</v>
      </c>
      <c r="I7" s="4"/>
      <c r="J7" s="4"/>
      <c r="K7" s="4"/>
      <c r="L7" s="154"/>
      <c r="M7" s="4" t="s">
        <v>500</v>
      </c>
      <c r="N7" s="4" t="s">
        <v>443</v>
      </c>
      <c r="O7" s="4" t="s">
        <v>394</v>
      </c>
      <c r="P7" s="9"/>
      <c r="Q7" s="9"/>
      <c r="R7" s="11"/>
      <c r="S7" s="9"/>
      <c r="T7" s="9"/>
      <c r="U7" s="9"/>
      <c r="V7" s="9"/>
      <c r="W7" s="9"/>
      <c r="X7" s="9"/>
      <c r="Y7" s="9"/>
      <c r="Z7" s="9"/>
      <c r="AA7" s="9"/>
      <c r="AB7" s="9"/>
      <c r="AC7" s="9"/>
      <c r="AD7" s="9"/>
      <c r="AE7" s="9"/>
      <c r="AF7" s="9"/>
      <c r="AG7" s="9"/>
    </row>
    <row r="8" spans="1:33" s="10" customFormat="1" ht="12.75">
      <c r="A8"/>
      <c r="B8" s="129"/>
      <c r="D8" s="86"/>
      <c r="E8" s="131" t="s">
        <v>393</v>
      </c>
      <c r="F8" s="8" t="s">
        <v>39</v>
      </c>
      <c r="G8" s="8" t="s">
        <v>47</v>
      </c>
      <c r="H8" s="4" t="s">
        <v>44</v>
      </c>
      <c r="I8" s="4"/>
      <c r="J8" s="4"/>
      <c r="K8" s="4"/>
      <c r="L8" s="8"/>
      <c r="M8" s="4" t="s">
        <v>197</v>
      </c>
      <c r="N8" s="4" t="s">
        <v>502</v>
      </c>
      <c r="O8" s="4" t="s">
        <v>428</v>
      </c>
      <c r="P8" s="9"/>
      <c r="Q8" s="9"/>
      <c r="R8" s="9"/>
      <c r="S8" s="9"/>
      <c r="T8" s="9"/>
      <c r="U8" s="9"/>
      <c r="V8" s="9"/>
      <c r="W8" s="9"/>
      <c r="X8" s="9"/>
      <c r="Y8" s="9"/>
      <c r="Z8" s="9"/>
      <c r="AA8" s="9"/>
      <c r="AB8" s="9"/>
      <c r="AC8" s="9"/>
      <c r="AD8" s="9"/>
      <c r="AE8" s="9"/>
      <c r="AF8" s="9"/>
      <c r="AG8" s="9"/>
    </row>
    <row r="9" spans="1:33" s="10" customFormat="1" ht="12.75">
      <c r="A9"/>
      <c r="B9"/>
      <c r="D9" s="86"/>
      <c r="E9" s="131" t="s">
        <v>395</v>
      </c>
      <c r="F9" s="4"/>
      <c r="G9" s="4"/>
      <c r="H9" s="4" t="s">
        <v>510</v>
      </c>
      <c r="I9" s="4"/>
      <c r="J9" s="4"/>
      <c r="K9" s="4"/>
      <c r="L9" s="4"/>
      <c r="M9" s="108"/>
      <c r="N9" s="338">
        <f>+O59</f>
        <v>0.10050001518521441</v>
      </c>
      <c r="O9" s="4" t="s">
        <v>499</v>
      </c>
      <c r="P9" s="9"/>
      <c r="Q9" s="9"/>
      <c r="R9" s="9"/>
      <c r="S9" s="9"/>
      <c r="T9" s="9"/>
      <c r="U9" s="9"/>
      <c r="V9" s="9"/>
      <c r="W9" s="9"/>
      <c r="X9" s="9"/>
      <c r="Y9" s="9"/>
      <c r="Z9" s="9"/>
      <c r="AA9" s="9"/>
      <c r="AB9" s="9"/>
      <c r="AC9" s="9"/>
      <c r="AD9" s="9"/>
      <c r="AE9" s="9"/>
      <c r="AF9" s="9"/>
      <c r="AG9" s="9"/>
    </row>
    <row r="10" spans="3:33" s="10" customFormat="1" ht="12.75">
      <c r="C10" s="132"/>
      <c r="D10" s="132"/>
      <c r="E10" s="132" t="s">
        <v>396</v>
      </c>
      <c r="F10" s="4" t="s">
        <v>397</v>
      </c>
      <c r="G10" s="4" t="s">
        <v>398</v>
      </c>
      <c r="H10" s="4" t="s">
        <v>399</v>
      </c>
      <c r="I10" s="4" t="s">
        <v>380</v>
      </c>
      <c r="J10" s="4" t="s">
        <v>400</v>
      </c>
      <c r="K10" s="4" t="s">
        <v>399</v>
      </c>
      <c r="L10" s="4" t="s">
        <v>488</v>
      </c>
      <c r="M10" s="4" t="s">
        <v>386</v>
      </c>
      <c r="N10" s="38" t="s">
        <v>387</v>
      </c>
      <c r="O10" s="4" t="s">
        <v>49</v>
      </c>
      <c r="P10" s="9"/>
      <c r="Q10" s="9"/>
      <c r="R10" s="9"/>
      <c r="S10" s="9"/>
      <c r="T10" s="9"/>
      <c r="U10" s="9"/>
      <c r="V10" s="9"/>
      <c r="W10" s="9"/>
      <c r="X10" s="9"/>
      <c r="Y10" s="9"/>
      <c r="Z10" s="9"/>
      <c r="AA10" s="9"/>
      <c r="AB10" s="9"/>
      <c r="AC10" s="9"/>
      <c r="AD10" s="9"/>
      <c r="AE10" s="9"/>
      <c r="AF10" s="9"/>
      <c r="AG10" s="9"/>
    </row>
    <row r="11" spans="3:33" s="10" customFormat="1" ht="12.75">
      <c r="C11" s="132"/>
      <c r="D11" s="136"/>
      <c r="E11" s="133"/>
      <c r="F11" s="4"/>
      <c r="G11" s="4"/>
      <c r="H11" s="4"/>
      <c r="I11" s="4"/>
      <c r="J11" s="4"/>
      <c r="K11" s="4"/>
      <c r="L11" s="4"/>
      <c r="M11" s="4" t="s">
        <v>48</v>
      </c>
      <c r="N11" s="108"/>
      <c r="O11" s="4" t="s">
        <v>50</v>
      </c>
      <c r="P11"/>
      <c r="Q11"/>
      <c r="R11"/>
      <c r="S11" s="9"/>
      <c r="T11" s="9"/>
      <c r="U11" s="9"/>
      <c r="V11" s="9"/>
      <c r="W11" s="9"/>
      <c r="X11" s="9"/>
      <c r="Y11" s="9"/>
      <c r="Z11" s="9"/>
      <c r="AA11" s="9"/>
      <c r="AB11" s="9"/>
      <c r="AC11" s="9"/>
      <c r="AD11" s="9"/>
      <c r="AE11" s="9"/>
      <c r="AF11" s="9"/>
      <c r="AG11" s="9"/>
    </row>
    <row r="12" spans="5:234" ht="7.5" customHeight="1">
      <c r="E12" s="120" t="s">
        <v>401</v>
      </c>
      <c r="F12" s="13" t="s">
        <v>401</v>
      </c>
      <c r="G12" s="13" t="s">
        <v>401</v>
      </c>
      <c r="H12" s="13" t="s">
        <v>401</v>
      </c>
      <c r="I12" s="13" t="s">
        <v>401</v>
      </c>
      <c r="J12" s="13" t="s">
        <v>401</v>
      </c>
      <c r="K12" s="13" t="s">
        <v>401</v>
      </c>
      <c r="L12" s="13" t="s">
        <v>401</v>
      </c>
      <c r="M12" s="4" t="s">
        <v>401</v>
      </c>
      <c r="N12" s="4" t="s">
        <v>401</v>
      </c>
      <c r="O12" s="4" t="s">
        <v>401</v>
      </c>
      <c r="P12"/>
      <c r="Q12"/>
      <c r="R12"/>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row>
    <row r="13" spans="1:234" ht="12.75">
      <c r="A13" s="161">
        <v>1</v>
      </c>
      <c r="E13" s="120"/>
      <c r="M13" s="4"/>
      <c r="N13" s="337">
        <f>+'EXH 3 CAP'!E45</f>
        <v>2235440.7129013552</v>
      </c>
      <c r="O13" s="18">
        <f aca="true" t="shared" si="0" ref="O13:O20">M13+N13</f>
        <v>2235440.7129013552</v>
      </c>
      <c r="P13"/>
      <c r="Q13"/>
      <c r="R13"/>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row>
    <row r="14" spans="1:234" s="2" customFormat="1" ht="12.75" customHeight="1">
      <c r="A14" s="161">
        <v>2</v>
      </c>
      <c r="B14" s="2" t="s">
        <v>514</v>
      </c>
      <c r="C14" s="16"/>
      <c r="D14" s="13"/>
      <c r="E14" s="120">
        <f>-'[3]SUPP A TB'!K101</f>
        <v>2688535</v>
      </c>
      <c r="F14" s="44"/>
      <c r="G14" s="44"/>
      <c r="H14" s="44"/>
      <c r="I14" s="44"/>
      <c r="K14" s="16"/>
      <c r="L14" s="16"/>
      <c r="M14" s="13">
        <f aca="true" t="shared" si="1" ref="M14:M20">SUM(E14:L14)</f>
        <v>2688535</v>
      </c>
      <c r="N14" s="17"/>
      <c r="O14" s="18">
        <f t="shared" si="0"/>
        <v>2688535</v>
      </c>
      <c r="P14"/>
      <c r="Q14"/>
      <c r="R14"/>
      <c r="S14" s="15"/>
      <c r="T14" s="15"/>
      <c r="U14" s="15"/>
      <c r="V14" s="15"/>
      <c r="W14" s="15"/>
      <c r="X14" s="15"/>
      <c r="Y14" s="15"/>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row>
    <row r="15" spans="1:234" s="2" customFormat="1" ht="12.75" customHeight="1">
      <c r="A15" s="161">
        <v>3</v>
      </c>
      <c r="B15" s="2" t="s">
        <v>503</v>
      </c>
      <c r="C15" s="16"/>
      <c r="D15" s="13"/>
      <c r="E15" s="120">
        <v>0</v>
      </c>
      <c r="F15" s="44"/>
      <c r="G15" s="44"/>
      <c r="H15" s="44"/>
      <c r="I15" s="44"/>
      <c r="K15" s="16"/>
      <c r="L15" s="16"/>
      <c r="M15" s="13">
        <f t="shared" si="1"/>
        <v>0</v>
      </c>
      <c r="N15" s="17"/>
      <c r="O15" s="18">
        <f t="shared" si="0"/>
        <v>0</v>
      </c>
      <c r="P15"/>
      <c r="Q15"/>
      <c r="R15"/>
      <c r="S15" s="15"/>
      <c r="T15" s="15"/>
      <c r="U15" s="15"/>
      <c r="V15" s="15"/>
      <c r="W15" s="15"/>
      <c r="X15" s="15"/>
      <c r="Y15" s="15"/>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row>
    <row r="16" spans="1:234" s="2" customFormat="1" ht="12.75" customHeight="1">
      <c r="A16" s="161">
        <v>4</v>
      </c>
      <c r="B16" s="2" t="s">
        <v>55</v>
      </c>
      <c r="C16" s="16"/>
      <c r="D16" s="13"/>
      <c r="E16" s="120">
        <v>0</v>
      </c>
      <c r="F16" s="44"/>
      <c r="G16" s="44"/>
      <c r="H16" s="44"/>
      <c r="I16" s="44"/>
      <c r="K16" s="16"/>
      <c r="L16" s="16"/>
      <c r="M16" s="13">
        <f t="shared" si="1"/>
        <v>0</v>
      </c>
      <c r="N16" s="17"/>
      <c r="O16" s="18">
        <f t="shared" si="0"/>
        <v>0</v>
      </c>
      <c r="P16"/>
      <c r="Q16"/>
      <c r="R16"/>
      <c r="S16" s="15"/>
      <c r="T16" s="15"/>
      <c r="U16" s="15"/>
      <c r="V16" s="15"/>
      <c r="W16" s="15"/>
      <c r="X16" s="15"/>
      <c r="Y16" s="15"/>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row>
    <row r="17" spans="1:234" s="2" customFormat="1" ht="12.75">
      <c r="A17" s="161">
        <v>5</v>
      </c>
      <c r="B17" s="2" t="s">
        <v>487</v>
      </c>
      <c r="C17" s="16"/>
      <c r="D17" s="13"/>
      <c r="E17" s="120">
        <f>-'[3]SUPP A TB'!E139</f>
        <v>355384.45</v>
      </c>
      <c r="F17" s="334">
        <f>-'EXH 1 NOTES'!F9</f>
        <v>-60636</v>
      </c>
      <c r="G17" s="44"/>
      <c r="H17" s="44"/>
      <c r="I17" s="44"/>
      <c r="J17" s="43"/>
      <c r="K17" s="16"/>
      <c r="L17" s="16"/>
      <c r="M17" s="13">
        <f t="shared" si="1"/>
        <v>294748.45</v>
      </c>
      <c r="N17" s="17"/>
      <c r="O17" s="18">
        <f t="shared" si="0"/>
        <v>294748.45</v>
      </c>
      <c r="P17"/>
      <c r="Q17"/>
      <c r="R17"/>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row>
    <row r="18" spans="1:234" s="2" customFormat="1" ht="12.75" customHeight="1">
      <c r="A18" s="13">
        <v>6</v>
      </c>
      <c r="B18" s="2" t="s">
        <v>511</v>
      </c>
      <c r="C18" s="16"/>
      <c r="D18" s="13"/>
      <c r="E18" s="120">
        <f>-'[3]SUPP A TB'!E141</f>
        <v>364687.92</v>
      </c>
      <c r="F18" s="44"/>
      <c r="G18" s="44"/>
      <c r="H18" s="44"/>
      <c r="I18" s="44"/>
      <c r="J18" s="43"/>
      <c r="K18" s="16"/>
      <c r="L18" s="16"/>
      <c r="M18" s="13">
        <f t="shared" si="1"/>
        <v>364687.92</v>
      </c>
      <c r="N18" s="17"/>
      <c r="O18" s="18">
        <f t="shared" si="0"/>
        <v>364687.92</v>
      </c>
      <c r="P18"/>
      <c r="Q18"/>
      <c r="R18"/>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row>
    <row r="19" spans="1:234" s="2" customFormat="1" ht="12.75">
      <c r="A19" s="13">
        <v>7</v>
      </c>
      <c r="B19" s="2" t="s">
        <v>280</v>
      </c>
      <c r="C19" s="16"/>
      <c r="D19" s="13"/>
      <c r="E19" s="120">
        <f>-'[3]SUPP A TB'!E153</f>
        <v>278439.68</v>
      </c>
      <c r="F19" s="44"/>
      <c r="G19" s="43"/>
      <c r="H19" s="44"/>
      <c r="I19" s="44"/>
      <c r="J19" s="43"/>
      <c r="K19" s="16"/>
      <c r="L19" s="16"/>
      <c r="M19" s="13">
        <f t="shared" si="1"/>
        <v>278439.68</v>
      </c>
      <c r="N19" s="17"/>
      <c r="O19" s="18">
        <f t="shared" si="0"/>
        <v>278439.68</v>
      </c>
      <c r="P19"/>
      <c r="Q19"/>
      <c r="R19"/>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row>
    <row r="20" spans="1:234" s="2" customFormat="1" ht="12.75">
      <c r="A20" s="13">
        <v>8</v>
      </c>
      <c r="B20" s="2" t="s">
        <v>486</v>
      </c>
      <c r="C20" s="16"/>
      <c r="D20" s="13"/>
      <c r="E20" s="120">
        <f>-'[3]SUPP A TB'!E159</f>
        <v>-41082</v>
      </c>
      <c r="F20" s="335">
        <v>0</v>
      </c>
      <c r="G20" s="335">
        <v>0</v>
      </c>
      <c r="H20" s="335">
        <v>0</v>
      </c>
      <c r="I20" s="335">
        <v>0</v>
      </c>
      <c r="J20" s="43"/>
      <c r="K20" s="16"/>
      <c r="L20" s="16"/>
      <c r="M20" s="13">
        <f t="shared" si="1"/>
        <v>-41082</v>
      </c>
      <c r="N20" s="17"/>
      <c r="O20" s="18">
        <f t="shared" si="0"/>
        <v>-41082</v>
      </c>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row>
    <row r="21" spans="1:234" s="2" customFormat="1" ht="12" customHeight="1">
      <c r="A21" s="13">
        <v>9</v>
      </c>
      <c r="C21" s="16"/>
      <c r="D21" s="13"/>
      <c r="E21" s="134" t="s">
        <v>402</v>
      </c>
      <c r="F21" s="16" t="s">
        <v>402</v>
      </c>
      <c r="G21" s="16" t="s">
        <v>402</v>
      </c>
      <c r="H21" s="16" t="s">
        <v>402</v>
      </c>
      <c r="I21" s="16" t="s">
        <v>402</v>
      </c>
      <c r="J21" s="26" t="s">
        <v>402</v>
      </c>
      <c r="K21" s="16" t="s">
        <v>402</v>
      </c>
      <c r="L21" s="16" t="s">
        <v>402</v>
      </c>
      <c r="M21" s="16" t="s">
        <v>402</v>
      </c>
      <c r="N21" s="16" t="s">
        <v>402</v>
      </c>
      <c r="O21" s="16" t="s">
        <v>402</v>
      </c>
      <c r="P21" s="22"/>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row>
    <row r="22" spans="1:234" s="2" customFormat="1" ht="12.75">
      <c r="A22" s="13">
        <v>10</v>
      </c>
      <c r="B22" s="2" t="s">
        <v>403</v>
      </c>
      <c r="C22" s="16"/>
      <c r="D22" s="13"/>
      <c r="E22" s="26">
        <f>SUM(E14:E20)</f>
        <v>3645965.0500000003</v>
      </c>
      <c r="F22" s="16">
        <f>SUM(F14:F20)</f>
        <v>-60636</v>
      </c>
      <c r="G22" s="16">
        <f>SUM(G14:G20)</f>
        <v>0</v>
      </c>
      <c r="H22" s="16">
        <f>SUM(H14:H20)</f>
        <v>0</v>
      </c>
      <c r="I22" s="16">
        <f>SUM(I14:I20)</f>
        <v>0</v>
      </c>
      <c r="J22" s="26">
        <f>SUM(J7:J20)</f>
        <v>0</v>
      </c>
      <c r="K22" s="16">
        <f>SUM(K14:K20)</f>
        <v>0</v>
      </c>
      <c r="L22" s="16">
        <f>SUM(L14:L20)</f>
        <v>0</v>
      </c>
      <c r="M22" s="16">
        <f>SUM(M14:M20)</f>
        <v>3585329.0500000003</v>
      </c>
      <c r="N22" s="16">
        <f>SUM(N13:N20)</f>
        <v>2235440.7129013552</v>
      </c>
      <c r="O22" s="16">
        <f>SUM(O13:O20)</f>
        <v>5820769.7629013555</v>
      </c>
      <c r="P22" s="22"/>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row>
    <row r="23" spans="1:234" s="2" customFormat="1" ht="14.25" customHeight="1">
      <c r="A23" s="13">
        <v>11</v>
      </c>
      <c r="C23" s="16"/>
      <c r="D23" s="13"/>
      <c r="E23" s="26"/>
      <c r="F23" s="16"/>
      <c r="G23" s="16"/>
      <c r="H23" s="16"/>
      <c r="I23" s="16"/>
      <c r="J23" s="26"/>
      <c r="K23" s="16"/>
      <c r="L23" s="16"/>
      <c r="M23" s="16"/>
      <c r="N23" s="17"/>
      <c r="O23" s="23"/>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row>
    <row r="24" spans="1:234" s="2" customFormat="1" ht="12.75">
      <c r="A24" s="13">
        <v>12</v>
      </c>
      <c r="B24" s="2" t="s">
        <v>404</v>
      </c>
      <c r="C24" s="16"/>
      <c r="D24" s="13"/>
      <c r="E24" s="120">
        <f>+'EXH 8 TB Apport.'!J65</f>
        <v>1634796.288762</v>
      </c>
      <c r="F24" s="44"/>
      <c r="G24" s="335">
        <f>+'EXH 1 NOTES'!H17</f>
        <v>131354</v>
      </c>
      <c r="H24" s="44"/>
      <c r="I24" s="44"/>
      <c r="J24" s="43"/>
      <c r="K24" s="20"/>
      <c r="L24" s="43"/>
      <c r="M24" s="13">
        <f aca="true" t="shared" si="2" ref="M24:M30">SUM(E24:L24)</f>
        <v>1766150.288762</v>
      </c>
      <c r="N24" s="17"/>
      <c r="O24" s="18">
        <f aca="true" t="shared" si="3" ref="O24:O30">M24+N24</f>
        <v>1766150.288762</v>
      </c>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row>
    <row r="25" spans="1:234" s="2" customFormat="1" ht="12.75">
      <c r="A25" s="13">
        <v>13</v>
      </c>
      <c r="B25" s="2" t="s">
        <v>275</v>
      </c>
      <c r="C25" s="20"/>
      <c r="D25" s="13"/>
      <c r="E25" s="26">
        <f>+'EXH 8 TB Apport.'!J83</f>
        <v>1415429.307338</v>
      </c>
      <c r="G25" s="334">
        <f>+'EXH 1 NOTES'!H20</f>
        <v>61345</v>
      </c>
      <c r="H25" s="334">
        <f>+'EXH 6  Depr ADJ'!M44</f>
        <v>64640.48940000008</v>
      </c>
      <c r="I25" s="43"/>
      <c r="J25" s="43"/>
      <c r="K25" s="42"/>
      <c r="L25" s="26"/>
      <c r="M25" s="13">
        <f t="shared" si="2"/>
        <v>1541414.7967380001</v>
      </c>
      <c r="N25" s="21"/>
      <c r="O25" s="18">
        <f t="shared" si="3"/>
        <v>1541414.7967380001</v>
      </c>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row>
    <row r="26" spans="1:234" s="2" customFormat="1" ht="12.75">
      <c r="A26" s="13">
        <v>14</v>
      </c>
      <c r="B26" s="2" t="s">
        <v>405</v>
      </c>
      <c r="C26" s="16"/>
      <c r="D26" s="13"/>
      <c r="E26" s="120">
        <f>+'EXH 8 TB Apport.'!J71</f>
        <v>131253.82586799999</v>
      </c>
      <c r="F26" s="44"/>
      <c r="G26" s="44"/>
      <c r="H26" s="44"/>
      <c r="I26" s="44"/>
      <c r="J26" s="43"/>
      <c r="K26" s="16"/>
      <c r="L26" s="26"/>
      <c r="M26" s="13">
        <f t="shared" si="2"/>
        <v>131253.82586799999</v>
      </c>
      <c r="N26" s="17"/>
      <c r="O26" s="18">
        <f t="shared" si="3"/>
        <v>131253.82586799999</v>
      </c>
      <c r="S26" s="24"/>
      <c r="T26" s="24"/>
      <c r="U26" s="24"/>
      <c r="V26" s="24"/>
      <c r="W26" s="24"/>
      <c r="X26" s="24"/>
      <c r="Y26" s="24"/>
      <c r="Z26" s="24"/>
      <c r="AA26" s="24"/>
      <c r="AB26" s="2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row>
    <row r="27" spans="1:234" s="2" customFormat="1" ht="12.75">
      <c r="A27" s="13">
        <v>15</v>
      </c>
      <c r="B27" s="2" t="s">
        <v>406</v>
      </c>
      <c r="C27" s="16"/>
      <c r="D27" s="13"/>
      <c r="E27" s="120">
        <f>+'EXH 8 TB Apport.'!J75</f>
        <v>404027.1571</v>
      </c>
      <c r="F27" s="253"/>
      <c r="G27" s="43"/>
      <c r="H27" s="43"/>
      <c r="I27" s="43"/>
      <c r="J27" s="43"/>
      <c r="K27" s="16"/>
      <c r="L27" s="26"/>
      <c r="M27" s="13">
        <f t="shared" si="2"/>
        <v>404027.1571</v>
      </c>
      <c r="N27" s="17"/>
      <c r="O27" s="18">
        <f t="shared" si="3"/>
        <v>404027.1571</v>
      </c>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row>
    <row r="28" spans="1:234" s="2" customFormat="1" ht="12.75">
      <c r="A28" s="13">
        <v>16</v>
      </c>
      <c r="B28" s="2" t="s">
        <v>407</v>
      </c>
      <c r="C28" s="16"/>
      <c r="D28" s="13"/>
      <c r="E28" s="120">
        <f>+'EXH 8 TB Apport.'!J79</f>
        <v>805202.243055</v>
      </c>
      <c r="F28" s="44"/>
      <c r="G28" s="44"/>
      <c r="H28" s="44"/>
      <c r="I28" s="44"/>
      <c r="J28" s="43"/>
      <c r="K28" s="16"/>
      <c r="L28" s="43"/>
      <c r="M28" s="13">
        <f t="shared" si="2"/>
        <v>805202.243055</v>
      </c>
      <c r="N28" s="17"/>
      <c r="O28" s="18">
        <f t="shared" si="3"/>
        <v>805202.243055</v>
      </c>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row>
    <row r="29" spans="1:234" s="2" customFormat="1" ht="12.75">
      <c r="A29" s="13">
        <v>17</v>
      </c>
      <c r="B29" s="25" t="s">
        <v>497</v>
      </c>
      <c r="C29" s="16"/>
      <c r="D29" s="13"/>
      <c r="E29" s="26">
        <f>+'EXH 8 TB Apport.'!J84</f>
        <v>89439.5392</v>
      </c>
      <c r="F29" s="44"/>
      <c r="G29" s="44"/>
      <c r="H29" s="43"/>
      <c r="I29" s="44"/>
      <c r="K29" s="16"/>
      <c r="L29" s="26"/>
      <c r="M29" s="13">
        <f t="shared" si="2"/>
        <v>89439.5392</v>
      </c>
      <c r="N29" s="17"/>
      <c r="O29" s="18">
        <f t="shared" si="3"/>
        <v>89439.5392</v>
      </c>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row>
    <row r="30" spans="1:234" s="2" customFormat="1" ht="12.75">
      <c r="A30" s="13">
        <v>18</v>
      </c>
      <c r="B30" s="2" t="s">
        <v>498</v>
      </c>
      <c r="C30" s="17"/>
      <c r="D30" s="13"/>
      <c r="E30" s="26">
        <v>0</v>
      </c>
      <c r="F30" s="45"/>
      <c r="G30" s="45"/>
      <c r="H30" s="45"/>
      <c r="I30" s="45"/>
      <c r="J30" s="43"/>
      <c r="K30" s="17"/>
      <c r="L30" s="40"/>
      <c r="M30" s="13">
        <f t="shared" si="2"/>
        <v>0</v>
      </c>
      <c r="N30" s="17"/>
      <c r="O30" s="18">
        <f t="shared" si="3"/>
        <v>0</v>
      </c>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row>
    <row r="31" spans="1:234" s="2" customFormat="1" ht="12.75">
      <c r="A31" s="13">
        <v>19</v>
      </c>
      <c r="C31" s="16"/>
      <c r="D31" s="13"/>
      <c r="E31" s="134" t="s">
        <v>402</v>
      </c>
      <c r="F31" s="30" t="s">
        <v>402</v>
      </c>
      <c r="G31" s="30" t="s">
        <v>402</v>
      </c>
      <c r="H31" s="30" t="s">
        <v>402</v>
      </c>
      <c r="I31" s="30" t="s">
        <v>402</v>
      </c>
      <c r="J31" s="30" t="s">
        <v>402</v>
      </c>
      <c r="K31" s="30" t="s">
        <v>402</v>
      </c>
      <c r="L31" s="30" t="s">
        <v>402</v>
      </c>
      <c r="M31" s="30" t="s">
        <v>402</v>
      </c>
      <c r="N31" s="30" t="s">
        <v>402</v>
      </c>
      <c r="O31" s="30" t="s">
        <v>402</v>
      </c>
      <c r="P31" s="22"/>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row>
    <row r="32" spans="1:234" s="2" customFormat="1" ht="12.75">
      <c r="A32" s="13">
        <v>20</v>
      </c>
      <c r="B32" s="2" t="s">
        <v>408</v>
      </c>
      <c r="C32" s="17"/>
      <c r="D32" s="13"/>
      <c r="E32" s="40">
        <f aca="true" t="shared" si="4" ref="E32:L32">SUM(E24:E30)</f>
        <v>4480148.361322999</v>
      </c>
      <c r="F32" s="17">
        <f t="shared" si="4"/>
        <v>0</v>
      </c>
      <c r="G32" s="17">
        <f t="shared" si="4"/>
        <v>192699</v>
      </c>
      <c r="H32" s="17">
        <f t="shared" si="4"/>
        <v>64640.48940000008</v>
      </c>
      <c r="I32" s="17">
        <f t="shared" si="4"/>
        <v>0</v>
      </c>
      <c r="J32" s="17">
        <f t="shared" si="4"/>
        <v>0</v>
      </c>
      <c r="K32" s="17">
        <f t="shared" si="4"/>
        <v>0</v>
      </c>
      <c r="L32" s="17">
        <f t="shared" si="4"/>
        <v>0</v>
      </c>
      <c r="M32" s="17">
        <f>SUM(M24:M30)</f>
        <v>4737487.850723</v>
      </c>
      <c r="N32" s="17">
        <f>SUM(N24:N30)</f>
        <v>0</v>
      </c>
      <c r="O32" s="17">
        <f>SUM(O24:O30)</f>
        <v>4737487.850723</v>
      </c>
      <c r="P32" s="27"/>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row>
    <row r="33" spans="1:234" s="2" customFormat="1" ht="12.75">
      <c r="A33" s="13">
        <v>21</v>
      </c>
      <c r="B33" s="28"/>
      <c r="C33" s="16"/>
      <c r="D33" s="13"/>
      <c r="E33" s="26"/>
      <c r="F33" s="16"/>
      <c r="G33" s="16"/>
      <c r="H33" s="16"/>
      <c r="I33" s="16"/>
      <c r="J33" s="16"/>
      <c r="K33" s="16"/>
      <c r="L33" s="16"/>
      <c r="M33" s="16"/>
      <c r="N33" s="17"/>
      <c r="O33" s="23"/>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row>
    <row r="34" spans="1:234" s="2" customFormat="1" ht="12.75">
      <c r="A34" s="13">
        <v>22</v>
      </c>
      <c r="B34" s="28" t="s">
        <v>409</v>
      </c>
      <c r="C34" s="16"/>
      <c r="D34" s="26"/>
      <c r="E34" s="26">
        <f aca="true" t="shared" si="5" ref="E34:O34">E22-E32</f>
        <v>-834183.3113229987</v>
      </c>
      <c r="F34" s="16">
        <f t="shared" si="5"/>
        <v>-60636</v>
      </c>
      <c r="G34" s="16">
        <f t="shared" si="5"/>
        <v>-192699</v>
      </c>
      <c r="H34" s="16">
        <f t="shared" si="5"/>
        <v>-64640.48940000008</v>
      </c>
      <c r="I34" s="16">
        <f t="shared" si="5"/>
        <v>0</v>
      </c>
      <c r="J34" s="16">
        <f t="shared" si="5"/>
        <v>0</v>
      </c>
      <c r="K34" s="16">
        <f t="shared" si="5"/>
        <v>0</v>
      </c>
      <c r="L34" s="16">
        <f t="shared" si="5"/>
        <v>0</v>
      </c>
      <c r="M34" s="16">
        <f t="shared" si="5"/>
        <v>-1152158.800723</v>
      </c>
      <c r="N34" s="16">
        <f t="shared" si="5"/>
        <v>2235440.7129013552</v>
      </c>
      <c r="O34" s="29">
        <f t="shared" si="5"/>
        <v>1083281.9121783553</v>
      </c>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row>
    <row r="35" spans="1:234" s="2" customFormat="1" ht="12.75">
      <c r="A35" s="13">
        <v>23</v>
      </c>
      <c r="B35" s="28"/>
      <c r="C35" s="16"/>
      <c r="D35" s="13"/>
      <c r="E35" s="26"/>
      <c r="F35" s="16"/>
      <c r="G35" s="16"/>
      <c r="H35" s="16"/>
      <c r="I35" s="16"/>
      <c r="J35" s="16"/>
      <c r="K35" s="16"/>
      <c r="L35" s="16"/>
      <c r="M35" s="16"/>
      <c r="N35" s="335"/>
      <c r="O35" s="29"/>
      <c r="P35" s="22"/>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row>
    <row r="36" spans="1:234" s="2" customFormat="1" ht="12.75">
      <c r="A36" s="13">
        <v>24</v>
      </c>
      <c r="B36" s="28" t="s">
        <v>410</v>
      </c>
      <c r="C36" s="16"/>
      <c r="D36" s="13"/>
      <c r="E36" s="334">
        <f>+'EXH 8 TB Apport.'!J91</f>
        <v>-54292.182</v>
      </c>
      <c r="F36" s="16"/>
      <c r="G36" s="16"/>
      <c r="H36" s="16"/>
      <c r="I36" s="16"/>
      <c r="J36" s="16"/>
      <c r="K36" s="16"/>
      <c r="L36" s="16"/>
      <c r="M36" s="13">
        <f>SUM(E36:L36)</f>
        <v>-54292.182</v>
      </c>
      <c r="N36" s="337">
        <f>+'EXH 4 TAX STATE'!E26</f>
        <v>93388</v>
      </c>
      <c r="O36" s="18">
        <f>+M36+N36</f>
        <v>39095.818</v>
      </c>
      <c r="P36" s="252"/>
      <c r="Q36"/>
      <c r="R36" s="19"/>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row>
    <row r="37" spans="1:234" s="2" customFormat="1" ht="12.75">
      <c r="A37" s="13">
        <v>25</v>
      </c>
      <c r="B37" s="25" t="s">
        <v>411</v>
      </c>
      <c r="C37" s="16"/>
      <c r="D37" s="13"/>
      <c r="E37" s="26">
        <f>+'EXH 8 TB Apport.'!J90</f>
        <v>-765441.5055</v>
      </c>
      <c r="F37" s="16"/>
      <c r="G37" s="16"/>
      <c r="H37" s="16"/>
      <c r="I37" s="16"/>
      <c r="J37" s="16"/>
      <c r="K37" s="16"/>
      <c r="L37" s="16"/>
      <c r="M37" s="13">
        <f>SUM(E37:L37)</f>
        <v>-765441.5055</v>
      </c>
      <c r="N37" s="337">
        <f>+'EXH 4 TAX STATE'!E27</f>
        <v>1018002.5055</v>
      </c>
      <c r="O37" s="18">
        <f>+M37+N37</f>
        <v>252561</v>
      </c>
      <c r="P37" s="22"/>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row>
    <row r="38" spans="1:234" s="2" customFormat="1" ht="12.75">
      <c r="A38" s="13">
        <v>26</v>
      </c>
      <c r="B38" s="28"/>
      <c r="C38" s="16"/>
      <c r="D38" s="13"/>
      <c r="E38" s="134" t="s">
        <v>402</v>
      </c>
      <c r="F38" s="16" t="s">
        <v>402</v>
      </c>
      <c r="G38" s="16" t="s">
        <v>402</v>
      </c>
      <c r="H38" s="16" t="s">
        <v>402</v>
      </c>
      <c r="I38" s="16" t="s">
        <v>402</v>
      </c>
      <c r="J38" s="16" t="s">
        <v>402</v>
      </c>
      <c r="K38" s="16" t="s">
        <v>402</v>
      </c>
      <c r="L38" s="16" t="s">
        <v>402</v>
      </c>
      <c r="M38" s="16" t="s">
        <v>402</v>
      </c>
      <c r="N38" s="16" t="s">
        <v>402</v>
      </c>
      <c r="O38" s="16" t="s">
        <v>402</v>
      </c>
      <c r="P38" s="22"/>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row>
    <row r="39" spans="1:234" s="2" customFormat="1" ht="12.75">
      <c r="A39" s="13">
        <v>27</v>
      </c>
      <c r="B39" s="2" t="s">
        <v>412</v>
      </c>
      <c r="C39" s="16"/>
      <c r="D39" s="13"/>
      <c r="E39" s="26">
        <f aca="true" t="shared" si="6" ref="E39:L39">SUM(E36:E37)</f>
        <v>-819733.6875</v>
      </c>
      <c r="F39" s="16">
        <f t="shared" si="6"/>
        <v>0</v>
      </c>
      <c r="G39" s="16">
        <f t="shared" si="6"/>
        <v>0</v>
      </c>
      <c r="H39" s="16">
        <f t="shared" si="6"/>
        <v>0</v>
      </c>
      <c r="I39" s="16">
        <f t="shared" si="6"/>
        <v>0</v>
      </c>
      <c r="J39" s="16">
        <f t="shared" si="6"/>
        <v>0</v>
      </c>
      <c r="K39" s="16">
        <f t="shared" si="6"/>
        <v>0</v>
      </c>
      <c r="L39" s="16">
        <f t="shared" si="6"/>
        <v>0</v>
      </c>
      <c r="M39" s="26">
        <f>SUM(M36:M37)</f>
        <v>-819733.6875</v>
      </c>
      <c r="N39" s="16">
        <f>(N36+N37)</f>
        <v>1111390.5055</v>
      </c>
      <c r="O39" s="16">
        <f>SUM(O36:O37)</f>
        <v>291656.81799999997</v>
      </c>
      <c r="P39" s="22"/>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row>
    <row r="40" spans="1:234" s="2" customFormat="1" ht="12.75">
      <c r="A40" s="13">
        <v>28</v>
      </c>
      <c r="C40" s="16"/>
      <c r="D40" s="13"/>
      <c r="E40" s="16"/>
      <c r="F40" s="16"/>
      <c r="G40" s="16"/>
      <c r="H40" s="16"/>
      <c r="I40" s="16"/>
      <c r="J40" s="16"/>
      <c r="K40" s="16"/>
      <c r="L40" s="16"/>
      <c r="M40" s="16"/>
      <c r="N40" s="17"/>
      <c r="O40" s="23"/>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row>
    <row r="41" spans="1:234" s="2" customFormat="1" ht="12.75">
      <c r="A41" s="13">
        <v>29</v>
      </c>
      <c r="B41" s="31" t="s">
        <v>413</v>
      </c>
      <c r="C41" s="32"/>
      <c r="D41" s="39"/>
      <c r="E41" s="137">
        <f>(E22-E32+E39)</f>
        <v>-1653916.9988229987</v>
      </c>
      <c r="F41" s="32">
        <f aca="true" t="shared" si="7" ref="F41:O41">(F22-F32-F39)</f>
        <v>-60636</v>
      </c>
      <c r="G41" s="32">
        <f t="shared" si="7"/>
        <v>-192699</v>
      </c>
      <c r="H41" s="32">
        <f t="shared" si="7"/>
        <v>-64640.48940000008</v>
      </c>
      <c r="I41" s="32">
        <f t="shared" si="7"/>
        <v>0</v>
      </c>
      <c r="J41" s="32">
        <f t="shared" si="7"/>
        <v>0</v>
      </c>
      <c r="K41" s="32">
        <f t="shared" si="7"/>
        <v>0</v>
      </c>
      <c r="L41" s="32">
        <f t="shared" si="7"/>
        <v>0</v>
      </c>
      <c r="M41" s="32">
        <f t="shared" si="7"/>
        <v>-332425.11322299996</v>
      </c>
      <c r="N41" s="32">
        <f t="shared" si="7"/>
        <v>1124050.2074013553</v>
      </c>
      <c r="O41" s="32">
        <f t="shared" si="7"/>
        <v>791625.0941783553</v>
      </c>
      <c r="P41" s="33"/>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row>
    <row r="42" spans="1:234" s="3" customFormat="1" ht="12.75">
      <c r="A42" s="4">
        <v>30</v>
      </c>
      <c r="C42" s="87" t="s">
        <v>414</v>
      </c>
      <c r="D42" s="87" t="s">
        <v>415</v>
      </c>
      <c r="E42" s="87" t="s">
        <v>416</v>
      </c>
      <c r="F42" s="34"/>
      <c r="G42" s="34"/>
      <c r="H42" s="34"/>
      <c r="I42" s="34"/>
      <c r="J42" s="34"/>
      <c r="K42" s="34"/>
      <c r="L42" s="34"/>
      <c r="M42" s="34"/>
      <c r="N42" s="35"/>
      <c r="O42" s="7"/>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row>
    <row r="43" spans="1:234" s="3" customFormat="1" ht="12.75">
      <c r="A43" s="4">
        <v>31</v>
      </c>
      <c r="C43" s="5" t="s">
        <v>274</v>
      </c>
      <c r="D43" s="5" t="s">
        <v>373</v>
      </c>
      <c r="E43" s="87" t="s">
        <v>417</v>
      </c>
      <c r="F43" s="34"/>
      <c r="G43" s="34"/>
      <c r="H43" s="34"/>
      <c r="I43" s="34"/>
      <c r="J43" s="34"/>
      <c r="K43" s="34"/>
      <c r="L43" s="34"/>
      <c r="M43" s="34"/>
      <c r="N43" s="35"/>
      <c r="O43" s="7"/>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row>
    <row r="44" spans="1:234" s="9" customFormat="1" ht="12.75">
      <c r="A44" s="4">
        <v>32</v>
      </c>
      <c r="B44" s="117"/>
      <c r="C44" s="4" t="s">
        <v>505</v>
      </c>
      <c r="D44" s="4" t="s">
        <v>505</v>
      </c>
      <c r="E44" s="87" t="s">
        <v>299</v>
      </c>
      <c r="F44" s="34"/>
      <c r="G44" s="34"/>
      <c r="H44" s="34"/>
      <c r="I44" s="34"/>
      <c r="J44" s="34"/>
      <c r="K44" s="34"/>
      <c r="L44" s="34"/>
      <c r="M44" s="34"/>
      <c r="N44" s="35"/>
      <c r="O44" s="7"/>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row>
    <row r="45" spans="1:234" s="9" customFormat="1" ht="12.75">
      <c r="A45" s="4">
        <v>33</v>
      </c>
      <c r="C45" s="4" t="s">
        <v>211</v>
      </c>
      <c r="D45" s="4" t="s">
        <v>212</v>
      </c>
      <c r="E45" s="34" t="s">
        <v>418</v>
      </c>
      <c r="F45" s="34"/>
      <c r="G45" s="34"/>
      <c r="H45" s="34"/>
      <c r="I45" s="34"/>
      <c r="J45" s="34"/>
      <c r="K45" s="34"/>
      <c r="L45" s="34"/>
      <c r="M45" s="34"/>
      <c r="N45" s="35"/>
      <c r="O45" s="7"/>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row>
    <row r="46" spans="1:234" ht="12" customHeight="1">
      <c r="A46" s="4">
        <v>34</v>
      </c>
      <c r="C46" s="4" t="s">
        <v>401</v>
      </c>
      <c r="D46" s="4" t="s">
        <v>401</v>
      </c>
      <c r="E46" s="4" t="s">
        <v>401</v>
      </c>
      <c r="F46" s="16"/>
      <c r="G46" s="335"/>
      <c r="H46" s="16"/>
      <c r="I46" s="16"/>
      <c r="J46" s="16"/>
      <c r="K46" s="16"/>
      <c r="L46" s="16"/>
      <c r="M46" s="16"/>
      <c r="N46" s="17"/>
      <c r="O46" s="23"/>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row>
    <row r="47" spans="1:234" s="2" customFormat="1" ht="12.75">
      <c r="A47" s="13">
        <v>35</v>
      </c>
      <c r="B47" s="2" t="s">
        <v>419</v>
      </c>
      <c r="C47" s="26">
        <f>+'EXH 8 TB Apport.'!I18</f>
        <v>22401783</v>
      </c>
      <c r="D47" s="26">
        <f>+'EXH 8 TB Apport.'!J18</f>
        <v>22533683.869182</v>
      </c>
      <c r="E47" s="16">
        <f>(C47+D47)/2</f>
        <v>22467733.434591003</v>
      </c>
      <c r="F47" s="44"/>
      <c r="G47" s="335">
        <f>+'EXH 1 NOTES'!H23</f>
        <v>755916</v>
      </c>
      <c r="H47" s="44"/>
      <c r="I47" s="44"/>
      <c r="J47" s="44"/>
      <c r="K47" s="16"/>
      <c r="L47" s="44"/>
      <c r="M47" s="13">
        <f aca="true" t="shared" si="8" ref="M47:M52">SUM(E47:L47)</f>
        <v>23223649.434591003</v>
      </c>
      <c r="N47" s="17"/>
      <c r="O47" s="18">
        <f aca="true" t="shared" si="9" ref="O47:O52">M47+N47</f>
        <v>23223649.434591003</v>
      </c>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row>
    <row r="48" spans="1:234" s="2" customFormat="1" ht="12.75">
      <c r="A48" s="13">
        <v>36</v>
      </c>
      <c r="B48" s="2" t="s">
        <v>513</v>
      </c>
      <c r="C48" s="26">
        <f>+'EXH 8 TB Apport.'!I21</f>
        <v>39</v>
      </c>
      <c r="D48" s="26">
        <f>+'EXH 8 TB Apport.'!J21</f>
        <v>182093.05399999997</v>
      </c>
      <c r="E48" s="16">
        <f>(C48+D48)/2</f>
        <v>91066.02699999999</v>
      </c>
      <c r="F48" s="44"/>
      <c r="G48" s="335"/>
      <c r="H48" s="44"/>
      <c r="I48" s="44"/>
      <c r="J48" s="44"/>
      <c r="K48" s="16"/>
      <c r="L48" s="44"/>
      <c r="M48" s="13">
        <f t="shared" si="8"/>
        <v>91066.02699999999</v>
      </c>
      <c r="N48" s="17"/>
      <c r="O48" s="18">
        <f t="shared" si="9"/>
        <v>91066.02699999999</v>
      </c>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row>
    <row r="49" spans="1:234" s="2" customFormat="1" ht="12.75">
      <c r="A49" s="13">
        <v>37</v>
      </c>
      <c r="B49" s="2" t="s">
        <v>420</v>
      </c>
      <c r="C49" s="26">
        <f>+'EXH 8 TB Apport.'!I28</f>
        <v>-14863332</v>
      </c>
      <c r="D49" s="26">
        <f>+'EXH 8 TB Apport.'!J28</f>
        <v>-16199980.312800001</v>
      </c>
      <c r="E49" s="16">
        <f>(C49+D49)/2</f>
        <v>-15531656.1564</v>
      </c>
      <c r="F49" s="44"/>
      <c r="G49" s="335">
        <f>-'EXH 1 NOTES'!H26</f>
        <v>-31486</v>
      </c>
      <c r="H49" s="335">
        <f>+'EXH 6  Depr ADJ'!M51</f>
        <v>-7268.036419209984</v>
      </c>
      <c r="I49" s="44"/>
      <c r="J49" s="44"/>
      <c r="K49" s="16"/>
      <c r="L49" s="16"/>
      <c r="M49" s="13">
        <f t="shared" si="8"/>
        <v>-15570410.19281921</v>
      </c>
      <c r="N49" s="17"/>
      <c r="O49" s="18">
        <f t="shared" si="9"/>
        <v>-15570410.19281921</v>
      </c>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row>
    <row r="50" spans="1:234" s="2" customFormat="1" ht="12.75">
      <c r="A50" s="13">
        <v>38</v>
      </c>
      <c r="B50" s="28" t="s">
        <v>421</v>
      </c>
      <c r="C50" s="26">
        <v>0</v>
      </c>
      <c r="D50" s="26">
        <v>0</v>
      </c>
      <c r="E50" s="16">
        <f>(C50+D50)/2</f>
        <v>0</v>
      </c>
      <c r="F50" s="44"/>
      <c r="G50" s="335"/>
      <c r="H50" s="44"/>
      <c r="I50" s="44"/>
      <c r="J50" s="44"/>
      <c r="K50" s="16"/>
      <c r="L50" s="16"/>
      <c r="M50" s="13">
        <f t="shared" si="8"/>
        <v>0</v>
      </c>
      <c r="N50" s="17"/>
      <c r="O50" s="18">
        <f t="shared" si="9"/>
        <v>0</v>
      </c>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row>
    <row r="51" spans="1:234" s="2" customFormat="1" ht="12.75">
      <c r="A51" s="13">
        <v>39</v>
      </c>
      <c r="B51" s="2" t="s">
        <v>422</v>
      </c>
      <c r="C51" s="26">
        <f>+'EXH 8 TB Apport.'!I35</f>
        <v>-2978</v>
      </c>
      <c r="D51" s="26">
        <f>+'EXH 8 TB Apport.'!J35</f>
        <v>-3583.9759999999997</v>
      </c>
      <c r="E51" s="16">
        <f>(C51+D51)/2</f>
        <v>-3280.988</v>
      </c>
      <c r="F51" s="44"/>
      <c r="G51" s="335"/>
      <c r="H51" s="44"/>
      <c r="I51" s="44"/>
      <c r="J51" s="44"/>
      <c r="K51" s="16"/>
      <c r="L51" s="16"/>
      <c r="M51" s="13">
        <f t="shared" si="8"/>
        <v>-3280.988</v>
      </c>
      <c r="N51" s="17"/>
      <c r="O51" s="18">
        <f t="shared" si="9"/>
        <v>-3280.988</v>
      </c>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row>
    <row r="52" spans="1:234" s="2" customFormat="1" ht="12.75">
      <c r="A52" s="13">
        <v>40</v>
      </c>
      <c r="B52" s="2" t="s">
        <v>423</v>
      </c>
      <c r="C52" s="26">
        <v>0</v>
      </c>
      <c r="D52" s="26">
        <v>0</v>
      </c>
      <c r="E52" s="16">
        <f>IF(+C52+D52=0,0,(C52+D52)/2)</f>
        <v>0</v>
      </c>
      <c r="F52" s="44"/>
      <c r="G52" s="44"/>
      <c r="H52" s="44"/>
      <c r="I52" s="44"/>
      <c r="J52" s="44"/>
      <c r="K52" s="16"/>
      <c r="L52" s="16"/>
      <c r="M52" s="13">
        <f t="shared" si="8"/>
        <v>0</v>
      </c>
      <c r="N52" s="17"/>
      <c r="O52" s="18">
        <f t="shared" si="9"/>
        <v>0</v>
      </c>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row>
    <row r="53" spans="1:234" s="2" customFormat="1" ht="12.75">
      <c r="A53" s="13">
        <v>41</v>
      </c>
      <c r="B53" s="2" t="s">
        <v>424</v>
      </c>
      <c r="C53" s="26">
        <f>+'EXH 8 TB Apport.'!I38</f>
        <v>27401</v>
      </c>
      <c r="D53" s="26">
        <f>+'EXH 8 TB Apport.'!J38</f>
        <v>40795.173599999995</v>
      </c>
      <c r="E53" s="16">
        <f>(C53+D53)/2</f>
        <v>34098.0868</v>
      </c>
      <c r="F53" s="44"/>
      <c r="G53" s="44"/>
      <c r="H53" s="44"/>
      <c r="I53" s="44"/>
      <c r="J53" s="44"/>
      <c r="K53" s="16"/>
      <c r="L53" s="16"/>
      <c r="M53" s="13"/>
      <c r="N53" s="17"/>
      <c r="O53" s="18"/>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row>
    <row r="54" spans="1:234" s="2" customFormat="1" ht="12.75">
      <c r="A54" s="13">
        <v>42</v>
      </c>
      <c r="B54" s="2" t="s">
        <v>493</v>
      </c>
      <c r="C54" s="26">
        <v>0</v>
      </c>
      <c r="D54" s="26">
        <v>0</v>
      </c>
      <c r="F54" s="44"/>
      <c r="G54" s="44"/>
      <c r="H54" s="44"/>
      <c r="I54" s="44"/>
      <c r="J54" s="44"/>
      <c r="K54" s="16"/>
      <c r="L54" s="16"/>
      <c r="M54" s="13">
        <f>SUM(E54:L54)</f>
        <v>0</v>
      </c>
      <c r="N54" s="17"/>
      <c r="O54" s="18">
        <f>M54+N54</f>
        <v>0</v>
      </c>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row>
    <row r="55" spans="1:234" s="2" customFormat="1" ht="12.75">
      <c r="A55" s="13">
        <v>43</v>
      </c>
      <c r="B55" s="2" t="s">
        <v>506</v>
      </c>
      <c r="C55" s="26">
        <f>+'EXH 8 TB Apport.'!I42</f>
        <v>131130</v>
      </c>
      <c r="D55" s="26">
        <f>+'EXH 8 TB Apport.'!J42</f>
        <v>140552.2756</v>
      </c>
      <c r="E55" s="16">
        <f>(C55+D55)/2</f>
        <v>135841.1378</v>
      </c>
      <c r="F55" s="44"/>
      <c r="G55" s="44"/>
      <c r="H55" s="44"/>
      <c r="I55" s="44"/>
      <c r="J55" s="44"/>
      <c r="K55" s="16"/>
      <c r="L55" s="16"/>
      <c r="M55" s="13">
        <f>SUM(E55:L55)</f>
        <v>135841.1378</v>
      </c>
      <c r="N55" s="17"/>
      <c r="O55" s="18">
        <f>M55+N55</f>
        <v>135841.1378</v>
      </c>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row>
    <row r="56" spans="1:234" s="2" customFormat="1" ht="15.75" customHeight="1">
      <c r="A56" s="13">
        <v>44</v>
      </c>
      <c r="C56" s="16" t="s">
        <v>402</v>
      </c>
      <c r="D56" s="163" t="s">
        <v>319</v>
      </c>
      <c r="E56" s="16" t="s">
        <v>402</v>
      </c>
      <c r="F56" s="16" t="s">
        <v>402</v>
      </c>
      <c r="G56" s="16" t="s">
        <v>402</v>
      </c>
      <c r="H56" s="16" t="s">
        <v>402</v>
      </c>
      <c r="I56" s="16" t="s">
        <v>402</v>
      </c>
      <c r="J56" s="16" t="s">
        <v>402</v>
      </c>
      <c r="K56" s="16" t="s">
        <v>402</v>
      </c>
      <c r="L56" s="16" t="s">
        <v>402</v>
      </c>
      <c r="M56" s="16" t="s">
        <v>402</v>
      </c>
      <c r="N56" s="16" t="s">
        <v>402</v>
      </c>
      <c r="O56" s="16" t="s">
        <v>402</v>
      </c>
      <c r="P56" s="22"/>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row>
    <row r="57" spans="1:234" s="2" customFormat="1" ht="12.75">
      <c r="A57" s="13">
        <v>45</v>
      </c>
      <c r="B57" s="2" t="s">
        <v>425</v>
      </c>
      <c r="C57" s="16">
        <f aca="true" t="shared" si="10" ref="C57:O57">SUM(C47:C55)</f>
        <v>7694043</v>
      </c>
      <c r="D57" s="26">
        <f t="shared" si="10"/>
        <v>6693560.083582003</v>
      </c>
      <c r="E57" s="16">
        <f t="shared" si="10"/>
        <v>7193801.541791</v>
      </c>
      <c r="F57" s="16">
        <f t="shared" si="10"/>
        <v>0</v>
      </c>
      <c r="G57" s="16">
        <f t="shared" si="10"/>
        <v>724430</v>
      </c>
      <c r="H57" s="16">
        <f t="shared" si="10"/>
        <v>-7268.036419209984</v>
      </c>
      <c r="I57" s="16">
        <f t="shared" si="10"/>
        <v>0</v>
      </c>
      <c r="J57" s="16">
        <f t="shared" si="10"/>
        <v>0</v>
      </c>
      <c r="K57" s="16">
        <f t="shared" si="10"/>
        <v>0</v>
      </c>
      <c r="L57" s="16">
        <f t="shared" si="10"/>
        <v>0</v>
      </c>
      <c r="M57" s="16">
        <f t="shared" si="10"/>
        <v>7876865.418571792</v>
      </c>
      <c r="N57" s="16">
        <f t="shared" si="10"/>
        <v>0</v>
      </c>
      <c r="O57" s="16">
        <f t="shared" si="10"/>
        <v>7876865.418571792</v>
      </c>
      <c r="P57" s="22"/>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row>
    <row r="58" spans="1:234" s="2" customFormat="1" ht="14.25" customHeight="1">
      <c r="A58" s="13">
        <v>46</v>
      </c>
      <c r="C58" s="16"/>
      <c r="D58" s="26"/>
      <c r="E58" s="16"/>
      <c r="F58" s="16"/>
      <c r="G58" s="16"/>
      <c r="H58" s="16"/>
      <c r="I58" s="16"/>
      <c r="J58" s="16"/>
      <c r="K58" s="16"/>
      <c r="L58" s="16"/>
      <c r="M58" s="16"/>
      <c r="N58" s="16"/>
      <c r="O58" s="16"/>
      <c r="P58" s="22"/>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row>
    <row r="59" spans="1:234" s="36" customFormat="1" ht="12.75">
      <c r="A59" s="162">
        <v>47</v>
      </c>
      <c r="B59" s="36" t="s">
        <v>426</v>
      </c>
      <c r="D59" s="36">
        <f>((E41)/D57)</f>
        <v>-0.2470907825089573</v>
      </c>
      <c r="M59" s="36">
        <f>(M41/M57)</f>
        <v>-0.04220271587213106</v>
      </c>
      <c r="N59" s="84"/>
      <c r="O59" s="37">
        <f>(O41/O57)</f>
        <v>0.10050001518521441</v>
      </c>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row>
    <row r="60" ht="12.75">
      <c r="B60" s="105"/>
    </row>
  </sheetData>
  <mergeCells count="4">
    <mergeCell ref="N1:O1"/>
    <mergeCell ref="F1:I1"/>
    <mergeCell ref="F2:I2"/>
    <mergeCell ref="F3:I3"/>
  </mergeCells>
  <printOptions horizontalCentered="1" verticalCentered="1"/>
  <pageMargins left="0.2" right="0.2" top="0.44" bottom="0.38" header="0.34" footer="0.17"/>
  <pageSetup horizontalDpi="600" verticalDpi="600" orientation="landscape" scale="65" r:id="rId3"/>
  <legacyDrawing r:id="rId2"/>
</worksheet>
</file>

<file path=xl/worksheets/sheet10.xml><?xml version="1.0" encoding="utf-8"?>
<worksheet xmlns="http://schemas.openxmlformats.org/spreadsheetml/2006/main" xmlns:r="http://schemas.openxmlformats.org/officeDocument/2006/relationships">
  <dimension ref="A1:W147"/>
  <sheetViews>
    <sheetView workbookViewId="0" topLeftCell="A1">
      <pane xSplit="3" ySplit="7" topLeftCell="D1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3.00390625" style="0" bestFit="1" customWidth="1"/>
    <col min="2" max="2" width="8.28125" style="0" customWidth="1"/>
    <col min="3" max="3" width="29.00390625" style="0" customWidth="1"/>
    <col min="4" max="4" width="10.7109375" style="0" customWidth="1"/>
    <col min="5" max="5" width="11.7109375" style="0" customWidth="1"/>
    <col min="6" max="12" width="10.7109375" style="0" customWidth="1"/>
    <col min="13" max="13" width="21.140625" style="0" customWidth="1"/>
    <col min="14" max="14" width="9.00390625" style="0" customWidth="1"/>
    <col min="15" max="15" width="5.00390625" style="0" customWidth="1"/>
    <col min="18" max="18" width="3.28125" style="0" customWidth="1"/>
    <col min="21" max="21" width="3.28125" style="0" customWidth="1"/>
  </cols>
  <sheetData>
    <row r="1" spans="1:14" s="55" customFormat="1" ht="12.75">
      <c r="A1" s="351" t="str">
        <f>+'EXH 2'!A1:C1</f>
        <v>CARBON / EMERY TELCOM</v>
      </c>
      <c r="B1" s="351"/>
      <c r="C1" s="351"/>
      <c r="D1" s="351"/>
      <c r="E1" s="351"/>
      <c r="F1" s="351"/>
      <c r="G1" s="351"/>
      <c r="H1" s="351"/>
      <c r="I1" s="351"/>
      <c r="J1" s="351"/>
      <c r="K1" s="351"/>
      <c r="L1" s="351"/>
      <c r="M1" s="351" t="s">
        <v>183</v>
      </c>
      <c r="N1" s="351"/>
    </row>
    <row r="2" spans="1:14" s="55" customFormat="1" ht="12.75">
      <c r="A2" s="415" t="s">
        <v>182</v>
      </c>
      <c r="B2" s="415"/>
      <c r="C2" s="415"/>
      <c r="D2" s="415"/>
      <c r="E2" s="415"/>
      <c r="F2" s="415"/>
      <c r="G2" s="415"/>
      <c r="H2" s="415"/>
      <c r="I2" s="415"/>
      <c r="J2" s="415"/>
      <c r="K2" s="415"/>
      <c r="L2" s="415"/>
      <c r="M2" s="415"/>
      <c r="N2" s="415"/>
    </row>
    <row r="3" spans="1:14" ht="12.75">
      <c r="A3" s="416" t="s">
        <v>723</v>
      </c>
      <c r="B3" s="397"/>
      <c r="C3" s="397"/>
      <c r="D3" s="397"/>
      <c r="E3" s="397"/>
      <c r="F3" s="397"/>
      <c r="G3" s="397"/>
      <c r="H3" s="397"/>
      <c r="I3" s="397"/>
      <c r="J3" s="397"/>
      <c r="K3" s="397"/>
      <c r="L3" s="397"/>
      <c r="M3" s="397"/>
      <c r="N3" s="397"/>
    </row>
    <row r="4" spans="1:14" s="138" customFormat="1" ht="12">
      <c r="A4" s="409"/>
      <c r="B4" s="409"/>
      <c r="C4" s="409"/>
      <c r="D4" s="409"/>
      <c r="E4" s="409"/>
      <c r="F4" s="409"/>
      <c r="G4" s="409"/>
      <c r="H4" s="409"/>
      <c r="I4" s="409"/>
      <c r="J4" s="409"/>
      <c r="K4" s="409"/>
      <c r="L4" s="409"/>
      <c r="M4" s="409"/>
      <c r="N4" s="409"/>
    </row>
    <row r="5" spans="1:15" s="138" customFormat="1" ht="12.75" customHeight="1">
      <c r="A5" s="409"/>
      <c r="B5" s="409"/>
      <c r="C5" s="409"/>
      <c r="D5" s="417" t="s">
        <v>282</v>
      </c>
      <c r="E5" s="417" t="s">
        <v>510</v>
      </c>
      <c r="F5" s="417" t="s">
        <v>283</v>
      </c>
      <c r="G5" s="417" t="s">
        <v>42</v>
      </c>
      <c r="H5" s="417" t="s">
        <v>42</v>
      </c>
      <c r="I5" s="417" t="s">
        <v>42</v>
      </c>
      <c r="J5" s="417" t="s">
        <v>429</v>
      </c>
      <c r="K5" s="417" t="s">
        <v>42</v>
      </c>
      <c r="L5" s="417" t="s">
        <v>429</v>
      </c>
      <c r="M5" s="417" t="s">
        <v>431</v>
      </c>
      <c r="N5" s="409"/>
      <c r="O5" s="139"/>
    </row>
    <row r="6" spans="1:15" s="138" customFormat="1" ht="12">
      <c r="A6" s="418" t="s">
        <v>485</v>
      </c>
      <c r="B6" s="409"/>
      <c r="C6" s="409"/>
      <c r="D6" s="417" t="s">
        <v>40</v>
      </c>
      <c r="E6" s="417" t="s">
        <v>284</v>
      </c>
      <c r="F6" s="417" t="s">
        <v>285</v>
      </c>
      <c r="G6" s="417" t="s">
        <v>510</v>
      </c>
      <c r="H6" s="417" t="s">
        <v>510</v>
      </c>
      <c r="I6" s="417" t="s">
        <v>431</v>
      </c>
      <c r="J6" s="417" t="s">
        <v>510</v>
      </c>
      <c r="K6" s="417" t="s">
        <v>510</v>
      </c>
      <c r="L6" s="417" t="s">
        <v>431</v>
      </c>
      <c r="M6" s="417" t="s">
        <v>510</v>
      </c>
      <c r="N6" s="409"/>
      <c r="O6" s="139"/>
    </row>
    <row r="7" spans="1:15" s="138" customFormat="1" ht="12">
      <c r="A7" s="419" t="s">
        <v>444</v>
      </c>
      <c r="B7" s="420" t="s">
        <v>548</v>
      </c>
      <c r="C7" s="420" t="s">
        <v>433</v>
      </c>
      <c r="D7" s="421">
        <v>38352</v>
      </c>
      <c r="E7" s="421">
        <v>38352</v>
      </c>
      <c r="F7" s="421">
        <v>38352</v>
      </c>
      <c r="G7" s="422" t="s">
        <v>286</v>
      </c>
      <c r="H7" s="422" t="s">
        <v>41</v>
      </c>
      <c r="I7" s="422" t="s">
        <v>510</v>
      </c>
      <c r="J7" s="422" t="s">
        <v>286</v>
      </c>
      <c r="K7" s="422" t="s">
        <v>41</v>
      </c>
      <c r="L7" s="422" t="s">
        <v>510</v>
      </c>
      <c r="M7" s="422" t="s">
        <v>43</v>
      </c>
      <c r="N7" s="423"/>
      <c r="O7" s="139"/>
    </row>
    <row r="8" spans="1:15" s="138" customFormat="1" ht="12">
      <c r="A8" s="409"/>
      <c r="B8" s="409"/>
      <c r="C8" s="424" t="s">
        <v>287</v>
      </c>
      <c r="D8" s="424"/>
      <c r="E8" s="424"/>
      <c r="F8" s="424"/>
      <c r="G8" s="424"/>
      <c r="H8" s="424"/>
      <c r="I8" s="424"/>
      <c r="J8" s="424"/>
      <c r="K8" s="424"/>
      <c r="L8" s="424"/>
      <c r="M8" s="424"/>
      <c r="N8" s="424"/>
      <c r="O8" s="139"/>
    </row>
    <row r="9" spans="1:15" s="138" customFormat="1" ht="12.75">
      <c r="A9" s="409">
        <v>1</v>
      </c>
      <c r="B9" s="425">
        <v>2111</v>
      </c>
      <c r="C9" s="397" t="s">
        <v>528</v>
      </c>
      <c r="D9" s="410">
        <f>+'[3]SUPP A TB'!K12</f>
        <v>251831.2</v>
      </c>
      <c r="E9" s="410"/>
      <c r="F9" s="410">
        <f>D9-E9</f>
        <v>251831.2</v>
      </c>
      <c r="G9" s="409"/>
      <c r="H9" s="409"/>
      <c r="I9" s="409"/>
      <c r="J9" s="409"/>
      <c r="K9" s="409"/>
      <c r="L9" s="409"/>
      <c r="M9" s="409"/>
      <c r="N9" s="409"/>
      <c r="O9" s="139"/>
    </row>
    <row r="10" spans="1:14" s="138" customFormat="1" ht="12.75">
      <c r="A10" s="409">
        <v>2</v>
      </c>
      <c r="B10" s="425">
        <v>2112</v>
      </c>
      <c r="C10" s="397" t="s">
        <v>529</v>
      </c>
      <c r="D10" s="410">
        <f>+'[3]SUPP A TB'!K13</f>
        <v>318945.47</v>
      </c>
      <c r="E10" s="410">
        <f>+'[3]SUPP A TB'!K54</f>
        <v>0</v>
      </c>
      <c r="F10" s="410">
        <f aca="true" t="shared" si="0" ref="F10:F15">D10+E10</f>
        <v>318945.47</v>
      </c>
      <c r="G10" s="406">
        <v>0.2</v>
      </c>
      <c r="H10" s="411">
        <f aca="true" t="shared" si="1" ref="H10:H15">1/G10</f>
        <v>5</v>
      </c>
      <c r="I10" s="410">
        <f aca="true" t="shared" si="2" ref="I10:I15">IF(F10&gt;0,IF(G10*D10&gt;F10,F10,G10*D10),0)</f>
        <v>63789.094</v>
      </c>
      <c r="J10" s="406">
        <v>0.2</v>
      </c>
      <c r="K10" s="411">
        <f aca="true" t="shared" si="3" ref="K10:K15">1/J10</f>
        <v>5</v>
      </c>
      <c r="L10" s="410">
        <f aca="true" t="shared" si="4" ref="L10:L15">IF(F10&gt;0,IF(J10*D10&gt;F10,F10,J10*D10),0)</f>
        <v>63789.094</v>
      </c>
      <c r="M10" s="410">
        <f aca="true" t="shared" si="5" ref="M10:M15">L10-I10</f>
        <v>0</v>
      </c>
      <c r="N10" s="409"/>
    </row>
    <row r="11" spans="1:14" s="138" customFormat="1" ht="12.75">
      <c r="A11" s="409">
        <v>3</v>
      </c>
      <c r="B11" s="425">
        <v>2116</v>
      </c>
      <c r="C11" s="397" t="s">
        <v>530</v>
      </c>
      <c r="D11" s="410">
        <f>+'[3]SUPP A TB'!K14</f>
        <v>0</v>
      </c>
      <c r="E11" s="410">
        <f>+'[3]SUPP A TB'!K55</f>
        <v>-248308</v>
      </c>
      <c r="F11" s="410">
        <f t="shared" si="0"/>
        <v>-248308</v>
      </c>
      <c r="G11" s="406">
        <v>0.2</v>
      </c>
      <c r="H11" s="411">
        <f t="shared" si="1"/>
        <v>5</v>
      </c>
      <c r="I11" s="410">
        <f t="shared" si="2"/>
        <v>0</v>
      </c>
      <c r="J11" s="406">
        <v>0.2</v>
      </c>
      <c r="K11" s="411">
        <f t="shared" si="3"/>
        <v>5</v>
      </c>
      <c r="L11" s="410">
        <f t="shared" si="4"/>
        <v>0</v>
      </c>
      <c r="M11" s="410">
        <f t="shared" si="5"/>
        <v>0</v>
      </c>
      <c r="N11" s="409"/>
    </row>
    <row r="12" spans="1:14" s="138" customFormat="1" ht="12.75">
      <c r="A12" s="409">
        <v>4</v>
      </c>
      <c r="B12" s="425">
        <v>2121</v>
      </c>
      <c r="C12" s="397" t="s">
        <v>531</v>
      </c>
      <c r="D12" s="410">
        <f>+'[3]SUPP A TB'!K15</f>
        <v>2500973</v>
      </c>
      <c r="E12" s="410">
        <f>+'[3]SUPP A TB'!K56</f>
        <v>-1146617</v>
      </c>
      <c r="F12" s="410">
        <f t="shared" si="0"/>
        <v>1354356</v>
      </c>
      <c r="G12" s="406">
        <v>0.0333</v>
      </c>
      <c r="H12" s="411">
        <f t="shared" si="1"/>
        <v>30.030030030030026</v>
      </c>
      <c r="I12" s="410">
        <f t="shared" si="2"/>
        <v>83282.40090000001</v>
      </c>
      <c r="J12" s="406">
        <v>0.05</v>
      </c>
      <c r="K12" s="411">
        <f t="shared" si="3"/>
        <v>20</v>
      </c>
      <c r="L12" s="410">
        <f t="shared" si="4"/>
        <v>125048.65000000001</v>
      </c>
      <c r="M12" s="410">
        <f t="shared" si="5"/>
        <v>41766.2491</v>
      </c>
      <c r="N12" s="409"/>
    </row>
    <row r="13" spans="1:14" s="138" customFormat="1" ht="12.75">
      <c r="A13" s="409">
        <v>5</v>
      </c>
      <c r="B13" s="425">
        <v>2122</v>
      </c>
      <c r="C13" s="397" t="s">
        <v>532</v>
      </c>
      <c r="D13" s="410">
        <f>+'[3]SUPP A TB'!K16</f>
        <v>25512</v>
      </c>
      <c r="E13" s="410">
        <f>+'[3]SUPP A TB'!K57</f>
        <v>-13912</v>
      </c>
      <c r="F13" s="410">
        <f t="shared" si="0"/>
        <v>11600</v>
      </c>
      <c r="G13" s="406">
        <v>0.15</v>
      </c>
      <c r="H13" s="411">
        <f t="shared" si="1"/>
        <v>6.666666666666667</v>
      </c>
      <c r="I13" s="410">
        <f t="shared" si="2"/>
        <v>3826.7999999999997</v>
      </c>
      <c r="J13" s="406">
        <v>0.15</v>
      </c>
      <c r="K13" s="411">
        <f t="shared" si="3"/>
        <v>6.666666666666667</v>
      </c>
      <c r="L13" s="410">
        <f t="shared" si="4"/>
        <v>3826.7999999999997</v>
      </c>
      <c r="M13" s="410">
        <f t="shared" si="5"/>
        <v>0</v>
      </c>
      <c r="N13" s="409"/>
    </row>
    <row r="14" spans="1:14" s="138" customFormat="1" ht="12.75">
      <c r="A14" s="409">
        <v>6</v>
      </c>
      <c r="B14" s="425">
        <v>2123</v>
      </c>
      <c r="C14" s="397" t="s">
        <v>533</v>
      </c>
      <c r="D14" s="410">
        <f>+'[3]SUPP A TB'!K17</f>
        <v>5377</v>
      </c>
      <c r="E14" s="410">
        <f>+'[3]SUPP A TB'!K58</f>
        <v>-5377</v>
      </c>
      <c r="F14" s="410">
        <f t="shared" si="0"/>
        <v>0</v>
      </c>
      <c r="G14" s="406">
        <v>0.2</v>
      </c>
      <c r="H14" s="411">
        <f t="shared" si="1"/>
        <v>5</v>
      </c>
      <c r="I14" s="410">
        <f t="shared" si="2"/>
        <v>0</v>
      </c>
      <c r="J14" s="406">
        <v>0.2</v>
      </c>
      <c r="K14" s="411">
        <f t="shared" si="3"/>
        <v>5</v>
      </c>
      <c r="L14" s="410">
        <f t="shared" si="4"/>
        <v>0</v>
      </c>
      <c r="M14" s="410">
        <f t="shared" si="5"/>
        <v>0</v>
      </c>
      <c r="N14" s="409"/>
    </row>
    <row r="15" spans="1:14" s="138" customFormat="1" ht="12.75">
      <c r="A15" s="409">
        <v>7</v>
      </c>
      <c r="B15" s="425">
        <v>2124</v>
      </c>
      <c r="C15" s="397" t="s">
        <v>534</v>
      </c>
      <c r="D15" s="412">
        <f>+'[3]SUPP A TB'!K18</f>
        <v>67842</v>
      </c>
      <c r="E15" s="410">
        <f>+'[3]SUPP A TB'!K59</f>
        <v>-41096</v>
      </c>
      <c r="F15" s="412">
        <f t="shared" si="0"/>
        <v>26746</v>
      </c>
      <c r="G15" s="406">
        <v>0.2</v>
      </c>
      <c r="H15" s="411">
        <f t="shared" si="1"/>
        <v>5</v>
      </c>
      <c r="I15" s="412">
        <f t="shared" si="2"/>
        <v>13568.400000000001</v>
      </c>
      <c r="J15" s="406">
        <v>0.2</v>
      </c>
      <c r="K15" s="411">
        <f t="shared" si="3"/>
        <v>5</v>
      </c>
      <c r="L15" s="412">
        <f t="shared" si="4"/>
        <v>13568.400000000001</v>
      </c>
      <c r="M15" s="412">
        <f t="shared" si="5"/>
        <v>0</v>
      </c>
      <c r="N15" s="409"/>
    </row>
    <row r="16" spans="1:14" s="138" customFormat="1" ht="12">
      <c r="A16" s="409">
        <v>8</v>
      </c>
      <c r="B16" s="418"/>
      <c r="C16" s="418" t="s">
        <v>288</v>
      </c>
      <c r="D16" s="410">
        <f>SUM(D9:D15)</f>
        <v>3170480.67</v>
      </c>
      <c r="E16" s="410">
        <f>SUM(E10:E15)</f>
        <v>-1455310</v>
      </c>
      <c r="F16" s="410">
        <f>SUM(F9:F15)</f>
        <v>1715170.67</v>
      </c>
      <c r="G16" s="426"/>
      <c r="H16" s="409"/>
      <c r="I16" s="410">
        <f>SUM(I9:I15)</f>
        <v>164466.69489999997</v>
      </c>
      <c r="J16" s="406"/>
      <c r="K16" s="409"/>
      <c r="L16" s="410">
        <f>SUM(L9:L15)</f>
        <v>206232.944</v>
      </c>
      <c r="M16" s="410">
        <f>SUM(M9:M15)</f>
        <v>41766.2491</v>
      </c>
      <c r="N16" s="409"/>
    </row>
    <row r="17" spans="1:14" s="138" customFormat="1" ht="12">
      <c r="A17" s="409">
        <v>9</v>
      </c>
      <c r="B17" s="418"/>
      <c r="C17" s="409"/>
      <c r="D17" s="409"/>
      <c r="E17" s="409"/>
      <c r="F17" s="409"/>
      <c r="G17" s="426"/>
      <c r="H17" s="409"/>
      <c r="I17" s="409"/>
      <c r="J17" s="406"/>
      <c r="K17" s="409"/>
      <c r="L17" s="409"/>
      <c r="M17" s="409"/>
      <c r="N17" s="409"/>
    </row>
    <row r="18" spans="1:15" s="138" customFormat="1" ht="12">
      <c r="A18" s="409">
        <v>10</v>
      </c>
      <c r="B18" s="418"/>
      <c r="C18" s="424" t="s">
        <v>289</v>
      </c>
      <c r="D18" s="424"/>
      <c r="E18" s="424"/>
      <c r="F18" s="424"/>
      <c r="G18" s="427"/>
      <c r="H18" s="424"/>
      <c r="I18" s="424"/>
      <c r="J18" s="407"/>
      <c r="K18" s="424"/>
      <c r="L18" s="424"/>
      <c r="M18" s="424"/>
      <c r="N18" s="424"/>
      <c r="O18" s="145"/>
    </row>
    <row r="19" spans="1:14" s="138" customFormat="1" ht="12.75">
      <c r="A19" s="409">
        <v>11</v>
      </c>
      <c r="B19" s="425">
        <v>2210</v>
      </c>
      <c r="C19" s="397" t="s">
        <v>343</v>
      </c>
      <c r="D19" s="410">
        <f>+'[3]SUPP A TB'!K21</f>
        <v>925352</v>
      </c>
      <c r="E19" s="410">
        <f>+'[3]SUPP A TB'!K62</f>
        <v>-177986</v>
      </c>
      <c r="F19" s="410">
        <f aca="true" t="shared" si="6" ref="F19:F24">D19+E19</f>
        <v>747366</v>
      </c>
      <c r="G19" s="406">
        <v>0.2</v>
      </c>
      <c r="H19" s="411">
        <f aca="true" t="shared" si="7" ref="H19:H24">1/G19</f>
        <v>5</v>
      </c>
      <c r="I19" s="410">
        <f aca="true" t="shared" si="8" ref="I19:I24">IF(F19&gt;0,IF(G19*D19&gt;F19,F19,G19*D19),0)</f>
        <v>185070.40000000002</v>
      </c>
      <c r="J19" s="406">
        <v>0.2</v>
      </c>
      <c r="K19" s="411">
        <f aca="true" t="shared" si="9" ref="K19:K24">1/J19</f>
        <v>5</v>
      </c>
      <c r="L19" s="410">
        <f aca="true" t="shared" si="10" ref="L19:L24">IF(F19&gt;0,IF(J19*D19&gt;F19,F19,J19*D19),0)</f>
        <v>185070.40000000002</v>
      </c>
      <c r="M19" s="410">
        <f aca="true" t="shared" si="11" ref="M19:M24">L19-I19</f>
        <v>0</v>
      </c>
      <c r="N19" s="409"/>
    </row>
    <row r="20" spans="1:14" s="138" customFormat="1" ht="12.75">
      <c r="A20" s="409">
        <v>12</v>
      </c>
      <c r="B20" s="425">
        <v>2212</v>
      </c>
      <c r="C20" s="397" t="s">
        <v>731</v>
      </c>
      <c r="D20" s="410">
        <f>+'[3]SUPP A TB'!K22</f>
        <v>4889315</v>
      </c>
      <c r="E20" s="410">
        <f>+'[3]SUPP A TB'!K63</f>
        <v>-4492927</v>
      </c>
      <c r="F20" s="410">
        <f t="shared" si="6"/>
        <v>396388</v>
      </c>
      <c r="G20" s="406">
        <v>0.0833</v>
      </c>
      <c r="H20" s="411">
        <f t="shared" si="7"/>
        <v>12.004801920768308</v>
      </c>
      <c r="I20" s="410">
        <f t="shared" si="8"/>
        <v>396388</v>
      </c>
      <c r="J20" s="406">
        <v>0.0833</v>
      </c>
      <c r="K20" s="411">
        <f t="shared" si="9"/>
        <v>12.004801920768308</v>
      </c>
      <c r="L20" s="410">
        <f t="shared" si="10"/>
        <v>396388</v>
      </c>
      <c r="M20" s="410">
        <f t="shared" si="11"/>
        <v>0</v>
      </c>
      <c r="N20" s="409"/>
    </row>
    <row r="21" spans="1:14" s="138" customFormat="1" ht="12.75">
      <c r="A21" s="409">
        <v>13</v>
      </c>
      <c r="B21" s="425">
        <v>2230</v>
      </c>
      <c r="C21" s="397" t="s">
        <v>536</v>
      </c>
      <c r="D21" s="410">
        <f>+'[3]SUPP A TB'!K26</f>
        <v>1509848</v>
      </c>
      <c r="E21" s="410">
        <f>+'[3]SUPP A TB'!K67</f>
        <v>-428405.5</v>
      </c>
      <c r="F21" s="410">
        <f>D21+E21</f>
        <v>1081442.5</v>
      </c>
      <c r="G21" s="406">
        <v>0.125</v>
      </c>
      <c r="H21" s="411">
        <f t="shared" si="7"/>
        <v>8</v>
      </c>
      <c r="I21" s="410">
        <f>IF(F21&gt;0,IF(G21*D21&gt;F21,F21,G21*D21),0)</f>
        <v>188731</v>
      </c>
      <c r="J21" s="406">
        <v>0.125</v>
      </c>
      <c r="K21" s="411">
        <f t="shared" si="9"/>
        <v>8</v>
      </c>
      <c r="L21" s="410">
        <f>IF(F21&gt;0,IF(J21*D21&gt;F21,F21,J21*D21),0)</f>
        <v>188731</v>
      </c>
      <c r="M21" s="410">
        <f t="shared" si="11"/>
        <v>0</v>
      </c>
      <c r="N21" s="409"/>
    </row>
    <row r="22" spans="1:14" s="138" customFormat="1" ht="12.75">
      <c r="A22" s="409">
        <v>14</v>
      </c>
      <c r="B22" s="425">
        <v>2231</v>
      </c>
      <c r="C22" s="397" t="s">
        <v>537</v>
      </c>
      <c r="D22" s="410">
        <f>+'[3]SUPP A TB'!K27</f>
        <v>3473819</v>
      </c>
      <c r="E22" s="410">
        <f>+'[3]SUPP A TB'!K68</f>
        <v>-2935018.5</v>
      </c>
      <c r="F22" s="410">
        <f>D22+E22</f>
        <v>538800.5</v>
      </c>
      <c r="G22" s="406">
        <v>0.125</v>
      </c>
      <c r="H22" s="411">
        <f t="shared" si="7"/>
        <v>8</v>
      </c>
      <c r="I22" s="410">
        <f>IF(F22&gt;0,IF(G22*D22&gt;F22,F22,G22*D22),0)</f>
        <v>434227.375</v>
      </c>
      <c r="J22" s="406">
        <v>0.125</v>
      </c>
      <c r="K22" s="411">
        <f t="shared" si="9"/>
        <v>8</v>
      </c>
      <c r="L22" s="410">
        <f>IF(F22&gt;0,IF(J22*D22&gt;F22,F22,J22*D22),0)</f>
        <v>434227.375</v>
      </c>
      <c r="M22" s="410">
        <f t="shared" si="11"/>
        <v>0</v>
      </c>
      <c r="N22" s="409"/>
    </row>
    <row r="23" spans="1:14" s="138" customFormat="1" ht="12.75">
      <c r="A23" s="409">
        <v>15</v>
      </c>
      <c r="B23" s="425">
        <v>2232</v>
      </c>
      <c r="C23" s="397" t="s">
        <v>538</v>
      </c>
      <c r="D23" s="410">
        <f>+'[3]SUPP A TB'!K28</f>
        <v>5407077</v>
      </c>
      <c r="E23" s="410">
        <f>+'[3]SUPP A TB'!K69</f>
        <v>-5407077</v>
      </c>
      <c r="F23" s="410">
        <f t="shared" si="6"/>
        <v>0</v>
      </c>
      <c r="G23" s="406">
        <v>0.125</v>
      </c>
      <c r="H23" s="411">
        <f t="shared" si="7"/>
        <v>8</v>
      </c>
      <c r="I23" s="410">
        <f t="shared" si="8"/>
        <v>0</v>
      </c>
      <c r="J23" s="406">
        <v>0.125</v>
      </c>
      <c r="K23" s="411">
        <f t="shared" si="9"/>
        <v>8</v>
      </c>
      <c r="L23" s="410">
        <f t="shared" si="10"/>
        <v>0</v>
      </c>
      <c r="M23" s="410">
        <f t="shared" si="11"/>
        <v>0</v>
      </c>
      <c r="N23" s="409"/>
    </row>
    <row r="24" spans="1:14" s="138" customFormat="1" ht="12.75">
      <c r="A24" s="409">
        <v>16</v>
      </c>
      <c r="B24" s="425">
        <v>2362</v>
      </c>
      <c r="C24" s="397" t="s">
        <v>539</v>
      </c>
      <c r="D24" s="412">
        <f>+'[3]SUPP A TB'!E31</f>
        <v>0</v>
      </c>
      <c r="E24" s="412">
        <f>+'[3]SUPP A TB'!E72</f>
        <v>0</v>
      </c>
      <c r="F24" s="412">
        <f t="shared" si="6"/>
        <v>0</v>
      </c>
      <c r="G24" s="406">
        <v>0.125</v>
      </c>
      <c r="H24" s="411">
        <f t="shared" si="7"/>
        <v>8</v>
      </c>
      <c r="I24" s="412">
        <f t="shared" si="8"/>
        <v>0</v>
      </c>
      <c r="J24" s="406">
        <v>0.125</v>
      </c>
      <c r="K24" s="411">
        <f t="shared" si="9"/>
        <v>8</v>
      </c>
      <c r="L24" s="412">
        <f t="shared" si="10"/>
        <v>0</v>
      </c>
      <c r="M24" s="412">
        <f t="shared" si="11"/>
        <v>0</v>
      </c>
      <c r="N24" s="409"/>
    </row>
    <row r="25" spans="1:14" s="138" customFormat="1" ht="12">
      <c r="A25" s="409">
        <v>17</v>
      </c>
      <c r="B25" s="418"/>
      <c r="C25" s="418" t="s">
        <v>288</v>
      </c>
      <c r="D25" s="410">
        <f>SUM(D19:D24)</f>
        <v>16205411</v>
      </c>
      <c r="E25" s="410">
        <f>SUM(E19:E24)</f>
        <v>-13441414</v>
      </c>
      <c r="F25" s="410">
        <f>SUM(F19:F24)</f>
        <v>2763997</v>
      </c>
      <c r="G25" s="426"/>
      <c r="H25" s="409"/>
      <c r="I25" s="410">
        <f>SUM(I19:I24)</f>
        <v>1204416.775</v>
      </c>
      <c r="J25" s="406"/>
      <c r="K25" s="409"/>
      <c r="L25" s="410">
        <f>SUM(L19:L24)</f>
        <v>1204416.775</v>
      </c>
      <c r="M25" s="410">
        <f>SUM(M20:M24)</f>
        <v>0</v>
      </c>
      <c r="N25" s="409"/>
    </row>
    <row r="26" spans="1:23" s="138" customFormat="1" ht="12">
      <c r="A26" s="409">
        <v>18</v>
      </c>
      <c r="B26" s="409"/>
      <c r="C26" s="409"/>
      <c r="D26" s="409"/>
      <c r="E26" s="409"/>
      <c r="F26" s="409"/>
      <c r="G26" s="426"/>
      <c r="H26" s="409"/>
      <c r="I26" s="409"/>
      <c r="J26" s="406"/>
      <c r="K26" s="409"/>
      <c r="L26" s="409"/>
      <c r="M26" s="409"/>
      <c r="N26" s="409"/>
      <c r="O26" s="145"/>
      <c r="Q26" s="148"/>
      <c r="V26" s="150"/>
      <c r="W26" s="148"/>
    </row>
    <row r="27" spans="1:23" s="138" customFormat="1" ht="12">
      <c r="A27" s="409">
        <v>19</v>
      </c>
      <c r="B27" s="418"/>
      <c r="C27" s="424" t="s">
        <v>290</v>
      </c>
      <c r="D27" s="424"/>
      <c r="E27" s="424"/>
      <c r="F27" s="424"/>
      <c r="G27" s="426"/>
      <c r="H27" s="424"/>
      <c r="I27" s="424"/>
      <c r="J27" s="407"/>
      <c r="K27" s="424"/>
      <c r="L27" s="424"/>
      <c r="M27" s="424"/>
      <c r="N27" s="424"/>
      <c r="P27" s="147"/>
      <c r="Q27" s="148"/>
      <c r="S27" s="150"/>
      <c r="T27" s="151"/>
      <c r="V27" s="150"/>
      <c r="W27" s="148"/>
    </row>
    <row r="28" spans="1:23" s="138" customFormat="1" ht="12.75">
      <c r="A28" s="409">
        <v>20</v>
      </c>
      <c r="B28" s="425">
        <v>2411</v>
      </c>
      <c r="C28" s="397" t="s">
        <v>540</v>
      </c>
      <c r="D28" s="410">
        <f>+'[3]SUPP A TB'!K33</f>
        <v>527577</v>
      </c>
      <c r="E28" s="410">
        <f>+'[3]SUPP A TB'!K74</f>
        <v>-527577</v>
      </c>
      <c r="F28" s="410">
        <f aca="true" t="shared" si="12" ref="F28:F34">D28+E28</f>
        <v>0</v>
      </c>
      <c r="G28" s="406">
        <v>0.1</v>
      </c>
      <c r="H28" s="411">
        <f aca="true" t="shared" si="13" ref="H28:H34">1/G28</f>
        <v>10</v>
      </c>
      <c r="I28" s="410">
        <f aca="true" t="shared" si="14" ref="I28:I34">IF(F28&gt;0,IF(G28*D28&gt;F28,F28,G28*D28),0)</f>
        <v>0</v>
      </c>
      <c r="J28" s="406">
        <v>0.1</v>
      </c>
      <c r="K28" s="411">
        <f aca="true" t="shared" si="15" ref="K28:K34">1/J28</f>
        <v>10</v>
      </c>
      <c r="L28" s="410">
        <f aca="true" t="shared" si="16" ref="L28:L34">IF(F28&gt;0,IF(J28*D28&gt;F28,F28,J28*D28),0)</f>
        <v>0</v>
      </c>
      <c r="M28" s="410">
        <f aca="true" t="shared" si="17" ref="M28:M34">L28-I28</f>
        <v>0</v>
      </c>
      <c r="N28" s="409"/>
      <c r="P28" s="147"/>
      <c r="Q28" s="148"/>
      <c r="S28" s="150"/>
      <c r="T28" s="151"/>
      <c r="V28" s="150"/>
      <c r="W28" s="148"/>
    </row>
    <row r="29" spans="1:23" s="138" customFormat="1" ht="12.75">
      <c r="A29" s="409">
        <v>21</v>
      </c>
      <c r="B29" s="425">
        <v>2421</v>
      </c>
      <c r="C29" s="397" t="s">
        <v>541</v>
      </c>
      <c r="D29" s="410">
        <f>+'[3]SUPP A TB'!K34</f>
        <v>2695445</v>
      </c>
      <c r="E29" s="410">
        <f>+'[3]SUPP A TB'!K75</f>
        <v>-1945901</v>
      </c>
      <c r="F29" s="410">
        <f t="shared" si="12"/>
        <v>749544</v>
      </c>
      <c r="G29" s="406">
        <v>0.1</v>
      </c>
      <c r="H29" s="411">
        <f t="shared" si="13"/>
        <v>10</v>
      </c>
      <c r="I29" s="410">
        <f t="shared" si="14"/>
        <v>269544.5</v>
      </c>
      <c r="J29" s="406">
        <v>0.1</v>
      </c>
      <c r="K29" s="411">
        <f t="shared" si="15"/>
        <v>10</v>
      </c>
      <c r="L29" s="410">
        <f t="shared" si="16"/>
        <v>269544.5</v>
      </c>
      <c r="M29" s="410">
        <f t="shared" si="17"/>
        <v>0</v>
      </c>
      <c r="N29" s="409"/>
      <c r="P29" s="147"/>
      <c r="Q29" s="148"/>
      <c r="S29" s="150"/>
      <c r="T29" s="151"/>
      <c r="V29" s="150"/>
      <c r="W29" s="148"/>
    </row>
    <row r="30" spans="1:23" s="138" customFormat="1" ht="12.75">
      <c r="A30" s="409">
        <v>22</v>
      </c>
      <c r="B30" s="425">
        <v>2422</v>
      </c>
      <c r="C30" s="397" t="s">
        <v>542</v>
      </c>
      <c r="D30" s="410">
        <f>+'[3]SUPP A TB'!K35</f>
        <v>843796</v>
      </c>
      <c r="E30" s="410">
        <f>+'[3]SUPP A TB'!K76</f>
        <v>-464411</v>
      </c>
      <c r="F30" s="410">
        <f t="shared" si="12"/>
        <v>379385</v>
      </c>
      <c r="G30" s="406">
        <v>0.04</v>
      </c>
      <c r="H30" s="411">
        <f t="shared" si="13"/>
        <v>25</v>
      </c>
      <c r="I30" s="410">
        <f t="shared" si="14"/>
        <v>33751.840000000004</v>
      </c>
      <c r="J30" s="406">
        <v>0.05</v>
      </c>
      <c r="K30" s="411">
        <f t="shared" si="15"/>
        <v>20</v>
      </c>
      <c r="L30" s="410">
        <f t="shared" si="16"/>
        <v>42189.8</v>
      </c>
      <c r="M30" s="410">
        <f t="shared" si="17"/>
        <v>8437.96</v>
      </c>
      <c r="N30" s="409"/>
      <c r="P30" s="147"/>
      <c r="Q30" s="148"/>
      <c r="S30" s="150"/>
      <c r="T30" s="151"/>
      <c r="V30" s="150"/>
      <c r="W30" s="148"/>
    </row>
    <row r="31" spans="1:23" s="138" customFormat="1" ht="12.75">
      <c r="A31" s="409">
        <v>23</v>
      </c>
      <c r="B31" s="425">
        <v>2423</v>
      </c>
      <c r="C31" s="397" t="s">
        <v>543</v>
      </c>
      <c r="D31" s="410">
        <f>+'[3]SUPP A TB'!K36</f>
        <v>13199492</v>
      </c>
      <c r="E31" s="410">
        <f>+'[3]SUPP A TB'!K77</f>
        <v>-7502840.5</v>
      </c>
      <c r="F31" s="410">
        <f t="shared" si="12"/>
        <v>5696651.5</v>
      </c>
      <c r="G31" s="406">
        <v>0.045</v>
      </c>
      <c r="H31" s="411">
        <f t="shared" si="13"/>
        <v>22.22222222222222</v>
      </c>
      <c r="I31" s="410">
        <f t="shared" si="14"/>
        <v>593977.14</v>
      </c>
      <c r="J31" s="406">
        <v>0.05</v>
      </c>
      <c r="K31" s="411">
        <f t="shared" si="15"/>
        <v>20</v>
      </c>
      <c r="L31" s="410">
        <f t="shared" si="16"/>
        <v>659974.6000000001</v>
      </c>
      <c r="M31" s="410">
        <f t="shared" si="17"/>
        <v>65997.46000000008</v>
      </c>
      <c r="N31" s="409"/>
      <c r="P31" s="147"/>
      <c r="Q31" s="148"/>
      <c r="S31" s="150"/>
      <c r="T31" s="151"/>
      <c r="V31" s="150"/>
      <c r="W31" s="148"/>
    </row>
    <row r="32" spans="1:23" s="138" customFormat="1" ht="12.75">
      <c r="A32" s="409">
        <v>24</v>
      </c>
      <c r="B32" s="425">
        <v>2426</v>
      </c>
      <c r="C32" s="397" t="s">
        <v>544</v>
      </c>
      <c r="D32" s="410">
        <f>+'[3]SUPP A TB'!K37</f>
        <v>157516</v>
      </c>
      <c r="E32" s="410">
        <f>+'[3]SUPP A TB'!K78</f>
        <v>-136303</v>
      </c>
      <c r="F32" s="410">
        <f t="shared" si="12"/>
        <v>21213</v>
      </c>
      <c r="G32" s="406">
        <v>0.045</v>
      </c>
      <c r="H32" s="411">
        <f t="shared" si="13"/>
        <v>22.22222222222222</v>
      </c>
      <c r="I32" s="410">
        <f t="shared" si="14"/>
        <v>7088.219999999999</v>
      </c>
      <c r="J32" s="406">
        <v>0.05</v>
      </c>
      <c r="K32" s="411">
        <f t="shared" si="15"/>
        <v>20</v>
      </c>
      <c r="L32" s="410">
        <f t="shared" si="16"/>
        <v>7875.8</v>
      </c>
      <c r="M32" s="410">
        <f t="shared" si="17"/>
        <v>787.5800000000008</v>
      </c>
      <c r="N32" s="409"/>
      <c r="P32" s="147"/>
      <c r="Q32" s="148"/>
      <c r="S32" s="150"/>
      <c r="T32" s="151"/>
      <c r="V32" s="150"/>
      <c r="W32" s="148"/>
    </row>
    <row r="33" spans="1:23" s="138" customFormat="1" ht="12.75">
      <c r="A33" s="409">
        <v>25</v>
      </c>
      <c r="B33" s="425">
        <v>2431</v>
      </c>
      <c r="C33" s="397" t="s">
        <v>545</v>
      </c>
      <c r="D33" s="410">
        <f>+'[3]SUPP A TB'!K38</f>
        <v>133129</v>
      </c>
      <c r="E33" s="410">
        <f>+'[3]SUPP A TB'!K79</f>
        <v>-133129</v>
      </c>
      <c r="F33" s="410">
        <f t="shared" si="12"/>
        <v>0</v>
      </c>
      <c r="G33" s="406">
        <v>0.1</v>
      </c>
      <c r="H33" s="411">
        <f t="shared" si="13"/>
        <v>10</v>
      </c>
      <c r="I33" s="410">
        <f t="shared" si="14"/>
        <v>0</v>
      </c>
      <c r="J33" s="406">
        <v>0.1</v>
      </c>
      <c r="K33" s="411">
        <f t="shared" si="15"/>
        <v>10</v>
      </c>
      <c r="L33" s="410">
        <f t="shared" si="16"/>
        <v>0</v>
      </c>
      <c r="M33" s="410">
        <f t="shared" si="17"/>
        <v>0</v>
      </c>
      <c r="N33" s="409"/>
      <c r="P33" s="147"/>
      <c r="Q33" s="148"/>
      <c r="S33" s="150"/>
      <c r="T33" s="151"/>
      <c r="V33" s="150"/>
      <c r="W33" s="148"/>
    </row>
    <row r="34" spans="1:14" s="138" customFormat="1" ht="12.75">
      <c r="A34" s="409">
        <v>27</v>
      </c>
      <c r="B34" s="425">
        <v>2441</v>
      </c>
      <c r="C34" s="397" t="s">
        <v>546</v>
      </c>
      <c r="D34" s="410">
        <f>+'[3]SUPP A TB'!K39</f>
        <v>409191</v>
      </c>
      <c r="E34" s="410">
        <f>+'[3]SUPP A TB'!K80</f>
        <v>-135076</v>
      </c>
      <c r="F34" s="412">
        <f t="shared" si="12"/>
        <v>274115</v>
      </c>
      <c r="G34" s="406">
        <v>0.02</v>
      </c>
      <c r="H34" s="411">
        <f t="shared" si="13"/>
        <v>50</v>
      </c>
      <c r="I34" s="412">
        <f t="shared" si="14"/>
        <v>8183.820000000001</v>
      </c>
      <c r="J34" s="406">
        <v>0.0333</v>
      </c>
      <c r="K34" s="411">
        <f t="shared" si="15"/>
        <v>30.030030030030026</v>
      </c>
      <c r="L34" s="412">
        <f t="shared" si="16"/>
        <v>13626.060300000001</v>
      </c>
      <c r="M34" s="412">
        <f t="shared" si="17"/>
        <v>5442.2403</v>
      </c>
      <c r="N34" s="409"/>
    </row>
    <row r="35" spans="1:14" s="138" customFormat="1" ht="12">
      <c r="A35" s="409">
        <v>28</v>
      </c>
      <c r="B35" s="418"/>
      <c r="C35" s="418" t="s">
        <v>288</v>
      </c>
      <c r="D35" s="410">
        <f>SUM(D28:D34)</f>
        <v>17966146</v>
      </c>
      <c r="E35" s="410">
        <f>SUM(E28:E34)</f>
        <v>-10845237.5</v>
      </c>
      <c r="F35" s="410">
        <f>SUM(F28:F34)</f>
        <v>7120908.5</v>
      </c>
      <c r="G35" s="409"/>
      <c r="H35" s="409"/>
      <c r="I35" s="410">
        <f>SUM(I28:I34)</f>
        <v>912545.5199999999</v>
      </c>
      <c r="J35" s="408"/>
      <c r="K35" s="409"/>
      <c r="L35" s="410">
        <f>SUM(L28:L34)</f>
        <v>993210.7603000002</v>
      </c>
      <c r="M35" s="410">
        <f>SUM(M28:M34)</f>
        <v>80665.24030000008</v>
      </c>
      <c r="N35" s="409"/>
    </row>
    <row r="36" spans="1:14" s="138" customFormat="1" ht="12">
      <c r="A36" s="409">
        <v>29</v>
      </c>
      <c r="B36" s="418"/>
      <c r="C36" s="409"/>
      <c r="D36" s="409"/>
      <c r="E36" s="409"/>
      <c r="F36" s="409"/>
      <c r="G36" s="409"/>
      <c r="H36" s="409"/>
      <c r="I36" s="409"/>
      <c r="J36" s="409"/>
      <c r="K36" s="409"/>
      <c r="L36" s="409"/>
      <c r="M36" s="409"/>
      <c r="N36" s="409"/>
    </row>
    <row r="37" spans="1:14" s="138" customFormat="1" ht="12">
      <c r="A37" s="409">
        <v>30</v>
      </c>
      <c r="B37" s="418"/>
      <c r="C37" s="418" t="s">
        <v>435</v>
      </c>
      <c r="D37" s="410">
        <f>D16+D25+D35</f>
        <v>37342037.67</v>
      </c>
      <c r="E37" s="410">
        <f>E16+E25+E35</f>
        <v>-25741961.5</v>
      </c>
      <c r="F37" s="410">
        <f>F16+F25+F35</f>
        <v>11600076.17</v>
      </c>
      <c r="G37" s="409"/>
      <c r="H37" s="409"/>
      <c r="I37" s="410">
        <f>I16+I25+I35</f>
        <v>2281428.9899</v>
      </c>
      <c r="J37" s="409"/>
      <c r="K37" s="409"/>
      <c r="L37" s="410">
        <f>L16+L25+L35</f>
        <v>2403860.4793</v>
      </c>
      <c r="M37" s="410">
        <f>M16+M25+M35</f>
        <v>122431.48940000008</v>
      </c>
      <c r="N37" s="409"/>
    </row>
    <row r="38" spans="1:14" s="138" customFormat="1" ht="12">
      <c r="A38" s="428">
        <v>31</v>
      </c>
      <c r="B38" s="429"/>
      <c r="C38" s="409" t="s">
        <v>632</v>
      </c>
      <c r="D38" s="409"/>
      <c r="E38" s="409"/>
      <c r="F38" s="409"/>
      <c r="G38" s="409"/>
      <c r="H38" s="409"/>
      <c r="I38" s="409"/>
      <c r="J38" s="409"/>
      <c r="K38" s="409"/>
      <c r="L38" s="409"/>
      <c r="M38" s="410">
        <f>+'EXH 7 EXCESS DEPR'!M13</f>
        <v>-17791</v>
      </c>
      <c r="N38" s="409"/>
    </row>
    <row r="39" spans="1:14" s="138" customFormat="1" ht="12.75" thickBot="1">
      <c r="A39" s="409">
        <v>32</v>
      </c>
      <c r="B39" s="418"/>
      <c r="C39" s="409" t="s">
        <v>374</v>
      </c>
      <c r="D39" s="409"/>
      <c r="E39" s="409"/>
      <c r="F39" s="409"/>
      <c r="G39" s="409"/>
      <c r="H39" s="409"/>
      <c r="I39" s="409"/>
      <c r="J39" s="409"/>
      <c r="K39" s="409"/>
      <c r="L39" s="409"/>
      <c r="M39" s="430">
        <f>+M37+M38</f>
        <v>104640.48940000008</v>
      </c>
      <c r="N39" s="409"/>
    </row>
    <row r="40" spans="1:14" s="138" customFormat="1" ht="12.75" thickTop="1">
      <c r="A40" s="409"/>
      <c r="B40" s="418"/>
      <c r="C40" s="409"/>
      <c r="D40" s="409"/>
      <c r="E40" s="409"/>
      <c r="F40" s="409"/>
      <c r="G40" s="409"/>
      <c r="H40" s="409"/>
      <c r="I40" s="409"/>
      <c r="J40" s="409"/>
      <c r="K40" s="409"/>
      <c r="L40" s="409"/>
      <c r="M40" s="409"/>
      <c r="N40" s="409"/>
    </row>
    <row r="41" spans="1:14" s="138" customFormat="1" ht="12">
      <c r="A41" s="409"/>
      <c r="B41" s="418"/>
      <c r="C41" s="431" t="s">
        <v>130</v>
      </c>
      <c r="D41" s="409"/>
      <c r="E41" s="409"/>
      <c r="F41" s="409"/>
      <c r="G41" s="409"/>
      <c r="H41" s="409"/>
      <c r="I41" s="409"/>
      <c r="J41" s="409"/>
      <c r="K41" s="409"/>
      <c r="L41" s="409"/>
      <c r="M41" s="409"/>
      <c r="N41" s="409"/>
    </row>
    <row r="42" spans="1:14" s="138" customFormat="1" ht="12">
      <c r="A42" s="409">
        <v>33</v>
      </c>
      <c r="B42" s="418"/>
      <c r="C42" s="409" t="s">
        <v>131</v>
      </c>
      <c r="D42" s="409" t="s">
        <v>160</v>
      </c>
      <c r="E42" s="409"/>
      <c r="F42" s="409"/>
      <c r="G42" s="409"/>
      <c r="H42" s="409"/>
      <c r="I42" s="409"/>
      <c r="J42" s="409"/>
      <c r="K42" s="409"/>
      <c r="L42" s="409"/>
      <c r="M42" s="409">
        <v>0.3857</v>
      </c>
      <c r="N42" s="409"/>
    </row>
    <row r="43" spans="1:14" s="138" customFormat="1" ht="12">
      <c r="A43" s="409">
        <v>34</v>
      </c>
      <c r="B43" s="418"/>
      <c r="C43" s="409" t="s">
        <v>158</v>
      </c>
      <c r="D43" s="409" t="s">
        <v>156</v>
      </c>
      <c r="E43" s="409"/>
      <c r="F43" s="409"/>
      <c r="G43" s="409"/>
      <c r="H43" s="409"/>
      <c r="I43" s="409"/>
      <c r="J43" s="409"/>
      <c r="K43" s="409"/>
      <c r="L43" s="409"/>
      <c r="M43" s="432">
        <f>ROUND(+M42*M39,-3)</f>
        <v>40000</v>
      </c>
      <c r="N43" s="409" t="s">
        <v>656</v>
      </c>
    </row>
    <row r="44" spans="1:14" s="138" customFormat="1" ht="12">
      <c r="A44" s="409">
        <v>35</v>
      </c>
      <c r="B44" s="418"/>
      <c r="C44" s="409" t="s">
        <v>157</v>
      </c>
      <c r="D44" s="409" t="s">
        <v>159</v>
      </c>
      <c r="E44" s="409"/>
      <c r="F44" s="409"/>
      <c r="G44" s="409"/>
      <c r="H44" s="409"/>
      <c r="I44" s="409"/>
      <c r="J44" s="409"/>
      <c r="K44" s="409"/>
      <c r="L44" s="409"/>
      <c r="M44" s="432">
        <f>+M39-M43</f>
        <v>64640.48940000008</v>
      </c>
      <c r="N44" s="409" t="s">
        <v>634</v>
      </c>
    </row>
    <row r="45" spans="1:14" s="138" customFormat="1" ht="12">
      <c r="A45" s="409"/>
      <c r="B45" s="418"/>
      <c r="C45" s="409"/>
      <c r="D45" s="409"/>
      <c r="E45" s="409"/>
      <c r="F45" s="409"/>
      <c r="G45" s="409"/>
      <c r="H45" s="409"/>
      <c r="I45" s="409"/>
      <c r="J45" s="409"/>
      <c r="K45" s="409"/>
      <c r="L45" s="409"/>
      <c r="M45" s="410"/>
      <c r="N45" s="409"/>
    </row>
    <row r="46" spans="1:14" s="138" customFormat="1" ht="12">
      <c r="A46" s="409"/>
      <c r="B46" s="418"/>
      <c r="C46" s="431" t="s">
        <v>655</v>
      </c>
      <c r="D46" s="409"/>
      <c r="E46" s="409"/>
      <c r="F46" s="409"/>
      <c r="G46" s="409"/>
      <c r="H46" s="409"/>
      <c r="I46" s="409"/>
      <c r="J46" s="409"/>
      <c r="K46" s="409"/>
      <c r="L46" s="409"/>
      <c r="M46" s="410"/>
      <c r="N46" s="409"/>
    </row>
    <row r="47" spans="1:14" s="138" customFormat="1" ht="12">
      <c r="A47" s="409"/>
      <c r="B47" s="418"/>
      <c r="C47" s="409"/>
      <c r="D47" s="409"/>
      <c r="E47" s="409"/>
      <c r="F47" s="409"/>
      <c r="G47" s="409"/>
      <c r="H47" s="409"/>
      <c r="I47" s="409"/>
      <c r="J47" s="409"/>
      <c r="K47" s="409"/>
      <c r="L47" s="409"/>
      <c r="M47" s="410"/>
      <c r="N47" s="409"/>
    </row>
    <row r="48" spans="1:14" s="138" customFormat="1" ht="12">
      <c r="A48" s="409">
        <v>36</v>
      </c>
      <c r="B48" s="418"/>
      <c r="C48" s="409" t="s">
        <v>658</v>
      </c>
      <c r="D48" s="409" t="s">
        <v>657</v>
      </c>
      <c r="E48" s="409"/>
      <c r="F48" s="409"/>
      <c r="G48" s="409"/>
      <c r="H48" s="409"/>
      <c r="I48" s="409"/>
      <c r="J48" s="409"/>
      <c r="K48" s="409"/>
      <c r="L48" s="409"/>
      <c r="M48" s="432">
        <f>+M39*0.5</f>
        <v>52320.24470000004</v>
      </c>
      <c r="N48" s="409"/>
    </row>
    <row r="49" spans="1:14" s="138" customFormat="1" ht="12">
      <c r="A49" s="409">
        <v>37</v>
      </c>
      <c r="B49" s="418"/>
      <c r="C49" s="409" t="s">
        <v>741</v>
      </c>
      <c r="D49" s="409" t="s">
        <v>742</v>
      </c>
      <c r="E49" s="409"/>
      <c r="F49" s="409"/>
      <c r="G49" s="409"/>
      <c r="H49" s="409"/>
      <c r="I49" s="409"/>
      <c r="J49" s="409"/>
      <c r="K49" s="409"/>
      <c r="L49" s="409"/>
      <c r="M49" s="410">
        <f>+M38*4</f>
        <v>-71164</v>
      </c>
      <c r="N49" s="409"/>
    </row>
    <row r="50" spans="1:14" s="138" customFormat="1" ht="12.75" thickBot="1">
      <c r="A50" s="409">
        <v>38</v>
      </c>
      <c r="B50" s="418"/>
      <c r="C50" s="409" t="s">
        <v>659</v>
      </c>
      <c r="D50" s="409"/>
      <c r="E50" s="409"/>
      <c r="F50" s="409"/>
      <c r="G50" s="409"/>
      <c r="H50" s="409"/>
      <c r="I50" s="409"/>
      <c r="J50" s="409"/>
      <c r="K50" s="409"/>
      <c r="L50" s="409"/>
      <c r="M50" s="430">
        <f>+M48+M49</f>
        <v>-18843.75529999996</v>
      </c>
      <c r="N50" s="409" t="s">
        <v>656</v>
      </c>
    </row>
    <row r="51" spans="1:14" s="138" customFormat="1" ht="12.75" thickTop="1">
      <c r="A51" s="409">
        <v>39</v>
      </c>
      <c r="B51" s="418"/>
      <c r="C51" s="409" t="s">
        <v>157</v>
      </c>
      <c r="D51" s="409"/>
      <c r="E51" s="409"/>
      <c r="F51" s="409"/>
      <c r="G51" s="409"/>
      <c r="H51" s="409"/>
      <c r="I51" s="409"/>
      <c r="J51" s="409"/>
      <c r="K51" s="409"/>
      <c r="L51" s="408">
        <f>+'[3]SUP B JUR FACS'!Q68</f>
        <v>0.3857</v>
      </c>
      <c r="M51" s="432">
        <f>+M50*L51</f>
        <v>-7268.036419209984</v>
      </c>
      <c r="N51" s="409" t="s">
        <v>634</v>
      </c>
    </row>
    <row r="52" spans="1:14" s="138" customFormat="1" ht="12">
      <c r="A52" s="409"/>
      <c r="B52" s="418"/>
      <c r="C52" s="409"/>
      <c r="D52" s="409"/>
      <c r="E52" s="409"/>
      <c r="F52" s="409"/>
      <c r="G52" s="409"/>
      <c r="H52" s="409"/>
      <c r="I52" s="409"/>
      <c r="J52" s="409"/>
      <c r="K52" s="409"/>
      <c r="L52" s="409"/>
      <c r="M52" s="409"/>
      <c r="N52" s="409"/>
    </row>
    <row r="53" spans="1:14" s="138" customFormat="1" ht="12">
      <c r="A53" s="409"/>
      <c r="B53" s="418"/>
      <c r="C53" s="409"/>
      <c r="D53" s="409"/>
      <c r="E53" s="409"/>
      <c r="F53" s="409"/>
      <c r="G53" s="409"/>
      <c r="H53" s="409"/>
      <c r="I53" s="409"/>
      <c r="J53" s="409"/>
      <c r="K53" s="409"/>
      <c r="L53" s="409"/>
      <c r="M53" s="409"/>
      <c r="N53" s="409"/>
    </row>
    <row r="54" spans="1:14" s="138" customFormat="1" ht="12">
      <c r="A54" s="409"/>
      <c r="B54" s="418"/>
      <c r="C54" s="409"/>
      <c r="D54" s="409"/>
      <c r="E54" s="409"/>
      <c r="F54" s="409"/>
      <c r="G54" s="409"/>
      <c r="H54" s="409"/>
      <c r="I54" s="409"/>
      <c r="J54" s="409"/>
      <c r="K54" s="409"/>
      <c r="L54" s="409"/>
      <c r="M54" s="409"/>
      <c r="N54" s="409"/>
    </row>
    <row r="55" spans="1:14" s="138" customFormat="1" ht="12">
      <c r="A55" s="409"/>
      <c r="B55" s="418"/>
      <c r="C55" s="409"/>
      <c r="D55" s="409"/>
      <c r="E55" s="409"/>
      <c r="F55" s="409"/>
      <c r="G55" s="409"/>
      <c r="H55" s="409"/>
      <c r="I55" s="409"/>
      <c r="J55" s="409"/>
      <c r="K55" s="409"/>
      <c r="L55" s="409"/>
      <c r="M55" s="409"/>
      <c r="N55" s="409"/>
    </row>
    <row r="56" spans="1:14" s="138" customFormat="1" ht="12">
      <c r="A56" s="409"/>
      <c r="B56" s="418"/>
      <c r="C56" s="409"/>
      <c r="D56" s="409"/>
      <c r="E56" s="409"/>
      <c r="F56" s="409"/>
      <c r="G56" s="409"/>
      <c r="H56" s="409"/>
      <c r="I56" s="409"/>
      <c r="J56" s="409"/>
      <c r="K56" s="409"/>
      <c r="L56" s="409"/>
      <c r="M56" s="409"/>
      <c r="N56" s="409"/>
    </row>
    <row r="57" spans="1:14" s="138" customFormat="1" ht="12">
      <c r="A57" s="409"/>
      <c r="B57" s="418"/>
      <c r="C57" s="409"/>
      <c r="D57" s="409"/>
      <c r="E57" s="409"/>
      <c r="F57" s="409"/>
      <c r="G57" s="409"/>
      <c r="H57" s="409"/>
      <c r="I57" s="409"/>
      <c r="J57" s="409"/>
      <c r="K57" s="409"/>
      <c r="L57" s="409"/>
      <c r="M57" s="409"/>
      <c r="N57" s="409"/>
    </row>
    <row r="58" spans="1:14" s="138" customFormat="1" ht="12">
      <c r="A58" s="409"/>
      <c r="B58" s="418"/>
      <c r="C58" s="409"/>
      <c r="D58" s="409"/>
      <c r="E58" s="409"/>
      <c r="F58" s="409"/>
      <c r="G58" s="409"/>
      <c r="H58" s="409"/>
      <c r="I58" s="409"/>
      <c r="J58" s="409"/>
      <c r="K58" s="409"/>
      <c r="L58" s="409"/>
      <c r="M58" s="409"/>
      <c r="N58" s="409"/>
    </row>
    <row r="59" spans="1:14" s="138" customFormat="1" ht="12">
      <c r="A59" s="409"/>
      <c r="B59" s="418"/>
      <c r="C59" s="409"/>
      <c r="D59" s="409"/>
      <c r="E59" s="409"/>
      <c r="F59" s="409"/>
      <c r="G59" s="409"/>
      <c r="H59" s="409"/>
      <c r="I59" s="409"/>
      <c r="J59" s="409"/>
      <c r="K59" s="409"/>
      <c r="L59" s="409"/>
      <c r="M59" s="409"/>
      <c r="N59" s="409"/>
    </row>
    <row r="60" spans="1:14" s="138" customFormat="1" ht="12">
      <c r="A60" s="409"/>
      <c r="B60" s="418"/>
      <c r="C60" s="409"/>
      <c r="D60" s="409"/>
      <c r="E60" s="409"/>
      <c r="F60" s="409"/>
      <c r="G60" s="409"/>
      <c r="H60" s="409"/>
      <c r="I60" s="409"/>
      <c r="J60" s="409"/>
      <c r="K60" s="409"/>
      <c r="L60" s="409"/>
      <c r="M60" s="409"/>
      <c r="N60" s="409"/>
    </row>
    <row r="61" spans="1:14" s="138" customFormat="1" ht="12">
      <c r="A61" s="409"/>
      <c r="B61" s="418"/>
      <c r="C61" s="409"/>
      <c r="D61" s="409"/>
      <c r="E61" s="409"/>
      <c r="F61" s="409"/>
      <c r="G61" s="409"/>
      <c r="H61" s="409"/>
      <c r="I61" s="409"/>
      <c r="J61" s="409"/>
      <c r="K61" s="409"/>
      <c r="L61" s="409"/>
      <c r="M61" s="409"/>
      <c r="N61" s="409"/>
    </row>
    <row r="62" spans="1:14" s="138" customFormat="1" ht="12">
      <c r="A62" s="409"/>
      <c r="B62" s="418"/>
      <c r="C62" s="409"/>
      <c r="D62" s="409"/>
      <c r="E62" s="409"/>
      <c r="F62" s="409"/>
      <c r="G62" s="409"/>
      <c r="H62" s="409"/>
      <c r="I62" s="409"/>
      <c r="J62" s="409"/>
      <c r="K62" s="409"/>
      <c r="L62" s="409"/>
      <c r="M62" s="409"/>
      <c r="N62" s="409"/>
    </row>
    <row r="63" spans="1:14" s="138" customFormat="1" ht="12">
      <c r="A63" s="409"/>
      <c r="B63" s="418"/>
      <c r="C63" s="409"/>
      <c r="D63" s="409"/>
      <c r="E63" s="409"/>
      <c r="F63" s="409"/>
      <c r="G63" s="409"/>
      <c r="H63" s="409"/>
      <c r="I63" s="409"/>
      <c r="J63" s="409"/>
      <c r="K63" s="409"/>
      <c r="L63" s="409"/>
      <c r="M63" s="409"/>
      <c r="N63" s="409"/>
    </row>
    <row r="64" spans="1:14" s="138" customFormat="1" ht="12">
      <c r="A64" s="409"/>
      <c r="B64" s="418"/>
      <c r="C64" s="409"/>
      <c r="D64" s="409"/>
      <c r="E64" s="409"/>
      <c r="F64" s="409"/>
      <c r="G64" s="409"/>
      <c r="H64" s="409"/>
      <c r="I64" s="409"/>
      <c r="J64" s="409"/>
      <c r="K64" s="409"/>
      <c r="L64" s="409"/>
      <c r="M64" s="409"/>
      <c r="N64" s="409"/>
    </row>
    <row r="65" spans="1:14" s="138" customFormat="1" ht="12">
      <c r="A65" s="409"/>
      <c r="B65" s="418"/>
      <c r="C65" s="409"/>
      <c r="D65" s="409"/>
      <c r="E65" s="409"/>
      <c r="F65" s="409"/>
      <c r="G65" s="409"/>
      <c r="H65" s="409"/>
      <c r="I65" s="409"/>
      <c r="J65" s="409"/>
      <c r="K65" s="409"/>
      <c r="L65" s="409"/>
      <c r="M65" s="409"/>
      <c r="N65" s="409"/>
    </row>
    <row r="66" s="138" customFormat="1" ht="12">
      <c r="B66" s="140"/>
    </row>
    <row r="67" s="138" customFormat="1" ht="12">
      <c r="B67" s="140"/>
    </row>
    <row r="68" s="138" customFormat="1" ht="12">
      <c r="B68" s="140"/>
    </row>
    <row r="69" s="138" customFormat="1" ht="12">
      <c r="B69" s="140"/>
    </row>
    <row r="70" s="138" customFormat="1" ht="12">
      <c r="B70" s="140"/>
    </row>
    <row r="71" s="138" customFormat="1" ht="12">
      <c r="B71" s="140"/>
    </row>
    <row r="72" s="138" customFormat="1" ht="12">
      <c r="B72" s="140"/>
    </row>
    <row r="73" s="138" customFormat="1" ht="12">
      <c r="B73" s="140"/>
    </row>
    <row r="74" s="138" customFormat="1" ht="12">
      <c r="B74" s="140"/>
    </row>
    <row r="75" s="138" customFormat="1" ht="12">
      <c r="B75" s="140"/>
    </row>
    <row r="76" s="138" customFormat="1" ht="12">
      <c r="B76" s="140"/>
    </row>
    <row r="77" s="138" customFormat="1" ht="12">
      <c r="B77" s="140"/>
    </row>
    <row r="78" s="138" customFormat="1" ht="12">
      <c r="B78" s="140"/>
    </row>
    <row r="79" s="138" customFormat="1" ht="12">
      <c r="B79" s="140"/>
    </row>
    <row r="80" s="138" customFormat="1" ht="12">
      <c r="B80" s="140"/>
    </row>
    <row r="81" s="138" customFormat="1" ht="12">
      <c r="B81" s="140"/>
    </row>
    <row r="82" s="138" customFormat="1" ht="12">
      <c r="B82" s="140"/>
    </row>
    <row r="83" s="138" customFormat="1" ht="12">
      <c r="B83" s="140"/>
    </row>
    <row r="84" s="138" customFormat="1" ht="12">
      <c r="B84" s="140"/>
    </row>
    <row r="85" s="138" customFormat="1" ht="12">
      <c r="B85" s="140"/>
    </row>
    <row r="86" s="138" customFormat="1" ht="12">
      <c r="B86" s="140"/>
    </row>
    <row r="87" s="138" customFormat="1" ht="12">
      <c r="B87" s="140"/>
    </row>
    <row r="88" s="138" customFormat="1" ht="12">
      <c r="B88" s="140"/>
    </row>
    <row r="89" s="138" customFormat="1" ht="12">
      <c r="B89" s="140"/>
    </row>
    <row r="90" s="138" customFormat="1" ht="12">
      <c r="B90" s="140"/>
    </row>
    <row r="91" s="138" customFormat="1" ht="12">
      <c r="B91" s="140"/>
    </row>
    <row r="92" s="138" customFormat="1" ht="12">
      <c r="B92" s="140"/>
    </row>
    <row r="93" s="138" customFormat="1" ht="12">
      <c r="B93" s="140"/>
    </row>
    <row r="94" s="138" customFormat="1" ht="12">
      <c r="B94" s="140"/>
    </row>
    <row r="95" s="138" customFormat="1" ht="12">
      <c r="B95" s="140"/>
    </row>
    <row r="96" s="138" customFormat="1" ht="12">
      <c r="B96" s="140"/>
    </row>
    <row r="97" s="138" customFormat="1" ht="12">
      <c r="B97" s="140"/>
    </row>
    <row r="98" s="138" customFormat="1" ht="12">
      <c r="B98" s="140"/>
    </row>
    <row r="99" s="138" customFormat="1" ht="12">
      <c r="B99" s="140"/>
    </row>
    <row r="100" s="138" customFormat="1" ht="12">
      <c r="B100" s="140"/>
    </row>
    <row r="101" s="138" customFormat="1" ht="12">
      <c r="B101" s="140"/>
    </row>
    <row r="102" s="138" customFormat="1" ht="12">
      <c r="B102" s="140"/>
    </row>
    <row r="103" s="138" customFormat="1" ht="12">
      <c r="B103" s="140"/>
    </row>
    <row r="104" s="138" customFormat="1" ht="12">
      <c r="B104" s="140"/>
    </row>
    <row r="105" s="138" customFormat="1" ht="12">
      <c r="B105" s="140"/>
    </row>
    <row r="106" s="138" customFormat="1" ht="12">
      <c r="B106" s="140"/>
    </row>
    <row r="107" s="138" customFormat="1" ht="12">
      <c r="B107" s="140"/>
    </row>
    <row r="108" s="138" customFormat="1" ht="12">
      <c r="B108" s="140"/>
    </row>
    <row r="109" s="138" customFormat="1" ht="12">
      <c r="B109" s="140"/>
    </row>
    <row r="110" s="138" customFormat="1" ht="12">
      <c r="B110" s="140"/>
    </row>
    <row r="111" s="138" customFormat="1" ht="12">
      <c r="B111" s="140"/>
    </row>
    <row r="112" s="138" customFormat="1" ht="12">
      <c r="B112" s="140"/>
    </row>
    <row r="113" s="138" customFormat="1" ht="12">
      <c r="B113" s="140"/>
    </row>
    <row r="114" s="138" customFormat="1" ht="12">
      <c r="B114" s="140"/>
    </row>
    <row r="115" s="138" customFormat="1" ht="12">
      <c r="B115" s="140"/>
    </row>
    <row r="116" s="138" customFormat="1" ht="12">
      <c r="B116" s="140"/>
    </row>
    <row r="117" s="138" customFormat="1" ht="12">
      <c r="B117" s="140"/>
    </row>
    <row r="118" s="138" customFormat="1" ht="12">
      <c r="B118" s="140"/>
    </row>
    <row r="119" s="138" customFormat="1" ht="12">
      <c r="B119" s="140"/>
    </row>
    <row r="120" s="138" customFormat="1" ht="12">
      <c r="B120" s="140"/>
    </row>
    <row r="121" s="138" customFormat="1" ht="12">
      <c r="B121" s="140"/>
    </row>
    <row r="122" s="138" customFormat="1" ht="12">
      <c r="B122" s="140"/>
    </row>
    <row r="123" s="138" customFormat="1" ht="12">
      <c r="B123" s="140"/>
    </row>
    <row r="124" s="138" customFormat="1" ht="12">
      <c r="B124" s="140"/>
    </row>
    <row r="125" s="138" customFormat="1" ht="12">
      <c r="B125" s="140"/>
    </row>
    <row r="126" s="138" customFormat="1" ht="12">
      <c r="B126" s="140"/>
    </row>
    <row r="127" s="138" customFormat="1" ht="12">
      <c r="B127" s="140"/>
    </row>
    <row r="128" spans="1:14" ht="12.75">
      <c r="A128" s="138"/>
      <c r="B128" s="140"/>
      <c r="C128" s="138"/>
      <c r="D128" s="138"/>
      <c r="E128" s="138"/>
      <c r="F128" s="138"/>
      <c r="G128" s="138"/>
      <c r="H128" s="138"/>
      <c r="I128" s="138"/>
      <c r="J128" s="138"/>
      <c r="K128" s="138"/>
      <c r="L128" s="138"/>
      <c r="M128" s="138"/>
      <c r="N128" s="138"/>
    </row>
    <row r="129" spans="1:2" ht="12.75">
      <c r="A129" s="138"/>
      <c r="B129" s="81"/>
    </row>
    <row r="130" spans="1:2" ht="12.75">
      <c r="A130" s="138"/>
      <c r="B130" s="81"/>
    </row>
    <row r="131" spans="1:2" ht="12.75">
      <c r="A131" s="138"/>
      <c r="B131" s="81"/>
    </row>
    <row r="132" spans="1:2" ht="12.75">
      <c r="A132" s="138"/>
      <c r="B132" s="81"/>
    </row>
    <row r="133" spans="1:2" ht="12.75">
      <c r="A133" s="138"/>
      <c r="B133" s="81"/>
    </row>
    <row r="134" spans="1:2" ht="12.75">
      <c r="A134" s="138"/>
      <c r="B134" s="81"/>
    </row>
    <row r="135" ht="12.75">
      <c r="B135" s="81"/>
    </row>
    <row r="136" ht="12.75">
      <c r="B136" s="81"/>
    </row>
    <row r="137" ht="12.75">
      <c r="B137" s="81"/>
    </row>
    <row r="138" ht="12.75">
      <c r="B138" s="81"/>
    </row>
    <row r="139" ht="12.75">
      <c r="B139" s="81"/>
    </row>
    <row r="140" ht="12.75">
      <c r="B140" s="81"/>
    </row>
    <row r="141" ht="12.75">
      <c r="B141" s="81"/>
    </row>
    <row r="142" ht="12.75">
      <c r="B142" s="81"/>
    </row>
    <row r="143" ht="12.75">
      <c r="B143" s="81"/>
    </row>
    <row r="144" ht="12.75">
      <c r="B144" s="81"/>
    </row>
    <row r="145" ht="12.75">
      <c r="B145" s="81"/>
    </row>
    <row r="146" ht="12.75">
      <c r="B146" s="81"/>
    </row>
    <row r="147" ht="12.75">
      <c r="B147" s="81"/>
    </row>
  </sheetData>
  <printOptions horizontalCentered="1"/>
  <pageMargins left="0" right="0" top="0.54" bottom="0.5" header="0.35" footer="0.25"/>
  <pageSetup horizontalDpi="600" verticalDpi="600" orientation="landscape" scale="82" r:id="rId1"/>
</worksheet>
</file>

<file path=xl/worksheets/sheet11.xml><?xml version="1.0" encoding="utf-8"?>
<worksheet xmlns="http://schemas.openxmlformats.org/spreadsheetml/2006/main" xmlns:r="http://schemas.openxmlformats.org/officeDocument/2006/relationships">
  <sheetPr>
    <pageSetUpPr fitToPage="1"/>
  </sheetPr>
  <dimension ref="A1:N14"/>
  <sheetViews>
    <sheetView workbookViewId="0" topLeftCell="A1">
      <selection activeCell="A1" sqref="A1"/>
    </sheetView>
  </sheetViews>
  <sheetFormatPr defaultColWidth="9.140625" defaultRowHeight="12.75"/>
  <cols>
    <col min="1" max="1" width="3.00390625" style="0" bestFit="1" customWidth="1"/>
    <col min="2" max="2" width="7.7109375" style="0" bestFit="1" customWidth="1"/>
    <col min="3" max="3" width="22.57421875" style="0" bestFit="1" customWidth="1"/>
    <col min="4" max="4" width="10.421875" style="0" bestFit="1" customWidth="1"/>
    <col min="5" max="5" width="10.8515625" style="0" bestFit="1" customWidth="1"/>
    <col min="6" max="6" width="10.421875" style="0" bestFit="1" customWidth="1"/>
    <col min="7" max="7" width="10.00390625" style="0" customWidth="1"/>
    <col min="8" max="8" width="10.28125" style="0" customWidth="1"/>
    <col min="9" max="13" width="10.8515625" style="0" bestFit="1" customWidth="1"/>
  </cols>
  <sheetData>
    <row r="1" spans="1:13" ht="12.75">
      <c r="A1" s="286" t="str">
        <f>+'EXH 2'!A1:C1</f>
        <v>CARBON / EMERY TELCOM</v>
      </c>
      <c r="M1" s="206" t="s">
        <v>184</v>
      </c>
    </row>
    <row r="2" ht="12.75">
      <c r="A2" s="194" t="s">
        <v>188</v>
      </c>
    </row>
    <row r="4" spans="4:14" s="138" customFormat="1" ht="12.75" customHeight="1">
      <c r="D4" s="139" t="s">
        <v>282</v>
      </c>
      <c r="E4" s="139" t="s">
        <v>547</v>
      </c>
      <c r="F4" s="139" t="s">
        <v>283</v>
      </c>
      <c r="G4" s="139" t="s">
        <v>46</v>
      </c>
      <c r="H4" s="139" t="s">
        <v>46</v>
      </c>
      <c r="I4" s="139" t="s">
        <v>46</v>
      </c>
      <c r="J4" s="139" t="s">
        <v>45</v>
      </c>
      <c r="K4" s="139" t="s">
        <v>45</v>
      </c>
      <c r="L4" s="139" t="s">
        <v>45</v>
      </c>
      <c r="M4" s="139"/>
      <c r="N4" s="139"/>
    </row>
    <row r="5" spans="1:14" s="138" customFormat="1" ht="12">
      <c r="A5" s="140" t="s">
        <v>485</v>
      </c>
      <c r="D5" s="139" t="s">
        <v>40</v>
      </c>
      <c r="E5" s="139" t="s">
        <v>510</v>
      </c>
      <c r="F5" s="139" t="s">
        <v>285</v>
      </c>
      <c r="G5" s="139" t="s">
        <v>510</v>
      </c>
      <c r="H5" s="139" t="s">
        <v>510</v>
      </c>
      <c r="I5" s="139" t="s">
        <v>431</v>
      </c>
      <c r="J5" s="139" t="s">
        <v>510</v>
      </c>
      <c r="K5" s="139" t="s">
        <v>510</v>
      </c>
      <c r="L5" s="139" t="s">
        <v>431</v>
      </c>
      <c r="M5" s="139" t="s">
        <v>510</v>
      </c>
      <c r="N5" s="139"/>
    </row>
    <row r="6" spans="1:14" s="138" customFormat="1" ht="12">
      <c r="A6" s="141" t="s">
        <v>444</v>
      </c>
      <c r="B6" s="142" t="s">
        <v>548</v>
      </c>
      <c r="C6" s="142" t="s">
        <v>433</v>
      </c>
      <c r="D6" s="143">
        <v>38352</v>
      </c>
      <c r="E6" s="143">
        <v>38352</v>
      </c>
      <c r="F6" s="143">
        <v>38352</v>
      </c>
      <c r="G6" s="144" t="s">
        <v>286</v>
      </c>
      <c r="H6" s="144" t="s">
        <v>41</v>
      </c>
      <c r="I6" s="144" t="s">
        <v>510</v>
      </c>
      <c r="J6" s="144" t="s">
        <v>286</v>
      </c>
      <c r="K6" s="144" t="s">
        <v>41</v>
      </c>
      <c r="L6" s="144" t="s">
        <v>510</v>
      </c>
      <c r="M6" s="144" t="s">
        <v>388</v>
      </c>
      <c r="N6" s="139"/>
    </row>
    <row r="7" spans="3:14" s="138" customFormat="1" ht="12">
      <c r="C7" s="145" t="s">
        <v>287</v>
      </c>
      <c r="D7" s="145"/>
      <c r="E7" s="145"/>
      <c r="F7" s="145"/>
      <c r="G7" s="145"/>
      <c r="H7" s="145"/>
      <c r="I7" s="145"/>
      <c r="J7" s="145"/>
      <c r="K7" s="145"/>
      <c r="L7" s="145"/>
      <c r="M7" s="145"/>
      <c r="N7" s="139"/>
    </row>
    <row r="9" spans="1:13" s="138" customFormat="1" ht="12.75">
      <c r="A9" s="138">
        <v>1</v>
      </c>
      <c r="B9" s="135">
        <v>2210</v>
      </c>
      <c r="C9" t="s">
        <v>343</v>
      </c>
      <c r="D9" s="410">
        <v>925352</v>
      </c>
      <c r="E9" s="410">
        <v>-179652</v>
      </c>
      <c r="F9" s="410">
        <f>D9+E9</f>
        <v>745700</v>
      </c>
      <c r="G9" s="406">
        <v>0.125</v>
      </c>
      <c r="H9" s="411">
        <f>1/G9</f>
        <v>8</v>
      </c>
      <c r="I9" s="410">
        <f>IF(F9&gt;0,IF(G9*D9&gt;F9,F9,G9*D9),0)</f>
        <v>115669</v>
      </c>
      <c r="J9" s="406">
        <v>0.2</v>
      </c>
      <c r="K9" s="148">
        <f>1/J9</f>
        <v>5</v>
      </c>
      <c r="L9" s="146">
        <f>IF(F9&gt;0,IF(J9*D9&gt;F9,F9,J9*D9),0)</f>
        <v>185070.40000000002</v>
      </c>
      <c r="M9" s="325">
        <f>L9-I9</f>
        <v>69401.40000000002</v>
      </c>
    </row>
    <row r="10" spans="1:13" s="138" customFormat="1" ht="12.75">
      <c r="A10" s="138">
        <v>2</v>
      </c>
      <c r="B10" s="135">
        <v>2212</v>
      </c>
      <c r="C10" t="s">
        <v>535</v>
      </c>
      <c r="D10" s="410">
        <v>4889315</v>
      </c>
      <c r="E10" s="410">
        <v>-4492927</v>
      </c>
      <c r="F10" s="410">
        <f>D10+E10</f>
        <v>396388</v>
      </c>
      <c r="G10" s="406">
        <v>0.125</v>
      </c>
      <c r="H10" s="411">
        <f>1/G10</f>
        <v>8</v>
      </c>
      <c r="I10" s="410">
        <f>IF(F10&gt;0,IF(G10*D10&gt;F10,F10,G10*D10),0)</f>
        <v>396388</v>
      </c>
      <c r="J10" s="406">
        <v>0.0833</v>
      </c>
      <c r="K10" s="148">
        <f>1/J10</f>
        <v>12.004801920768308</v>
      </c>
      <c r="L10" s="146">
        <f>IF(F10&gt;0,IF(J10*D10&gt;F10,F10,J10*D10),0)</f>
        <v>396388</v>
      </c>
      <c r="M10" s="146">
        <f>L10-I10</f>
        <v>0</v>
      </c>
    </row>
    <row r="11" spans="1:13" s="138" customFormat="1" ht="12.75">
      <c r="A11" s="138">
        <v>3</v>
      </c>
      <c r="B11" s="135">
        <v>2231</v>
      </c>
      <c r="C11" t="s">
        <v>537</v>
      </c>
      <c r="D11" s="410">
        <v>3473819</v>
      </c>
      <c r="E11" s="410">
        <v>-2952399.5</v>
      </c>
      <c r="F11" s="410">
        <f>D11+E11</f>
        <v>521419.5</v>
      </c>
      <c r="G11" s="406">
        <v>0.2</v>
      </c>
      <c r="H11" s="411">
        <f>1/G11</f>
        <v>5</v>
      </c>
      <c r="I11" s="410">
        <f>IF(F11&gt;0,IF(G11*D11&gt;F11,F11,G11*D11),0)</f>
        <v>521419.5</v>
      </c>
      <c r="J11" s="406">
        <v>0.125</v>
      </c>
      <c r="K11" s="148">
        <f>1/J11</f>
        <v>8</v>
      </c>
      <c r="L11" s="146">
        <f>IF(F11&gt;0,IF(J11*D11&gt;F11,F11,J11*D11),0)</f>
        <v>434227.375</v>
      </c>
      <c r="M11" s="146">
        <f>L11-I11</f>
        <v>-87192.125</v>
      </c>
    </row>
    <row r="12" spans="1:14" s="138" customFormat="1" ht="12.75">
      <c r="A12" s="138">
        <v>4</v>
      </c>
      <c r="B12" s="135">
        <v>2362</v>
      </c>
      <c r="C12" t="s">
        <v>539</v>
      </c>
      <c r="D12" s="412">
        <v>0</v>
      </c>
      <c r="E12" s="412">
        <v>0</v>
      </c>
      <c r="F12" s="412">
        <f>D12+E12</f>
        <v>0</v>
      </c>
      <c r="G12" s="413">
        <v>0.2</v>
      </c>
      <c r="H12" s="414">
        <f>1/G12</f>
        <v>5</v>
      </c>
      <c r="I12" s="412">
        <f>IF(F12&gt;0,IF(G12*D12&gt;F12,F12,G12*D12),0)</f>
        <v>0</v>
      </c>
      <c r="J12" s="413">
        <v>0.125</v>
      </c>
      <c r="K12" s="152">
        <f>1/J12</f>
        <v>8</v>
      </c>
      <c r="L12" s="149">
        <f>IF(F12&gt;0,IF(J12*D12&gt;F12,F12,J12*D12),0)</f>
        <v>0</v>
      </c>
      <c r="M12" s="149">
        <f>L12-I12</f>
        <v>0</v>
      </c>
      <c r="N12" s="153"/>
    </row>
    <row r="13" spans="1:13" ht="29.25" customHeight="1">
      <c r="A13" s="138">
        <v>5</v>
      </c>
      <c r="D13" s="85">
        <f>SUM(D9:D12)</f>
        <v>9288486</v>
      </c>
      <c r="E13" s="85">
        <f>SUM(E9:E12)</f>
        <v>-7624978.5</v>
      </c>
      <c r="F13" s="85">
        <f>SUM(F9:F12)</f>
        <v>1663507.5</v>
      </c>
      <c r="I13" s="85">
        <f>SUM(I9:I12)</f>
        <v>1033476.5</v>
      </c>
      <c r="L13" s="85">
        <f>SUM(L9:L12)</f>
        <v>1015685.775</v>
      </c>
      <c r="M13" s="326">
        <f>ROUND(SUM(M9:M12),0)</f>
        <v>-17791</v>
      </c>
    </row>
    <row r="14" ht="24" customHeight="1">
      <c r="M14" s="254" t="s">
        <v>189</v>
      </c>
    </row>
  </sheetData>
  <printOptions/>
  <pageMargins left="0.75" right="0.53" top="0.7" bottom="1" header="0.5" footer="0.5"/>
  <pageSetup fitToHeight="1" fitToWidth="1" horizontalDpi="600" verticalDpi="600" orientation="landscape" scale="89" r:id="rId2"/>
  <drawing r:id="rId1"/>
</worksheet>
</file>

<file path=xl/worksheets/sheet12.xml><?xml version="1.0" encoding="utf-8"?>
<worksheet xmlns="http://schemas.openxmlformats.org/spreadsheetml/2006/main" xmlns:r="http://schemas.openxmlformats.org/officeDocument/2006/relationships">
  <dimension ref="A1:K159"/>
  <sheetViews>
    <sheetView workbookViewId="0" topLeftCell="A1">
      <selection activeCell="A1" sqref="A1"/>
    </sheetView>
  </sheetViews>
  <sheetFormatPr defaultColWidth="9.140625" defaultRowHeight="12.75"/>
  <cols>
    <col min="1" max="1" width="5.140625" style="0" customWidth="1"/>
    <col min="2" max="2" width="51.140625" style="0" bestFit="1" customWidth="1"/>
    <col min="3" max="3" width="5.00390625" style="0" bestFit="1" customWidth="1"/>
    <col min="4" max="5" width="12.140625" style="0" bestFit="1" customWidth="1"/>
    <col min="6" max="6" width="10.8515625" style="0" bestFit="1" customWidth="1"/>
    <col min="7" max="7" width="13.8515625" style="0" customWidth="1"/>
    <col min="8" max="8" width="13.421875" style="0" customWidth="1"/>
    <col min="9" max="9" width="13.28125" style="0" customWidth="1"/>
    <col min="10" max="10" width="13.00390625" style="0" customWidth="1"/>
    <col min="11" max="11" width="10.00390625" style="0" customWidth="1"/>
    <col min="12" max="12" width="2.7109375" style="0" customWidth="1"/>
  </cols>
  <sheetData>
    <row r="1" spans="1:11" ht="12.75">
      <c r="A1" s="286" t="str">
        <f>+'EXH 7 EXCESS DEPR'!A1</f>
        <v>CARBON / EMERY TELCOM</v>
      </c>
      <c r="B1" s="283"/>
      <c r="K1" s="206" t="s">
        <v>187</v>
      </c>
    </row>
    <row r="2" spans="1:11" ht="12.75">
      <c r="A2" s="284" t="s">
        <v>143</v>
      </c>
      <c r="K2" s="206" t="s">
        <v>185</v>
      </c>
    </row>
    <row r="3" spans="1:11" ht="12.75">
      <c r="A3" s="284"/>
      <c r="K3" s="206"/>
    </row>
    <row r="4" spans="1:8" ht="12.75">
      <c r="A4" s="285" t="s">
        <v>724</v>
      </c>
      <c r="C4" s="127"/>
      <c r="D4" s="486" t="s">
        <v>622</v>
      </c>
      <c r="E4" s="487"/>
      <c r="F4" s="488"/>
      <c r="G4" s="486" t="s">
        <v>621</v>
      </c>
      <c r="H4" s="488"/>
    </row>
    <row r="5" spans="2:10" ht="12.75">
      <c r="B5" s="157"/>
      <c r="C5" s="121"/>
      <c r="D5" s="287" t="s">
        <v>550</v>
      </c>
      <c r="E5" s="287" t="s">
        <v>500</v>
      </c>
      <c r="F5" s="287"/>
      <c r="G5" s="287" t="s">
        <v>392</v>
      </c>
      <c r="H5" s="287" t="s">
        <v>392</v>
      </c>
      <c r="I5" s="287"/>
      <c r="J5" s="287"/>
    </row>
    <row r="6" spans="2:10" ht="12.75">
      <c r="B6" s="127"/>
      <c r="C6" s="122" t="s">
        <v>551</v>
      </c>
      <c r="D6" s="288" t="s">
        <v>392</v>
      </c>
      <c r="E6" s="288" t="s">
        <v>392</v>
      </c>
      <c r="F6" s="288" t="s">
        <v>342</v>
      </c>
      <c r="G6" s="288" t="s">
        <v>394</v>
      </c>
      <c r="H6" s="288" t="s">
        <v>394</v>
      </c>
      <c r="I6" s="288" t="s">
        <v>500</v>
      </c>
      <c r="J6" s="288" t="s">
        <v>500</v>
      </c>
    </row>
    <row r="7" spans="2:10" ht="12.75">
      <c r="B7" s="127"/>
      <c r="C7" s="123" t="s">
        <v>444</v>
      </c>
      <c r="D7" s="211"/>
      <c r="E7" s="211"/>
      <c r="F7" s="211"/>
      <c r="G7" s="211">
        <v>2003</v>
      </c>
      <c r="H7" s="211">
        <v>2004</v>
      </c>
      <c r="I7" s="211">
        <v>2003</v>
      </c>
      <c r="J7" s="211">
        <v>2004</v>
      </c>
    </row>
    <row r="8" spans="2:10" ht="12.75">
      <c r="B8" s="127"/>
      <c r="C8" s="305" t="s">
        <v>451</v>
      </c>
      <c r="D8" s="260" t="s">
        <v>276</v>
      </c>
      <c r="E8" s="260" t="s">
        <v>452</v>
      </c>
      <c r="F8" s="260" t="s">
        <v>453</v>
      </c>
      <c r="G8" s="260" t="s">
        <v>277</v>
      </c>
      <c r="H8" s="260" t="s">
        <v>278</v>
      </c>
      <c r="I8" s="260" t="s">
        <v>608</v>
      </c>
      <c r="J8" s="260" t="s">
        <v>607</v>
      </c>
    </row>
    <row r="9" spans="1:3" ht="12.75">
      <c r="A9">
        <v>1</v>
      </c>
      <c r="B9" s="155" t="s">
        <v>553</v>
      </c>
      <c r="C9" s="121"/>
    </row>
    <row r="10" spans="1:10" ht="12.75">
      <c r="A10">
        <v>2</v>
      </c>
      <c r="B10" s="155" t="s">
        <v>554</v>
      </c>
      <c r="C10" s="124">
        <v>2110</v>
      </c>
      <c r="D10" s="195">
        <f>+'[3]SUP B JUR FACS'!Q10</f>
        <v>0.3554</v>
      </c>
      <c r="E10" s="195">
        <f>+'[3]SUP B JUR FACS'!R10</f>
        <v>0.6446</v>
      </c>
      <c r="F10" s="195">
        <f aca="true" t="shared" si="0" ref="F10:F18">+D10+E10</f>
        <v>1</v>
      </c>
      <c r="G10" s="189">
        <f>+'[3]SUPP A TB'!D19</f>
        <v>3190850.01</v>
      </c>
      <c r="H10" s="189">
        <f>+'[3]SUPP A TB'!E19</f>
        <v>3170480.67</v>
      </c>
      <c r="I10" s="189">
        <f>ROUND(+G10*E10,0)</f>
        <v>2056822</v>
      </c>
      <c r="J10" s="189">
        <f>+E10*H10</f>
        <v>2043691.839882</v>
      </c>
    </row>
    <row r="11" spans="1:10" ht="12.75">
      <c r="A11">
        <v>3</v>
      </c>
      <c r="B11" s="155" t="s">
        <v>0</v>
      </c>
      <c r="C11" s="124">
        <v>2210</v>
      </c>
      <c r="D11" s="195">
        <f>+'[3]SUP B JUR FACS'!Q11</f>
        <v>0.4357</v>
      </c>
      <c r="E11" s="195">
        <f>+'[3]SUP B JUR FACS'!R11</f>
        <v>0.5643</v>
      </c>
      <c r="F11" s="195">
        <f t="shared" si="0"/>
        <v>1</v>
      </c>
      <c r="G11" s="185">
        <f>+'[3]SUPP A TB'!D23</f>
        <v>5534838.5</v>
      </c>
      <c r="H11" s="185">
        <f>+'[3]SUPP A TB'!E23</f>
        <v>5734667</v>
      </c>
      <c r="I11" s="185">
        <f>ROUND(+G11*E11,0)</f>
        <v>3123309</v>
      </c>
      <c r="J11" s="185">
        <f>+E11*H11</f>
        <v>3236072.5881000003</v>
      </c>
    </row>
    <row r="12" spans="1:10" ht="12.75">
      <c r="A12">
        <v>4</v>
      </c>
      <c r="B12" s="155" t="s">
        <v>1</v>
      </c>
      <c r="C12" s="124">
        <v>2220</v>
      </c>
      <c r="D12" s="195">
        <f>+'[3]SUP B JUR FACS'!Q12</f>
        <v>0</v>
      </c>
      <c r="E12" s="195">
        <f>+'[3]SUP B JUR FACS'!R12</f>
        <v>0</v>
      </c>
      <c r="F12" s="195">
        <f t="shared" si="0"/>
        <v>0</v>
      </c>
      <c r="G12" s="185">
        <v>0</v>
      </c>
      <c r="H12" s="185">
        <v>0</v>
      </c>
      <c r="I12" s="185">
        <f aca="true" t="shared" si="1" ref="I12:I42">ROUND(+G12*E12,0)</f>
        <v>0</v>
      </c>
      <c r="J12" s="185">
        <f aca="true" t="shared" si="2" ref="J12:J42">+E12*H12</f>
        <v>0</v>
      </c>
    </row>
    <row r="13" spans="1:10" ht="12.75">
      <c r="A13">
        <v>5</v>
      </c>
      <c r="B13" s="155" t="s">
        <v>2</v>
      </c>
      <c r="C13" s="124">
        <v>2230</v>
      </c>
      <c r="D13" s="195">
        <f>+'[3]SUP B JUR FACS'!Q13</f>
        <v>0.473</v>
      </c>
      <c r="E13" s="195">
        <f>+'[3]SUP B JUR FACS'!R13</f>
        <v>0.527</v>
      </c>
      <c r="F13" s="195">
        <f t="shared" si="0"/>
        <v>1</v>
      </c>
      <c r="G13" s="185">
        <f>+'[3]SUPP A TB'!D29</f>
        <v>9645146.16</v>
      </c>
      <c r="H13" s="185">
        <f>+'[3]SUPP A TB'!E29</f>
        <v>9758520</v>
      </c>
      <c r="I13" s="185">
        <f t="shared" si="1"/>
        <v>5082992</v>
      </c>
      <c r="J13" s="185">
        <f t="shared" si="2"/>
        <v>5142740.04</v>
      </c>
    </row>
    <row r="14" spans="1:10" ht="12.75">
      <c r="A14">
        <v>6</v>
      </c>
      <c r="B14" s="155" t="s">
        <v>3</v>
      </c>
      <c r="C14" s="124">
        <v>2310</v>
      </c>
      <c r="D14" s="195">
        <f>+'[3]SUP B JUR FACS'!Q14</f>
        <v>0</v>
      </c>
      <c r="E14" s="195">
        <f>+'[3]SUP B JUR FACS'!R14</f>
        <v>0</v>
      </c>
      <c r="F14" s="195">
        <f t="shared" si="0"/>
        <v>0</v>
      </c>
      <c r="G14" s="185">
        <v>0</v>
      </c>
      <c r="H14" s="185">
        <v>0</v>
      </c>
      <c r="I14" s="185">
        <f t="shared" si="1"/>
        <v>0</v>
      </c>
      <c r="J14" s="185">
        <f t="shared" si="2"/>
        <v>0</v>
      </c>
    </row>
    <row r="15" spans="1:10" ht="12.75">
      <c r="A15">
        <v>7</v>
      </c>
      <c r="B15" s="155" t="s">
        <v>4</v>
      </c>
      <c r="C15" s="124">
        <v>2410</v>
      </c>
      <c r="D15" s="195">
        <f>+'[3]SUP B JUR FACS'!Q15</f>
        <v>0.2628</v>
      </c>
      <c r="E15" s="195">
        <f>+'[3]SUP B JUR FACS'!R15</f>
        <v>0.7372</v>
      </c>
      <c r="F15" s="195">
        <f t="shared" si="0"/>
        <v>1</v>
      </c>
      <c r="G15" s="185">
        <f>+'[3]SUPP A TB'!D40</f>
        <v>16465897.389999999</v>
      </c>
      <c r="H15" s="185">
        <f>+'[3]SUPP A TB'!E40</f>
        <v>16428621</v>
      </c>
      <c r="I15" s="185">
        <f t="shared" si="1"/>
        <v>12138660</v>
      </c>
      <c r="J15" s="185">
        <f t="shared" si="2"/>
        <v>12111179.4012</v>
      </c>
    </row>
    <row r="16" spans="1:10" ht="12.75">
      <c r="A16">
        <v>8</v>
      </c>
      <c r="B16" s="155" t="s">
        <v>5</v>
      </c>
      <c r="C16" s="124">
        <v>2680</v>
      </c>
      <c r="D16" s="195">
        <f>+'[3]SUP B JUR FACS'!Q16</f>
        <v>0</v>
      </c>
      <c r="E16" s="195">
        <f>+'[3]SUP B JUR FACS'!R16</f>
        <v>0</v>
      </c>
      <c r="F16" s="195">
        <f t="shared" si="0"/>
        <v>0</v>
      </c>
      <c r="G16" s="185">
        <v>0</v>
      </c>
      <c r="H16" s="185">
        <v>0</v>
      </c>
      <c r="I16" s="185">
        <f t="shared" si="1"/>
        <v>0</v>
      </c>
      <c r="J16" s="185">
        <f t="shared" si="2"/>
        <v>0</v>
      </c>
    </row>
    <row r="17" spans="1:10" ht="12.75">
      <c r="A17">
        <v>9</v>
      </c>
      <c r="B17" s="155" t="s">
        <v>6</v>
      </c>
      <c r="C17" s="124">
        <v>2690</v>
      </c>
      <c r="D17" s="195">
        <f>+'[3]SUP B JUR FACS'!Q17</f>
        <v>0</v>
      </c>
      <c r="E17" s="195">
        <f>+'[3]SUP B JUR FACS'!R17</f>
        <v>0</v>
      </c>
      <c r="F17" s="195">
        <f t="shared" si="0"/>
        <v>0</v>
      </c>
      <c r="G17" s="185">
        <v>0</v>
      </c>
      <c r="H17" s="185">
        <v>0</v>
      </c>
      <c r="I17" s="185">
        <f t="shared" si="1"/>
        <v>0</v>
      </c>
      <c r="J17" s="185">
        <f t="shared" si="2"/>
        <v>0</v>
      </c>
    </row>
    <row r="18" spans="1:11" ht="12.75">
      <c r="A18">
        <v>10</v>
      </c>
      <c r="B18" s="155" t="s">
        <v>7</v>
      </c>
      <c r="C18" s="124"/>
      <c r="D18" s="195">
        <f>+'[3]SUP B JUR FACS'!Q18</f>
        <v>0.3554</v>
      </c>
      <c r="E18" s="195">
        <f>+'[3]SUP B JUR FACS'!R18</f>
        <v>0.6446</v>
      </c>
      <c r="F18" s="195">
        <f t="shared" si="0"/>
        <v>1</v>
      </c>
      <c r="G18" s="244">
        <f>SUM(G10:G17)</f>
        <v>34836732.06</v>
      </c>
      <c r="H18" s="244">
        <f>SUM(H10:H17)</f>
        <v>35092288.67</v>
      </c>
      <c r="I18" s="244">
        <f>SUM(I10:I17)</f>
        <v>22401783</v>
      </c>
      <c r="J18" s="244">
        <f>SUM(J10:J17)</f>
        <v>22533683.869182</v>
      </c>
      <c r="K18" t="s">
        <v>615</v>
      </c>
    </row>
    <row r="19" spans="1:10" ht="12.75">
      <c r="A19">
        <v>11</v>
      </c>
      <c r="B19" s="127"/>
      <c r="C19" s="124"/>
      <c r="G19" s="185"/>
      <c r="H19" s="185"/>
      <c r="I19" s="185"/>
      <c r="J19" s="185"/>
    </row>
    <row r="20" spans="1:10" ht="12.75">
      <c r="A20">
        <v>12</v>
      </c>
      <c r="B20" s="155" t="s">
        <v>8</v>
      </c>
      <c r="C20" s="124">
        <v>2002</v>
      </c>
      <c r="D20" s="195">
        <f>+'[3]SUP B JUR FACS'!Q20</f>
        <v>0</v>
      </c>
      <c r="E20" s="195">
        <f>+'[3]SUP B JUR FACS'!R20</f>
        <v>0</v>
      </c>
      <c r="F20" s="195">
        <f aca="true" t="shared" si="3" ref="F20:F25">+D20+E20</f>
        <v>0</v>
      </c>
      <c r="G20" s="185">
        <v>0</v>
      </c>
      <c r="H20" s="185">
        <v>0</v>
      </c>
      <c r="I20" s="185"/>
      <c r="J20" s="185"/>
    </row>
    <row r="21" spans="1:11" ht="12.75">
      <c r="A21">
        <v>13</v>
      </c>
      <c r="B21" s="155" t="s">
        <v>9</v>
      </c>
      <c r="C21" s="124">
        <v>2003</v>
      </c>
      <c r="D21" s="195">
        <f>+'[3]SUP B JUR FACS'!Q21</f>
        <v>0.3554</v>
      </c>
      <c r="E21" s="195">
        <f>+'[3]SUP B JUR FACS'!R21</f>
        <v>0.6446</v>
      </c>
      <c r="F21" s="195">
        <f t="shared" si="3"/>
        <v>1</v>
      </c>
      <c r="G21" s="185">
        <f>+'[3]SUPP A TB'!D8</f>
        <v>60</v>
      </c>
      <c r="H21" s="185">
        <f>+'[3]SUPP A TB'!E8</f>
        <v>282490</v>
      </c>
      <c r="I21" s="185">
        <f t="shared" si="1"/>
        <v>39</v>
      </c>
      <c r="J21" s="185">
        <f t="shared" si="2"/>
        <v>182093.05399999997</v>
      </c>
      <c r="K21" t="s">
        <v>616</v>
      </c>
    </row>
    <row r="22" spans="1:10" ht="12.75">
      <c r="A22">
        <v>14</v>
      </c>
      <c r="B22" s="155" t="s">
        <v>10</v>
      </c>
      <c r="C22" s="124">
        <v>2004</v>
      </c>
      <c r="D22" s="195">
        <f>+'[3]SUP B JUR FACS'!Q22</f>
        <v>0</v>
      </c>
      <c r="E22" s="195">
        <f>+'[3]SUP B JUR FACS'!R22</f>
        <v>0</v>
      </c>
      <c r="F22" s="195">
        <f t="shared" si="3"/>
        <v>0</v>
      </c>
      <c r="G22" s="185">
        <v>0</v>
      </c>
      <c r="H22" s="185">
        <v>0</v>
      </c>
      <c r="I22" s="185">
        <f t="shared" si="1"/>
        <v>0</v>
      </c>
      <c r="J22" s="185">
        <f t="shared" si="2"/>
        <v>0</v>
      </c>
    </row>
    <row r="23" spans="1:10" ht="12.75">
      <c r="A23">
        <v>15</v>
      </c>
      <c r="B23" s="155" t="s">
        <v>11</v>
      </c>
      <c r="C23" s="124">
        <v>2005</v>
      </c>
      <c r="D23" s="195">
        <f>+'[3]SUP B JUR FACS'!Q23</f>
        <v>0</v>
      </c>
      <c r="E23" s="195">
        <f>+'[3]SUP B JUR FACS'!R23</f>
        <v>0</v>
      </c>
      <c r="F23" s="195">
        <f t="shared" si="3"/>
        <v>0</v>
      </c>
      <c r="G23" s="185">
        <v>0</v>
      </c>
      <c r="H23" s="185">
        <v>0</v>
      </c>
      <c r="I23" s="185">
        <f t="shared" si="1"/>
        <v>0</v>
      </c>
      <c r="J23" s="185">
        <f t="shared" si="2"/>
        <v>0</v>
      </c>
    </row>
    <row r="24" spans="1:10" ht="12.75">
      <c r="A24">
        <v>16</v>
      </c>
      <c r="B24" s="155" t="s">
        <v>12</v>
      </c>
      <c r="C24" s="124">
        <v>2006</v>
      </c>
      <c r="D24" s="195">
        <f>+'[3]SUP B JUR FACS'!Q24</f>
        <v>0</v>
      </c>
      <c r="E24" s="195">
        <f>+'[3]SUP B JUR FACS'!R24</f>
        <v>0</v>
      </c>
      <c r="F24" s="195">
        <f t="shared" si="3"/>
        <v>0</v>
      </c>
      <c r="G24" s="185">
        <v>0</v>
      </c>
      <c r="H24" s="185">
        <v>0</v>
      </c>
      <c r="I24" s="185">
        <f t="shared" si="1"/>
        <v>0</v>
      </c>
      <c r="J24" s="185">
        <f t="shared" si="2"/>
        <v>0</v>
      </c>
    </row>
    <row r="25" spans="1:10" ht="12.75">
      <c r="A25">
        <v>17</v>
      </c>
      <c r="B25" s="155" t="s">
        <v>13</v>
      </c>
      <c r="C25" s="124">
        <v>2007</v>
      </c>
      <c r="D25" s="195">
        <f>+'[3]SUP B JUR FACS'!Q25</f>
        <v>0</v>
      </c>
      <c r="E25" s="195">
        <f>+'[3]SUP B JUR FACS'!R25</f>
        <v>0</v>
      </c>
      <c r="F25" s="195">
        <f t="shared" si="3"/>
        <v>0</v>
      </c>
      <c r="G25" s="185"/>
      <c r="H25" s="185"/>
      <c r="I25" s="185"/>
      <c r="J25" s="185"/>
    </row>
    <row r="26" spans="1:10" ht="12.75">
      <c r="A26">
        <v>18</v>
      </c>
      <c r="B26" s="155" t="s">
        <v>14</v>
      </c>
      <c r="C26" s="124"/>
      <c r="G26" s="244">
        <f>SUM(G18:G25)</f>
        <v>34836792.06</v>
      </c>
      <c r="H26" s="244">
        <f>SUM(H18:H25)</f>
        <v>35374778.67</v>
      </c>
      <c r="I26" s="244">
        <f>SUM(I18:I25)</f>
        <v>22401822</v>
      </c>
      <c r="J26" s="244">
        <f>SUM(J18:J25)</f>
        <v>22715776.923182003</v>
      </c>
    </row>
    <row r="27" spans="1:10" ht="12.75">
      <c r="A27">
        <v>19</v>
      </c>
      <c r="B27" s="127"/>
      <c r="C27" s="124"/>
      <c r="G27" s="185"/>
      <c r="H27" s="185"/>
      <c r="I27" s="185"/>
      <c r="J27" s="185"/>
    </row>
    <row r="28" spans="1:11" ht="12.75">
      <c r="A28">
        <v>20</v>
      </c>
      <c r="B28" s="155" t="s">
        <v>15</v>
      </c>
      <c r="C28" s="124">
        <v>3100</v>
      </c>
      <c r="D28" s="195">
        <f>+'[3]SUP B JUR FACS'!Q28</f>
        <v>0.3694</v>
      </c>
      <c r="E28" s="195">
        <f>+'[3]SUP B JUR FACS'!R28</f>
        <v>0.6306</v>
      </c>
      <c r="F28" s="195">
        <f aca="true" t="shared" si="4" ref="F28:F36">+D28+E28</f>
        <v>1</v>
      </c>
      <c r="G28" s="185">
        <f>+'[3]SUPP A TB'!D83</f>
        <v>-23570142.65</v>
      </c>
      <c r="H28" s="185">
        <f>+'[3]SUPP A TB'!E83</f>
        <v>-25689788</v>
      </c>
      <c r="I28" s="185">
        <f t="shared" si="1"/>
        <v>-14863332</v>
      </c>
      <c r="J28" s="185">
        <f t="shared" si="2"/>
        <v>-16199980.312800001</v>
      </c>
      <c r="K28" t="s">
        <v>617</v>
      </c>
    </row>
    <row r="29" spans="1:10" ht="12.75">
      <c r="A29">
        <v>21</v>
      </c>
      <c r="B29" s="155" t="s">
        <v>16</v>
      </c>
      <c r="C29" s="124">
        <v>3200</v>
      </c>
      <c r="D29" s="195">
        <f>+'[3]SUP B JUR FACS'!Q29</f>
        <v>0</v>
      </c>
      <c r="E29" s="195">
        <f>+'[3]SUP B JUR FACS'!R29</f>
        <v>0</v>
      </c>
      <c r="F29" s="195">
        <f t="shared" si="4"/>
        <v>0</v>
      </c>
      <c r="G29" s="185">
        <v>0</v>
      </c>
      <c r="H29" s="185">
        <v>0</v>
      </c>
      <c r="I29" s="185">
        <f t="shared" si="1"/>
        <v>0</v>
      </c>
      <c r="J29" s="185">
        <f t="shared" si="2"/>
        <v>0</v>
      </c>
    </row>
    <row r="30" spans="1:10" ht="12.75">
      <c r="A30">
        <v>22</v>
      </c>
      <c r="B30" s="155" t="s">
        <v>17</v>
      </c>
      <c r="C30" s="124">
        <v>3400</v>
      </c>
      <c r="D30" s="195">
        <f>+'[3]SUP B JUR FACS'!Q30</f>
        <v>0</v>
      </c>
      <c r="E30" s="195">
        <f>+'[3]SUP B JUR FACS'!R30</f>
        <v>0</v>
      </c>
      <c r="F30" s="195">
        <f t="shared" si="4"/>
        <v>0</v>
      </c>
      <c r="G30" s="185">
        <v>0</v>
      </c>
      <c r="H30" s="185">
        <v>0</v>
      </c>
      <c r="I30" s="185">
        <f t="shared" si="1"/>
        <v>0</v>
      </c>
      <c r="J30" s="185">
        <f t="shared" si="2"/>
        <v>0</v>
      </c>
    </row>
    <row r="31" spans="1:10" ht="12.75">
      <c r="A31">
        <v>23</v>
      </c>
      <c r="B31" s="155" t="s">
        <v>18</v>
      </c>
      <c r="C31" s="124">
        <v>3500</v>
      </c>
      <c r="D31" s="195">
        <f>+'[3]SUP B JUR FACS'!Q31</f>
        <v>0</v>
      </c>
      <c r="E31" s="195">
        <f>+'[3]SUP B JUR FACS'!R31</f>
        <v>0</v>
      </c>
      <c r="F31" s="195">
        <f t="shared" si="4"/>
        <v>0</v>
      </c>
      <c r="G31" s="185">
        <v>0</v>
      </c>
      <c r="H31" s="185">
        <v>0</v>
      </c>
      <c r="I31" s="185">
        <f t="shared" si="1"/>
        <v>0</v>
      </c>
      <c r="J31" s="185">
        <f t="shared" si="2"/>
        <v>0</v>
      </c>
    </row>
    <row r="32" spans="1:10" ht="12.75">
      <c r="A32">
        <v>24</v>
      </c>
      <c r="B32" s="155" t="s">
        <v>19</v>
      </c>
      <c r="C32" s="124">
        <v>3600</v>
      </c>
      <c r="D32" s="195">
        <f>+'[3]SUP B JUR FACS'!Q32</f>
        <v>0</v>
      </c>
      <c r="E32" s="195">
        <f>+'[3]SUP B JUR FACS'!R32</f>
        <v>0</v>
      </c>
      <c r="F32" s="195">
        <f t="shared" si="4"/>
        <v>0</v>
      </c>
      <c r="G32" s="185">
        <v>0</v>
      </c>
      <c r="H32" s="185">
        <v>0</v>
      </c>
      <c r="I32" s="185">
        <f t="shared" si="1"/>
        <v>0</v>
      </c>
      <c r="J32" s="185">
        <f t="shared" si="2"/>
        <v>0</v>
      </c>
    </row>
    <row r="33" spans="1:11" ht="12.75">
      <c r="A33">
        <v>25</v>
      </c>
      <c r="B33" s="155" t="s">
        <v>20</v>
      </c>
      <c r="C33" s="124">
        <v>4340</v>
      </c>
      <c r="D33" s="195">
        <f>+'[3]SUP B JUR FACS'!Q33</f>
        <v>0.3814</v>
      </c>
      <c r="E33" s="195">
        <f>+'[3]SUP B JUR FACS'!R33</f>
        <v>0.6186</v>
      </c>
      <c r="F33" s="195">
        <f t="shared" si="4"/>
        <v>1</v>
      </c>
      <c r="G33" s="185">
        <f>+'[3]SUPP A TB'!D88</f>
        <v>738636.92</v>
      </c>
      <c r="H33" s="185">
        <f>+'[3]SUPP A TB'!E88</f>
        <v>388821</v>
      </c>
      <c r="I33" s="185">
        <f t="shared" si="1"/>
        <v>456921</v>
      </c>
      <c r="J33" s="185">
        <f t="shared" si="2"/>
        <v>240524.6706</v>
      </c>
      <c r="K33" t="s">
        <v>375</v>
      </c>
    </row>
    <row r="34" spans="1:10" ht="12.75">
      <c r="A34">
        <v>26</v>
      </c>
      <c r="B34" s="155" t="s">
        <v>21</v>
      </c>
      <c r="C34" s="124">
        <v>4370</v>
      </c>
      <c r="D34" s="195">
        <f>+'[3]SUP B JUR FACS'!Q34</f>
        <v>0</v>
      </c>
      <c r="E34" s="195">
        <f>+'[3]SUP B JUR FACS'!R34</f>
        <v>0</v>
      </c>
      <c r="F34" s="195">
        <f t="shared" si="4"/>
        <v>0</v>
      </c>
      <c r="G34" s="185"/>
      <c r="H34" s="185"/>
      <c r="I34" s="185">
        <f t="shared" si="1"/>
        <v>0</v>
      </c>
      <c r="J34" s="185">
        <f t="shared" si="2"/>
        <v>0</v>
      </c>
    </row>
    <row r="35" spans="1:11" ht="12.75">
      <c r="A35">
        <v>27</v>
      </c>
      <c r="B35" s="155" t="s">
        <v>22</v>
      </c>
      <c r="C35" s="124"/>
      <c r="D35" s="195">
        <f>+'[3]SUP B JUR FACS'!Q35</f>
        <v>0.3554</v>
      </c>
      <c r="E35" s="195">
        <f>+'[3]SUP B JUR FACS'!R35</f>
        <v>0.6446</v>
      </c>
      <c r="F35" s="195">
        <f t="shared" si="4"/>
        <v>1</v>
      </c>
      <c r="G35" s="185">
        <f>+'[3]SUPP A TB'!D87</f>
        <v>-4620</v>
      </c>
      <c r="H35" s="185">
        <f>+'[3]SUPP A TB'!E87</f>
        <v>-5560</v>
      </c>
      <c r="I35" s="185">
        <f t="shared" si="1"/>
        <v>-2978</v>
      </c>
      <c r="J35" s="185">
        <f t="shared" si="2"/>
        <v>-3583.9759999999997</v>
      </c>
      <c r="K35" t="s">
        <v>618</v>
      </c>
    </row>
    <row r="36" spans="1:10" ht="12.75">
      <c r="A36">
        <v>28</v>
      </c>
      <c r="B36" s="155" t="s">
        <v>23</v>
      </c>
      <c r="C36" s="124"/>
      <c r="D36" s="195">
        <f>+'[3]SUP B JUR FACS'!Q36</f>
        <v>0.3252</v>
      </c>
      <c r="E36" s="195">
        <f>+'[3]SUP B JUR FACS'!R36</f>
        <v>0.6748</v>
      </c>
      <c r="F36" s="195">
        <f t="shared" si="4"/>
        <v>1</v>
      </c>
      <c r="G36" s="244">
        <f>+G26+SUM(G28:G35)</f>
        <v>12000666.330000006</v>
      </c>
      <c r="H36" s="244">
        <f>+H26+SUM(H28:H35)</f>
        <v>10068251.670000002</v>
      </c>
      <c r="I36" s="244">
        <f>+I26+SUM(I28:I35)</f>
        <v>7992433</v>
      </c>
      <c r="J36" s="244">
        <f>+J26+SUM(J28:J35)</f>
        <v>6752737.304982003</v>
      </c>
    </row>
    <row r="37" spans="1:10" ht="12.75">
      <c r="A37">
        <v>29</v>
      </c>
      <c r="B37" s="127"/>
      <c r="C37" s="124"/>
      <c r="G37" s="185"/>
      <c r="H37" s="185"/>
      <c r="I37" s="185"/>
      <c r="J37" s="185"/>
    </row>
    <row r="38" spans="1:11" ht="12.75">
      <c r="A38">
        <v>30</v>
      </c>
      <c r="B38" s="155" t="s">
        <v>24</v>
      </c>
      <c r="C38" s="124">
        <v>1220</v>
      </c>
      <c r="D38" s="195">
        <f>+'[3]SUP B JUR FACS'!Q38</f>
        <v>0.2628</v>
      </c>
      <c r="E38" s="195">
        <f>+'[3]SUP B JUR FACS'!R38</f>
        <v>0.7372</v>
      </c>
      <c r="F38" s="195">
        <f aca="true" t="shared" si="5" ref="F38:F43">+D38+E38</f>
        <v>1</v>
      </c>
      <c r="G38" s="185">
        <f>+'[3]SUPP A TB'!D5</f>
        <v>37168.45</v>
      </c>
      <c r="H38" s="185">
        <f>+'[3]SUPP A TB'!E5</f>
        <v>55338</v>
      </c>
      <c r="I38" s="185">
        <f t="shared" si="1"/>
        <v>27401</v>
      </c>
      <c r="J38" s="185">
        <f t="shared" si="2"/>
        <v>40795.173599999995</v>
      </c>
      <c r="K38" t="s">
        <v>619</v>
      </c>
    </row>
    <row r="39" spans="1:10" ht="12.75">
      <c r="A39">
        <v>31</v>
      </c>
      <c r="B39" s="155" t="s">
        <v>25</v>
      </c>
      <c r="C39" s="124">
        <v>1402</v>
      </c>
      <c r="D39" s="195">
        <f>+'[3]SUP B JUR FACS'!Q39</f>
        <v>0</v>
      </c>
      <c r="E39" s="195">
        <f>+'[3]SUP B JUR FACS'!R39</f>
        <v>0</v>
      </c>
      <c r="F39" s="195">
        <f t="shared" si="5"/>
        <v>0</v>
      </c>
      <c r="G39" s="185">
        <v>0</v>
      </c>
      <c r="H39" s="185">
        <v>0</v>
      </c>
      <c r="I39" s="185">
        <f t="shared" si="1"/>
        <v>0</v>
      </c>
      <c r="J39" s="185">
        <f t="shared" si="2"/>
        <v>0</v>
      </c>
    </row>
    <row r="40" spans="1:10" ht="12.75">
      <c r="A40">
        <v>32</v>
      </c>
      <c r="B40" s="155" t="s">
        <v>26</v>
      </c>
      <c r="C40" s="124">
        <v>1439</v>
      </c>
      <c r="D40" s="195">
        <f>+'[3]SUP B JUR FACS'!Q40</f>
        <v>0</v>
      </c>
      <c r="E40" s="195">
        <f>+'[3]SUP B JUR FACS'!R40</f>
        <v>0</v>
      </c>
      <c r="F40" s="195">
        <f t="shared" si="5"/>
        <v>0</v>
      </c>
      <c r="G40" s="185">
        <v>0</v>
      </c>
      <c r="H40" s="185">
        <v>0</v>
      </c>
      <c r="I40" s="185">
        <f t="shared" si="1"/>
        <v>0</v>
      </c>
      <c r="J40" s="185">
        <f t="shared" si="2"/>
        <v>0</v>
      </c>
    </row>
    <row r="41" spans="1:10" ht="12.75">
      <c r="A41">
        <v>33</v>
      </c>
      <c r="B41" s="155" t="s">
        <v>27</v>
      </c>
      <c r="C41" s="124">
        <v>1500</v>
      </c>
      <c r="D41" s="195">
        <f>+'[3]SUP B JUR FACS'!Q41</f>
        <v>0</v>
      </c>
      <c r="E41" s="195">
        <f>+'[3]SUP B JUR FACS'!R41</f>
        <v>0</v>
      </c>
      <c r="F41" s="195">
        <f t="shared" si="5"/>
        <v>0</v>
      </c>
      <c r="G41" s="185">
        <v>0</v>
      </c>
      <c r="H41" s="185">
        <v>0</v>
      </c>
      <c r="I41" s="185">
        <f t="shared" si="1"/>
        <v>0</v>
      </c>
      <c r="J41" s="185">
        <f t="shared" si="2"/>
        <v>0</v>
      </c>
    </row>
    <row r="42" spans="1:11" ht="12.75">
      <c r="A42">
        <v>34</v>
      </c>
      <c r="B42" s="155" t="s">
        <v>28</v>
      </c>
      <c r="C42" s="125" t="s">
        <v>29</v>
      </c>
      <c r="D42" s="195">
        <f>+'[3]SUP B JUR FACS'!Q42</f>
        <v>0.3978</v>
      </c>
      <c r="E42" s="195">
        <f>+'[3]SUP B JUR FACS'!R42</f>
        <v>0.6022</v>
      </c>
      <c r="F42" s="195">
        <f t="shared" si="5"/>
        <v>1</v>
      </c>
      <c r="G42" s="26">
        <v>217752</v>
      </c>
      <c r="H42" s="26">
        <v>233398</v>
      </c>
      <c r="I42" s="185">
        <f t="shared" si="1"/>
        <v>131130</v>
      </c>
      <c r="J42" s="185">
        <f t="shared" si="2"/>
        <v>140552.2756</v>
      </c>
      <c r="K42" t="s">
        <v>620</v>
      </c>
    </row>
    <row r="43" spans="1:10" ht="12.75">
      <c r="A43">
        <v>35</v>
      </c>
      <c r="B43" s="155" t="s">
        <v>30</v>
      </c>
      <c r="C43" s="124"/>
      <c r="D43" s="195">
        <f>+'[3]SUP B JUR FACS'!Q43</f>
        <v>0.3265</v>
      </c>
      <c r="E43" s="195">
        <f>+'[3]SUP B JUR FACS'!R43</f>
        <v>0.6735</v>
      </c>
      <c r="F43" s="195">
        <f t="shared" si="5"/>
        <v>1</v>
      </c>
      <c r="G43" s="244">
        <f>SUM(G38:G42)+G36</f>
        <v>12255586.780000005</v>
      </c>
      <c r="H43" s="244">
        <f>SUM(H38:H42)+H36</f>
        <v>10356987.670000002</v>
      </c>
      <c r="I43" s="244">
        <f>SUM(I38:I42)+I36</f>
        <v>8150964</v>
      </c>
      <c r="J43" s="244">
        <f>SUM(J38:J42)+J36</f>
        <v>6934084.7541820025</v>
      </c>
    </row>
    <row r="44" spans="2:10" ht="12.75">
      <c r="B44" s="155"/>
      <c r="C44" s="124"/>
      <c r="D44" s="195"/>
      <c r="E44" s="195"/>
      <c r="F44" s="195"/>
      <c r="G44" s="307"/>
      <c r="H44" s="307"/>
      <c r="I44" s="307"/>
      <c r="J44" s="307"/>
    </row>
    <row r="45" spans="2:10" ht="12.75">
      <c r="B45" s="155" t="s">
        <v>725</v>
      </c>
      <c r="C45" s="124"/>
      <c r="D45" s="195"/>
      <c r="E45" s="195"/>
      <c r="F45" s="195"/>
      <c r="G45" s="307"/>
      <c r="H45" s="307"/>
      <c r="I45" s="307"/>
      <c r="J45" s="307"/>
    </row>
    <row r="46" spans="2:10" ht="12.75">
      <c r="B46" s="155"/>
      <c r="C46" s="124"/>
      <c r="D46" s="195"/>
      <c r="E46" s="195"/>
      <c r="F46" s="195"/>
      <c r="G46" s="307"/>
      <c r="H46" s="307"/>
      <c r="I46" s="307"/>
      <c r="J46" s="307"/>
    </row>
    <row r="47" spans="2:10" ht="12.75">
      <c r="B47" s="155"/>
      <c r="C47" s="124"/>
      <c r="D47" s="195"/>
      <c r="E47" s="195"/>
      <c r="F47" s="195"/>
      <c r="G47" s="307"/>
      <c r="H47" s="307"/>
      <c r="I47" s="307"/>
      <c r="J47" s="307"/>
    </row>
    <row r="48" spans="2:10" ht="12.75">
      <c r="B48" s="155"/>
      <c r="C48" s="124"/>
      <c r="D48" s="195"/>
      <c r="E48" s="195"/>
      <c r="F48" s="195"/>
      <c r="G48" s="307"/>
      <c r="H48" s="307"/>
      <c r="I48" s="307"/>
      <c r="J48" s="307"/>
    </row>
    <row r="49" spans="1:10" ht="12.75">
      <c r="A49" s="286" t="str">
        <f>+A1</f>
        <v>CARBON / EMERY TELCOM</v>
      </c>
      <c r="B49" s="286"/>
      <c r="C49" s="126"/>
      <c r="G49" s="185"/>
      <c r="H49" s="185"/>
      <c r="J49" s="206" t="s">
        <v>187</v>
      </c>
    </row>
    <row r="50" spans="1:10" ht="12.75">
      <c r="A50" s="286" t="str">
        <f>+A2</f>
        <v>JURISDICTIONAL APPORTIONMENT OF INVESTMENT AND EXPENSES</v>
      </c>
      <c r="C50" s="126"/>
      <c r="G50" s="185"/>
      <c r="H50" s="185"/>
      <c r="J50" s="206" t="s">
        <v>186</v>
      </c>
    </row>
    <row r="51" spans="1:8" ht="12.75">
      <c r="A51" s="286" t="str">
        <f>+A4</f>
        <v>BASED ON MOST RECENT COST STUDY (2003)</v>
      </c>
      <c r="C51" s="126"/>
      <c r="G51" s="185"/>
      <c r="H51" s="185"/>
    </row>
    <row r="52" spans="2:8" ht="12.75">
      <c r="B52" s="286"/>
      <c r="C52" s="126"/>
      <c r="G52" s="185"/>
      <c r="H52" s="185"/>
    </row>
    <row r="53" spans="2:8" ht="12.75">
      <c r="B53" s="85"/>
      <c r="C53" s="126"/>
      <c r="D53" s="486" t="s">
        <v>622</v>
      </c>
      <c r="E53" s="487"/>
      <c r="F53" s="488"/>
      <c r="G53" s="498" t="s">
        <v>621</v>
      </c>
      <c r="H53" s="499"/>
    </row>
    <row r="54" spans="2:10" ht="12.75">
      <c r="B54" s="156"/>
      <c r="C54" s="121"/>
      <c r="D54" s="287" t="s">
        <v>550</v>
      </c>
      <c r="E54" s="287" t="s">
        <v>500</v>
      </c>
      <c r="F54" s="287"/>
      <c r="G54" s="287"/>
      <c r="H54" s="287" t="s">
        <v>392</v>
      </c>
      <c r="I54" s="287"/>
      <c r="J54" s="287"/>
    </row>
    <row r="55" spans="2:10" ht="12.75">
      <c r="B55" s="127"/>
      <c r="C55" s="122" t="s">
        <v>551</v>
      </c>
      <c r="D55" s="288" t="s">
        <v>392</v>
      </c>
      <c r="E55" s="288" t="s">
        <v>392</v>
      </c>
      <c r="F55" s="288" t="s">
        <v>342</v>
      </c>
      <c r="G55" s="288"/>
      <c r="H55" s="288" t="s">
        <v>394</v>
      </c>
      <c r="I55" s="288" t="s">
        <v>500</v>
      </c>
      <c r="J55" s="288" t="s">
        <v>500</v>
      </c>
    </row>
    <row r="56" spans="2:10" ht="12.75">
      <c r="B56" s="127"/>
      <c r="C56" s="123" t="s">
        <v>444</v>
      </c>
      <c r="D56" s="211"/>
      <c r="E56" s="211"/>
      <c r="F56" s="211"/>
      <c r="G56" s="211"/>
      <c r="H56" s="211">
        <v>2004</v>
      </c>
      <c r="I56" s="211">
        <v>2003</v>
      </c>
      <c r="J56" s="211">
        <v>2004</v>
      </c>
    </row>
    <row r="57" spans="2:10" ht="12.75">
      <c r="B57" s="127"/>
      <c r="C57" s="305" t="s">
        <v>451</v>
      </c>
      <c r="D57" s="260" t="s">
        <v>276</v>
      </c>
      <c r="E57" s="260" t="s">
        <v>452</v>
      </c>
      <c r="F57" s="260" t="s">
        <v>453</v>
      </c>
      <c r="G57" s="260" t="s">
        <v>277</v>
      </c>
      <c r="H57" s="260" t="s">
        <v>278</v>
      </c>
      <c r="I57" s="260" t="s">
        <v>608</v>
      </c>
      <c r="J57" s="260" t="s">
        <v>607</v>
      </c>
    </row>
    <row r="58" spans="2:10" ht="12.75">
      <c r="B58" s="127"/>
      <c r="C58" s="306"/>
      <c r="D58" s="261"/>
      <c r="E58" s="261"/>
      <c r="F58" s="261"/>
      <c r="G58" s="261"/>
      <c r="H58" s="261"/>
      <c r="I58" s="261"/>
      <c r="J58" s="261"/>
    </row>
    <row r="59" spans="1:8" ht="12.75">
      <c r="A59">
        <v>36</v>
      </c>
      <c r="B59" s="155" t="s">
        <v>31</v>
      </c>
      <c r="C59" s="121"/>
      <c r="D59" s="195">
        <f>+'[3]SUP B JUR FACS'!Q52</f>
        <v>0</v>
      </c>
      <c r="E59" s="195">
        <f>+'[3]SUP B JUR FACS'!R52</f>
        <v>0</v>
      </c>
      <c r="G59" s="185"/>
      <c r="H59" s="185"/>
    </row>
    <row r="60" spans="1:10" ht="12.75">
      <c r="A60">
        <v>37</v>
      </c>
      <c r="B60" s="155" t="s">
        <v>32</v>
      </c>
      <c r="C60" s="124">
        <v>6110</v>
      </c>
      <c r="D60" s="195">
        <f>+'[3]SUP B JUR FACS'!Q53</f>
        <v>0.3554</v>
      </c>
      <c r="E60" s="195">
        <f>+'[3]SUP B JUR FACS'!R53</f>
        <v>0.6446</v>
      </c>
      <c r="F60" s="195">
        <f aca="true" t="shared" si="6" ref="F60:F81">+D60+E60</f>
        <v>1</v>
      </c>
      <c r="G60" s="185"/>
      <c r="H60" s="185">
        <f>+'[3]SUPP A TB'!E171</f>
        <v>3577</v>
      </c>
      <c r="J60" s="189">
        <f>ROUND(+H60*E60,0)</f>
        <v>2306</v>
      </c>
    </row>
    <row r="61" spans="1:10" ht="12.75">
      <c r="A61">
        <v>38</v>
      </c>
      <c r="B61" s="155" t="s">
        <v>33</v>
      </c>
      <c r="C61" s="124">
        <v>6120</v>
      </c>
      <c r="D61" s="195">
        <f>+'[3]SUP B JUR FACS'!Q54</f>
        <v>0.3554</v>
      </c>
      <c r="E61" s="195">
        <f>+'[3]SUP B JUR FACS'!R54</f>
        <v>0.6446</v>
      </c>
      <c r="F61" s="195">
        <f t="shared" si="6"/>
        <v>1</v>
      </c>
      <c r="G61" s="185"/>
      <c r="H61" s="185">
        <f>+'[3]SUPP A TB'!E177</f>
        <v>186567.43</v>
      </c>
      <c r="J61" s="185">
        <f aca="true" t="shared" si="7" ref="J61:J87">+E61*H61</f>
        <v>120261.36537799999</v>
      </c>
    </row>
    <row r="62" spans="1:10" ht="12.75">
      <c r="A62">
        <v>39</v>
      </c>
      <c r="B62" s="155" t="s">
        <v>34</v>
      </c>
      <c r="C62" s="124">
        <v>6210</v>
      </c>
      <c r="D62" s="195">
        <f>+'[3]SUP B JUR FACS'!Q55</f>
        <v>0.4594</v>
      </c>
      <c r="E62" s="195">
        <f>+'[3]SUP B JUR FACS'!R55</f>
        <v>0.5406</v>
      </c>
      <c r="F62" s="195">
        <f t="shared" si="6"/>
        <v>1</v>
      </c>
      <c r="G62" s="185"/>
      <c r="H62" s="185">
        <f>+'[3]SUPP A TB'!E189</f>
        <v>619631.64</v>
      </c>
      <c r="J62" s="185">
        <f t="shared" si="7"/>
        <v>334972.86458399997</v>
      </c>
    </row>
    <row r="63" spans="1:10" ht="12.75">
      <c r="A63">
        <v>40</v>
      </c>
      <c r="B63" s="155" t="s">
        <v>35</v>
      </c>
      <c r="C63" s="124">
        <v>6310</v>
      </c>
      <c r="D63" s="195">
        <f>+'[3]SUP B JUR FACS'!Q56</f>
        <v>0</v>
      </c>
      <c r="E63" s="195">
        <f>+'[3]SUP B JUR FACS'!R56</f>
        <v>0</v>
      </c>
      <c r="F63" s="195">
        <f t="shared" si="6"/>
        <v>0</v>
      </c>
      <c r="G63" s="185"/>
      <c r="H63" s="185">
        <v>0</v>
      </c>
      <c r="J63" s="185">
        <f t="shared" si="7"/>
        <v>0</v>
      </c>
    </row>
    <row r="64" spans="1:10" ht="12.75">
      <c r="A64">
        <v>41</v>
      </c>
      <c r="B64" s="155" t="s">
        <v>36</v>
      </c>
      <c r="C64" s="124">
        <v>6410</v>
      </c>
      <c r="D64" s="195">
        <f>+'[3]SUP B JUR FACS'!Q57</f>
        <v>0.2628</v>
      </c>
      <c r="E64" s="195">
        <f>+'[3]SUP B JUR FACS'!R57</f>
        <v>0.7372</v>
      </c>
      <c r="F64" s="195">
        <f t="shared" si="6"/>
        <v>1</v>
      </c>
      <c r="G64" s="185"/>
      <c r="H64" s="187">
        <f>+'[3]SUPP A TB'!E196</f>
        <v>1596929</v>
      </c>
      <c r="J64" s="187">
        <f t="shared" si="7"/>
        <v>1177256.0588</v>
      </c>
    </row>
    <row r="65" spans="1:11" ht="12.75">
      <c r="A65">
        <v>42</v>
      </c>
      <c r="B65" s="155" t="s">
        <v>144</v>
      </c>
      <c r="C65" s="124"/>
      <c r="D65" s="195"/>
      <c r="E65" s="195"/>
      <c r="F65" s="195"/>
      <c r="G65" s="185"/>
      <c r="H65" s="185">
        <f>SUM(H60:H64)</f>
        <v>2406705.0700000003</v>
      </c>
      <c r="J65" s="185">
        <f>SUM(J60:J64)</f>
        <v>1634796.288762</v>
      </c>
      <c r="K65" t="s">
        <v>609</v>
      </c>
    </row>
    <row r="66" spans="1:10" ht="12.75">
      <c r="A66">
        <v>43</v>
      </c>
      <c r="B66" s="155"/>
      <c r="C66" s="124"/>
      <c r="D66" s="195"/>
      <c r="E66" s="195"/>
      <c r="F66" s="195"/>
      <c r="G66" s="185"/>
      <c r="H66" s="185"/>
      <c r="J66" s="185"/>
    </row>
    <row r="67" spans="1:10" ht="12.75">
      <c r="A67">
        <v>44</v>
      </c>
      <c r="B67" s="155" t="s">
        <v>37</v>
      </c>
      <c r="C67" s="124">
        <v>6510</v>
      </c>
      <c r="D67" s="195">
        <f>+'[3]SUP B JUR FACS'!Q58</f>
        <v>0.3554</v>
      </c>
      <c r="E67" s="195">
        <f>+'[3]SUP B JUR FACS'!R58</f>
        <v>0.6446</v>
      </c>
      <c r="F67" s="195">
        <f t="shared" si="6"/>
        <v>1</v>
      </c>
      <c r="G67" s="185"/>
      <c r="H67" s="185">
        <f>+'[3]SUPP A TB'!E213</f>
        <v>25337</v>
      </c>
      <c r="J67" s="185">
        <f t="shared" si="7"/>
        <v>16332.230199999998</v>
      </c>
    </row>
    <row r="68" spans="1:10" ht="12.75">
      <c r="A68">
        <v>45</v>
      </c>
      <c r="B68" s="155" t="s">
        <v>291</v>
      </c>
      <c r="C68" s="124">
        <v>6530</v>
      </c>
      <c r="D68" s="195">
        <f>+'[3]SUP B JUR FACS'!Q59</f>
        <v>0.3554</v>
      </c>
      <c r="E68" s="195">
        <f>+'[3]SUP B JUR FACS'!R59</f>
        <v>0.6446</v>
      </c>
      <c r="F68" s="195">
        <f t="shared" si="6"/>
        <v>1</v>
      </c>
      <c r="G68" s="185"/>
      <c r="H68" s="185">
        <f>+'[3]SUPP A TB'!E218</f>
        <v>178283.58000000002</v>
      </c>
      <c r="J68" s="185">
        <f t="shared" si="7"/>
        <v>114921.595668</v>
      </c>
    </row>
    <row r="69" spans="1:10" ht="12.75">
      <c r="A69">
        <v>46</v>
      </c>
      <c r="B69" s="155" t="s">
        <v>292</v>
      </c>
      <c r="C69" s="124">
        <v>6540</v>
      </c>
      <c r="D69" s="195">
        <f>+'[3]SUP B JUR FACS'!Q60</f>
        <v>0</v>
      </c>
      <c r="E69" s="195">
        <f>+'[3]SUP B JUR FACS'!R60</f>
        <v>0</v>
      </c>
      <c r="F69" s="195">
        <f t="shared" si="6"/>
        <v>0</v>
      </c>
      <c r="G69" s="185"/>
      <c r="H69" s="185">
        <v>0</v>
      </c>
      <c r="J69" s="185">
        <f t="shared" si="7"/>
        <v>0</v>
      </c>
    </row>
    <row r="70" spans="1:10" ht="12.75">
      <c r="A70">
        <v>47</v>
      </c>
      <c r="B70" s="127" t="s">
        <v>293</v>
      </c>
      <c r="C70" s="124">
        <v>6540</v>
      </c>
      <c r="D70" s="195">
        <f>+'[3]SUP B JUR FACS'!Q61</f>
        <v>1</v>
      </c>
      <c r="E70" s="195">
        <f>+'[3]SUP B JUR FACS'!R61</f>
        <v>0</v>
      </c>
      <c r="F70" s="195">
        <f t="shared" si="6"/>
        <v>1</v>
      </c>
      <c r="G70" s="185"/>
      <c r="H70" s="187">
        <f>+'[3]SUPP A TB'!E220</f>
        <v>237748.38</v>
      </c>
      <c r="J70" s="187">
        <f t="shared" si="7"/>
        <v>0</v>
      </c>
    </row>
    <row r="71" spans="1:11" ht="12.75">
      <c r="A71">
        <v>48</v>
      </c>
      <c r="B71" s="155" t="s">
        <v>610</v>
      </c>
      <c r="C71" s="124"/>
      <c r="D71" s="195"/>
      <c r="E71" s="195"/>
      <c r="F71" s="195"/>
      <c r="G71" s="185"/>
      <c r="H71" s="185">
        <f>SUM(H67:H70)</f>
        <v>441368.96</v>
      </c>
      <c r="J71" s="185">
        <f>SUM(J67:J70)</f>
        <v>131253.82586799999</v>
      </c>
      <c r="K71" t="s">
        <v>611</v>
      </c>
    </row>
    <row r="72" spans="1:10" ht="12.75">
      <c r="A72">
        <v>49</v>
      </c>
      <c r="B72" s="127"/>
      <c r="C72" s="124"/>
      <c r="D72" s="195"/>
      <c r="E72" s="195"/>
      <c r="F72" s="195"/>
      <c r="G72" s="185"/>
      <c r="H72" s="185"/>
      <c r="J72" s="185"/>
    </row>
    <row r="73" spans="1:10" ht="12.75">
      <c r="A73">
        <v>50</v>
      </c>
      <c r="B73" s="155" t="s">
        <v>294</v>
      </c>
      <c r="C73" s="124">
        <v>6610</v>
      </c>
      <c r="D73" s="195">
        <f>+'[3]SUP B JUR FACS'!Q62</f>
        <v>0.3982</v>
      </c>
      <c r="E73" s="195">
        <f>+'[3]SUP B JUR FACS'!R62</f>
        <v>0.6018</v>
      </c>
      <c r="F73" s="195">
        <f t="shared" si="6"/>
        <v>1</v>
      </c>
      <c r="G73" s="185"/>
      <c r="H73" s="185">
        <f>+'[3]SUPP A TB'!E229</f>
        <v>81890</v>
      </c>
      <c r="J73" s="185">
        <f t="shared" si="7"/>
        <v>49281.402</v>
      </c>
    </row>
    <row r="74" spans="1:10" ht="12.75">
      <c r="A74">
        <v>51</v>
      </c>
      <c r="B74" s="155" t="s">
        <v>295</v>
      </c>
      <c r="C74" s="124">
        <v>6620</v>
      </c>
      <c r="D74" s="195">
        <f>+'[3]SUP B JUR FACS'!Q63</f>
        <v>0.3051</v>
      </c>
      <c r="E74" s="195">
        <f>+'[3]SUP B JUR FACS'!R63</f>
        <v>0.6949</v>
      </c>
      <c r="F74" s="195">
        <f t="shared" si="6"/>
        <v>1</v>
      </c>
      <c r="G74" s="185"/>
      <c r="H74" s="187">
        <f>+'[3]SUPP A TB'!E237</f>
        <v>510499</v>
      </c>
      <c r="J74" s="187">
        <f t="shared" si="7"/>
        <v>354745.7551</v>
      </c>
    </row>
    <row r="75" spans="1:11" ht="12.75">
      <c r="A75">
        <v>52</v>
      </c>
      <c r="B75" s="155" t="s">
        <v>145</v>
      </c>
      <c r="C75" s="124"/>
      <c r="D75" s="195"/>
      <c r="E75" s="195"/>
      <c r="F75" s="195"/>
      <c r="G75" s="185"/>
      <c r="H75" s="185">
        <f>+H73+H74</f>
        <v>592389</v>
      </c>
      <c r="J75" s="185">
        <f>+J73+J74</f>
        <v>404027.1571</v>
      </c>
      <c r="K75" t="s">
        <v>612</v>
      </c>
    </row>
    <row r="76" spans="1:10" ht="12.75">
      <c r="A76">
        <v>53</v>
      </c>
      <c r="B76" s="155"/>
      <c r="C76" s="124"/>
      <c r="D76" s="195"/>
      <c r="E76" s="195"/>
      <c r="F76" s="195"/>
      <c r="G76" s="185"/>
      <c r="H76" s="185"/>
      <c r="J76" s="185"/>
    </row>
    <row r="77" spans="1:10" ht="12.75">
      <c r="A77">
        <v>54</v>
      </c>
      <c r="B77" s="155" t="s">
        <v>296</v>
      </c>
      <c r="C77" s="124">
        <v>6710</v>
      </c>
      <c r="D77" s="195">
        <f>+'[3]SUP B JUR FACS'!Q64</f>
        <v>0.3258</v>
      </c>
      <c r="E77" s="195">
        <f>+'[3]SUP B JUR FACS'!R64</f>
        <v>0.6742</v>
      </c>
      <c r="F77" s="195">
        <f t="shared" si="6"/>
        <v>1</v>
      </c>
      <c r="G77" s="185"/>
      <c r="H77" s="185">
        <f>+'[3]SUPP A TB'!E242</f>
        <v>148167</v>
      </c>
      <c r="J77" s="185">
        <f t="shared" si="7"/>
        <v>99894.1914</v>
      </c>
    </row>
    <row r="78" spans="1:10" ht="12.75">
      <c r="A78">
        <v>55</v>
      </c>
      <c r="B78" s="155" t="s">
        <v>297</v>
      </c>
      <c r="C78" s="124">
        <v>6720</v>
      </c>
      <c r="D78" s="195">
        <f>+'[3]SUP B JUR FACS'!Q65</f>
        <v>0.3745</v>
      </c>
      <c r="E78" s="195">
        <f>+'[3]SUP B JUR FACS'!R65</f>
        <v>0.6255</v>
      </c>
      <c r="F78" s="195">
        <f t="shared" si="6"/>
        <v>1</v>
      </c>
      <c r="G78" s="185"/>
      <c r="H78" s="187">
        <f>+'[3]SUPP A TB'!E251</f>
        <v>1127590.81</v>
      </c>
      <c r="J78" s="187">
        <f t="shared" si="7"/>
        <v>705308.051655</v>
      </c>
    </row>
    <row r="79" spans="1:11" ht="12.75">
      <c r="A79">
        <v>56</v>
      </c>
      <c r="B79" s="155" t="s">
        <v>146</v>
      </c>
      <c r="C79" s="124"/>
      <c r="D79" s="195"/>
      <c r="E79" s="195"/>
      <c r="F79" s="195"/>
      <c r="G79" s="185"/>
      <c r="H79" s="185">
        <f>+H77+H78</f>
        <v>1275757.81</v>
      </c>
      <c r="J79" s="185">
        <f>+J77+J78</f>
        <v>805202.243055</v>
      </c>
      <c r="K79" t="s">
        <v>613</v>
      </c>
    </row>
    <row r="80" spans="1:10" ht="12.75">
      <c r="A80">
        <v>57</v>
      </c>
      <c r="B80" s="155"/>
      <c r="C80" s="124"/>
      <c r="D80" s="195"/>
      <c r="E80" s="195"/>
      <c r="F80" s="195"/>
      <c r="G80" s="185"/>
      <c r="H80" s="185"/>
      <c r="J80" s="185"/>
    </row>
    <row r="81" spans="1:10" ht="12.75">
      <c r="A81">
        <v>58</v>
      </c>
      <c r="B81" s="155" t="s">
        <v>298</v>
      </c>
      <c r="C81" s="124"/>
      <c r="D81" s="195">
        <f>+'[3]SUP B JUR FACS'!Q66</f>
        <v>0.349</v>
      </c>
      <c r="E81" s="195">
        <f>+'[3]SUP B JUR FACS'!R66</f>
        <v>0.651</v>
      </c>
      <c r="F81" s="195">
        <f t="shared" si="6"/>
        <v>1</v>
      </c>
      <c r="G81" s="185"/>
      <c r="H81" s="244">
        <f>+H65+H71+H75+H79</f>
        <v>4716220.84</v>
      </c>
      <c r="J81" s="244">
        <f>+J65+J71+J75+J79</f>
        <v>2975279.514785</v>
      </c>
    </row>
    <row r="82" spans="1:10" ht="12.75">
      <c r="A82">
        <v>59</v>
      </c>
      <c r="B82" s="127"/>
      <c r="C82" s="124"/>
      <c r="G82" s="185"/>
      <c r="H82" s="185"/>
      <c r="J82" s="185">
        <f t="shared" si="7"/>
        <v>0</v>
      </c>
    </row>
    <row r="83" spans="1:11" ht="12.75">
      <c r="A83">
        <v>60</v>
      </c>
      <c r="B83" s="155" t="s">
        <v>300</v>
      </c>
      <c r="C83" s="124">
        <v>6560</v>
      </c>
      <c r="D83" s="195">
        <f>+'[3]SUP B JUR FACS'!Q68</f>
        <v>0.3857</v>
      </c>
      <c r="E83" s="195">
        <f>+'[3]SUP B JUR FACS'!R68</f>
        <v>0.6143</v>
      </c>
      <c r="F83" s="195">
        <f aca="true" t="shared" si="8" ref="F83:F91">+D83+E83</f>
        <v>1</v>
      </c>
      <c r="G83" s="185"/>
      <c r="H83" s="185">
        <f>+'[3]SUPP A TB'!E208</f>
        <v>2304133.66</v>
      </c>
      <c r="J83" s="185">
        <f t="shared" si="7"/>
        <v>1415429.307338</v>
      </c>
      <c r="K83" t="s">
        <v>613</v>
      </c>
    </row>
    <row r="84" spans="1:11" ht="12.75">
      <c r="A84">
        <v>61</v>
      </c>
      <c r="B84" s="155" t="s">
        <v>301</v>
      </c>
      <c r="C84" s="124">
        <v>7240</v>
      </c>
      <c r="D84" s="195">
        <f>+'[3]SUP B JUR FACS'!Q69</f>
        <v>0.3554</v>
      </c>
      <c r="E84" s="195">
        <f>+'[3]SUP B JUR FACS'!R69</f>
        <v>0.6446</v>
      </c>
      <c r="F84" s="195">
        <f t="shared" si="8"/>
        <v>1</v>
      </c>
      <c r="G84" s="185"/>
      <c r="H84" s="185">
        <f>+'[3]SUPP A TB'!E259</f>
        <v>138752</v>
      </c>
      <c r="J84" s="185">
        <f t="shared" si="7"/>
        <v>89439.5392</v>
      </c>
      <c r="K84" t="s">
        <v>614</v>
      </c>
    </row>
    <row r="85" spans="1:10" ht="12.75">
      <c r="A85">
        <v>62</v>
      </c>
      <c r="B85" s="155" t="s">
        <v>302</v>
      </c>
      <c r="C85" s="124"/>
      <c r="D85" s="195">
        <f>+'[3]SUP B JUR FACS'!Q70</f>
        <v>0</v>
      </c>
      <c r="E85" s="195">
        <f>+'[3]SUP B JUR FACS'!R70</f>
        <v>0</v>
      </c>
      <c r="F85" s="195">
        <f t="shared" si="8"/>
        <v>0</v>
      </c>
      <c r="G85" s="185"/>
      <c r="H85" s="185"/>
      <c r="J85" s="185">
        <f t="shared" si="7"/>
        <v>0</v>
      </c>
    </row>
    <row r="86" spans="1:10" ht="12.75">
      <c r="A86">
        <v>63</v>
      </c>
      <c r="B86" s="155" t="s">
        <v>303</v>
      </c>
      <c r="C86" s="125">
        <v>7500</v>
      </c>
      <c r="D86" s="195">
        <f>+'[3]SUP B JUR FACS'!Q71</f>
        <v>0</v>
      </c>
      <c r="E86" s="195">
        <f>+'[3]SUP B JUR FACS'!R71</f>
        <v>1</v>
      </c>
      <c r="F86" s="195">
        <f t="shared" si="8"/>
        <v>1</v>
      </c>
      <c r="G86" s="185"/>
      <c r="H86" s="185">
        <f>+'[3]SUPP A TB'!E278</f>
        <v>13</v>
      </c>
      <c r="J86" s="185">
        <f t="shared" si="7"/>
        <v>13</v>
      </c>
    </row>
    <row r="87" spans="1:10" ht="12.75">
      <c r="A87">
        <v>64</v>
      </c>
      <c r="B87" s="155" t="s">
        <v>304</v>
      </c>
      <c r="C87" s="125">
        <v>5240</v>
      </c>
      <c r="D87" s="195">
        <f>+'[3]SUP B JUR FACS'!Q72</f>
        <v>0.3554</v>
      </c>
      <c r="E87" s="195">
        <f>+'[3]SUP B JUR FACS'!R72</f>
        <v>0.6446</v>
      </c>
      <c r="F87" s="195">
        <f t="shared" si="8"/>
        <v>1</v>
      </c>
      <c r="G87" s="185"/>
      <c r="H87" s="185"/>
      <c r="J87" s="185">
        <f t="shared" si="7"/>
        <v>0</v>
      </c>
    </row>
    <row r="88" spans="1:10" ht="12.75">
      <c r="A88">
        <v>65</v>
      </c>
      <c r="B88" s="155" t="s">
        <v>305</v>
      </c>
      <c r="C88" s="124"/>
      <c r="D88" s="195">
        <f>+'[3]SUP B JUR FACS'!Q73</f>
        <v>0.3625</v>
      </c>
      <c r="E88" s="195">
        <f>+'[3]SUP B JUR FACS'!R73</f>
        <v>0.6375</v>
      </c>
      <c r="F88" s="195">
        <f t="shared" si="8"/>
        <v>1</v>
      </c>
      <c r="G88" s="185"/>
      <c r="H88" s="244">
        <f>SUM(H81:H87)</f>
        <v>7159119.5</v>
      </c>
      <c r="J88" s="244">
        <f>SUM(J81:J87)</f>
        <v>4480161.361323001</v>
      </c>
    </row>
    <row r="89" spans="1:8" ht="12.75">
      <c r="A89">
        <v>66</v>
      </c>
      <c r="B89" s="127"/>
      <c r="C89" s="124"/>
      <c r="H89" s="185"/>
    </row>
    <row r="90" spans="1:10" ht="12.75">
      <c r="A90">
        <v>67</v>
      </c>
      <c r="B90" s="28" t="s">
        <v>410</v>
      </c>
      <c r="C90" s="16"/>
      <c r="D90" s="195">
        <f>+D43</f>
        <v>0.3265</v>
      </c>
      <c r="E90" s="195">
        <f>+E43</f>
        <v>0.6735</v>
      </c>
      <c r="F90" s="195">
        <f t="shared" si="8"/>
        <v>1</v>
      </c>
      <c r="H90" s="185">
        <f>+'[3]SUPP A TB'!E266</f>
        <v>-1136513</v>
      </c>
      <c r="J90" s="185">
        <f>+E90*H90</f>
        <v>-765441.5055</v>
      </c>
    </row>
    <row r="91" spans="1:10" ht="12.75">
      <c r="A91">
        <v>68</v>
      </c>
      <c r="B91" s="25" t="s">
        <v>411</v>
      </c>
      <c r="C91" s="16"/>
      <c r="D91" s="195">
        <f>+D90</f>
        <v>0.3265</v>
      </c>
      <c r="E91" s="195">
        <f>+E90</f>
        <v>0.6735</v>
      </c>
      <c r="F91" s="195">
        <f t="shared" si="8"/>
        <v>1</v>
      </c>
      <c r="H91" s="185">
        <f>+'[3]SUPP A TB'!E267</f>
        <v>-80612</v>
      </c>
      <c r="J91" s="185">
        <f>+E91*H91</f>
        <v>-54292.182</v>
      </c>
    </row>
    <row r="92" ht="12.75">
      <c r="H92" s="185"/>
    </row>
    <row r="93" ht="12.75">
      <c r="H93" s="185"/>
    </row>
    <row r="94" ht="12.75">
      <c r="H94" s="185"/>
    </row>
    <row r="95" ht="12.75">
      <c r="H95" s="185"/>
    </row>
    <row r="96" ht="12.75">
      <c r="H96" s="185"/>
    </row>
    <row r="97" ht="12.75">
      <c r="H97" s="185"/>
    </row>
    <row r="98" ht="12.75">
      <c r="H98" s="185"/>
    </row>
    <row r="99" ht="12.75">
      <c r="H99" s="185"/>
    </row>
    <row r="100" ht="12.75">
      <c r="H100" s="185"/>
    </row>
    <row r="101" ht="12.75">
      <c r="H101" s="185"/>
    </row>
    <row r="102" ht="12.75">
      <c r="H102" s="185"/>
    </row>
    <row r="103" ht="12.75">
      <c r="H103" s="185"/>
    </row>
    <row r="104" ht="12.75">
      <c r="H104" s="185"/>
    </row>
    <row r="105" ht="12.75">
      <c r="H105" s="185"/>
    </row>
    <row r="106" ht="12.75">
      <c r="H106" s="185"/>
    </row>
    <row r="107" ht="12.75">
      <c r="H107" s="185"/>
    </row>
    <row r="108" ht="12.75">
      <c r="H108" s="185"/>
    </row>
    <row r="109" ht="12.75">
      <c r="H109" s="185"/>
    </row>
    <row r="110" ht="12.75">
      <c r="H110" s="185"/>
    </row>
    <row r="111" ht="12.75">
      <c r="H111" s="185"/>
    </row>
    <row r="112" ht="12.75">
      <c r="H112" s="185"/>
    </row>
    <row r="113" ht="12.75">
      <c r="H113" s="185"/>
    </row>
    <row r="114" ht="12.75">
      <c r="H114" s="185"/>
    </row>
    <row r="115" ht="12.75">
      <c r="H115" s="185"/>
    </row>
    <row r="116" ht="12.75">
      <c r="H116" s="185"/>
    </row>
    <row r="117" ht="12.75">
      <c r="H117" s="185"/>
    </row>
    <row r="118" ht="12.75">
      <c r="H118" s="185"/>
    </row>
    <row r="119" ht="12.75">
      <c r="H119" s="185"/>
    </row>
    <row r="120" ht="12.75">
      <c r="H120" s="185"/>
    </row>
    <row r="121" ht="12.75">
      <c r="H121" s="185"/>
    </row>
    <row r="122" ht="12.75">
      <c r="H122" s="185"/>
    </row>
    <row r="123" ht="12.75">
      <c r="H123" s="185"/>
    </row>
    <row r="124" ht="12.75">
      <c r="H124" s="185"/>
    </row>
    <row r="125" ht="12.75">
      <c r="H125" s="185"/>
    </row>
    <row r="126" ht="12.75">
      <c r="H126" s="185"/>
    </row>
    <row r="127" ht="12.75">
      <c r="H127" s="185"/>
    </row>
    <row r="128" ht="12.75">
      <c r="H128" s="185"/>
    </row>
    <row r="129" ht="12.75">
      <c r="H129" s="185"/>
    </row>
    <row r="130" ht="12.75">
      <c r="H130" s="185"/>
    </row>
    <row r="131" ht="12.75">
      <c r="H131" s="185"/>
    </row>
    <row r="132" ht="12.75">
      <c r="H132" s="185"/>
    </row>
    <row r="133" ht="12.75">
      <c r="H133" s="185"/>
    </row>
    <row r="134" ht="12.75">
      <c r="H134" s="185"/>
    </row>
    <row r="135" ht="12.75">
      <c r="H135" s="185"/>
    </row>
    <row r="136" ht="12.75">
      <c r="H136" s="185"/>
    </row>
    <row r="137" ht="12.75">
      <c r="H137" s="185"/>
    </row>
    <row r="138" ht="12.75">
      <c r="H138" s="185"/>
    </row>
    <row r="139" ht="12.75">
      <c r="H139" s="185"/>
    </row>
    <row r="140" ht="12.75">
      <c r="H140" s="185"/>
    </row>
    <row r="141" ht="12.75">
      <c r="H141" s="185"/>
    </row>
    <row r="142" ht="12.75">
      <c r="H142" s="185"/>
    </row>
    <row r="143" ht="12.75">
      <c r="H143" s="185"/>
    </row>
    <row r="144" ht="12.75">
      <c r="H144" s="185"/>
    </row>
    <row r="145" ht="12.75">
      <c r="H145" s="185"/>
    </row>
    <row r="146" ht="12.75">
      <c r="H146" s="185"/>
    </row>
    <row r="147" ht="12.75">
      <c r="H147" s="185"/>
    </row>
    <row r="148" ht="12.75">
      <c r="H148" s="185"/>
    </row>
    <row r="149" ht="12.75">
      <c r="H149" s="185"/>
    </row>
    <row r="150" ht="12.75">
      <c r="H150" s="185"/>
    </row>
    <row r="151" ht="12.75">
      <c r="H151" s="185"/>
    </row>
    <row r="152" ht="12.75">
      <c r="H152" s="185"/>
    </row>
    <row r="153" ht="12.75">
      <c r="H153" s="185"/>
    </row>
    <row r="154" ht="12.75">
      <c r="H154" s="185"/>
    </row>
    <row r="155" ht="12.75">
      <c r="H155" s="185"/>
    </row>
    <row r="156" ht="12.75">
      <c r="H156" s="185"/>
    </row>
    <row r="157" ht="12.75">
      <c r="H157" s="185"/>
    </row>
    <row r="158" ht="12.75">
      <c r="H158" s="185"/>
    </row>
    <row r="159" ht="12.75">
      <c r="H159" s="185"/>
    </row>
  </sheetData>
  <mergeCells count="4">
    <mergeCell ref="G4:H4"/>
    <mergeCell ref="D4:F4"/>
    <mergeCell ref="D53:F53"/>
    <mergeCell ref="G53:H53"/>
  </mergeCells>
  <printOptions/>
  <pageMargins left="0.75" right="0.75" top="0.65" bottom="1" header="0.5" footer="0.5"/>
  <pageSetup horizontalDpi="600" verticalDpi="600" orientation="landscape" scale="75" r:id="rId1"/>
  <rowBreaks count="1" manualBreakCount="1">
    <brk id="48" max="255" man="1"/>
  </rowBreaks>
</worksheet>
</file>

<file path=xl/worksheets/sheet13.xml><?xml version="1.0" encoding="utf-8"?>
<worksheet xmlns="http://schemas.openxmlformats.org/spreadsheetml/2006/main" xmlns:r="http://schemas.openxmlformats.org/officeDocument/2006/relationships">
  <dimension ref="A1:HZ61"/>
  <sheetViews>
    <sheetView zoomScale="65" zoomScaleNormal="65" workbookViewId="0" topLeftCell="A1">
      <selection activeCell="H21" sqref="H21"/>
    </sheetView>
  </sheetViews>
  <sheetFormatPr defaultColWidth="9.140625" defaultRowHeight="12.75"/>
  <cols>
    <col min="1" max="1" width="5.00390625" style="12" customWidth="1"/>
    <col min="2" max="2" width="31.57421875" style="12" customWidth="1"/>
    <col min="3" max="3" width="13.140625" style="13" customWidth="1"/>
    <col min="4" max="4" width="15.28125" style="13" customWidth="1"/>
    <col min="5" max="5" width="15.140625" style="13" bestFit="1" customWidth="1"/>
    <col min="6" max="7" width="13.00390625" style="13" bestFit="1" customWidth="1"/>
    <col min="8" max="8" width="16.28125" style="13" bestFit="1" customWidth="1"/>
    <col min="9" max="9" width="14.57421875" style="13" bestFit="1" customWidth="1"/>
    <col min="10" max="10" width="13.00390625" style="13" bestFit="1" customWidth="1"/>
    <col min="11" max="11" width="15.28125" style="13" hidden="1" customWidth="1"/>
    <col min="12" max="12" width="14.00390625" style="13" customWidth="1"/>
    <col min="13" max="13" width="14.28125" style="13" bestFit="1" customWidth="1"/>
    <col min="14" max="14" width="13.28125" style="13" bestFit="1" customWidth="1"/>
    <col min="15" max="15" width="17.421875" style="13" bestFit="1" customWidth="1"/>
    <col min="16" max="16" width="13.00390625" style="12" customWidth="1"/>
    <col min="17" max="17" width="17.28125" style="12" customWidth="1"/>
    <col min="18" max="21" width="10.7109375" style="12" customWidth="1"/>
    <col min="22" max="22" width="15.00390625" style="12" customWidth="1"/>
    <col min="23" max="23" width="12.57421875" style="12" customWidth="1"/>
    <col min="24" max="24" width="14.00390625" style="12" customWidth="1"/>
    <col min="25" max="25" width="14.140625" style="12" customWidth="1"/>
    <col min="26" max="26" width="12.00390625" style="12" customWidth="1"/>
    <col min="27" max="27" width="11.8515625" style="12" customWidth="1"/>
    <col min="28" max="28" width="10.8515625" style="12" customWidth="1"/>
    <col min="29" max="29" width="17.00390625" style="12" customWidth="1"/>
    <col min="30" max="31" width="12.00390625" style="12" customWidth="1"/>
    <col min="32" max="32" width="15.7109375" style="12" customWidth="1"/>
    <col min="33" max="33" width="30.28125" style="12" customWidth="1"/>
    <col min="34" max="16384" width="10.8515625" style="12" customWidth="1"/>
  </cols>
  <sheetData>
    <row r="1" spans="1:15" ht="15">
      <c r="A1" s="433"/>
      <c r="B1" s="433"/>
      <c r="C1" s="434"/>
      <c r="D1" s="434"/>
      <c r="E1" s="434"/>
      <c r="F1" s="500" t="s">
        <v>132</v>
      </c>
      <c r="G1" s="500"/>
      <c r="H1" s="500"/>
      <c r="I1" s="500"/>
      <c r="J1" s="434"/>
      <c r="K1" s="434"/>
      <c r="L1" s="434"/>
      <c r="M1" s="434"/>
      <c r="N1" s="501" t="s">
        <v>190</v>
      </c>
      <c r="O1" s="501"/>
    </row>
    <row r="2" spans="1:15" ht="15">
      <c r="A2" s="433"/>
      <c r="B2" s="433"/>
      <c r="C2" s="434"/>
      <c r="D2" s="434"/>
      <c r="E2" s="434"/>
      <c r="F2" s="500" t="s">
        <v>137</v>
      </c>
      <c r="G2" s="500"/>
      <c r="H2" s="500"/>
      <c r="I2" s="500"/>
      <c r="J2" s="434"/>
      <c r="K2" s="434"/>
      <c r="L2" s="434"/>
      <c r="M2" s="434"/>
      <c r="N2" s="434"/>
      <c r="O2" s="434"/>
    </row>
    <row r="3" spans="1:15" ht="15">
      <c r="A3" s="433"/>
      <c r="B3" s="433"/>
      <c r="C3" s="434"/>
      <c r="D3" s="434"/>
      <c r="E3" s="434"/>
      <c r="F3" s="500" t="s">
        <v>167</v>
      </c>
      <c r="G3" s="500"/>
      <c r="H3" s="500"/>
      <c r="I3" s="500"/>
      <c r="J3" s="434"/>
      <c r="K3" s="434"/>
      <c r="L3" s="434"/>
      <c r="M3" s="434"/>
      <c r="N3" s="434"/>
      <c r="O3" s="434"/>
    </row>
    <row r="4" spans="1:15" ht="12.75">
      <c r="A4" s="433"/>
      <c r="B4" s="433"/>
      <c r="C4" s="434"/>
      <c r="D4" s="434"/>
      <c r="E4" s="434"/>
      <c r="F4" s="436"/>
      <c r="G4" s="436"/>
      <c r="H4" s="436"/>
      <c r="I4" s="436"/>
      <c r="J4" s="434"/>
      <c r="K4" s="434"/>
      <c r="L4" s="434"/>
      <c r="M4" s="434"/>
      <c r="N4" s="434"/>
      <c r="O4" s="434"/>
    </row>
    <row r="5" spans="1:15" ht="12.75">
      <c r="A5" s="433"/>
      <c r="B5" s="433"/>
      <c r="C5" s="434"/>
      <c r="D5" s="434"/>
      <c r="E5" s="434"/>
      <c r="F5" s="437"/>
      <c r="G5" s="437"/>
      <c r="H5" s="437"/>
      <c r="I5" s="437"/>
      <c r="J5" s="434"/>
      <c r="K5" s="434"/>
      <c r="L5" s="434"/>
      <c r="M5" s="434"/>
      <c r="N5" s="434"/>
      <c r="O5" s="434"/>
    </row>
    <row r="6" spans="1:15" s="3" customFormat="1" ht="12.75">
      <c r="A6" s="436"/>
      <c r="B6" s="436"/>
      <c r="C6" s="438"/>
      <c r="D6" s="439"/>
      <c r="E6" s="440" t="s">
        <v>381</v>
      </c>
      <c r="F6" s="473" t="s">
        <v>382</v>
      </c>
      <c r="G6" s="435" t="s">
        <v>389</v>
      </c>
      <c r="H6" s="435" t="s">
        <v>390</v>
      </c>
      <c r="I6" s="473" t="s">
        <v>496</v>
      </c>
      <c r="J6" s="473" t="s">
        <v>383</v>
      </c>
      <c r="K6" s="473" t="s">
        <v>496</v>
      </c>
      <c r="L6" s="473" t="s">
        <v>391</v>
      </c>
      <c r="M6" s="435" t="s">
        <v>392</v>
      </c>
      <c r="N6" s="435" t="s">
        <v>501</v>
      </c>
      <c r="O6" s="435" t="s">
        <v>392</v>
      </c>
    </row>
    <row r="7" spans="1:33" s="10" customFormat="1" ht="12.75">
      <c r="A7" s="436"/>
      <c r="B7" s="436"/>
      <c r="C7" s="442"/>
      <c r="D7" s="439"/>
      <c r="E7" s="443">
        <v>2004</v>
      </c>
      <c r="F7" s="444" t="s">
        <v>38</v>
      </c>
      <c r="G7" s="442" t="s">
        <v>225</v>
      </c>
      <c r="H7" s="435" t="s">
        <v>47</v>
      </c>
      <c r="I7" s="435" t="s">
        <v>328</v>
      </c>
      <c r="J7" s="435" t="s">
        <v>328</v>
      </c>
      <c r="K7" s="435"/>
      <c r="L7" s="445"/>
      <c r="M7" s="435" t="s">
        <v>394</v>
      </c>
      <c r="N7" s="435" t="s">
        <v>443</v>
      </c>
      <c r="O7" s="435" t="s">
        <v>394</v>
      </c>
      <c r="P7" s="9"/>
      <c r="Q7" s="9"/>
      <c r="R7" s="11"/>
      <c r="S7" s="9"/>
      <c r="T7" s="9"/>
      <c r="U7" s="9"/>
      <c r="V7" s="9"/>
      <c r="W7" s="9"/>
      <c r="X7" s="9"/>
      <c r="Y7" s="9"/>
      <c r="Z7" s="9"/>
      <c r="AA7" s="9"/>
      <c r="AB7" s="9"/>
      <c r="AC7" s="9"/>
      <c r="AD7" s="9"/>
      <c r="AE7" s="9"/>
      <c r="AF7" s="9"/>
      <c r="AG7" s="9"/>
    </row>
    <row r="8" spans="1:33" s="10" customFormat="1" ht="12.75">
      <c r="A8" s="436"/>
      <c r="B8" s="446"/>
      <c r="C8" s="442"/>
      <c r="D8" s="439"/>
      <c r="E8" s="447" t="s">
        <v>393</v>
      </c>
      <c r="F8" s="444" t="s">
        <v>39</v>
      </c>
      <c r="G8" s="444" t="s">
        <v>47</v>
      </c>
      <c r="H8" s="435" t="s">
        <v>44</v>
      </c>
      <c r="I8" s="435" t="s">
        <v>662</v>
      </c>
      <c r="J8" s="435" t="s">
        <v>663</v>
      </c>
      <c r="K8" s="435"/>
      <c r="L8" s="444"/>
      <c r="M8" s="435" t="s">
        <v>384</v>
      </c>
      <c r="N8" s="435" t="s">
        <v>502</v>
      </c>
      <c r="O8" s="435" t="s">
        <v>428</v>
      </c>
      <c r="P8" s="9"/>
      <c r="Q8" s="9"/>
      <c r="R8" s="9"/>
      <c r="S8" s="9"/>
      <c r="T8" s="9"/>
      <c r="U8" s="9"/>
      <c r="V8" s="9"/>
      <c r="W8" s="9"/>
      <c r="X8" s="9"/>
      <c r="Y8" s="9"/>
      <c r="Z8" s="9"/>
      <c r="AA8" s="9"/>
      <c r="AB8" s="9"/>
      <c r="AC8" s="9"/>
      <c r="AD8" s="9"/>
      <c r="AE8" s="9"/>
      <c r="AF8" s="9"/>
      <c r="AG8" s="9"/>
    </row>
    <row r="9" spans="1:33" s="10" customFormat="1" ht="12.75">
      <c r="A9" s="436"/>
      <c r="B9" s="436"/>
      <c r="C9" s="442"/>
      <c r="D9" s="439" t="s">
        <v>315</v>
      </c>
      <c r="E9" s="447" t="s">
        <v>395</v>
      </c>
      <c r="F9" s="435"/>
      <c r="G9" s="435"/>
      <c r="H9" s="435" t="s">
        <v>510</v>
      </c>
      <c r="I9" s="435" t="s">
        <v>526</v>
      </c>
      <c r="J9" s="435" t="s">
        <v>47</v>
      </c>
      <c r="K9" s="435"/>
      <c r="L9" s="435"/>
      <c r="M9" s="450"/>
      <c r="N9" s="338"/>
      <c r="O9" s="435" t="s">
        <v>499</v>
      </c>
      <c r="P9" s="9"/>
      <c r="Q9" s="9"/>
      <c r="R9" s="9"/>
      <c r="S9" s="9"/>
      <c r="T9" s="9"/>
      <c r="U9" s="9"/>
      <c r="V9" s="9"/>
      <c r="W9" s="9"/>
      <c r="X9" s="9"/>
      <c r="Y9" s="9"/>
      <c r="Z9" s="9"/>
      <c r="AA9" s="9"/>
      <c r="AB9" s="9"/>
      <c r="AC9" s="9"/>
      <c r="AD9" s="9"/>
      <c r="AE9" s="9"/>
      <c r="AF9" s="9"/>
      <c r="AG9" s="9"/>
    </row>
    <row r="10" spans="1:33" s="10" customFormat="1" ht="12.75">
      <c r="A10" s="442"/>
      <c r="B10" s="442"/>
      <c r="C10" s="449"/>
      <c r="D10" s="449"/>
      <c r="E10" s="449" t="s">
        <v>396</v>
      </c>
      <c r="F10" s="435" t="s">
        <v>397</v>
      </c>
      <c r="G10" s="435" t="s">
        <v>398</v>
      </c>
      <c r="H10" s="435" t="s">
        <v>399</v>
      </c>
      <c r="I10" s="435" t="s">
        <v>380</v>
      </c>
      <c r="J10" s="435" t="s">
        <v>400</v>
      </c>
      <c r="K10" s="435" t="s">
        <v>399</v>
      </c>
      <c r="L10" s="435" t="s">
        <v>488</v>
      </c>
      <c r="M10" s="435" t="s">
        <v>386</v>
      </c>
      <c r="N10" s="450" t="s">
        <v>387</v>
      </c>
      <c r="O10" s="435" t="s">
        <v>49</v>
      </c>
      <c r="P10"/>
      <c r="Q10"/>
      <c r="R10"/>
      <c r="S10"/>
      <c r="T10"/>
      <c r="U10"/>
      <c r="V10"/>
      <c r="W10"/>
      <c r="X10"/>
      <c r="Y10"/>
      <c r="Z10" s="9"/>
      <c r="AA10" s="9"/>
      <c r="AB10" s="9"/>
      <c r="AC10" s="9"/>
      <c r="AD10" s="9"/>
      <c r="AE10" s="9"/>
      <c r="AF10" s="9"/>
      <c r="AG10" s="9"/>
    </row>
    <row r="11" spans="1:33" s="10" customFormat="1" ht="12.75">
      <c r="A11" s="442"/>
      <c r="B11" s="442"/>
      <c r="C11" s="449"/>
      <c r="D11" s="443"/>
      <c r="E11" s="451"/>
      <c r="F11" s="435"/>
      <c r="G11" s="435"/>
      <c r="H11" s="435"/>
      <c r="I11" s="435"/>
      <c r="J11" s="435"/>
      <c r="K11" s="435"/>
      <c r="L11" s="435"/>
      <c r="M11" s="435" t="s">
        <v>48</v>
      </c>
      <c r="N11" s="448"/>
      <c r="O11" s="435" t="s">
        <v>50</v>
      </c>
      <c r="P11"/>
      <c r="Q11"/>
      <c r="R11"/>
      <c r="S11"/>
      <c r="T11"/>
      <c r="U11"/>
      <c r="V11"/>
      <c r="W11"/>
      <c r="X11"/>
      <c r="Y11"/>
      <c r="Z11" s="9"/>
      <c r="AA11" s="9"/>
      <c r="AB11" s="9"/>
      <c r="AC11" s="9"/>
      <c r="AD11" s="9"/>
      <c r="AE11" s="9"/>
      <c r="AF11" s="9"/>
      <c r="AG11" s="9"/>
    </row>
    <row r="12" spans="1:234" ht="7.5" customHeight="1">
      <c r="A12" s="433"/>
      <c r="B12" s="433"/>
      <c r="C12" s="434"/>
      <c r="D12" s="434"/>
      <c r="E12" s="452" t="s">
        <v>401</v>
      </c>
      <c r="F12" s="434" t="s">
        <v>401</v>
      </c>
      <c r="G12" s="434" t="s">
        <v>401</v>
      </c>
      <c r="H12" s="434" t="s">
        <v>401</v>
      </c>
      <c r="I12" s="434" t="s">
        <v>401</v>
      </c>
      <c r="J12" s="434" t="s">
        <v>401</v>
      </c>
      <c r="K12" s="434" t="s">
        <v>401</v>
      </c>
      <c r="L12" s="434" t="s">
        <v>401</v>
      </c>
      <c r="M12" s="435" t="s">
        <v>401</v>
      </c>
      <c r="N12" s="435" t="s">
        <v>401</v>
      </c>
      <c r="O12" s="435" t="s">
        <v>401</v>
      </c>
      <c r="P12"/>
      <c r="Q12"/>
      <c r="R12"/>
      <c r="S12"/>
      <c r="T12"/>
      <c r="U12"/>
      <c r="V12"/>
      <c r="W12"/>
      <c r="X12"/>
      <c r="Y12"/>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row>
    <row r="13" spans="1:234" ht="12.75">
      <c r="A13" s="453">
        <v>1</v>
      </c>
      <c r="B13" s="433"/>
      <c r="C13" s="434"/>
      <c r="D13" s="434"/>
      <c r="E13" s="452"/>
      <c r="F13" s="434"/>
      <c r="G13" s="436"/>
      <c r="H13" s="434"/>
      <c r="I13" s="434"/>
      <c r="J13" s="434"/>
      <c r="K13" s="434"/>
      <c r="L13" s="434"/>
      <c r="M13" s="435"/>
      <c r="N13" s="336">
        <f>+'EXH 3 CAP'!F45</f>
        <v>2315192.386554706</v>
      </c>
      <c r="O13" s="454">
        <f aca="true" t="shared" si="0" ref="O13:O21">M13+N13</f>
        <v>2315192.386554706</v>
      </c>
      <c r="P13"/>
      <c r="Q13"/>
      <c r="R13"/>
      <c r="S13"/>
      <c r="T13"/>
      <c r="U13"/>
      <c r="V13"/>
      <c r="W13"/>
      <c r="X13"/>
      <c r="Y13"/>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row>
    <row r="14" spans="1:234" s="2" customFormat="1" ht="12.75" customHeight="1">
      <c r="A14" s="453">
        <v>2</v>
      </c>
      <c r="B14" s="455" t="s">
        <v>514</v>
      </c>
      <c r="C14" s="335"/>
      <c r="D14" s="434" t="s">
        <v>213</v>
      </c>
      <c r="E14" s="452">
        <f>-'[3]SUPP A TB'!K101</f>
        <v>2688535</v>
      </c>
      <c r="F14" s="335"/>
      <c r="G14" s="335"/>
      <c r="H14" s="335"/>
      <c r="I14" s="335"/>
      <c r="J14" s="455"/>
      <c r="K14" s="335"/>
      <c r="L14" s="335"/>
      <c r="M14" s="434">
        <f aca="true" t="shared" si="1" ref="M14:M21">SUM(E14:L14)</f>
        <v>2688535</v>
      </c>
      <c r="N14" s="337"/>
      <c r="O14" s="454">
        <f t="shared" si="0"/>
        <v>2688535</v>
      </c>
      <c r="P14"/>
      <c r="Q14"/>
      <c r="R14"/>
      <c r="S14"/>
      <c r="T14"/>
      <c r="U14"/>
      <c r="V14"/>
      <c r="W14"/>
      <c r="X14"/>
      <c r="Y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row>
    <row r="15" spans="1:234" s="2" customFormat="1" ht="12.75" customHeight="1">
      <c r="A15" s="453">
        <v>3</v>
      </c>
      <c r="B15" s="455" t="s">
        <v>385</v>
      </c>
      <c r="C15" s="335"/>
      <c r="D15" s="434" t="s">
        <v>213</v>
      </c>
      <c r="E15" s="452">
        <f>-'[3]SUPP A TB'!E133</f>
        <v>2615798.1799999997</v>
      </c>
      <c r="F15" s="335"/>
      <c r="G15" s="335">
        <f>+'EXH 5 2005 Plant Additions '!E59</f>
        <v>181520</v>
      </c>
      <c r="H15" s="335">
        <f>+'EXH 6  Depr ADJ'!M43</f>
        <v>40000</v>
      </c>
      <c r="I15" s="335">
        <f>-'EXH 11 INT ACCESS REV'!F7</f>
        <v>-138766</v>
      </c>
      <c r="J15" s="434">
        <f>-'EXH 11 INT ACCESS REV'!F14</f>
        <v>315332</v>
      </c>
      <c r="K15" s="335"/>
      <c r="L15" s="335"/>
      <c r="M15" s="434">
        <f t="shared" si="1"/>
        <v>3013884.1799999997</v>
      </c>
      <c r="N15" s="337"/>
      <c r="O15" s="454">
        <f t="shared" si="0"/>
        <v>3013884.1799999997</v>
      </c>
      <c r="P15"/>
      <c r="Q15"/>
      <c r="R15"/>
      <c r="S15"/>
      <c r="T15"/>
      <c r="U15"/>
      <c r="V15"/>
      <c r="W15"/>
      <c r="X15"/>
      <c r="Y15"/>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row>
    <row r="16" spans="1:234" s="2" customFormat="1" ht="12.75" customHeight="1">
      <c r="A16" s="453">
        <v>4</v>
      </c>
      <c r="B16" s="455" t="s">
        <v>503</v>
      </c>
      <c r="C16" s="335"/>
      <c r="D16" s="434"/>
      <c r="E16" s="452">
        <v>0</v>
      </c>
      <c r="F16" s="335"/>
      <c r="G16" s="335"/>
      <c r="H16" s="335"/>
      <c r="I16" s="335"/>
      <c r="J16" s="455"/>
      <c r="K16" s="335"/>
      <c r="L16" s="335"/>
      <c r="M16" s="434">
        <f t="shared" si="1"/>
        <v>0</v>
      </c>
      <c r="N16" s="337"/>
      <c r="O16" s="454">
        <f t="shared" si="0"/>
        <v>0</v>
      </c>
      <c r="P16"/>
      <c r="Q16"/>
      <c r="R16"/>
      <c r="S16"/>
      <c r="T16"/>
      <c r="U16"/>
      <c r="V16"/>
      <c r="W16"/>
      <c r="X16"/>
      <c r="Y16"/>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row>
    <row r="17" spans="1:234" s="2" customFormat="1" ht="12.75" customHeight="1">
      <c r="A17" s="453">
        <v>5</v>
      </c>
      <c r="B17" s="455" t="s">
        <v>55</v>
      </c>
      <c r="C17" s="335"/>
      <c r="D17" s="434"/>
      <c r="E17" s="452">
        <v>0</v>
      </c>
      <c r="F17" s="335"/>
      <c r="G17" s="335"/>
      <c r="H17" s="335"/>
      <c r="I17" s="335"/>
      <c r="J17" s="455"/>
      <c r="K17" s="335"/>
      <c r="L17" s="335"/>
      <c r="M17" s="434">
        <f t="shared" si="1"/>
        <v>0</v>
      </c>
      <c r="N17" s="337"/>
      <c r="O17" s="454">
        <f t="shared" si="0"/>
        <v>0</v>
      </c>
      <c r="P17"/>
      <c r="Q17"/>
      <c r="R17"/>
      <c r="S17"/>
      <c r="T17"/>
      <c r="U17"/>
      <c r="V17"/>
      <c r="W17"/>
      <c r="X17"/>
      <c r="Y17"/>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row>
    <row r="18" spans="1:234" s="2" customFormat="1" ht="12.75">
      <c r="A18" s="453">
        <v>6</v>
      </c>
      <c r="B18" s="455" t="s">
        <v>487</v>
      </c>
      <c r="C18" s="335"/>
      <c r="D18" s="434" t="s">
        <v>214</v>
      </c>
      <c r="E18" s="452">
        <f>-'[3]SUPP A TB'!E139</f>
        <v>355384.45</v>
      </c>
      <c r="F18" s="334">
        <f>-'EXH 1 NOTES'!F9</f>
        <v>-60636</v>
      </c>
      <c r="G18" s="335"/>
      <c r="H18" s="335"/>
      <c r="I18" s="335"/>
      <c r="J18" s="334"/>
      <c r="K18" s="335"/>
      <c r="L18" s="335"/>
      <c r="M18" s="434">
        <f t="shared" si="1"/>
        <v>294748.45</v>
      </c>
      <c r="N18" s="337"/>
      <c r="O18" s="454">
        <f t="shared" si="0"/>
        <v>294748.45</v>
      </c>
      <c r="P18"/>
      <c r="Q18"/>
      <c r="R18"/>
      <c r="S18"/>
      <c r="T18"/>
      <c r="U18"/>
      <c r="V18"/>
      <c r="W18"/>
      <c r="X18"/>
      <c r="Y18"/>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row>
    <row r="19" spans="1:234" s="2" customFormat="1" ht="12.75" customHeight="1">
      <c r="A19" s="434">
        <v>7</v>
      </c>
      <c r="B19" s="455" t="s">
        <v>511</v>
      </c>
      <c r="C19" s="335"/>
      <c r="D19" s="434" t="s">
        <v>215</v>
      </c>
      <c r="E19" s="452">
        <f>-'[3]SUPP A TB'!E141</f>
        <v>364687.92</v>
      </c>
      <c r="F19" s="335"/>
      <c r="G19" s="335"/>
      <c r="H19" s="335"/>
      <c r="I19" s="335"/>
      <c r="J19" s="334"/>
      <c r="K19" s="335"/>
      <c r="L19" s="335"/>
      <c r="M19" s="434">
        <f t="shared" si="1"/>
        <v>364687.92</v>
      </c>
      <c r="N19" s="337"/>
      <c r="O19" s="454">
        <f t="shared" si="0"/>
        <v>364687.92</v>
      </c>
      <c r="P19"/>
      <c r="Q19"/>
      <c r="R19"/>
      <c r="S19"/>
      <c r="T19"/>
      <c r="U19"/>
      <c r="V19"/>
      <c r="W19"/>
      <c r="X19"/>
      <c r="Y19"/>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row>
    <row r="20" spans="1:234" s="2" customFormat="1" ht="12.75">
      <c r="A20" s="434">
        <v>8</v>
      </c>
      <c r="B20" s="455" t="s">
        <v>280</v>
      </c>
      <c r="C20" s="335"/>
      <c r="D20" s="434" t="s">
        <v>218</v>
      </c>
      <c r="E20" s="452">
        <f>-'[3]SUPP A TB'!E153</f>
        <v>278439.68</v>
      </c>
      <c r="F20" s="335"/>
      <c r="G20" s="334"/>
      <c r="H20" s="335"/>
      <c r="I20" s="335"/>
      <c r="J20" s="334"/>
      <c r="K20" s="335"/>
      <c r="L20" s="335"/>
      <c r="M20" s="434">
        <f t="shared" si="1"/>
        <v>278439.68</v>
      </c>
      <c r="N20" s="337"/>
      <c r="O20" s="454">
        <f t="shared" si="0"/>
        <v>278439.68</v>
      </c>
      <c r="P20"/>
      <c r="Q20"/>
      <c r="R20"/>
      <c r="S20"/>
      <c r="T20"/>
      <c r="U20"/>
      <c r="V20"/>
      <c r="W20"/>
      <c r="X20"/>
      <c r="Y20"/>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row>
    <row r="21" spans="1:234" s="2" customFormat="1" ht="12.75" customHeight="1">
      <c r="A21" s="434">
        <v>9</v>
      </c>
      <c r="B21" s="455" t="s">
        <v>486</v>
      </c>
      <c r="C21" s="335"/>
      <c r="D21" s="434" t="s">
        <v>219</v>
      </c>
      <c r="E21" s="452">
        <f>-'[3]SUPP A TB'!E159</f>
        <v>-41082</v>
      </c>
      <c r="F21" s="335">
        <v>0</v>
      </c>
      <c r="G21" s="335">
        <v>0</v>
      </c>
      <c r="H21" s="335">
        <v>0</v>
      </c>
      <c r="I21" s="335">
        <v>0</v>
      </c>
      <c r="J21" s="334"/>
      <c r="K21" s="335"/>
      <c r="L21" s="335"/>
      <c r="M21" s="434">
        <f t="shared" si="1"/>
        <v>-41082</v>
      </c>
      <c r="N21" s="337"/>
      <c r="O21" s="454">
        <f t="shared" si="0"/>
        <v>-41082</v>
      </c>
      <c r="P21"/>
      <c r="Q21"/>
      <c r="R21"/>
      <c r="S21"/>
      <c r="T21"/>
      <c r="U21"/>
      <c r="V21"/>
      <c r="W21"/>
      <c r="X21"/>
      <c r="Y21"/>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row>
    <row r="22" spans="1:234" s="2" customFormat="1" ht="12.75" customHeight="1">
      <c r="A22" s="434">
        <v>10</v>
      </c>
      <c r="B22" s="455"/>
      <c r="C22" s="335"/>
      <c r="D22" s="434"/>
      <c r="E22" s="456" t="s">
        <v>402</v>
      </c>
      <c r="F22" s="335" t="s">
        <v>402</v>
      </c>
      <c r="G22" s="335" t="s">
        <v>402</v>
      </c>
      <c r="H22" s="335" t="s">
        <v>402</v>
      </c>
      <c r="I22" s="335" t="s">
        <v>402</v>
      </c>
      <c r="J22" s="334" t="s">
        <v>402</v>
      </c>
      <c r="K22" s="335" t="s">
        <v>402</v>
      </c>
      <c r="L22" s="335" t="s">
        <v>402</v>
      </c>
      <c r="M22" s="335" t="s">
        <v>402</v>
      </c>
      <c r="N22" s="335" t="s">
        <v>402</v>
      </c>
      <c r="O22" s="335" t="s">
        <v>402</v>
      </c>
      <c r="P22"/>
      <c r="Q22"/>
      <c r="R22"/>
      <c r="S22"/>
      <c r="T22"/>
      <c r="U22"/>
      <c r="V22"/>
      <c r="W22"/>
      <c r="X22"/>
      <c r="Y22"/>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row>
    <row r="23" spans="1:234" s="2" customFormat="1" ht="12.75" customHeight="1">
      <c r="A23" s="434">
        <v>11</v>
      </c>
      <c r="B23" s="455" t="s">
        <v>403</v>
      </c>
      <c r="C23" s="335"/>
      <c r="D23" s="434" t="s">
        <v>317</v>
      </c>
      <c r="E23" s="334">
        <f>SUM(E14:E21)</f>
        <v>6261763.2299999995</v>
      </c>
      <c r="F23" s="335">
        <f>SUM(F14:F21)</f>
        <v>-60636</v>
      </c>
      <c r="G23" s="335">
        <f>SUM(G14:G21)</f>
        <v>181520</v>
      </c>
      <c r="H23" s="335">
        <f>SUM(H14:H21)</f>
        <v>40000</v>
      </c>
      <c r="I23" s="335">
        <f>SUM(I14:I21)</f>
        <v>-138766</v>
      </c>
      <c r="J23" s="334">
        <f>SUM(J7:J21)</f>
        <v>315332</v>
      </c>
      <c r="K23" s="335">
        <f>SUM(K14:K21)</f>
        <v>0</v>
      </c>
      <c r="L23" s="335">
        <f>SUM(L14:L21)</f>
        <v>0</v>
      </c>
      <c r="M23" s="335">
        <f>SUM(M14:M21)</f>
        <v>6599213.2299999995</v>
      </c>
      <c r="N23" s="335">
        <f>SUM(N13:N21)</f>
        <v>2315192.386554706</v>
      </c>
      <c r="O23" s="335">
        <f>SUM(O13:O21)</f>
        <v>8914405.616554705</v>
      </c>
      <c r="P23"/>
      <c r="Q23"/>
      <c r="R23"/>
      <c r="S23"/>
      <c r="T23"/>
      <c r="U23"/>
      <c r="V23"/>
      <c r="W23"/>
      <c r="X23"/>
      <c r="Y23"/>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row>
    <row r="24" spans="1:234" s="2" customFormat="1" ht="12.75" customHeight="1">
      <c r="A24" s="434">
        <v>12</v>
      </c>
      <c r="B24" s="455"/>
      <c r="C24" s="335"/>
      <c r="D24" s="434"/>
      <c r="E24" s="334"/>
      <c r="F24" s="335"/>
      <c r="G24" s="335"/>
      <c r="H24" s="335"/>
      <c r="I24" s="335"/>
      <c r="J24" s="334"/>
      <c r="K24" s="335"/>
      <c r="L24" s="335"/>
      <c r="M24" s="335"/>
      <c r="N24" s="337"/>
      <c r="O24" s="457"/>
      <c r="P24"/>
      <c r="Q24"/>
      <c r="R24"/>
      <c r="S24"/>
      <c r="T24"/>
      <c r="U24"/>
      <c r="V24"/>
      <c r="W24"/>
      <c r="X24"/>
      <c r="Y2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row>
    <row r="25" spans="1:234" s="2" customFormat="1" ht="12.75" customHeight="1">
      <c r="A25" s="434">
        <v>13</v>
      </c>
      <c r="B25" s="455" t="s">
        <v>404</v>
      </c>
      <c r="C25" s="335"/>
      <c r="D25" s="434" t="s">
        <v>220</v>
      </c>
      <c r="E25" s="452">
        <f>+'[3]SUPP A TB'!E198</f>
        <v>2406705.0700000003</v>
      </c>
      <c r="F25" s="335"/>
      <c r="G25" s="335">
        <f>+'EXH 1 NOTES'!H16</f>
        <v>178180</v>
      </c>
      <c r="H25" s="335"/>
      <c r="I25" s="335"/>
      <c r="J25" s="334"/>
      <c r="K25" s="458"/>
      <c r="L25" s="334"/>
      <c r="M25" s="434">
        <f aca="true" t="shared" si="2" ref="M25:M31">SUM(E25:L25)</f>
        <v>2584885.0700000003</v>
      </c>
      <c r="N25" s="337"/>
      <c r="O25" s="454">
        <f aca="true" t="shared" si="3" ref="O25:O31">M25+N25</f>
        <v>2584885.0700000003</v>
      </c>
      <c r="P25"/>
      <c r="Q25"/>
      <c r="R25"/>
      <c r="S25"/>
      <c r="T25"/>
      <c r="U25"/>
      <c r="V25"/>
      <c r="W25"/>
      <c r="X25"/>
      <c r="Y25"/>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row>
    <row r="26" spans="1:234" s="2" customFormat="1" ht="12.75" customHeight="1">
      <c r="A26" s="434">
        <v>14</v>
      </c>
      <c r="B26" s="455" t="s">
        <v>275</v>
      </c>
      <c r="C26" s="458"/>
      <c r="D26" s="434" t="s">
        <v>221</v>
      </c>
      <c r="E26" s="334">
        <f>+'[3]SUPP A TB'!E208</f>
        <v>2304133.66</v>
      </c>
      <c r="F26" s="455"/>
      <c r="G26" s="334">
        <f>+'EXH 5 2005 Plant Additions '!K42</f>
        <v>99861</v>
      </c>
      <c r="H26" s="334">
        <f>+'EXH 6  Depr ADJ'!M39</f>
        <v>104640.48940000008</v>
      </c>
      <c r="I26" s="334"/>
      <c r="J26" s="334"/>
      <c r="K26" s="458"/>
      <c r="L26" s="334"/>
      <c r="M26" s="434">
        <f t="shared" si="2"/>
        <v>2508635.1494000005</v>
      </c>
      <c r="N26" s="459"/>
      <c r="O26" s="454">
        <f t="shared" si="3"/>
        <v>2508635.1494000005</v>
      </c>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row>
    <row r="27" spans="1:234" s="2" customFormat="1" ht="12.75" customHeight="1">
      <c r="A27" s="434">
        <v>15</v>
      </c>
      <c r="B27" s="455" t="s">
        <v>405</v>
      </c>
      <c r="C27" s="335"/>
      <c r="D27" s="434" t="s">
        <v>222</v>
      </c>
      <c r="E27" s="452">
        <f>+'[3]SUPP A TB'!E221</f>
        <v>441368.96</v>
      </c>
      <c r="F27" s="335"/>
      <c r="G27" s="335"/>
      <c r="H27" s="335"/>
      <c r="I27" s="335">
        <f>+'EXH 11 INT ACCESS REV'!F24</f>
        <v>-237748.38</v>
      </c>
      <c r="J27" s="334"/>
      <c r="K27" s="335"/>
      <c r="L27" s="334"/>
      <c r="M27" s="434">
        <f t="shared" si="2"/>
        <v>203620.58000000002</v>
      </c>
      <c r="N27" s="337"/>
      <c r="O27" s="454">
        <f t="shared" si="3"/>
        <v>203620.58000000002</v>
      </c>
      <c r="S27" s="24"/>
      <c r="T27" s="24"/>
      <c r="U27" s="24"/>
      <c r="V27" s="24"/>
      <c r="W27" s="24"/>
      <c r="X27" s="24"/>
      <c r="Y27" s="24"/>
      <c r="Z27" s="24"/>
      <c r="AA27" s="24"/>
      <c r="AB27" s="2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row>
    <row r="28" spans="1:234" s="2" customFormat="1" ht="12.75" customHeight="1">
      <c r="A28" s="434">
        <v>16</v>
      </c>
      <c r="B28" s="455" t="s">
        <v>406</v>
      </c>
      <c r="C28" s="335"/>
      <c r="D28" s="434" t="s">
        <v>224</v>
      </c>
      <c r="E28" s="452">
        <f>+'[3]SUPP A TB'!E237</f>
        <v>510499</v>
      </c>
      <c r="F28" s="460"/>
      <c r="G28" s="334"/>
      <c r="H28" s="334"/>
      <c r="I28" s="334"/>
      <c r="J28" s="334"/>
      <c r="K28" s="335"/>
      <c r="L28" s="334"/>
      <c r="M28" s="434">
        <f t="shared" si="2"/>
        <v>510499</v>
      </c>
      <c r="N28" s="337"/>
      <c r="O28" s="454">
        <f t="shared" si="3"/>
        <v>510499</v>
      </c>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row>
    <row r="29" spans="1:234" s="2" customFormat="1" ht="12.75" customHeight="1">
      <c r="A29" s="434">
        <v>17</v>
      </c>
      <c r="B29" s="455" t="s">
        <v>407</v>
      </c>
      <c r="C29" s="335"/>
      <c r="D29" s="434" t="s">
        <v>223</v>
      </c>
      <c r="E29" s="452">
        <f>+'[3]SUPP A TB'!E253</f>
        <v>1275758</v>
      </c>
      <c r="F29" s="335"/>
      <c r="G29" s="335"/>
      <c r="H29" s="335"/>
      <c r="I29" s="335"/>
      <c r="J29" s="334"/>
      <c r="K29" s="335"/>
      <c r="L29" s="334"/>
      <c r="M29" s="434">
        <f t="shared" si="2"/>
        <v>1275758</v>
      </c>
      <c r="N29" s="337"/>
      <c r="O29" s="454">
        <f t="shared" si="3"/>
        <v>1275758</v>
      </c>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row>
    <row r="30" spans="1:234" s="2" customFormat="1" ht="12.75" customHeight="1">
      <c r="A30" s="434">
        <v>18</v>
      </c>
      <c r="B30" s="461" t="s">
        <v>497</v>
      </c>
      <c r="C30" s="335"/>
      <c r="D30" s="455"/>
      <c r="E30" s="334">
        <f>+'[3]SUPP A TB'!E259</f>
        <v>138752</v>
      </c>
      <c r="F30" s="335"/>
      <c r="G30" s="335"/>
      <c r="H30" s="334"/>
      <c r="I30" s="335"/>
      <c r="J30" s="455"/>
      <c r="K30" s="335"/>
      <c r="L30" s="334"/>
      <c r="M30" s="434">
        <f t="shared" si="2"/>
        <v>138752</v>
      </c>
      <c r="N30" s="337"/>
      <c r="O30" s="454">
        <f t="shared" si="3"/>
        <v>138752</v>
      </c>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row>
    <row r="31" spans="1:234" s="2" customFormat="1" ht="12.75" customHeight="1">
      <c r="A31" s="434">
        <v>19</v>
      </c>
      <c r="B31" s="455" t="s">
        <v>498</v>
      </c>
      <c r="C31" s="337"/>
      <c r="D31" s="434" t="s">
        <v>316</v>
      </c>
      <c r="E31" s="334">
        <v>0</v>
      </c>
      <c r="F31" s="337"/>
      <c r="G31" s="337"/>
      <c r="H31" s="337"/>
      <c r="I31" s="337"/>
      <c r="J31" s="334"/>
      <c r="K31" s="337"/>
      <c r="L31" s="462"/>
      <c r="M31" s="434">
        <f t="shared" si="2"/>
        <v>0</v>
      </c>
      <c r="N31" s="337"/>
      <c r="O31" s="454">
        <f t="shared" si="3"/>
        <v>0</v>
      </c>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row>
    <row r="32" spans="1:234" s="2" customFormat="1" ht="12.75" customHeight="1">
      <c r="A32" s="434">
        <v>20</v>
      </c>
      <c r="B32" s="455"/>
      <c r="C32" s="335"/>
      <c r="D32" s="434"/>
      <c r="E32" s="456" t="s">
        <v>402</v>
      </c>
      <c r="F32" s="463" t="s">
        <v>402</v>
      </c>
      <c r="G32" s="463" t="s">
        <v>402</v>
      </c>
      <c r="H32" s="463" t="s">
        <v>402</v>
      </c>
      <c r="I32" s="463" t="s">
        <v>402</v>
      </c>
      <c r="J32" s="463" t="s">
        <v>402</v>
      </c>
      <c r="K32" s="463" t="s">
        <v>402</v>
      </c>
      <c r="L32" s="463" t="s">
        <v>402</v>
      </c>
      <c r="M32" s="463" t="s">
        <v>402</v>
      </c>
      <c r="N32" s="463" t="s">
        <v>402</v>
      </c>
      <c r="O32" s="463" t="s">
        <v>402</v>
      </c>
      <c r="P32" s="22"/>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row>
    <row r="33" spans="1:234" s="2" customFormat="1" ht="12.75" customHeight="1">
      <c r="A33" s="434">
        <v>21</v>
      </c>
      <c r="B33" s="455" t="s">
        <v>408</v>
      </c>
      <c r="C33" s="337"/>
      <c r="D33" s="434" t="s">
        <v>318</v>
      </c>
      <c r="E33" s="462">
        <f aca="true" t="shared" si="4" ref="E33:L33">SUM(E25:E31)</f>
        <v>7077216.69</v>
      </c>
      <c r="F33" s="337">
        <f t="shared" si="4"/>
        <v>0</v>
      </c>
      <c r="G33" s="337">
        <f t="shared" si="4"/>
        <v>278041</v>
      </c>
      <c r="H33" s="337">
        <f t="shared" si="4"/>
        <v>104640.48940000008</v>
      </c>
      <c r="I33" s="337">
        <f t="shared" si="4"/>
        <v>-237748.38</v>
      </c>
      <c r="J33" s="337">
        <f>SUM(J25:J31)</f>
        <v>0</v>
      </c>
      <c r="K33" s="337">
        <f t="shared" si="4"/>
        <v>0</v>
      </c>
      <c r="L33" s="337">
        <f t="shared" si="4"/>
        <v>0</v>
      </c>
      <c r="M33" s="337">
        <f>SUM(M25:M31)</f>
        <v>7222149.799400001</v>
      </c>
      <c r="N33" s="337">
        <f>SUM(N25:N31)</f>
        <v>0</v>
      </c>
      <c r="O33" s="337">
        <f>SUM(O25:O31)</f>
        <v>7222149.799400001</v>
      </c>
      <c r="P33" s="27"/>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row>
    <row r="34" spans="1:234" s="2" customFormat="1" ht="12.75" customHeight="1">
      <c r="A34" s="434">
        <v>22</v>
      </c>
      <c r="B34" s="464"/>
      <c r="C34" s="335"/>
      <c r="D34" s="434"/>
      <c r="E34" s="334"/>
      <c r="F34" s="335"/>
      <c r="G34" s="335"/>
      <c r="H34" s="335"/>
      <c r="I34" s="335"/>
      <c r="J34" s="335"/>
      <c r="K34" s="335"/>
      <c r="L34" s="335"/>
      <c r="M34" s="335"/>
      <c r="N34" s="337"/>
      <c r="O34" s="457"/>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row>
    <row r="35" spans="1:234" s="2" customFormat="1" ht="12.75" customHeight="1">
      <c r="A35" s="434">
        <v>23</v>
      </c>
      <c r="B35" s="464" t="s">
        <v>409</v>
      </c>
      <c r="C35" s="335"/>
      <c r="D35" s="334"/>
      <c r="E35" s="334">
        <f aca="true" t="shared" si="5" ref="E35:O35">E23-E33</f>
        <v>-815453.4600000009</v>
      </c>
      <c r="F35" s="335">
        <f t="shared" si="5"/>
        <v>-60636</v>
      </c>
      <c r="G35" s="335">
        <f>G23-G33</f>
        <v>-96521</v>
      </c>
      <c r="H35" s="335">
        <f>H23-H33</f>
        <v>-64640.48940000008</v>
      </c>
      <c r="I35" s="335">
        <f>I23-I33</f>
        <v>98982.38</v>
      </c>
      <c r="J35" s="335">
        <f>J23-J33</f>
        <v>315332</v>
      </c>
      <c r="K35" s="335">
        <f>K23-K33</f>
        <v>0</v>
      </c>
      <c r="L35" s="335">
        <f t="shared" si="5"/>
        <v>0</v>
      </c>
      <c r="M35" s="335">
        <f t="shared" si="5"/>
        <v>-622936.5694000013</v>
      </c>
      <c r="N35" s="335">
        <f t="shared" si="5"/>
        <v>2315192.386554706</v>
      </c>
      <c r="O35" s="465">
        <f t="shared" si="5"/>
        <v>1692255.8171547046</v>
      </c>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row>
    <row r="36" spans="1:234" s="2" customFormat="1" ht="12.75" customHeight="1">
      <c r="A36" s="434">
        <v>24</v>
      </c>
      <c r="B36" s="464"/>
      <c r="C36" s="335"/>
      <c r="D36" s="434"/>
      <c r="E36" s="334"/>
      <c r="F36" s="335"/>
      <c r="G36" s="335"/>
      <c r="H36" s="335"/>
      <c r="I36" s="335"/>
      <c r="J36" s="335"/>
      <c r="K36" s="335"/>
      <c r="L36" s="335"/>
      <c r="M36" s="335"/>
      <c r="N36" s="335"/>
      <c r="O36" s="465"/>
      <c r="P36" s="22"/>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row>
    <row r="37" spans="1:234" s="2" customFormat="1" ht="12.75" customHeight="1">
      <c r="A37" s="434">
        <v>25</v>
      </c>
      <c r="B37" s="464" t="s">
        <v>410</v>
      </c>
      <c r="C37" s="335"/>
      <c r="D37" s="434" t="s">
        <v>70</v>
      </c>
      <c r="E37" s="334">
        <f>+'[3]SUPP A TB'!E267</f>
        <v>-80612</v>
      </c>
      <c r="F37" s="335"/>
      <c r="G37" s="335"/>
      <c r="H37" s="335"/>
      <c r="I37" s="335"/>
      <c r="J37" s="335"/>
      <c r="K37" s="335"/>
      <c r="L37" s="335"/>
      <c r="M37" s="434">
        <f>SUM(E37:L37)</f>
        <v>-80612</v>
      </c>
      <c r="N37" s="337">
        <f>+'EXH 12 TAX TOT COMP'!E26</f>
        <v>142895</v>
      </c>
      <c r="O37" s="454">
        <f>+M37+N37</f>
        <v>62283</v>
      </c>
      <c r="P37" s="252"/>
      <c r="Q37"/>
      <c r="R37" s="19"/>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row>
    <row r="38" spans="1:234" s="2" customFormat="1" ht="12.75" customHeight="1">
      <c r="A38" s="434">
        <v>26</v>
      </c>
      <c r="B38" s="461" t="s">
        <v>411</v>
      </c>
      <c r="C38" s="335"/>
      <c r="D38" s="434" t="s">
        <v>69</v>
      </c>
      <c r="E38" s="334">
        <f>+'[3]SUPP A TB'!E266</f>
        <v>-1136513</v>
      </c>
      <c r="F38" s="335"/>
      <c r="G38" s="335"/>
      <c r="H38" s="335"/>
      <c r="I38" s="335"/>
      <c r="J38" s="335"/>
      <c r="K38" s="335"/>
      <c r="L38" s="335"/>
      <c r="M38" s="434">
        <f>SUM(E38:L38)</f>
        <v>-1136513</v>
      </c>
      <c r="N38" s="457">
        <f>+'EXH 12 TAX TOT COMP'!E27</f>
        <v>1538863</v>
      </c>
      <c r="O38" s="454">
        <f>+M38+N38</f>
        <v>402350</v>
      </c>
      <c r="P38" s="22"/>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row>
    <row r="39" spans="1:234" s="2" customFormat="1" ht="12.75" customHeight="1">
      <c r="A39" s="434">
        <v>27</v>
      </c>
      <c r="B39" s="464"/>
      <c r="C39" s="335"/>
      <c r="D39" s="434"/>
      <c r="E39" s="456" t="s">
        <v>402</v>
      </c>
      <c r="F39" s="335" t="s">
        <v>402</v>
      </c>
      <c r="G39" s="335" t="s">
        <v>402</v>
      </c>
      <c r="H39" s="335" t="s">
        <v>402</v>
      </c>
      <c r="I39" s="335" t="s">
        <v>402</v>
      </c>
      <c r="J39" s="335" t="s">
        <v>402</v>
      </c>
      <c r="K39" s="335" t="s">
        <v>402</v>
      </c>
      <c r="L39" s="335" t="s">
        <v>402</v>
      </c>
      <c r="M39" s="335" t="s">
        <v>402</v>
      </c>
      <c r="N39" s="335" t="s">
        <v>402</v>
      </c>
      <c r="O39" s="335" t="s">
        <v>402</v>
      </c>
      <c r="P39" s="22"/>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row>
    <row r="40" spans="1:234" s="2" customFormat="1" ht="12.75" customHeight="1">
      <c r="A40" s="434">
        <v>28</v>
      </c>
      <c r="B40" s="455" t="s">
        <v>412</v>
      </c>
      <c r="C40" s="335"/>
      <c r="D40" s="434"/>
      <c r="E40" s="334">
        <f aca="true" t="shared" si="6" ref="E40:L40">SUM(E37:E38)</f>
        <v>-1217125</v>
      </c>
      <c r="F40" s="335">
        <f t="shared" si="6"/>
        <v>0</v>
      </c>
      <c r="G40" s="335">
        <f t="shared" si="6"/>
        <v>0</v>
      </c>
      <c r="H40" s="335">
        <f t="shared" si="6"/>
        <v>0</v>
      </c>
      <c r="I40" s="335">
        <f t="shared" si="6"/>
        <v>0</v>
      </c>
      <c r="J40" s="335">
        <f>SUM(J37:J38)</f>
        <v>0</v>
      </c>
      <c r="K40" s="335">
        <f t="shared" si="6"/>
        <v>0</v>
      </c>
      <c r="L40" s="335">
        <f t="shared" si="6"/>
        <v>0</v>
      </c>
      <c r="M40" s="334">
        <f>SUM(M37:M38)</f>
        <v>-1217125</v>
      </c>
      <c r="N40" s="335">
        <f>(N37+N38)</f>
        <v>1681758</v>
      </c>
      <c r="O40" s="335">
        <f>SUM(O37:O38)</f>
        <v>464633</v>
      </c>
      <c r="P40" s="22"/>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row>
    <row r="41" spans="1:234" s="2" customFormat="1" ht="12.75" customHeight="1">
      <c r="A41" s="434">
        <v>29</v>
      </c>
      <c r="B41" s="455"/>
      <c r="C41" s="335"/>
      <c r="D41" s="434"/>
      <c r="E41" s="335"/>
      <c r="F41" s="335"/>
      <c r="G41" s="335"/>
      <c r="H41" s="335"/>
      <c r="I41" s="335"/>
      <c r="J41" s="335"/>
      <c r="K41" s="335"/>
      <c r="L41" s="335"/>
      <c r="M41" s="335"/>
      <c r="N41" s="337"/>
      <c r="O41" s="457"/>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row>
    <row r="42" spans="1:234" s="2" customFormat="1" ht="12.75">
      <c r="A42" s="434">
        <v>30</v>
      </c>
      <c r="B42" s="466" t="s">
        <v>413</v>
      </c>
      <c r="C42" s="467"/>
      <c r="D42" s="441"/>
      <c r="E42" s="468">
        <f>(E23-E33+E40)</f>
        <v>-2032578.460000001</v>
      </c>
      <c r="F42" s="467">
        <f aca="true" t="shared" si="7" ref="F42:O42">(F23-F33-F40)</f>
        <v>-60636</v>
      </c>
      <c r="G42" s="467">
        <f t="shared" si="7"/>
        <v>-96521</v>
      </c>
      <c r="H42" s="467">
        <f t="shared" si="7"/>
        <v>-64640.48940000008</v>
      </c>
      <c r="I42" s="467">
        <f t="shared" si="7"/>
        <v>98982.38</v>
      </c>
      <c r="J42" s="467">
        <f t="shared" si="7"/>
        <v>315332</v>
      </c>
      <c r="K42" s="467">
        <f t="shared" si="7"/>
        <v>0</v>
      </c>
      <c r="L42" s="467">
        <f t="shared" si="7"/>
        <v>0</v>
      </c>
      <c r="M42" s="467">
        <f t="shared" si="7"/>
        <v>594188.4305999987</v>
      </c>
      <c r="N42" s="467">
        <f t="shared" si="7"/>
        <v>633434.3865547059</v>
      </c>
      <c r="O42" s="467">
        <f t="shared" si="7"/>
        <v>1227622.8171547046</v>
      </c>
      <c r="P42" s="33"/>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row>
    <row r="43" spans="1:234" s="3" customFormat="1" ht="12.75">
      <c r="A43" s="435">
        <v>31</v>
      </c>
      <c r="B43" s="438"/>
      <c r="C43" s="469" t="s">
        <v>414</v>
      </c>
      <c r="D43" s="469" t="s">
        <v>415</v>
      </c>
      <c r="E43" s="469" t="s">
        <v>416</v>
      </c>
      <c r="F43" s="470"/>
      <c r="G43" s="470"/>
      <c r="H43" s="470"/>
      <c r="I43" s="470"/>
      <c r="J43" s="470"/>
      <c r="K43" s="470"/>
      <c r="L43" s="470"/>
      <c r="M43" s="470"/>
      <c r="N43" s="471"/>
      <c r="O43" s="472"/>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row>
    <row r="44" spans="1:234" s="3" customFormat="1" ht="12.75">
      <c r="A44" s="435">
        <v>32</v>
      </c>
      <c r="B44" s="438"/>
      <c r="C44" s="473" t="s">
        <v>274</v>
      </c>
      <c r="D44" s="473" t="s">
        <v>373</v>
      </c>
      <c r="E44" s="469" t="s">
        <v>417</v>
      </c>
      <c r="F44" s="470"/>
      <c r="G44" s="470"/>
      <c r="H44" s="470"/>
      <c r="I44" s="470"/>
      <c r="J44" s="470"/>
      <c r="K44" s="470"/>
      <c r="L44" s="470"/>
      <c r="M44" s="470"/>
      <c r="N44" s="471"/>
      <c r="O44" s="472"/>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row>
    <row r="45" spans="1:234" s="9" customFormat="1" ht="12.75">
      <c r="A45" s="435">
        <v>33</v>
      </c>
      <c r="B45" s="474"/>
      <c r="C45" s="435" t="s">
        <v>505</v>
      </c>
      <c r="D45" s="435" t="s">
        <v>505</v>
      </c>
      <c r="E45" s="469" t="s">
        <v>299</v>
      </c>
      <c r="F45" s="470"/>
      <c r="G45" s="470"/>
      <c r="H45" s="470"/>
      <c r="I45" s="470"/>
      <c r="J45" s="470"/>
      <c r="K45" s="470"/>
      <c r="L45" s="470"/>
      <c r="M45" s="470"/>
      <c r="N45" s="471"/>
      <c r="O45" s="472"/>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row>
    <row r="46" spans="1:234" s="9" customFormat="1" ht="12.75">
      <c r="A46" s="435">
        <v>34</v>
      </c>
      <c r="B46" s="474"/>
      <c r="C46" s="435" t="s">
        <v>211</v>
      </c>
      <c r="D46" s="435" t="s">
        <v>212</v>
      </c>
      <c r="E46" s="470" t="s">
        <v>418</v>
      </c>
      <c r="F46" s="470"/>
      <c r="G46" s="470"/>
      <c r="H46" s="470"/>
      <c r="I46" s="470"/>
      <c r="J46" s="470"/>
      <c r="K46" s="470"/>
      <c r="L46" s="470"/>
      <c r="M46" s="470"/>
      <c r="N46" s="471"/>
      <c r="O46" s="472"/>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row>
    <row r="47" spans="1:234" ht="12.75" customHeight="1">
      <c r="A47" s="434">
        <v>35</v>
      </c>
      <c r="B47" s="433"/>
      <c r="C47" s="435" t="s">
        <v>401</v>
      </c>
      <c r="D47" s="435" t="s">
        <v>401</v>
      </c>
      <c r="E47" s="435" t="s">
        <v>401</v>
      </c>
      <c r="F47" s="335"/>
      <c r="G47" s="335"/>
      <c r="H47" s="335"/>
      <c r="I47" s="335"/>
      <c r="J47" s="335"/>
      <c r="K47" s="335"/>
      <c r="L47" s="335"/>
      <c r="M47" s="335"/>
      <c r="N47" s="337"/>
      <c r="O47" s="457"/>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row>
    <row r="48" spans="1:234" s="2" customFormat="1" ht="12.75">
      <c r="A48" s="434">
        <v>36</v>
      </c>
      <c r="B48" s="455" t="s">
        <v>419</v>
      </c>
      <c r="C48" s="334">
        <f>+'[3]SUPP A TB'!D47</f>
        <v>34836732.06</v>
      </c>
      <c r="D48" s="334">
        <f>+'[3]SUPP A TB'!E47</f>
        <v>35092288.67</v>
      </c>
      <c r="E48" s="335">
        <f aca="true" t="shared" si="8" ref="E48:E56">(C48+D48)/2</f>
        <v>34964510.365</v>
      </c>
      <c r="F48" s="335"/>
      <c r="G48" s="335">
        <f>+'EXH 5 2005 Plant Additions '!E42</f>
        <v>1124874.5</v>
      </c>
      <c r="H48" s="335"/>
      <c r="I48" s="335"/>
      <c r="J48" s="335"/>
      <c r="K48" s="335"/>
      <c r="L48" s="335"/>
      <c r="M48" s="434">
        <f aca="true" t="shared" si="9" ref="M48:M56">SUM(E48:L48)</f>
        <v>36089384.865</v>
      </c>
      <c r="N48" s="337"/>
      <c r="O48" s="454">
        <f aca="true" t="shared" si="10" ref="O48:O55">M48+N48</f>
        <v>36089384.865</v>
      </c>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row>
    <row r="49" spans="1:234" s="2" customFormat="1" ht="12.75">
      <c r="A49" s="434">
        <v>37</v>
      </c>
      <c r="B49" s="455" t="s">
        <v>513</v>
      </c>
      <c r="C49" s="334">
        <f>+'[3]SUPP A TB'!D8</f>
        <v>60</v>
      </c>
      <c r="D49" s="334">
        <f>+'[3]SUPP A TB'!E8</f>
        <v>282490</v>
      </c>
      <c r="E49" s="335">
        <f t="shared" si="8"/>
        <v>141275</v>
      </c>
      <c r="F49" s="335"/>
      <c r="G49" s="335"/>
      <c r="H49" s="335"/>
      <c r="I49" s="335"/>
      <c r="J49" s="335"/>
      <c r="K49" s="335"/>
      <c r="L49" s="335"/>
      <c r="M49" s="434">
        <f t="shared" si="9"/>
        <v>141275</v>
      </c>
      <c r="N49" s="337"/>
      <c r="O49" s="454">
        <f t="shared" si="10"/>
        <v>141275</v>
      </c>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row>
    <row r="50" spans="1:234" s="2" customFormat="1" ht="12.75">
      <c r="A50" s="434">
        <v>38</v>
      </c>
      <c r="B50" s="455" t="s">
        <v>420</v>
      </c>
      <c r="C50" s="334">
        <f>+'[3]SUPP A TB'!D83</f>
        <v>-23570142.65</v>
      </c>
      <c r="D50" s="334">
        <f>+'[3]SUPP A TB'!E83</f>
        <v>-25689788</v>
      </c>
      <c r="E50" s="335">
        <f t="shared" si="8"/>
        <v>-24629965.325</v>
      </c>
      <c r="F50" s="335"/>
      <c r="G50" s="335">
        <f>-'EXH 5 2005 Plant Additions '!H42</f>
        <v>-49930.5</v>
      </c>
      <c r="H50" s="335">
        <f>+'EXH 9 NOTES '!G39</f>
        <v>-18843.75529999996</v>
      </c>
      <c r="I50" s="335"/>
      <c r="J50" s="335"/>
      <c r="K50" s="335"/>
      <c r="L50" s="335"/>
      <c r="M50" s="434">
        <f t="shared" si="9"/>
        <v>-24698739.5803</v>
      </c>
      <c r="N50" s="337"/>
      <c r="O50" s="454">
        <f t="shared" si="10"/>
        <v>-24698739.5803</v>
      </c>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row>
    <row r="51" spans="1:234" s="2" customFormat="1" ht="12.75">
      <c r="A51" s="434">
        <v>39</v>
      </c>
      <c r="B51" s="464" t="s">
        <v>421</v>
      </c>
      <c r="C51" s="334">
        <v>0</v>
      </c>
      <c r="D51" s="334">
        <v>0</v>
      </c>
      <c r="E51" s="335">
        <f t="shared" si="8"/>
        <v>0</v>
      </c>
      <c r="F51" s="335"/>
      <c r="G51" s="335"/>
      <c r="H51" s="335"/>
      <c r="I51" s="335"/>
      <c r="J51" s="335"/>
      <c r="K51" s="335"/>
      <c r="L51" s="335"/>
      <c r="M51" s="434">
        <f t="shared" si="9"/>
        <v>0</v>
      </c>
      <c r="N51" s="337"/>
      <c r="O51" s="454">
        <f t="shared" si="10"/>
        <v>0</v>
      </c>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row>
    <row r="52" spans="1:234" s="2" customFormat="1" ht="12.75">
      <c r="A52" s="434">
        <v>40</v>
      </c>
      <c r="B52" s="455" t="s">
        <v>422</v>
      </c>
      <c r="C52" s="334">
        <f>+'[3]SUPP A TB'!D87</f>
        <v>-4620</v>
      </c>
      <c r="D52" s="334">
        <f>+'[3]SUPP A TB'!E87</f>
        <v>-5560</v>
      </c>
      <c r="E52" s="335">
        <f t="shared" si="8"/>
        <v>-5090</v>
      </c>
      <c r="F52" s="335"/>
      <c r="G52" s="335"/>
      <c r="H52" s="335"/>
      <c r="I52" s="335"/>
      <c r="J52" s="335"/>
      <c r="K52" s="335"/>
      <c r="L52" s="335"/>
      <c r="M52" s="434">
        <f t="shared" si="9"/>
        <v>-5090</v>
      </c>
      <c r="N52" s="337"/>
      <c r="O52" s="454">
        <f t="shared" si="10"/>
        <v>-5090</v>
      </c>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row>
    <row r="53" spans="1:234" s="2" customFormat="1" ht="12.75" customHeight="1">
      <c r="A53" s="434">
        <v>41</v>
      </c>
      <c r="B53" s="455" t="s">
        <v>423</v>
      </c>
      <c r="C53" s="334">
        <v>0</v>
      </c>
      <c r="D53" s="334">
        <v>0</v>
      </c>
      <c r="E53" s="335">
        <f>IF(+C53+D53=0,0,(C53+D53)/2)</f>
        <v>0</v>
      </c>
      <c r="F53" s="335"/>
      <c r="G53" s="335"/>
      <c r="H53" s="335"/>
      <c r="I53" s="335"/>
      <c r="J53" s="335"/>
      <c r="K53" s="335"/>
      <c r="L53" s="335"/>
      <c r="M53" s="434">
        <f t="shared" si="9"/>
        <v>0</v>
      </c>
      <c r="N53" s="337"/>
      <c r="O53" s="454">
        <f t="shared" si="10"/>
        <v>0</v>
      </c>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row>
    <row r="54" spans="1:234" s="2" customFormat="1" ht="12.75" customHeight="1">
      <c r="A54" s="434">
        <v>42</v>
      </c>
      <c r="B54" s="455" t="s">
        <v>424</v>
      </c>
      <c r="C54" s="334">
        <f>+'[3]SUPP A TB'!D5</f>
        <v>37168.45</v>
      </c>
      <c r="D54" s="334">
        <f>+'[3]SUPP A TB'!E5</f>
        <v>55338</v>
      </c>
      <c r="E54" s="335">
        <f t="shared" si="8"/>
        <v>46253.225</v>
      </c>
      <c r="F54" s="335"/>
      <c r="G54" s="335"/>
      <c r="H54" s="335"/>
      <c r="I54" s="335"/>
      <c r="J54" s="335"/>
      <c r="K54" s="335"/>
      <c r="L54" s="335"/>
      <c r="M54" s="434"/>
      <c r="N54" s="337"/>
      <c r="O54" s="45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row>
    <row r="55" spans="1:234" s="2" customFormat="1" ht="12.75" customHeight="1">
      <c r="A55" s="434">
        <v>43</v>
      </c>
      <c r="B55" s="455" t="s">
        <v>493</v>
      </c>
      <c r="C55" s="334">
        <v>0</v>
      </c>
      <c r="D55" s="334">
        <v>0</v>
      </c>
      <c r="E55" s="455"/>
      <c r="F55" s="335"/>
      <c r="G55" s="335"/>
      <c r="H55" s="335"/>
      <c r="I55" s="335"/>
      <c r="J55" s="335"/>
      <c r="K55" s="335"/>
      <c r="L55" s="335"/>
      <c r="M55" s="434">
        <f t="shared" si="9"/>
        <v>0</v>
      </c>
      <c r="N55" s="337"/>
      <c r="O55" s="454">
        <f t="shared" si="10"/>
        <v>0</v>
      </c>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row>
    <row r="56" spans="1:234" s="2" customFormat="1" ht="12.75" customHeight="1">
      <c r="A56" s="434">
        <v>44</v>
      </c>
      <c r="B56" s="455" t="s">
        <v>506</v>
      </c>
      <c r="C56" s="334">
        <v>217752</v>
      </c>
      <c r="D56" s="334">
        <v>233398</v>
      </c>
      <c r="E56" s="335">
        <f t="shared" si="8"/>
        <v>225575</v>
      </c>
      <c r="F56" s="335"/>
      <c r="G56" s="335"/>
      <c r="H56" s="335"/>
      <c r="I56" s="335"/>
      <c r="J56" s="335"/>
      <c r="K56" s="335"/>
      <c r="L56" s="335"/>
      <c r="M56" s="434">
        <f t="shared" si="9"/>
        <v>225575</v>
      </c>
      <c r="N56" s="337"/>
      <c r="O56" s="454">
        <f>M56+N56</f>
        <v>225575</v>
      </c>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row>
    <row r="57" spans="1:234" s="2" customFormat="1" ht="12.75" customHeight="1">
      <c r="A57" s="434">
        <v>45</v>
      </c>
      <c r="B57" s="455"/>
      <c r="C57" s="335" t="s">
        <v>402</v>
      </c>
      <c r="D57" s="475" t="s">
        <v>319</v>
      </c>
      <c r="E57" s="335" t="s">
        <v>402</v>
      </c>
      <c r="F57" s="335" t="s">
        <v>402</v>
      </c>
      <c r="G57" s="335" t="s">
        <v>402</v>
      </c>
      <c r="H57" s="335" t="s">
        <v>402</v>
      </c>
      <c r="I57" s="335" t="s">
        <v>402</v>
      </c>
      <c r="J57" s="335" t="s">
        <v>402</v>
      </c>
      <c r="K57" s="335" t="s">
        <v>402</v>
      </c>
      <c r="L57" s="335" t="s">
        <v>402</v>
      </c>
      <c r="M57" s="335" t="s">
        <v>402</v>
      </c>
      <c r="N57" s="335" t="s">
        <v>402</v>
      </c>
      <c r="O57" s="335" t="s">
        <v>402</v>
      </c>
      <c r="P57" s="22"/>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row>
    <row r="58" spans="1:234" s="2" customFormat="1" ht="12.75" customHeight="1">
      <c r="A58" s="434">
        <v>46</v>
      </c>
      <c r="B58" s="455" t="s">
        <v>425</v>
      </c>
      <c r="C58" s="335">
        <f aca="true" t="shared" si="11" ref="C58:L58">SUM(C48:C56)</f>
        <v>11516949.860000003</v>
      </c>
      <c r="D58" s="334">
        <f t="shared" si="11"/>
        <v>9968166.670000002</v>
      </c>
      <c r="E58" s="335">
        <f>SUM(E48:E56)</f>
        <v>10742558.265000002</v>
      </c>
      <c r="F58" s="335">
        <f t="shared" si="11"/>
        <v>0</v>
      </c>
      <c r="G58" s="335">
        <f>SUM(G48:G56)</f>
        <v>1074944</v>
      </c>
      <c r="H58" s="335">
        <f>SUM(H48:H56)</f>
        <v>-18843.75529999996</v>
      </c>
      <c r="I58" s="335">
        <f>SUM(I48:I56)</f>
        <v>0</v>
      </c>
      <c r="J58" s="335">
        <f>SUM(J48:J56)</f>
        <v>0</v>
      </c>
      <c r="K58" s="335">
        <f t="shared" si="11"/>
        <v>0</v>
      </c>
      <c r="L58" s="335">
        <f t="shared" si="11"/>
        <v>0</v>
      </c>
      <c r="M58" s="335">
        <f>SUM(M48:M56)</f>
        <v>11752405.284700003</v>
      </c>
      <c r="N58" s="335">
        <f>SUM(N48:N56)</f>
        <v>0</v>
      </c>
      <c r="O58" s="335">
        <f>SUM(O48:O56)</f>
        <v>11752405.284700003</v>
      </c>
      <c r="P58" s="22"/>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row>
    <row r="59" spans="1:234" s="2" customFormat="1" ht="12.75" customHeight="1">
      <c r="A59" s="434">
        <v>47</v>
      </c>
      <c r="B59" s="455"/>
      <c r="C59" s="335"/>
      <c r="D59" s="334"/>
      <c r="E59" s="335"/>
      <c r="F59" s="335"/>
      <c r="G59" s="335"/>
      <c r="H59" s="335"/>
      <c r="I59" s="335"/>
      <c r="J59" s="335"/>
      <c r="K59" s="335"/>
      <c r="L59" s="335"/>
      <c r="M59" s="335"/>
      <c r="N59" s="335"/>
      <c r="O59" s="335"/>
      <c r="P59" s="22"/>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row>
    <row r="60" spans="1:234" s="36" customFormat="1" ht="12.75" customHeight="1">
      <c r="A60" s="476">
        <v>48</v>
      </c>
      <c r="B60" s="477" t="s">
        <v>426</v>
      </c>
      <c r="C60" s="477"/>
      <c r="D60" s="477">
        <f>((E42)/D58)</f>
        <v>-0.20390694972197937</v>
      </c>
      <c r="E60" s="477"/>
      <c r="F60" s="477"/>
      <c r="G60" s="477"/>
      <c r="H60" s="477"/>
      <c r="I60" s="477"/>
      <c r="J60" s="477"/>
      <c r="K60" s="477"/>
      <c r="L60" s="477"/>
      <c r="M60" s="477">
        <f>(M42/M58)</f>
        <v>0.050558878476863744</v>
      </c>
      <c r="N60" s="478"/>
      <c r="O60" s="477">
        <f>(O42/O58)</f>
        <v>0.10445715471988519</v>
      </c>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row>
    <row r="61" spans="1:15" ht="12.75">
      <c r="A61" s="433"/>
      <c r="B61" s="479"/>
      <c r="C61" s="434"/>
      <c r="D61" s="434"/>
      <c r="E61" s="434"/>
      <c r="F61" s="434"/>
      <c r="G61" s="434"/>
      <c r="H61" s="434"/>
      <c r="I61" s="434"/>
      <c r="J61" s="434"/>
      <c r="K61" s="434"/>
      <c r="L61" s="434"/>
      <c r="M61" s="434"/>
      <c r="N61" s="434"/>
      <c r="O61" s="434"/>
    </row>
  </sheetData>
  <mergeCells count="4">
    <mergeCell ref="F1:I1"/>
    <mergeCell ref="N1:O1"/>
    <mergeCell ref="F2:I2"/>
    <mergeCell ref="F3:I3"/>
  </mergeCells>
  <printOptions horizontalCentered="1" verticalCentered="1"/>
  <pageMargins left="0.2" right="0.2" top="0.64" bottom="0.38" header="0.34" footer="0.17"/>
  <pageSetup horizontalDpi="600" verticalDpi="600" orientation="landscape" scale="65" r:id="rId3"/>
  <legacyDrawing r:id="rId2"/>
</worksheet>
</file>

<file path=xl/worksheets/sheet14.xml><?xml version="1.0" encoding="utf-8"?>
<worksheet xmlns="http://schemas.openxmlformats.org/spreadsheetml/2006/main" xmlns:r="http://schemas.openxmlformats.org/officeDocument/2006/relationships">
  <dimension ref="A1:I80"/>
  <sheetViews>
    <sheetView workbookViewId="0" topLeftCell="A25">
      <selection activeCell="G84" sqref="G84"/>
    </sheetView>
  </sheetViews>
  <sheetFormatPr defaultColWidth="9.140625" defaultRowHeight="12.75"/>
  <cols>
    <col min="1" max="1" width="4.140625" style="0" customWidth="1"/>
    <col min="2" max="2" width="5.7109375" style="0" customWidth="1"/>
    <col min="5" max="5" width="16.00390625" style="0" customWidth="1"/>
    <col min="6" max="6" width="13.57421875" style="0" customWidth="1"/>
    <col min="7" max="7" width="15.00390625" style="0" customWidth="1"/>
    <col min="8" max="8" width="13.140625" style="0" customWidth="1"/>
    <col min="9" max="9" width="23.7109375" style="0" customWidth="1"/>
  </cols>
  <sheetData>
    <row r="1" spans="1:9" ht="15.75">
      <c r="A1" s="175" t="s">
        <v>132</v>
      </c>
      <c r="I1" s="320" t="s">
        <v>668</v>
      </c>
    </row>
    <row r="2" ht="15.75">
      <c r="A2" s="175" t="s">
        <v>694</v>
      </c>
    </row>
    <row r="5" spans="1:2" ht="15.75">
      <c r="A5" s="175" t="s">
        <v>375</v>
      </c>
      <c r="B5" s="194" t="s">
        <v>101</v>
      </c>
    </row>
    <row r="6" spans="1:2" ht="12.75">
      <c r="A6" s="194"/>
      <c r="B6" s="194"/>
    </row>
    <row r="7" spans="1:2" ht="85.5" customHeight="1">
      <c r="A7" s="194"/>
      <c r="B7" s="194"/>
    </row>
    <row r="8" spans="1:8" ht="15">
      <c r="A8" s="194"/>
      <c r="B8" s="194"/>
      <c r="C8" s="313" t="s">
        <v>102</v>
      </c>
      <c r="D8" s="313"/>
      <c r="E8" s="313"/>
      <c r="F8" s="314">
        <v>5053</v>
      </c>
      <c r="G8" s="314"/>
      <c r="H8" s="314"/>
    </row>
    <row r="9" spans="3:8" ht="15.75" thickBot="1">
      <c r="C9" s="313" t="s">
        <v>103</v>
      </c>
      <c r="D9" s="313"/>
      <c r="E9" s="313"/>
      <c r="F9" s="315">
        <f>+F8*12</f>
        <v>60636</v>
      </c>
      <c r="G9" s="323" t="s">
        <v>677</v>
      </c>
      <c r="H9" s="323"/>
    </row>
    <row r="10" ht="13.5" thickTop="1"/>
    <row r="11" spans="2:4" ht="15">
      <c r="B11" s="313"/>
      <c r="C11" s="313"/>
      <c r="D11" s="313"/>
    </row>
    <row r="12" spans="1:4" ht="15.75">
      <c r="A12" s="175" t="s">
        <v>376</v>
      </c>
      <c r="B12" s="175" t="s">
        <v>161</v>
      </c>
      <c r="C12" s="175"/>
      <c r="D12" s="313"/>
    </row>
    <row r="13" ht="129" customHeight="1"/>
    <row r="14" ht="12.75">
      <c r="H14" s="212" t="s">
        <v>652</v>
      </c>
    </row>
    <row r="15" ht="12.75">
      <c r="H15" s="327" t="s">
        <v>696</v>
      </c>
    </row>
    <row r="16" ht="12.75">
      <c r="H16" s="219"/>
    </row>
    <row r="17" spans="2:9" ht="14.25">
      <c r="B17" s="316" t="s">
        <v>192</v>
      </c>
      <c r="C17" s="316"/>
      <c r="D17" s="316"/>
      <c r="E17" s="316"/>
      <c r="G17" s="316"/>
      <c r="H17" s="317">
        <v>178180</v>
      </c>
      <c r="I17" t="s">
        <v>695</v>
      </c>
    </row>
    <row r="18" spans="2:8" ht="14.25">
      <c r="B18" s="316"/>
      <c r="C18" s="316"/>
      <c r="D18" s="316"/>
      <c r="E18" s="316"/>
      <c r="G18" s="316"/>
      <c r="H18" s="319"/>
    </row>
    <row r="19" spans="2:9" ht="14.25">
      <c r="B19" s="316" t="s">
        <v>678</v>
      </c>
      <c r="C19" s="316"/>
      <c r="D19" s="316"/>
      <c r="E19" s="316"/>
      <c r="G19" s="316"/>
      <c r="H19" s="317">
        <f>+'EXH 5 2005 Plant Additions '!K42</f>
        <v>99861</v>
      </c>
      <c r="I19" t="s">
        <v>680</v>
      </c>
    </row>
    <row r="20" spans="2:8" ht="14.25">
      <c r="B20" s="316"/>
      <c r="C20" s="316"/>
      <c r="D20" s="316"/>
      <c r="E20" s="316"/>
      <c r="G20" s="316"/>
      <c r="H20" s="316"/>
    </row>
    <row r="21" spans="2:9" ht="14.25">
      <c r="B21" s="316" t="s">
        <v>726</v>
      </c>
      <c r="C21" s="316"/>
      <c r="D21" s="316"/>
      <c r="E21" s="316"/>
      <c r="G21" s="316"/>
      <c r="H21" s="317">
        <f>+'EXH 5 2005 Plant Additions '!E42</f>
        <v>1124874.5</v>
      </c>
      <c r="I21" t="s">
        <v>682</v>
      </c>
    </row>
    <row r="22" spans="2:8" ht="14.25">
      <c r="B22" s="316"/>
      <c r="C22" s="316"/>
      <c r="D22" s="316"/>
      <c r="E22" s="316"/>
      <c r="G22" s="316"/>
      <c r="H22" s="316"/>
    </row>
    <row r="23" spans="2:9" ht="14.25">
      <c r="B23" s="316" t="s">
        <v>193</v>
      </c>
      <c r="C23" s="316"/>
      <c r="D23" s="316"/>
      <c r="E23" s="316"/>
      <c r="G23" s="316"/>
      <c r="H23" s="317">
        <f>+'EXH 5 2005 Plant Additions '!H42</f>
        <v>49930.5</v>
      </c>
      <c r="I23" t="s">
        <v>681</v>
      </c>
    </row>
    <row r="25" ht="114" customHeight="1"/>
    <row r="27" spans="3:9" ht="14.25">
      <c r="C27" t="s">
        <v>697</v>
      </c>
      <c r="H27" s="317">
        <f>+'EXH 5 2005 Plant Additions '!E59</f>
        <v>181520</v>
      </c>
      <c r="I27" t="s">
        <v>698</v>
      </c>
    </row>
    <row r="31" spans="1:9" ht="15.75">
      <c r="A31" s="175" t="str">
        <f>+A$1</f>
        <v>CARBON / EMERY TELCOM</v>
      </c>
      <c r="I31" s="320" t="s">
        <v>669</v>
      </c>
    </row>
    <row r="32" ht="15.75">
      <c r="A32" s="175" t="str">
        <f>+A$2</f>
        <v>Notes to Exhibit 9</v>
      </c>
    </row>
    <row r="34" spans="1:3" ht="15.75">
      <c r="A34" s="175" t="s">
        <v>377</v>
      </c>
      <c r="B34" s="175" t="s">
        <v>633</v>
      </c>
      <c r="C34" s="175"/>
    </row>
    <row r="36" ht="189.75" customHeight="1"/>
    <row r="38" spans="1:8" ht="15">
      <c r="A38" s="316"/>
      <c r="B38" s="316" t="s">
        <v>661</v>
      </c>
      <c r="C38" s="316"/>
      <c r="D38" s="316"/>
      <c r="E38" s="316"/>
      <c r="G38" s="317">
        <f>+'EXH 6  Depr ADJ'!M39</f>
        <v>104640.48940000008</v>
      </c>
      <c r="H38" s="316" t="s">
        <v>699</v>
      </c>
    </row>
    <row r="39" spans="1:8" ht="15">
      <c r="A39" s="316"/>
      <c r="B39" s="316" t="s">
        <v>660</v>
      </c>
      <c r="C39" s="316"/>
      <c r="D39" s="316"/>
      <c r="E39" s="316"/>
      <c r="G39" s="317">
        <f>+'EXH 6  Depr ADJ'!M50</f>
        <v>-18843.75529999996</v>
      </c>
      <c r="H39" s="316" t="s">
        <v>700</v>
      </c>
    </row>
    <row r="41" spans="2:8" ht="15">
      <c r="B41" s="313" t="s">
        <v>702</v>
      </c>
      <c r="C41" s="313"/>
      <c r="D41" s="313"/>
      <c r="E41" s="313"/>
      <c r="F41" s="313"/>
      <c r="G41" s="313"/>
      <c r="H41" s="313"/>
    </row>
    <row r="42" spans="2:8" ht="15">
      <c r="B42" s="313" t="s">
        <v>703</v>
      </c>
      <c r="C42" s="313"/>
      <c r="D42" s="313"/>
      <c r="E42" s="313"/>
      <c r="F42" s="313"/>
      <c r="G42" s="313"/>
      <c r="H42" s="313"/>
    </row>
    <row r="43" spans="2:8" ht="15.75">
      <c r="B43" s="313" t="s">
        <v>704</v>
      </c>
      <c r="C43" s="313"/>
      <c r="D43" s="313"/>
      <c r="E43" s="313"/>
      <c r="F43" s="313"/>
      <c r="G43" s="314">
        <f>+'EXH 6  Depr ADJ'!M43</f>
        <v>40000</v>
      </c>
      <c r="H43" s="313" t="s">
        <v>712</v>
      </c>
    </row>
    <row r="45" ht="12.75" customHeight="1"/>
    <row r="46" spans="1:5" ht="15.75">
      <c r="A46" s="175" t="s">
        <v>378</v>
      </c>
      <c r="B46" s="175" t="s">
        <v>705</v>
      </c>
      <c r="C46" s="175"/>
      <c r="D46" s="175"/>
      <c r="E46" s="175"/>
    </row>
    <row r="47" spans="1:5" ht="11.25" customHeight="1">
      <c r="A47" s="175"/>
      <c r="B47" s="175"/>
      <c r="C47" s="175"/>
      <c r="D47" s="175"/>
      <c r="E47" s="175"/>
    </row>
    <row r="48" ht="143.25" customHeight="1"/>
    <row r="49" spans="4:8" ht="15" customHeight="1">
      <c r="D49" s="313" t="s">
        <v>707</v>
      </c>
      <c r="E49" s="313"/>
      <c r="F49" s="313"/>
      <c r="G49" s="314">
        <f>+'EXH 11 INT ACCESS REV'!F7</f>
        <v>138766</v>
      </c>
      <c r="H49" s="316" t="s">
        <v>708</v>
      </c>
    </row>
    <row r="50" spans="4:8" ht="15" customHeight="1">
      <c r="D50" s="313" t="s">
        <v>709</v>
      </c>
      <c r="E50" s="313"/>
      <c r="F50" s="313"/>
      <c r="G50" s="314">
        <f>-'EXH 11 INT ACCESS REV'!F24</f>
        <v>237748.38</v>
      </c>
      <c r="H50" s="316" t="s">
        <v>708</v>
      </c>
    </row>
    <row r="51" ht="12.75" customHeight="1"/>
    <row r="52" spans="3:4" ht="12.75" customHeight="1">
      <c r="C52" s="313" t="s">
        <v>710</v>
      </c>
      <c r="D52" s="313"/>
    </row>
    <row r="53" spans="3:4" ht="12.75" customHeight="1">
      <c r="C53" s="313"/>
      <c r="D53" s="313" t="s">
        <v>711</v>
      </c>
    </row>
    <row r="54" spans="4:5" ht="12.75" customHeight="1">
      <c r="D54" s="313"/>
      <c r="E54" s="313"/>
    </row>
    <row r="55" spans="4:5" ht="12.75" customHeight="1">
      <c r="D55" s="313"/>
      <c r="E55" s="313"/>
    </row>
    <row r="56" spans="1:5" ht="15.75">
      <c r="A56" s="175" t="s">
        <v>636</v>
      </c>
      <c r="B56" s="175" t="s">
        <v>706</v>
      </c>
      <c r="C56" s="175"/>
      <c r="D56" s="175"/>
      <c r="E56" s="175"/>
    </row>
    <row r="58" ht="129" customHeight="1"/>
    <row r="59" spans="1:9" ht="15">
      <c r="A59" s="194" t="str">
        <f>+A31</f>
        <v>CARBON / EMERY TELCOM</v>
      </c>
      <c r="I59" s="320" t="s">
        <v>670</v>
      </c>
    </row>
    <row r="60" ht="12.75">
      <c r="A60" s="194" t="str">
        <f>+A32</f>
        <v>Notes to Exhibit 9</v>
      </c>
    </row>
    <row r="63" spans="1:5" ht="15.75">
      <c r="A63" s="175" t="s">
        <v>638</v>
      </c>
      <c r="B63" s="175" t="s">
        <v>635</v>
      </c>
      <c r="C63" s="175"/>
      <c r="D63" s="175"/>
      <c r="E63" s="175"/>
    </row>
    <row r="65" ht="221.25" customHeight="1"/>
    <row r="66" spans="1:3" ht="15.75">
      <c r="A66" s="175" t="s">
        <v>641</v>
      </c>
      <c r="B66" s="175" t="s">
        <v>637</v>
      </c>
      <c r="C66" s="175"/>
    </row>
    <row r="68" ht="15.75">
      <c r="B68" s="313" t="s">
        <v>714</v>
      </c>
    </row>
    <row r="71" spans="1:3" ht="15.75">
      <c r="A71" s="175" t="s">
        <v>653</v>
      </c>
      <c r="B71" s="322" t="s">
        <v>715</v>
      </c>
      <c r="C71" s="313"/>
    </row>
    <row r="72" ht="12.75">
      <c r="B72" s="194"/>
    </row>
    <row r="73" spans="2:9" ht="15.75">
      <c r="B73" s="175" t="s">
        <v>713</v>
      </c>
      <c r="C73" s="321"/>
      <c r="D73" s="321"/>
      <c r="E73" s="321"/>
      <c r="F73" s="321"/>
      <c r="G73" s="321"/>
      <c r="H73" s="321"/>
      <c r="I73" s="321"/>
    </row>
    <row r="74" spans="2:9" ht="15.75">
      <c r="B74" s="175"/>
      <c r="C74" s="321"/>
      <c r="D74" s="321"/>
      <c r="E74" s="321"/>
      <c r="F74" s="321"/>
      <c r="G74" s="321"/>
      <c r="H74" s="321"/>
      <c r="I74" s="321"/>
    </row>
    <row r="75" spans="2:9" ht="15.75">
      <c r="B75" s="175"/>
      <c r="C75" s="321"/>
      <c r="D75" s="321"/>
      <c r="E75" s="321"/>
      <c r="F75" s="321"/>
      <c r="G75" s="321"/>
      <c r="H75" s="321"/>
      <c r="I75" s="321"/>
    </row>
    <row r="76" ht="79.5" customHeight="1"/>
    <row r="77" spans="6:8" ht="15.75" customHeight="1">
      <c r="F77" s="486" t="s">
        <v>683</v>
      </c>
      <c r="G77" s="487"/>
      <c r="H77" s="488"/>
    </row>
    <row r="78" spans="6:8" ht="25.5">
      <c r="F78" s="260" t="s">
        <v>430</v>
      </c>
      <c r="G78" s="260" t="s">
        <v>429</v>
      </c>
      <c r="H78" s="263" t="s">
        <v>640</v>
      </c>
    </row>
    <row r="79" spans="2:8" ht="20.25" customHeight="1">
      <c r="B79" s="86" t="s">
        <v>515</v>
      </c>
      <c r="C79" s="59"/>
      <c r="F79" s="480">
        <v>11.93</v>
      </c>
      <c r="G79" s="480">
        <v>13.5</v>
      </c>
      <c r="H79" s="340">
        <f>+G79-F79</f>
        <v>1.5700000000000003</v>
      </c>
    </row>
    <row r="80" spans="2:8" ht="18.75" customHeight="1">
      <c r="B80" s="86" t="s">
        <v>516</v>
      </c>
      <c r="C80" s="59"/>
      <c r="F80" s="480">
        <v>19.37</v>
      </c>
      <c r="G80" s="480">
        <v>23</v>
      </c>
      <c r="H80" s="340">
        <f>+G80-F80</f>
        <v>3.629999999999999</v>
      </c>
    </row>
  </sheetData>
  <mergeCells count="1">
    <mergeCell ref="F77:H77"/>
  </mergeCells>
  <printOptions/>
  <pageMargins left="0.96" right="0.75" top="0.87" bottom="1" header="0.5" footer="0.5"/>
  <pageSetup horizontalDpi="600" verticalDpi="600" orientation="portrait" scale="80" r:id="rId2"/>
  <rowBreaks count="2" manualBreakCount="2">
    <brk id="30" max="9" man="1"/>
    <brk id="58" max="8" man="1"/>
  </rowBreaks>
  <drawing r:id="rId1"/>
</worksheet>
</file>

<file path=xl/worksheets/sheet15.xml><?xml version="1.0" encoding="utf-8"?>
<worksheet xmlns="http://schemas.openxmlformats.org/spreadsheetml/2006/main" xmlns:r="http://schemas.openxmlformats.org/officeDocument/2006/relationships">
  <dimension ref="A1:Q107"/>
  <sheetViews>
    <sheetView workbookViewId="0" topLeftCell="A1">
      <selection activeCell="A1" sqref="A1:C1"/>
    </sheetView>
  </sheetViews>
  <sheetFormatPr defaultColWidth="9.140625" defaultRowHeight="15" customHeight="1"/>
  <cols>
    <col min="1" max="1" width="7.140625" style="54" customWidth="1"/>
    <col min="2" max="2" width="32.28125" style="48" customWidth="1"/>
    <col min="3" max="3" width="23.57421875" style="48" customWidth="1"/>
    <col min="4" max="4" width="21.8515625" style="48" customWidth="1"/>
    <col min="5" max="5" width="13.00390625" style="48" customWidth="1"/>
    <col min="6" max="6" width="3.00390625" style="48" customWidth="1"/>
    <col min="7" max="7" width="23.421875" style="48" customWidth="1"/>
    <col min="8" max="8" width="22.421875" style="48" customWidth="1"/>
    <col min="9" max="9" width="13.57421875" style="48" customWidth="1"/>
    <col min="10" max="16384" width="11.421875" style="48" customWidth="1"/>
  </cols>
  <sheetData>
    <row r="1" spans="1:8" ht="29.25" customHeight="1">
      <c r="A1" s="489" t="s">
        <v>132</v>
      </c>
      <c r="B1" s="489"/>
      <c r="C1" s="489"/>
      <c r="H1" s="48" t="s">
        <v>191</v>
      </c>
    </row>
    <row r="2" spans="1:17" ht="15" customHeight="1">
      <c r="A2" s="273" t="s">
        <v>133</v>
      </c>
      <c r="B2" s="245"/>
      <c r="C2" s="245"/>
      <c r="D2" s="245"/>
      <c r="E2" s="245"/>
      <c r="F2" s="245"/>
      <c r="G2" s="245"/>
      <c r="H2" s="245"/>
      <c r="I2" s="47"/>
      <c r="J2" s="47"/>
      <c r="K2" s="47"/>
      <c r="L2" s="47"/>
      <c r="M2" s="47"/>
      <c r="N2" s="47"/>
      <c r="O2" s="47"/>
      <c r="P2" s="47"/>
      <c r="Q2" s="47"/>
    </row>
    <row r="3" spans="1:17" ht="15" customHeight="1">
      <c r="A3" s="46"/>
      <c r="B3" s="47"/>
      <c r="C3" s="46"/>
      <c r="E3" s="46"/>
      <c r="F3" s="46"/>
      <c r="G3" s="47"/>
      <c r="H3" s="47"/>
      <c r="I3" s="47"/>
      <c r="J3" s="47"/>
      <c r="K3" s="47"/>
      <c r="L3" s="47"/>
      <c r="M3" s="47"/>
      <c r="N3" s="47"/>
      <c r="O3" s="47"/>
      <c r="P3" s="47"/>
      <c r="Q3" s="47"/>
    </row>
    <row r="4" spans="2:17" ht="15" customHeight="1">
      <c r="B4" s="47"/>
      <c r="C4" s="46" t="s">
        <v>436</v>
      </c>
      <c r="D4" s="46" t="s">
        <v>437</v>
      </c>
      <c r="E4" s="46"/>
      <c r="F4" s="46"/>
      <c r="G4" s="46" t="s">
        <v>438</v>
      </c>
      <c r="H4" s="47"/>
      <c r="I4" s="47"/>
      <c r="J4" s="47"/>
      <c r="K4" s="47"/>
      <c r="L4" s="47"/>
      <c r="M4" s="47"/>
      <c r="N4" s="47"/>
      <c r="O4" s="47"/>
      <c r="P4" s="47"/>
      <c r="Q4" s="47"/>
    </row>
    <row r="5" spans="1:17" ht="15" customHeight="1">
      <c r="A5" s="46" t="s">
        <v>439</v>
      </c>
      <c r="B5" s="46" t="s">
        <v>440</v>
      </c>
      <c r="C5" s="49" t="s">
        <v>441</v>
      </c>
      <c r="D5" s="46" t="s">
        <v>442</v>
      </c>
      <c r="E5" s="50"/>
      <c r="F5" s="50"/>
      <c r="G5" s="46" t="s">
        <v>443</v>
      </c>
      <c r="H5" s="47"/>
      <c r="I5" s="47"/>
      <c r="J5" s="47"/>
      <c r="K5" s="47"/>
      <c r="L5" s="47"/>
      <c r="M5" s="47"/>
      <c r="N5" s="47"/>
      <c r="O5" s="47"/>
      <c r="P5" s="47"/>
      <c r="Q5" s="47"/>
    </row>
    <row r="6" spans="1:17" ht="15" customHeight="1" thickBot="1">
      <c r="A6" s="78" t="s">
        <v>444</v>
      </c>
      <c r="B6" s="79"/>
      <c r="C6" s="80" t="s">
        <v>445</v>
      </c>
      <c r="D6" s="80" t="s">
        <v>446</v>
      </c>
      <c r="E6" s="80" t="s">
        <v>315</v>
      </c>
      <c r="F6" s="80"/>
      <c r="G6" s="80" t="s">
        <v>129</v>
      </c>
      <c r="H6" s="47"/>
      <c r="I6" s="47"/>
      <c r="J6" s="47"/>
      <c r="K6" s="47"/>
      <c r="L6" s="47"/>
      <c r="M6" s="47"/>
      <c r="N6" s="47"/>
      <c r="O6" s="47"/>
      <c r="P6" s="47"/>
      <c r="Q6" s="47"/>
    </row>
    <row r="7" spans="1:17" ht="15" customHeight="1">
      <c r="A7" s="88"/>
      <c r="B7" s="89"/>
      <c r="C7" s="90"/>
      <c r="D7" s="90"/>
      <c r="E7" s="90"/>
      <c r="F7" s="89"/>
      <c r="G7" s="90"/>
      <c r="H7" s="47"/>
      <c r="I7" s="47"/>
      <c r="J7" s="47"/>
      <c r="K7" s="47"/>
      <c r="L7" s="47"/>
      <c r="M7" s="47"/>
      <c r="N7" s="47"/>
      <c r="O7" s="47"/>
      <c r="P7" s="47"/>
      <c r="Q7" s="47"/>
    </row>
    <row r="8" spans="1:17" ht="15" customHeight="1">
      <c r="A8" s="88">
        <v>1</v>
      </c>
      <c r="B8" s="91" t="s">
        <v>447</v>
      </c>
      <c r="C8" s="92">
        <f>+'EXH 9 TOT COMP'!M14</f>
        <v>2688535</v>
      </c>
      <c r="D8" s="248">
        <f>+'REV 2.1 LOCAL'!L28</f>
        <v>299341.07999999984</v>
      </c>
      <c r="E8" s="94" t="s">
        <v>603</v>
      </c>
      <c r="F8" s="94"/>
      <c r="G8" s="92">
        <f>+D8+C8</f>
        <v>2987876.08</v>
      </c>
      <c r="H8" s="52"/>
      <c r="I8" s="53"/>
      <c r="J8" s="47"/>
      <c r="K8" s="47"/>
      <c r="L8" s="47"/>
      <c r="M8" s="47"/>
      <c r="N8" s="47"/>
      <c r="O8" s="47"/>
      <c r="P8" s="47"/>
      <c r="Q8" s="47"/>
    </row>
    <row r="9" spans="1:17" ht="15" customHeight="1">
      <c r="A9" s="88"/>
      <c r="B9" s="89"/>
      <c r="C9" s="94"/>
      <c r="D9" s="94"/>
      <c r="E9" s="94"/>
      <c r="F9" s="94"/>
      <c r="G9" s="92"/>
      <c r="H9" s="52"/>
      <c r="I9" s="47"/>
      <c r="J9" s="47"/>
      <c r="K9" s="47"/>
      <c r="L9" s="47"/>
      <c r="M9" s="47"/>
      <c r="N9" s="47"/>
      <c r="O9" s="47"/>
      <c r="P9" s="47"/>
      <c r="Q9" s="47"/>
    </row>
    <row r="10" spans="1:17" ht="15" customHeight="1">
      <c r="A10" s="88">
        <v>2</v>
      </c>
      <c r="B10" s="91" t="s">
        <v>448</v>
      </c>
      <c r="C10" s="92">
        <f>+'EXH 9 TOT COMP'!M16</f>
        <v>0</v>
      </c>
      <c r="D10" s="93">
        <f>+D26-D8-D14</f>
        <v>1664270.8282227062</v>
      </c>
      <c r="E10" s="95" t="s">
        <v>107</v>
      </c>
      <c r="F10" s="94"/>
      <c r="G10" s="92">
        <f>+D10+C10</f>
        <v>1664270.8282227062</v>
      </c>
      <c r="H10" s="52"/>
      <c r="I10" s="52"/>
      <c r="J10" s="47"/>
      <c r="K10" s="47"/>
      <c r="L10" s="47"/>
      <c r="M10" s="47"/>
      <c r="N10" s="47"/>
      <c r="O10" s="47"/>
      <c r="P10" s="47"/>
      <c r="Q10" s="47"/>
    </row>
    <row r="11" spans="1:17" ht="15" customHeight="1">
      <c r="A11" s="88"/>
      <c r="B11" s="91"/>
      <c r="C11" s="92"/>
      <c r="D11" s="94"/>
      <c r="E11" s="94"/>
      <c r="F11" s="94"/>
      <c r="G11" s="92"/>
      <c r="H11" s="52"/>
      <c r="I11" s="47"/>
      <c r="J11" s="47"/>
      <c r="K11" s="47"/>
      <c r="L11" s="47"/>
      <c r="M11" s="47"/>
      <c r="N11" s="47"/>
      <c r="O11" s="47"/>
      <c r="P11" s="47"/>
      <c r="Q11" s="47"/>
    </row>
    <row r="12" spans="1:17" ht="15" customHeight="1">
      <c r="A12" s="88">
        <v>3</v>
      </c>
      <c r="B12" s="91" t="s">
        <v>449</v>
      </c>
      <c r="C12" s="92">
        <f>+'EXH 9 TOT COMP'!M17</f>
        <v>0</v>
      </c>
      <c r="D12" s="92">
        <v>0</v>
      </c>
      <c r="E12" s="96"/>
      <c r="F12" s="94"/>
      <c r="G12" s="92">
        <f>+D12+C12</f>
        <v>0</v>
      </c>
      <c r="H12" s="52"/>
      <c r="I12" s="53"/>
      <c r="J12" s="47"/>
      <c r="K12" s="47"/>
      <c r="L12" s="47"/>
      <c r="M12" s="47"/>
      <c r="N12" s="47"/>
      <c r="O12" s="47"/>
      <c r="P12" s="47"/>
      <c r="Q12" s="47"/>
    </row>
    <row r="13" spans="1:17" ht="15" customHeight="1">
      <c r="A13" s="88"/>
      <c r="B13" s="89"/>
      <c r="D13" s="94"/>
      <c r="E13" s="94"/>
      <c r="F13" s="94"/>
      <c r="G13" s="92"/>
      <c r="H13" s="52"/>
      <c r="I13" s="47"/>
      <c r="J13" s="47"/>
      <c r="K13" s="47"/>
      <c r="L13" s="47"/>
      <c r="M13" s="47"/>
      <c r="N13" s="47"/>
      <c r="O13" s="47"/>
      <c r="P13" s="47"/>
      <c r="Q13" s="47"/>
    </row>
    <row r="14" spans="1:17" ht="15" customHeight="1">
      <c r="A14" s="88">
        <v>4</v>
      </c>
      <c r="B14" s="91" t="s">
        <v>504</v>
      </c>
      <c r="C14" s="92">
        <f>+'EXH 9 TOT COMP'!M18</f>
        <v>294748.45</v>
      </c>
      <c r="D14" s="92">
        <f>+'REV 2.2 ACCESS'!H27</f>
        <v>351580.4783319999</v>
      </c>
      <c r="E14" s="94" t="s">
        <v>106</v>
      </c>
      <c r="F14" s="94"/>
      <c r="G14" s="92">
        <f>+D14+C14</f>
        <v>646328.9283319999</v>
      </c>
      <c r="H14" s="52"/>
      <c r="I14" s="47"/>
      <c r="J14" s="47"/>
      <c r="K14" s="47"/>
      <c r="L14" s="47"/>
      <c r="M14" s="47"/>
      <c r="N14" s="47"/>
      <c r="O14" s="47"/>
      <c r="P14" s="47"/>
      <c r="Q14" s="47"/>
    </row>
    <row r="15" spans="1:17" ht="15" customHeight="1">
      <c r="A15" s="88"/>
      <c r="C15" s="92"/>
      <c r="D15" s="94"/>
      <c r="E15" s="94"/>
      <c r="F15" s="94"/>
      <c r="G15" s="92"/>
      <c r="H15" s="52"/>
      <c r="I15" s="47"/>
      <c r="J15" s="47"/>
      <c r="K15" s="47"/>
      <c r="L15" s="47"/>
      <c r="M15" s="47"/>
      <c r="N15" s="47"/>
      <c r="O15" s="47"/>
      <c r="P15" s="47"/>
      <c r="Q15" s="47"/>
    </row>
    <row r="16" spans="1:17" ht="15" customHeight="1">
      <c r="A16" s="88">
        <v>5</v>
      </c>
      <c r="B16" s="89" t="s">
        <v>279</v>
      </c>
      <c r="C16" s="106">
        <f>+'EXH 9 TOT COMP'!M15</f>
        <v>3013884.1799999997</v>
      </c>
      <c r="D16" s="92"/>
      <c r="E16" s="96"/>
      <c r="F16" s="94"/>
      <c r="G16" s="92">
        <f>+D16+C16</f>
        <v>3013884.1799999997</v>
      </c>
      <c r="H16" s="52"/>
      <c r="I16" s="47"/>
      <c r="J16" s="47"/>
      <c r="K16" s="47"/>
      <c r="L16" s="47"/>
      <c r="M16" s="47"/>
      <c r="N16" s="47"/>
      <c r="O16" s="47"/>
      <c r="P16" s="47"/>
      <c r="Q16" s="47"/>
    </row>
    <row r="17" spans="1:17" ht="15" customHeight="1">
      <c r="A17" s="88"/>
      <c r="B17" s="89"/>
      <c r="C17" s="92"/>
      <c r="D17" s="92"/>
      <c r="E17" s="97"/>
      <c r="F17" s="94"/>
      <c r="G17" s="98"/>
      <c r="H17" s="52"/>
      <c r="I17" s="51"/>
      <c r="J17" s="47"/>
      <c r="K17" s="47"/>
      <c r="L17" s="47"/>
      <c r="M17" s="47"/>
      <c r="N17" s="47"/>
      <c r="O17" s="47"/>
      <c r="P17" s="47"/>
      <c r="Q17" s="47"/>
    </row>
    <row r="18" spans="1:17" ht="15" customHeight="1">
      <c r="A18" s="88">
        <v>6</v>
      </c>
      <c r="B18" s="89" t="s">
        <v>512</v>
      </c>
      <c r="C18" s="106">
        <f>+'EXH 9 TOT COMP'!M19</f>
        <v>364687.92</v>
      </c>
      <c r="D18" s="92">
        <v>0</v>
      </c>
      <c r="E18" s="97"/>
      <c r="F18" s="94"/>
      <c r="G18" s="92">
        <f>+D18+C18</f>
        <v>364687.92</v>
      </c>
      <c r="H18" s="52"/>
      <c r="I18" s="51"/>
      <c r="J18" s="47"/>
      <c r="K18" s="47"/>
      <c r="L18" s="47"/>
      <c r="M18" s="47"/>
      <c r="N18" s="47"/>
      <c r="O18" s="47"/>
      <c r="P18" s="47"/>
      <c r="Q18" s="47"/>
    </row>
    <row r="19" spans="1:17" ht="15" customHeight="1">
      <c r="A19" s="88"/>
      <c r="B19" s="89"/>
      <c r="D19" s="92"/>
      <c r="E19" s="97"/>
      <c r="F19" s="94"/>
      <c r="G19" s="98"/>
      <c r="H19" s="52"/>
      <c r="I19" s="51"/>
      <c r="J19" s="47"/>
      <c r="K19" s="47"/>
      <c r="L19" s="47"/>
      <c r="M19" s="47"/>
      <c r="N19" s="47"/>
      <c r="O19" s="47"/>
      <c r="P19" s="47"/>
      <c r="Q19" s="47"/>
    </row>
    <row r="20" spans="1:17" ht="15" customHeight="1">
      <c r="A20" s="88">
        <v>7</v>
      </c>
      <c r="B20" s="89" t="s">
        <v>464</v>
      </c>
      <c r="C20" s="106">
        <v>0</v>
      </c>
      <c r="D20" s="92">
        <v>0</v>
      </c>
      <c r="E20" s="97"/>
      <c r="F20" s="94"/>
      <c r="G20" s="92">
        <f>+D20+C20</f>
        <v>0</v>
      </c>
      <c r="H20" s="52"/>
      <c r="I20" s="51"/>
      <c r="J20" s="47"/>
      <c r="K20" s="47"/>
      <c r="L20" s="47"/>
      <c r="M20" s="47"/>
      <c r="N20" s="47"/>
      <c r="O20" s="47"/>
      <c r="P20" s="47"/>
      <c r="Q20" s="47"/>
    </row>
    <row r="21" spans="1:17" ht="15" customHeight="1">
      <c r="A21" s="88"/>
      <c r="B21" s="89"/>
      <c r="D21" s="92"/>
      <c r="E21" s="97"/>
      <c r="F21" s="94"/>
      <c r="G21" s="98"/>
      <c r="H21" s="52"/>
      <c r="I21" s="51"/>
      <c r="J21" s="47"/>
      <c r="K21" s="47"/>
      <c r="L21" s="47"/>
      <c r="M21" s="47"/>
      <c r="N21" s="47"/>
      <c r="O21" s="47"/>
      <c r="P21" s="47"/>
      <c r="Q21" s="47"/>
    </row>
    <row r="22" spans="1:17" ht="15" customHeight="1">
      <c r="A22" s="88">
        <v>8</v>
      </c>
      <c r="B22" s="91" t="s">
        <v>494</v>
      </c>
      <c r="C22" s="99">
        <f>+'EXH 9 TOT COMP'!M20</f>
        <v>278439.68</v>
      </c>
      <c r="D22" s="92">
        <v>0</v>
      </c>
      <c r="E22" s="100"/>
      <c r="F22" s="101"/>
      <c r="G22" s="92">
        <f>+D22+C22</f>
        <v>278439.68</v>
      </c>
      <c r="H22" s="52"/>
      <c r="I22" s="47"/>
      <c r="J22" s="47"/>
      <c r="K22" s="47"/>
      <c r="L22" s="47"/>
      <c r="M22" s="47"/>
      <c r="N22" s="47"/>
      <c r="O22" s="47"/>
      <c r="P22" s="47"/>
      <c r="Q22" s="47"/>
    </row>
    <row r="23" spans="1:17" ht="15" customHeight="1">
      <c r="A23" s="48"/>
      <c r="B23" s="89"/>
      <c r="C23" s="99"/>
      <c r="D23" s="99"/>
      <c r="E23" s="94"/>
      <c r="F23" s="94"/>
      <c r="G23" s="94"/>
      <c r="H23" s="47"/>
      <c r="I23" s="47"/>
      <c r="J23" s="47"/>
      <c r="K23" s="47"/>
      <c r="L23" s="47"/>
      <c r="M23" s="47"/>
      <c r="N23" s="47"/>
      <c r="O23" s="47"/>
      <c r="P23" s="47"/>
      <c r="Q23" s="47"/>
    </row>
    <row r="24" spans="1:17" ht="15" customHeight="1" thickBot="1">
      <c r="A24" s="88">
        <v>9</v>
      </c>
      <c r="B24" s="89" t="s">
        <v>495</v>
      </c>
      <c r="C24" s="102">
        <f>'EXH 9 TOT COMP'!M21</f>
        <v>-41082</v>
      </c>
      <c r="D24" s="102">
        <f>'EXH 9 TOT COMP'!N21</f>
        <v>0</v>
      </c>
      <c r="E24" s="89"/>
      <c r="F24" s="89"/>
      <c r="G24" s="102">
        <f>+D24+C24</f>
        <v>-41082</v>
      </c>
      <c r="H24" s="47"/>
      <c r="I24" s="47"/>
      <c r="J24" s="47"/>
      <c r="K24" s="47"/>
      <c r="L24" s="47"/>
      <c r="M24" s="47"/>
      <c r="N24" s="47"/>
      <c r="O24" s="47"/>
      <c r="P24" s="47"/>
      <c r="Q24" s="47"/>
    </row>
    <row r="25" spans="1:17" ht="15" customHeight="1">
      <c r="A25" s="88"/>
      <c r="B25" s="89"/>
      <c r="C25" s="89"/>
      <c r="D25" s="89"/>
      <c r="E25" s="89"/>
      <c r="F25" s="89"/>
      <c r="G25" s="89"/>
      <c r="H25" s="47"/>
      <c r="I25" s="47"/>
      <c r="J25" s="47"/>
      <c r="K25" s="47"/>
      <c r="L25" s="47"/>
      <c r="M25" s="47"/>
      <c r="N25" s="47"/>
      <c r="O25" s="47"/>
      <c r="P25" s="47"/>
      <c r="Q25" s="47"/>
    </row>
    <row r="26" spans="1:17" ht="15" customHeight="1" thickBot="1">
      <c r="A26" s="88">
        <v>10</v>
      </c>
      <c r="B26" s="89" t="s">
        <v>450</v>
      </c>
      <c r="C26" s="103">
        <f>SUM(C8:C24)</f>
        <v>6599213.2299999995</v>
      </c>
      <c r="D26" s="103">
        <f>+'EXH 9 TOT COMP'!N13</f>
        <v>2315192.386554706</v>
      </c>
      <c r="E26" s="104"/>
      <c r="F26" s="94"/>
      <c r="G26" s="103">
        <f>SUM(G8:G24)</f>
        <v>8914405.616554705</v>
      </c>
      <c r="I26" s="47"/>
      <c r="J26" s="47"/>
      <c r="K26" s="47"/>
      <c r="L26" s="47"/>
      <c r="M26" s="47"/>
      <c r="N26" s="47"/>
      <c r="O26" s="47"/>
      <c r="P26" s="47"/>
      <c r="Q26" s="47"/>
    </row>
    <row r="27" spans="1:17" ht="27.75" customHeight="1" thickTop="1">
      <c r="A27" s="46"/>
      <c r="B27" s="47"/>
      <c r="C27" s="328" t="s">
        <v>716</v>
      </c>
      <c r="D27" s="328" t="s">
        <v>716</v>
      </c>
      <c r="E27" s="47"/>
      <c r="F27" s="47"/>
      <c r="G27" s="328" t="s">
        <v>717</v>
      </c>
      <c r="H27" s="47"/>
      <c r="I27" s="47"/>
      <c r="J27" s="47"/>
      <c r="K27" s="47"/>
      <c r="L27" s="47"/>
      <c r="M27" s="47"/>
      <c r="N27" s="47"/>
      <c r="O27" s="47"/>
      <c r="P27" s="47"/>
      <c r="Q27" s="47"/>
    </row>
    <row r="28" spans="1:17" ht="15" customHeight="1">
      <c r="A28" s="48"/>
      <c r="B28" s="272"/>
      <c r="G28" s="272"/>
      <c r="H28" s="47"/>
      <c r="I28" s="47"/>
      <c r="J28" s="47"/>
      <c r="K28" s="47"/>
      <c r="L28" s="47"/>
      <c r="M28" s="47"/>
      <c r="N28" s="47"/>
      <c r="O28" s="47"/>
      <c r="P28" s="47"/>
      <c r="Q28" s="47"/>
    </row>
    <row r="29" spans="1:17" ht="15" customHeight="1">
      <c r="A29" s="46"/>
      <c r="B29" s="47"/>
      <c r="C29" s="47"/>
      <c r="D29" s="47"/>
      <c r="E29" s="47"/>
      <c r="F29" s="47"/>
      <c r="G29" s="47"/>
      <c r="H29" s="47"/>
      <c r="I29" s="47"/>
      <c r="J29" s="47"/>
      <c r="K29" s="47"/>
      <c r="L29" s="47"/>
      <c r="M29" s="47"/>
      <c r="N29" s="47"/>
      <c r="O29" s="47"/>
      <c r="P29" s="47"/>
      <c r="Q29" s="47"/>
    </row>
    <row r="30" spans="1:17" ht="15" customHeight="1">
      <c r="A30" s="46"/>
      <c r="B30" s="274" t="s">
        <v>134</v>
      </c>
      <c r="C30" s="47"/>
      <c r="D30" s="47"/>
      <c r="E30" s="47"/>
      <c r="F30" s="47"/>
      <c r="G30" s="47"/>
      <c r="H30" s="47"/>
      <c r="I30" s="47"/>
      <c r="J30" s="47"/>
      <c r="K30" s="47"/>
      <c r="L30" s="47"/>
      <c r="M30" s="47"/>
      <c r="N30" s="47"/>
      <c r="O30" s="47"/>
      <c r="P30" s="47"/>
      <c r="Q30" s="47"/>
    </row>
    <row r="31" spans="1:17" ht="15" customHeight="1">
      <c r="A31" s="46"/>
      <c r="B31" s="47" t="s">
        <v>135</v>
      </c>
      <c r="C31" s="47"/>
      <c r="D31" s="47"/>
      <c r="E31" s="47"/>
      <c r="F31" s="47"/>
      <c r="G31" s="47"/>
      <c r="H31" s="47"/>
      <c r="I31" s="47"/>
      <c r="J31" s="47"/>
      <c r="K31" s="47"/>
      <c r="L31" s="47"/>
      <c r="M31" s="47"/>
      <c r="N31" s="47"/>
      <c r="O31" s="47"/>
      <c r="P31" s="47"/>
      <c r="Q31" s="47"/>
    </row>
    <row r="32" spans="1:17" ht="15" customHeight="1">
      <c r="A32" s="46"/>
      <c r="B32" s="47" t="s">
        <v>136</v>
      </c>
      <c r="C32" s="47"/>
      <c r="D32" s="47"/>
      <c r="E32" s="47"/>
      <c r="F32" s="47"/>
      <c r="G32" s="47"/>
      <c r="H32" s="47"/>
      <c r="I32" s="47"/>
      <c r="J32" s="47"/>
      <c r="K32" s="47"/>
      <c r="L32" s="47"/>
      <c r="M32" s="47"/>
      <c r="N32" s="47"/>
      <c r="O32" s="47"/>
      <c r="P32" s="47"/>
      <c r="Q32" s="47"/>
    </row>
    <row r="33" spans="1:17" ht="15" customHeight="1">
      <c r="A33" s="46"/>
      <c r="B33" s="47"/>
      <c r="C33" s="47"/>
      <c r="D33" s="47"/>
      <c r="E33" s="47"/>
      <c r="F33" s="47"/>
      <c r="G33" s="47"/>
      <c r="H33" s="47"/>
      <c r="I33" s="47"/>
      <c r="J33" s="47"/>
      <c r="K33" s="47"/>
      <c r="L33" s="47"/>
      <c r="M33" s="47"/>
      <c r="N33" s="47"/>
      <c r="O33" s="47"/>
      <c r="P33" s="47"/>
      <c r="Q33" s="47"/>
    </row>
    <row r="34" spans="1:17" ht="15" customHeight="1">
      <c r="A34" s="46"/>
      <c r="B34" s="47"/>
      <c r="C34" s="47"/>
      <c r="D34" s="47"/>
      <c r="E34" s="47"/>
      <c r="F34" s="47"/>
      <c r="G34" s="47"/>
      <c r="H34" s="47"/>
      <c r="I34" s="47"/>
      <c r="J34" s="47"/>
      <c r="K34" s="47"/>
      <c r="L34" s="47"/>
      <c r="M34" s="47"/>
      <c r="N34" s="47"/>
      <c r="O34" s="47"/>
      <c r="P34" s="47"/>
      <c r="Q34" s="47"/>
    </row>
    <row r="35" spans="1:17" ht="15" customHeight="1">
      <c r="A35" s="46"/>
      <c r="B35" s="47"/>
      <c r="C35" s="47"/>
      <c r="D35" s="47"/>
      <c r="E35" s="47"/>
      <c r="F35" s="47"/>
      <c r="G35" s="47"/>
      <c r="H35" s="47"/>
      <c r="I35" s="47"/>
      <c r="J35" s="47"/>
      <c r="K35" s="47"/>
      <c r="L35" s="47"/>
      <c r="M35" s="47"/>
      <c r="N35" s="47"/>
      <c r="O35" s="47"/>
      <c r="P35" s="47"/>
      <c r="Q35" s="47"/>
    </row>
    <row r="36" spans="1:17" ht="15" customHeight="1">
      <c r="A36" s="46"/>
      <c r="B36" s="47"/>
      <c r="C36" s="47"/>
      <c r="D36" s="47"/>
      <c r="E36" s="47"/>
      <c r="F36" s="47"/>
      <c r="G36" s="47"/>
      <c r="H36" s="47"/>
      <c r="I36" s="47"/>
      <c r="J36" s="47"/>
      <c r="K36" s="47"/>
      <c r="L36" s="47"/>
      <c r="M36" s="47"/>
      <c r="N36" s="47"/>
      <c r="O36" s="47"/>
      <c r="P36" s="47"/>
      <c r="Q36" s="47"/>
    </row>
    <row r="37" spans="1:17" ht="15" customHeight="1">
      <c r="A37" s="46"/>
      <c r="B37" s="47"/>
      <c r="C37" s="47"/>
      <c r="D37" s="47"/>
      <c r="E37" s="47"/>
      <c r="F37" s="47"/>
      <c r="G37" s="47"/>
      <c r="H37" s="47"/>
      <c r="I37" s="47"/>
      <c r="J37" s="47"/>
      <c r="K37" s="47"/>
      <c r="L37" s="47"/>
      <c r="M37" s="47"/>
      <c r="N37" s="47"/>
      <c r="O37" s="47"/>
      <c r="P37" s="47"/>
      <c r="Q37" s="47"/>
    </row>
    <row r="38" spans="1:17" ht="15" customHeight="1">
      <c r="A38" s="46"/>
      <c r="B38" s="47"/>
      <c r="C38" s="47"/>
      <c r="D38" s="47"/>
      <c r="E38" s="47"/>
      <c r="F38" s="47"/>
      <c r="G38" s="47"/>
      <c r="H38" s="47"/>
      <c r="I38" s="47"/>
      <c r="J38" s="47"/>
      <c r="K38" s="47"/>
      <c r="L38" s="47"/>
      <c r="M38" s="47"/>
      <c r="N38" s="47"/>
      <c r="O38" s="47"/>
      <c r="P38" s="47"/>
      <c r="Q38" s="47"/>
    </row>
    <row r="39" spans="1:17" ht="15" customHeight="1">
      <c r="A39" s="46"/>
      <c r="B39" s="47"/>
      <c r="C39" s="47"/>
      <c r="D39" s="47"/>
      <c r="E39" s="47"/>
      <c r="F39" s="47"/>
      <c r="G39" s="47"/>
      <c r="H39" s="47"/>
      <c r="I39" s="47"/>
      <c r="J39" s="47"/>
      <c r="K39" s="47"/>
      <c r="L39" s="47"/>
      <c r="M39" s="47"/>
      <c r="N39" s="47"/>
      <c r="O39" s="47"/>
      <c r="P39" s="47"/>
      <c r="Q39" s="47"/>
    </row>
    <row r="40" spans="1:17" ht="15" customHeight="1">
      <c r="A40" s="46"/>
      <c r="B40" s="47"/>
      <c r="C40" s="47"/>
      <c r="D40" s="47"/>
      <c r="E40" s="47"/>
      <c r="F40" s="47"/>
      <c r="G40" s="47"/>
      <c r="H40" s="47"/>
      <c r="I40" s="47"/>
      <c r="J40" s="47"/>
      <c r="K40" s="47"/>
      <c r="L40" s="47"/>
      <c r="M40" s="47"/>
      <c r="N40" s="47"/>
      <c r="O40" s="47"/>
      <c r="P40" s="47"/>
      <c r="Q40" s="47"/>
    </row>
    <row r="41" spans="1:17" ht="15" customHeight="1">
      <c r="A41" s="46"/>
      <c r="B41" s="47"/>
      <c r="C41" s="47"/>
      <c r="D41" s="47"/>
      <c r="E41" s="47"/>
      <c r="F41" s="47"/>
      <c r="G41" s="47"/>
      <c r="H41" s="47"/>
      <c r="I41" s="47"/>
      <c r="J41" s="47"/>
      <c r="K41" s="47"/>
      <c r="L41" s="47"/>
      <c r="M41" s="47"/>
      <c r="N41" s="47"/>
      <c r="O41" s="47"/>
      <c r="P41" s="47"/>
      <c r="Q41" s="47"/>
    </row>
    <row r="42" spans="1:17" ht="15" customHeight="1">
      <c r="A42" s="46"/>
      <c r="B42" s="47"/>
      <c r="C42" s="47"/>
      <c r="D42" s="47"/>
      <c r="E42" s="47"/>
      <c r="F42" s="47"/>
      <c r="G42" s="47"/>
      <c r="H42" s="47"/>
      <c r="I42" s="47"/>
      <c r="J42" s="47"/>
      <c r="K42" s="47"/>
      <c r="L42" s="47"/>
      <c r="M42" s="47"/>
      <c r="N42" s="47"/>
      <c r="O42" s="47"/>
      <c r="P42" s="47"/>
      <c r="Q42" s="47"/>
    </row>
    <row r="43" spans="1:17" ht="15" customHeight="1">
      <c r="A43" s="46"/>
      <c r="B43" s="47"/>
      <c r="C43" s="47"/>
      <c r="D43" s="47"/>
      <c r="E43" s="47"/>
      <c r="F43" s="47"/>
      <c r="G43" s="47"/>
      <c r="H43" s="47"/>
      <c r="I43" s="47"/>
      <c r="J43" s="47"/>
      <c r="K43" s="47"/>
      <c r="L43" s="47"/>
      <c r="M43" s="47"/>
      <c r="N43" s="47"/>
      <c r="O43" s="47"/>
      <c r="P43" s="47"/>
      <c r="Q43" s="47"/>
    </row>
    <row r="44" spans="1:17" ht="15" customHeight="1">
      <c r="A44" s="46"/>
      <c r="B44" s="47"/>
      <c r="C44" s="47"/>
      <c r="D44" s="47"/>
      <c r="E44" s="47"/>
      <c r="F44" s="47"/>
      <c r="G44" s="47"/>
      <c r="H44" s="47"/>
      <c r="I44" s="47"/>
      <c r="J44" s="47"/>
      <c r="K44" s="47"/>
      <c r="L44" s="47"/>
      <c r="M44" s="47"/>
      <c r="N44" s="47"/>
      <c r="O44" s="47"/>
      <c r="P44" s="47"/>
      <c r="Q44" s="47"/>
    </row>
    <row r="45" spans="1:17" ht="15" customHeight="1">
      <c r="A45" s="46"/>
      <c r="B45" s="47"/>
      <c r="C45" s="47"/>
      <c r="D45" s="47"/>
      <c r="E45" s="47"/>
      <c r="F45" s="47"/>
      <c r="G45" s="47"/>
      <c r="H45" s="47"/>
      <c r="I45" s="47"/>
      <c r="J45" s="47"/>
      <c r="K45" s="47"/>
      <c r="L45" s="47"/>
      <c r="M45" s="47"/>
      <c r="N45" s="47"/>
      <c r="O45" s="47"/>
      <c r="P45" s="47"/>
      <c r="Q45" s="47"/>
    </row>
    <row r="46" spans="1:17" ht="15" customHeight="1">
      <c r="A46" s="46"/>
      <c r="B46" s="47"/>
      <c r="C46" s="47"/>
      <c r="D46" s="47"/>
      <c r="E46" s="47"/>
      <c r="F46" s="47"/>
      <c r="G46" s="47"/>
      <c r="H46" s="47"/>
      <c r="I46" s="47"/>
      <c r="J46" s="47"/>
      <c r="K46" s="47"/>
      <c r="L46" s="47"/>
      <c r="M46" s="47"/>
      <c r="N46" s="47"/>
      <c r="O46" s="47"/>
      <c r="P46" s="47"/>
      <c r="Q46" s="47"/>
    </row>
    <row r="47" spans="1:17" ht="15" customHeight="1">
      <c r="A47" s="46"/>
      <c r="B47" s="47"/>
      <c r="C47" s="47"/>
      <c r="D47" s="47"/>
      <c r="E47" s="47"/>
      <c r="F47" s="47"/>
      <c r="G47" s="47"/>
      <c r="H47" s="47"/>
      <c r="I47" s="47"/>
      <c r="J47" s="47"/>
      <c r="K47" s="47"/>
      <c r="L47" s="47"/>
      <c r="M47" s="47"/>
      <c r="N47" s="47"/>
      <c r="O47" s="47"/>
      <c r="P47" s="47"/>
      <c r="Q47" s="47"/>
    </row>
    <row r="48" spans="1:17" ht="15" customHeight="1">
      <c r="A48" s="46"/>
      <c r="B48" s="47"/>
      <c r="C48" s="47"/>
      <c r="D48" s="47"/>
      <c r="E48" s="47"/>
      <c r="F48" s="47"/>
      <c r="G48" s="47"/>
      <c r="H48" s="47"/>
      <c r="I48" s="47"/>
      <c r="J48" s="47"/>
      <c r="K48" s="47"/>
      <c r="L48" s="47"/>
      <c r="M48" s="47"/>
      <c r="N48" s="47"/>
      <c r="O48" s="47"/>
      <c r="P48" s="47"/>
      <c r="Q48" s="47"/>
    </row>
    <row r="49" spans="1:17" ht="15" customHeight="1">
      <c r="A49" s="46"/>
      <c r="B49" s="47"/>
      <c r="C49" s="47"/>
      <c r="D49" s="47"/>
      <c r="E49" s="47"/>
      <c r="F49" s="47"/>
      <c r="G49" s="47"/>
      <c r="H49" s="47"/>
      <c r="I49" s="47"/>
      <c r="J49" s="47"/>
      <c r="K49" s="47"/>
      <c r="L49" s="47"/>
      <c r="M49" s="47"/>
      <c r="N49" s="47"/>
      <c r="O49" s="47"/>
      <c r="P49" s="47"/>
      <c r="Q49" s="47"/>
    </row>
    <row r="50" spans="1:17" ht="15" customHeight="1">
      <c r="A50" s="46"/>
      <c r="B50" s="47"/>
      <c r="C50" s="47"/>
      <c r="D50" s="47"/>
      <c r="E50" s="47"/>
      <c r="F50" s="47"/>
      <c r="G50" s="47"/>
      <c r="H50" s="47"/>
      <c r="I50" s="47"/>
      <c r="J50" s="47"/>
      <c r="K50" s="47"/>
      <c r="L50" s="47"/>
      <c r="M50" s="47"/>
      <c r="N50" s="47"/>
      <c r="O50" s="47"/>
      <c r="P50" s="47"/>
      <c r="Q50" s="47"/>
    </row>
    <row r="51" spans="1:17" ht="15" customHeight="1">
      <c r="A51" s="46"/>
      <c r="B51" s="47"/>
      <c r="C51" s="47"/>
      <c r="D51" s="47"/>
      <c r="E51" s="47"/>
      <c r="F51" s="47"/>
      <c r="G51" s="47"/>
      <c r="H51" s="47"/>
      <c r="I51" s="47"/>
      <c r="J51" s="47"/>
      <c r="K51" s="47"/>
      <c r="L51" s="47"/>
      <c r="M51" s="47"/>
      <c r="N51" s="47"/>
      <c r="O51" s="47"/>
      <c r="P51" s="47"/>
      <c r="Q51" s="47"/>
    </row>
    <row r="52" spans="1:17" ht="15" customHeight="1">
      <c r="A52" s="46"/>
      <c r="B52" s="47"/>
      <c r="C52" s="47"/>
      <c r="D52" s="47"/>
      <c r="E52" s="47"/>
      <c r="F52" s="47"/>
      <c r="G52" s="47"/>
      <c r="H52" s="47"/>
      <c r="I52" s="47"/>
      <c r="J52" s="47"/>
      <c r="K52" s="47"/>
      <c r="L52" s="47"/>
      <c r="M52" s="47"/>
      <c r="N52" s="47"/>
      <c r="O52" s="47"/>
      <c r="P52" s="47"/>
      <c r="Q52" s="47"/>
    </row>
    <row r="53" spans="1:17" ht="15" customHeight="1">
      <c r="A53" s="46"/>
      <c r="B53" s="47"/>
      <c r="C53" s="47"/>
      <c r="D53" s="47"/>
      <c r="E53" s="47"/>
      <c r="F53" s="47"/>
      <c r="G53" s="47"/>
      <c r="H53" s="47"/>
      <c r="I53" s="47"/>
      <c r="J53" s="47"/>
      <c r="K53" s="47"/>
      <c r="L53" s="47"/>
      <c r="M53" s="47"/>
      <c r="N53" s="47"/>
      <c r="O53" s="47"/>
      <c r="P53" s="47"/>
      <c r="Q53" s="47"/>
    </row>
    <row r="54" spans="1:17" ht="15" customHeight="1">
      <c r="A54" s="46"/>
      <c r="B54" s="47"/>
      <c r="C54" s="47"/>
      <c r="D54" s="47"/>
      <c r="E54" s="47"/>
      <c r="F54" s="47"/>
      <c r="G54" s="47"/>
      <c r="H54" s="47"/>
      <c r="I54" s="47"/>
      <c r="J54" s="47"/>
      <c r="K54" s="47"/>
      <c r="L54" s="47"/>
      <c r="M54" s="47"/>
      <c r="N54" s="47"/>
      <c r="O54" s="47"/>
      <c r="P54" s="47"/>
      <c r="Q54" s="47"/>
    </row>
    <row r="55" spans="1:17" ht="15" customHeight="1">
      <c r="A55" s="46"/>
      <c r="B55" s="47"/>
      <c r="C55" s="47"/>
      <c r="D55" s="47"/>
      <c r="E55" s="47"/>
      <c r="F55" s="47"/>
      <c r="G55" s="47"/>
      <c r="H55" s="47"/>
      <c r="I55" s="47"/>
      <c r="J55" s="47"/>
      <c r="K55" s="47"/>
      <c r="L55" s="47"/>
      <c r="M55" s="47"/>
      <c r="N55" s="47"/>
      <c r="O55" s="47"/>
      <c r="P55" s="47"/>
      <c r="Q55" s="47"/>
    </row>
    <row r="56" spans="1:17" ht="15" customHeight="1">
      <c r="A56" s="46"/>
      <c r="B56" s="47"/>
      <c r="C56" s="47"/>
      <c r="D56" s="47"/>
      <c r="E56" s="47"/>
      <c r="F56" s="47"/>
      <c r="G56" s="47"/>
      <c r="H56" s="47"/>
      <c r="I56" s="47"/>
      <c r="J56" s="47"/>
      <c r="K56" s="47"/>
      <c r="L56" s="47"/>
      <c r="M56" s="47"/>
      <c r="N56" s="47"/>
      <c r="O56" s="47"/>
      <c r="P56" s="47"/>
      <c r="Q56" s="47"/>
    </row>
    <row r="57" spans="1:17" ht="15" customHeight="1">
      <c r="A57" s="46"/>
      <c r="B57" s="47"/>
      <c r="C57" s="47"/>
      <c r="D57" s="47"/>
      <c r="E57" s="47"/>
      <c r="F57" s="47"/>
      <c r="G57" s="47"/>
      <c r="H57" s="47"/>
      <c r="I57" s="47"/>
      <c r="J57" s="47"/>
      <c r="K57" s="47"/>
      <c r="L57" s="47"/>
      <c r="M57" s="47"/>
      <c r="N57" s="47"/>
      <c r="O57" s="47"/>
      <c r="P57" s="47"/>
      <c r="Q57" s="47"/>
    </row>
    <row r="58" spans="1:17" ht="15" customHeight="1">
      <c r="A58" s="46"/>
      <c r="B58" s="47"/>
      <c r="C58" s="47"/>
      <c r="D58" s="47"/>
      <c r="E58" s="47"/>
      <c r="F58" s="47"/>
      <c r="G58" s="47"/>
      <c r="H58" s="47"/>
      <c r="I58" s="47"/>
      <c r="J58" s="47"/>
      <c r="K58" s="47"/>
      <c r="L58" s="47"/>
      <c r="M58" s="47"/>
      <c r="N58" s="47"/>
      <c r="O58" s="47"/>
      <c r="P58" s="47"/>
      <c r="Q58" s="47"/>
    </row>
    <row r="59" spans="1:17" ht="15" customHeight="1">
      <c r="A59" s="46"/>
      <c r="B59" s="47"/>
      <c r="C59" s="47"/>
      <c r="D59" s="47"/>
      <c r="E59" s="47"/>
      <c r="F59" s="47"/>
      <c r="G59" s="47"/>
      <c r="H59" s="47"/>
      <c r="I59" s="47"/>
      <c r="J59" s="47"/>
      <c r="K59" s="47"/>
      <c r="L59" s="47"/>
      <c r="M59" s="47"/>
      <c r="N59" s="47"/>
      <c r="O59" s="47"/>
      <c r="P59" s="47"/>
      <c r="Q59" s="47"/>
    </row>
    <row r="60" spans="1:17" ht="15" customHeight="1">
      <c r="A60" s="46"/>
      <c r="B60" s="47"/>
      <c r="C60" s="47"/>
      <c r="D60" s="47"/>
      <c r="E60" s="47"/>
      <c r="F60" s="47"/>
      <c r="G60" s="47"/>
      <c r="H60" s="47"/>
      <c r="I60" s="47"/>
      <c r="J60" s="47"/>
      <c r="K60" s="47"/>
      <c r="L60" s="47"/>
      <c r="M60" s="47"/>
      <c r="N60" s="47"/>
      <c r="O60" s="47"/>
      <c r="P60" s="47"/>
      <c r="Q60" s="47"/>
    </row>
    <row r="61" spans="1:17" ht="15" customHeight="1">
      <c r="A61" s="46"/>
      <c r="B61" s="47"/>
      <c r="C61" s="47"/>
      <c r="D61" s="47"/>
      <c r="E61" s="47"/>
      <c r="F61" s="47"/>
      <c r="G61" s="47"/>
      <c r="H61" s="47"/>
      <c r="I61" s="47"/>
      <c r="J61" s="47"/>
      <c r="K61" s="47"/>
      <c r="L61" s="47"/>
      <c r="M61" s="47"/>
      <c r="N61" s="47"/>
      <c r="O61" s="47"/>
      <c r="P61" s="47"/>
      <c r="Q61" s="47"/>
    </row>
    <row r="62" spans="1:17" ht="15" customHeight="1">
      <c r="A62" s="46"/>
      <c r="B62" s="47"/>
      <c r="C62" s="47"/>
      <c r="D62" s="47"/>
      <c r="E62" s="47"/>
      <c r="F62" s="47"/>
      <c r="G62" s="47"/>
      <c r="H62" s="47"/>
      <c r="I62" s="47"/>
      <c r="J62" s="47"/>
      <c r="K62" s="47"/>
      <c r="L62" s="47"/>
      <c r="M62" s="47"/>
      <c r="N62" s="47"/>
      <c r="O62" s="47"/>
      <c r="P62" s="47"/>
      <c r="Q62" s="47"/>
    </row>
    <row r="63" spans="1:17" ht="15" customHeight="1">
      <c r="A63" s="46"/>
      <c r="B63" s="47"/>
      <c r="C63" s="47"/>
      <c r="D63" s="47"/>
      <c r="E63" s="47"/>
      <c r="F63" s="47"/>
      <c r="G63" s="47"/>
      <c r="H63" s="47"/>
      <c r="I63" s="47"/>
      <c r="J63" s="47"/>
      <c r="K63" s="47"/>
      <c r="L63" s="47"/>
      <c r="M63" s="47"/>
      <c r="N63" s="47"/>
      <c r="O63" s="47"/>
      <c r="P63" s="47"/>
      <c r="Q63" s="47"/>
    </row>
    <row r="64" spans="1:17" ht="15" customHeight="1">
      <c r="A64" s="46"/>
      <c r="B64" s="47"/>
      <c r="C64" s="47"/>
      <c r="D64" s="47"/>
      <c r="E64" s="47"/>
      <c r="F64" s="47"/>
      <c r="G64" s="47"/>
      <c r="H64" s="47"/>
      <c r="I64" s="47"/>
      <c r="J64" s="47"/>
      <c r="K64" s="47"/>
      <c r="L64" s="47"/>
      <c r="M64" s="47"/>
      <c r="N64" s="47"/>
      <c r="O64" s="47"/>
      <c r="P64" s="47"/>
      <c r="Q64" s="47"/>
    </row>
    <row r="65" spans="1:17" ht="15" customHeight="1">
      <c r="A65" s="46"/>
      <c r="B65" s="47"/>
      <c r="C65" s="47"/>
      <c r="D65" s="47"/>
      <c r="E65" s="47"/>
      <c r="F65" s="47"/>
      <c r="G65" s="47"/>
      <c r="H65" s="47"/>
      <c r="I65" s="47"/>
      <c r="J65" s="47"/>
      <c r="K65" s="47"/>
      <c r="L65" s="47"/>
      <c r="M65" s="47"/>
      <c r="N65" s="47"/>
      <c r="O65" s="47"/>
      <c r="P65" s="47"/>
      <c r="Q65" s="47"/>
    </row>
    <row r="66" spans="1:17" ht="15" customHeight="1">
      <c r="A66" s="46"/>
      <c r="B66" s="47"/>
      <c r="C66" s="47"/>
      <c r="D66" s="47"/>
      <c r="E66" s="47"/>
      <c r="F66" s="47"/>
      <c r="G66" s="47"/>
      <c r="H66" s="47"/>
      <c r="I66" s="47"/>
      <c r="J66" s="47"/>
      <c r="K66" s="47"/>
      <c r="L66" s="47"/>
      <c r="M66" s="47"/>
      <c r="N66" s="47"/>
      <c r="O66" s="47"/>
      <c r="P66" s="47"/>
      <c r="Q66" s="47"/>
    </row>
    <row r="67" spans="1:17" ht="15" customHeight="1">
      <c r="A67" s="46"/>
      <c r="B67" s="47"/>
      <c r="C67" s="47"/>
      <c r="D67" s="47"/>
      <c r="E67" s="47"/>
      <c r="F67" s="47"/>
      <c r="G67" s="47"/>
      <c r="H67" s="47"/>
      <c r="I67" s="47"/>
      <c r="J67" s="47"/>
      <c r="K67" s="47"/>
      <c r="L67" s="47"/>
      <c r="M67" s="47"/>
      <c r="N67" s="47"/>
      <c r="O67" s="47"/>
      <c r="P67" s="47"/>
      <c r="Q67" s="47"/>
    </row>
    <row r="68" spans="1:17" ht="15" customHeight="1">
      <c r="A68" s="46"/>
      <c r="B68" s="47"/>
      <c r="C68" s="47"/>
      <c r="D68" s="47"/>
      <c r="E68" s="47"/>
      <c r="F68" s="47"/>
      <c r="G68" s="47"/>
      <c r="H68" s="47"/>
      <c r="I68" s="47"/>
      <c r="J68" s="47"/>
      <c r="K68" s="47"/>
      <c r="L68" s="47"/>
      <c r="M68" s="47"/>
      <c r="N68" s="47"/>
      <c r="O68" s="47"/>
      <c r="P68" s="47"/>
      <c r="Q68" s="47"/>
    </row>
    <row r="69" spans="1:17" ht="15" customHeight="1">
      <c r="A69" s="46"/>
      <c r="B69" s="47"/>
      <c r="C69" s="47"/>
      <c r="D69" s="47"/>
      <c r="E69" s="47"/>
      <c r="F69" s="47"/>
      <c r="G69" s="47"/>
      <c r="H69" s="47"/>
      <c r="I69" s="47"/>
      <c r="J69" s="47"/>
      <c r="K69" s="47"/>
      <c r="L69" s="47"/>
      <c r="M69" s="47"/>
      <c r="N69" s="47"/>
      <c r="O69" s="47"/>
      <c r="P69" s="47"/>
      <c r="Q69" s="47"/>
    </row>
    <row r="70" spans="1:17" ht="15" customHeight="1">
      <c r="A70" s="46"/>
      <c r="B70" s="47"/>
      <c r="C70" s="47"/>
      <c r="D70" s="47"/>
      <c r="E70" s="47"/>
      <c r="F70" s="47"/>
      <c r="G70" s="47"/>
      <c r="H70" s="47"/>
      <c r="I70" s="47"/>
      <c r="J70" s="47"/>
      <c r="K70" s="47"/>
      <c r="L70" s="47"/>
      <c r="M70" s="47"/>
      <c r="N70" s="47"/>
      <c r="O70" s="47"/>
      <c r="P70" s="47"/>
      <c r="Q70" s="47"/>
    </row>
    <row r="71" spans="1:17" ht="15" customHeight="1">
      <c r="A71" s="46"/>
      <c r="B71" s="47"/>
      <c r="C71" s="47"/>
      <c r="D71" s="47"/>
      <c r="E71" s="47"/>
      <c r="F71" s="47"/>
      <c r="G71" s="47"/>
      <c r="H71" s="47"/>
      <c r="I71" s="47"/>
      <c r="J71" s="47"/>
      <c r="K71" s="47"/>
      <c r="L71" s="47"/>
      <c r="M71" s="47"/>
      <c r="N71" s="47"/>
      <c r="O71" s="47"/>
      <c r="P71" s="47"/>
      <c r="Q71" s="47"/>
    </row>
    <row r="72" spans="1:17" ht="15" customHeight="1">
      <c r="A72" s="46"/>
      <c r="B72" s="47"/>
      <c r="C72" s="47"/>
      <c r="D72" s="47"/>
      <c r="E72" s="47"/>
      <c r="F72" s="47"/>
      <c r="G72" s="47"/>
      <c r="H72" s="47"/>
      <c r="I72" s="47"/>
      <c r="J72" s="47"/>
      <c r="K72" s="47"/>
      <c r="L72" s="47"/>
      <c r="M72" s="47"/>
      <c r="N72" s="47"/>
      <c r="O72" s="47"/>
      <c r="P72" s="47"/>
      <c r="Q72" s="47"/>
    </row>
    <row r="73" spans="1:17" ht="15" customHeight="1">
      <c r="A73" s="46"/>
      <c r="B73" s="47"/>
      <c r="C73" s="47"/>
      <c r="D73" s="47"/>
      <c r="E73" s="47"/>
      <c r="F73" s="47"/>
      <c r="G73" s="47"/>
      <c r="H73" s="47"/>
      <c r="I73" s="47"/>
      <c r="J73" s="47"/>
      <c r="K73" s="47"/>
      <c r="L73" s="47"/>
      <c r="M73" s="47"/>
      <c r="N73" s="47"/>
      <c r="O73" s="47"/>
      <c r="P73" s="47"/>
      <c r="Q73" s="47"/>
    </row>
    <row r="74" spans="1:17" ht="15" customHeight="1">
      <c r="A74" s="46"/>
      <c r="B74" s="47"/>
      <c r="C74" s="47"/>
      <c r="D74" s="47"/>
      <c r="E74" s="47"/>
      <c r="F74" s="47"/>
      <c r="G74" s="47"/>
      <c r="H74" s="47"/>
      <c r="I74" s="47"/>
      <c r="J74" s="47"/>
      <c r="K74" s="47"/>
      <c r="L74" s="47"/>
      <c r="M74" s="47"/>
      <c r="N74" s="47"/>
      <c r="O74" s="47"/>
      <c r="P74" s="47"/>
      <c r="Q74" s="47"/>
    </row>
    <row r="75" spans="1:17" ht="15" customHeight="1">
      <c r="A75" s="46"/>
      <c r="B75" s="47"/>
      <c r="C75" s="47"/>
      <c r="D75" s="47"/>
      <c r="E75" s="47"/>
      <c r="F75" s="47"/>
      <c r="G75" s="47"/>
      <c r="H75" s="47"/>
      <c r="I75" s="47"/>
      <c r="J75" s="47"/>
      <c r="K75" s="47"/>
      <c r="L75" s="47"/>
      <c r="M75" s="47"/>
      <c r="N75" s="47"/>
      <c r="O75" s="47"/>
      <c r="P75" s="47"/>
      <c r="Q75" s="47"/>
    </row>
    <row r="76" spans="1:17" ht="15" customHeight="1">
      <c r="A76" s="46"/>
      <c r="B76" s="47"/>
      <c r="C76" s="47"/>
      <c r="D76" s="47"/>
      <c r="E76" s="47"/>
      <c r="F76" s="47"/>
      <c r="G76" s="47"/>
      <c r="H76" s="47"/>
      <c r="I76" s="47"/>
      <c r="J76" s="47"/>
      <c r="K76" s="47"/>
      <c r="L76" s="47"/>
      <c r="M76" s="47"/>
      <c r="N76" s="47"/>
      <c r="O76" s="47"/>
      <c r="P76" s="47"/>
      <c r="Q76" s="47"/>
    </row>
    <row r="77" spans="1:17" ht="15" customHeight="1">
      <c r="A77" s="46"/>
      <c r="B77" s="47"/>
      <c r="C77" s="47"/>
      <c r="D77" s="47"/>
      <c r="E77" s="47"/>
      <c r="F77" s="47"/>
      <c r="G77" s="47"/>
      <c r="H77" s="47"/>
      <c r="I77" s="47"/>
      <c r="J77" s="47"/>
      <c r="K77" s="47"/>
      <c r="L77" s="47"/>
      <c r="M77" s="47"/>
      <c r="N77" s="47"/>
      <c r="O77" s="47"/>
      <c r="P77" s="47"/>
      <c r="Q77" s="47"/>
    </row>
    <row r="78" spans="1:17" ht="15" customHeight="1">
      <c r="A78" s="46"/>
      <c r="B78" s="47"/>
      <c r="C78" s="47"/>
      <c r="D78" s="47"/>
      <c r="E78" s="47"/>
      <c r="F78" s="47"/>
      <c r="G78" s="47"/>
      <c r="H78" s="47"/>
      <c r="I78" s="47"/>
      <c r="J78" s="47"/>
      <c r="K78" s="47"/>
      <c r="L78" s="47"/>
      <c r="M78" s="47"/>
      <c r="N78" s="47"/>
      <c r="O78" s="47"/>
      <c r="P78" s="47"/>
      <c r="Q78" s="47"/>
    </row>
    <row r="79" spans="1:17" ht="15" customHeight="1">
      <c r="A79" s="46"/>
      <c r="B79" s="47"/>
      <c r="C79" s="47"/>
      <c r="D79" s="47"/>
      <c r="E79" s="47"/>
      <c r="F79" s="47"/>
      <c r="G79" s="47"/>
      <c r="H79" s="47"/>
      <c r="I79" s="47"/>
      <c r="J79" s="47"/>
      <c r="K79" s="47"/>
      <c r="L79" s="47"/>
      <c r="M79" s="47"/>
      <c r="N79" s="47"/>
      <c r="O79" s="47"/>
      <c r="P79" s="47"/>
      <c r="Q79" s="47"/>
    </row>
    <row r="80" spans="1:17" ht="15" customHeight="1">
      <c r="A80" s="46"/>
      <c r="B80" s="47"/>
      <c r="C80" s="47"/>
      <c r="D80" s="47"/>
      <c r="E80" s="47"/>
      <c r="F80" s="47"/>
      <c r="G80" s="47"/>
      <c r="H80" s="47"/>
      <c r="I80" s="47"/>
      <c r="J80" s="47"/>
      <c r="K80" s="47"/>
      <c r="L80" s="47"/>
      <c r="M80" s="47"/>
      <c r="N80" s="47"/>
      <c r="O80" s="47"/>
      <c r="P80" s="47"/>
      <c r="Q80" s="47"/>
    </row>
    <row r="81" spans="1:17" ht="15" customHeight="1">
      <c r="A81" s="46"/>
      <c r="B81" s="47"/>
      <c r="C81" s="47"/>
      <c r="D81" s="47"/>
      <c r="E81" s="47"/>
      <c r="F81" s="47"/>
      <c r="G81" s="47"/>
      <c r="H81" s="47"/>
      <c r="I81" s="47"/>
      <c r="J81" s="47"/>
      <c r="K81" s="47"/>
      <c r="L81" s="47"/>
      <c r="M81" s="47"/>
      <c r="N81" s="47"/>
      <c r="O81" s="47"/>
      <c r="P81" s="47"/>
      <c r="Q81" s="47"/>
    </row>
    <row r="82" spans="1:17" ht="15" customHeight="1">
      <c r="A82" s="46"/>
      <c r="B82" s="47"/>
      <c r="C82" s="47"/>
      <c r="D82" s="47"/>
      <c r="E82" s="47"/>
      <c r="F82" s="47"/>
      <c r="G82" s="47"/>
      <c r="H82" s="47"/>
      <c r="I82" s="47"/>
      <c r="J82" s="47"/>
      <c r="K82" s="47"/>
      <c r="L82" s="47"/>
      <c r="M82" s="47"/>
      <c r="N82" s="47"/>
      <c r="O82" s="47"/>
      <c r="P82" s="47"/>
      <c r="Q82" s="47"/>
    </row>
    <row r="83" spans="1:17" ht="15" customHeight="1">
      <c r="A83" s="46"/>
      <c r="B83" s="47"/>
      <c r="C83" s="47"/>
      <c r="D83" s="47"/>
      <c r="E83" s="47"/>
      <c r="F83" s="47"/>
      <c r="G83" s="47"/>
      <c r="H83" s="47"/>
      <c r="I83" s="47"/>
      <c r="J83" s="47"/>
      <c r="K83" s="47"/>
      <c r="L83" s="47"/>
      <c r="M83" s="47"/>
      <c r="N83" s="47"/>
      <c r="O83" s="47"/>
      <c r="P83" s="47"/>
      <c r="Q83" s="47"/>
    </row>
    <row r="84" spans="1:17" ht="15" customHeight="1">
      <c r="A84" s="46"/>
      <c r="B84" s="47"/>
      <c r="C84" s="47"/>
      <c r="D84" s="47"/>
      <c r="E84" s="47"/>
      <c r="F84" s="47"/>
      <c r="G84" s="47"/>
      <c r="H84" s="47"/>
      <c r="I84" s="47"/>
      <c r="J84" s="47"/>
      <c r="K84" s="47"/>
      <c r="L84" s="47"/>
      <c r="M84" s="47"/>
      <c r="N84" s="47"/>
      <c r="O84" s="47"/>
      <c r="P84" s="47"/>
      <c r="Q84" s="47"/>
    </row>
    <row r="85" spans="1:17" ht="15" customHeight="1">
      <c r="A85" s="46"/>
      <c r="B85" s="47"/>
      <c r="C85" s="47"/>
      <c r="D85" s="47"/>
      <c r="E85" s="47"/>
      <c r="F85" s="47"/>
      <c r="G85" s="47"/>
      <c r="H85" s="47"/>
      <c r="I85" s="47"/>
      <c r="J85" s="47"/>
      <c r="K85" s="47"/>
      <c r="L85" s="47"/>
      <c r="M85" s="47"/>
      <c r="N85" s="47"/>
      <c r="O85" s="47"/>
      <c r="P85" s="47"/>
      <c r="Q85" s="47"/>
    </row>
    <row r="86" spans="1:17" ht="15" customHeight="1">
      <c r="A86" s="46"/>
      <c r="B86" s="47"/>
      <c r="C86" s="47"/>
      <c r="D86" s="47"/>
      <c r="E86" s="47"/>
      <c r="F86" s="47"/>
      <c r="G86" s="47"/>
      <c r="H86" s="47"/>
      <c r="I86" s="47"/>
      <c r="J86" s="47"/>
      <c r="K86" s="47"/>
      <c r="L86" s="47"/>
      <c r="M86" s="47"/>
      <c r="N86" s="47"/>
      <c r="O86" s="47"/>
      <c r="P86" s="47"/>
      <c r="Q86" s="47"/>
    </row>
    <row r="87" spans="1:17" ht="15" customHeight="1">
      <c r="A87" s="46"/>
      <c r="B87" s="47"/>
      <c r="C87" s="47"/>
      <c r="D87" s="47"/>
      <c r="E87" s="47"/>
      <c r="F87" s="47"/>
      <c r="G87" s="47"/>
      <c r="H87" s="47"/>
      <c r="I87" s="47"/>
      <c r="J87" s="47"/>
      <c r="K87" s="47"/>
      <c r="L87" s="47"/>
      <c r="M87" s="47"/>
      <c r="N87" s="47"/>
      <c r="O87" s="47"/>
      <c r="P87" s="47"/>
      <c r="Q87" s="47"/>
    </row>
    <row r="88" spans="1:17" ht="15" customHeight="1">
      <c r="A88" s="46"/>
      <c r="B88" s="47"/>
      <c r="C88" s="47"/>
      <c r="D88" s="47"/>
      <c r="E88" s="47"/>
      <c r="F88" s="47"/>
      <c r="G88" s="47"/>
      <c r="H88" s="47"/>
      <c r="I88" s="47"/>
      <c r="J88" s="47"/>
      <c r="K88" s="47"/>
      <c r="L88" s="47"/>
      <c r="M88" s="47"/>
      <c r="N88" s="47"/>
      <c r="O88" s="47"/>
      <c r="P88" s="47"/>
      <c r="Q88" s="47"/>
    </row>
    <row r="89" spans="1:17" ht="15" customHeight="1">
      <c r="A89" s="46"/>
      <c r="B89" s="47"/>
      <c r="C89" s="47"/>
      <c r="D89" s="47"/>
      <c r="E89" s="47"/>
      <c r="F89" s="47"/>
      <c r="G89" s="47"/>
      <c r="H89" s="47"/>
      <c r="I89" s="47"/>
      <c r="J89" s="47"/>
      <c r="K89" s="47"/>
      <c r="L89" s="47"/>
      <c r="M89" s="47"/>
      <c r="N89" s="47"/>
      <c r="O89" s="47"/>
      <c r="P89" s="47"/>
      <c r="Q89" s="47"/>
    </row>
    <row r="90" spans="1:17" ht="15" customHeight="1">
      <c r="A90" s="46"/>
      <c r="B90" s="47"/>
      <c r="C90" s="47"/>
      <c r="D90" s="47"/>
      <c r="E90" s="47"/>
      <c r="F90" s="47"/>
      <c r="G90" s="47"/>
      <c r="H90" s="47"/>
      <c r="I90" s="47"/>
      <c r="J90" s="47"/>
      <c r="K90" s="47"/>
      <c r="L90" s="47"/>
      <c r="M90" s="47"/>
      <c r="N90" s="47"/>
      <c r="O90" s="47"/>
      <c r="P90" s="47"/>
      <c r="Q90" s="47"/>
    </row>
    <row r="91" spans="1:17" ht="15" customHeight="1">
      <c r="A91" s="46"/>
      <c r="B91" s="47"/>
      <c r="C91" s="47"/>
      <c r="D91" s="47"/>
      <c r="E91" s="47"/>
      <c r="F91" s="47"/>
      <c r="G91" s="47"/>
      <c r="H91" s="47"/>
      <c r="I91" s="47"/>
      <c r="J91" s="47"/>
      <c r="K91" s="47"/>
      <c r="L91" s="47"/>
      <c r="M91" s="47"/>
      <c r="N91" s="47"/>
      <c r="O91" s="47"/>
      <c r="P91" s="47"/>
      <c r="Q91" s="47"/>
    </row>
    <row r="92" spans="1:17" ht="15" customHeight="1">
      <c r="A92" s="46"/>
      <c r="B92" s="47"/>
      <c r="C92" s="47"/>
      <c r="D92" s="47"/>
      <c r="E92" s="47"/>
      <c r="F92" s="47"/>
      <c r="G92" s="47"/>
      <c r="H92" s="47"/>
      <c r="I92" s="47"/>
      <c r="J92" s="47"/>
      <c r="K92" s="47"/>
      <c r="L92" s="47"/>
      <c r="M92" s="47"/>
      <c r="N92" s="47"/>
      <c r="O92" s="47"/>
      <c r="P92" s="47"/>
      <c r="Q92" s="47"/>
    </row>
    <row r="93" spans="1:17" ht="15" customHeight="1">
      <c r="A93" s="46"/>
      <c r="B93" s="47"/>
      <c r="C93" s="47"/>
      <c r="D93" s="47"/>
      <c r="E93" s="47"/>
      <c r="F93" s="47"/>
      <c r="G93" s="47"/>
      <c r="H93" s="47"/>
      <c r="I93" s="47"/>
      <c r="J93" s="47"/>
      <c r="K93" s="47"/>
      <c r="L93" s="47"/>
      <c r="M93" s="47"/>
      <c r="N93" s="47"/>
      <c r="O93" s="47"/>
      <c r="P93" s="47"/>
      <c r="Q93" s="47"/>
    </row>
    <row r="94" spans="1:17" ht="15" customHeight="1">
      <c r="A94" s="46"/>
      <c r="B94" s="47"/>
      <c r="C94" s="47"/>
      <c r="D94" s="47"/>
      <c r="E94" s="47"/>
      <c r="F94" s="47"/>
      <c r="G94" s="47"/>
      <c r="H94" s="47"/>
      <c r="I94" s="47"/>
      <c r="J94" s="47"/>
      <c r="K94" s="47"/>
      <c r="L94" s="47"/>
      <c r="M94" s="47"/>
      <c r="N94" s="47"/>
      <c r="O94" s="47"/>
      <c r="P94" s="47"/>
      <c r="Q94" s="47"/>
    </row>
    <row r="95" spans="1:17" ht="15" customHeight="1">
      <c r="A95" s="46"/>
      <c r="B95" s="47"/>
      <c r="C95" s="47"/>
      <c r="D95" s="47"/>
      <c r="E95" s="47"/>
      <c r="F95" s="47"/>
      <c r="G95" s="47"/>
      <c r="H95" s="47"/>
      <c r="I95" s="47"/>
      <c r="J95" s="47"/>
      <c r="K95" s="47"/>
      <c r="L95" s="47"/>
      <c r="M95" s="47"/>
      <c r="N95" s="47"/>
      <c r="O95" s="47"/>
      <c r="P95" s="47"/>
      <c r="Q95" s="47"/>
    </row>
    <row r="96" spans="1:17" ht="15" customHeight="1">
      <c r="A96" s="46"/>
      <c r="B96" s="47"/>
      <c r="C96" s="47"/>
      <c r="D96" s="47"/>
      <c r="E96" s="47"/>
      <c r="F96" s="47"/>
      <c r="G96" s="47"/>
      <c r="H96" s="47"/>
      <c r="I96" s="47"/>
      <c r="J96" s="47"/>
      <c r="K96" s="47"/>
      <c r="L96" s="47"/>
      <c r="M96" s="47"/>
      <c r="N96" s="47"/>
      <c r="O96" s="47"/>
      <c r="P96" s="47"/>
      <c r="Q96" s="47"/>
    </row>
    <row r="97" spans="1:17" ht="15" customHeight="1">
      <c r="A97" s="46"/>
      <c r="B97" s="47"/>
      <c r="C97" s="47"/>
      <c r="D97" s="47"/>
      <c r="E97" s="47"/>
      <c r="F97" s="47"/>
      <c r="G97" s="47"/>
      <c r="H97" s="47"/>
      <c r="I97" s="47"/>
      <c r="J97" s="47"/>
      <c r="K97" s="47"/>
      <c r="L97" s="47"/>
      <c r="M97" s="47"/>
      <c r="N97" s="47"/>
      <c r="O97" s="47"/>
      <c r="P97" s="47"/>
      <c r="Q97" s="47"/>
    </row>
    <row r="98" spans="1:17" ht="15" customHeight="1">
      <c r="A98" s="46"/>
      <c r="B98" s="47"/>
      <c r="C98" s="47"/>
      <c r="D98" s="47"/>
      <c r="E98" s="47"/>
      <c r="F98" s="47"/>
      <c r="G98" s="47"/>
      <c r="H98" s="47"/>
      <c r="I98" s="47"/>
      <c r="J98" s="47"/>
      <c r="K98" s="47"/>
      <c r="L98" s="47"/>
      <c r="M98" s="47"/>
      <c r="N98" s="47"/>
      <c r="O98" s="47"/>
      <c r="P98" s="47"/>
      <c r="Q98" s="47"/>
    </row>
    <row r="99" spans="1:17" ht="15" customHeight="1">
      <c r="A99" s="46"/>
      <c r="B99" s="47"/>
      <c r="C99" s="47"/>
      <c r="D99" s="47"/>
      <c r="E99" s="47"/>
      <c r="F99" s="47"/>
      <c r="G99" s="47"/>
      <c r="H99" s="47"/>
      <c r="I99" s="47"/>
      <c r="J99" s="47"/>
      <c r="K99" s="47"/>
      <c r="L99" s="47"/>
      <c r="M99" s="47"/>
      <c r="N99" s="47"/>
      <c r="O99" s="47"/>
      <c r="P99" s="47"/>
      <c r="Q99" s="47"/>
    </row>
    <row r="100" spans="1:17" ht="15" customHeight="1">
      <c r="A100" s="46"/>
      <c r="B100" s="47"/>
      <c r="C100" s="47"/>
      <c r="D100" s="47"/>
      <c r="E100" s="47"/>
      <c r="F100" s="47"/>
      <c r="G100" s="47"/>
      <c r="H100" s="47"/>
      <c r="I100" s="47"/>
      <c r="J100" s="47"/>
      <c r="K100" s="47"/>
      <c r="L100" s="47"/>
      <c r="M100" s="47"/>
      <c r="N100" s="47"/>
      <c r="O100" s="47"/>
      <c r="P100" s="47"/>
      <c r="Q100" s="47"/>
    </row>
    <row r="101" spans="1:17" ht="15" customHeight="1">
      <c r="A101" s="46"/>
      <c r="B101" s="47"/>
      <c r="C101" s="47"/>
      <c r="D101" s="47"/>
      <c r="E101" s="47"/>
      <c r="F101" s="47"/>
      <c r="G101" s="47"/>
      <c r="H101" s="47"/>
      <c r="I101" s="47"/>
      <c r="J101" s="47"/>
      <c r="K101" s="47"/>
      <c r="L101" s="47"/>
      <c r="M101" s="47"/>
      <c r="N101" s="47"/>
      <c r="O101" s="47"/>
      <c r="P101" s="47"/>
      <c r="Q101" s="47"/>
    </row>
    <row r="102" spans="1:17" ht="15" customHeight="1">
      <c r="A102" s="46"/>
      <c r="B102" s="47"/>
      <c r="C102" s="47"/>
      <c r="D102" s="47"/>
      <c r="E102" s="47"/>
      <c r="F102" s="47"/>
      <c r="G102" s="47"/>
      <c r="H102" s="47"/>
      <c r="I102" s="47"/>
      <c r="J102" s="47"/>
      <c r="K102" s="47"/>
      <c r="L102" s="47"/>
      <c r="M102" s="47"/>
      <c r="N102" s="47"/>
      <c r="O102" s="47"/>
      <c r="P102" s="47"/>
      <c r="Q102" s="47"/>
    </row>
    <row r="103" spans="1:17" ht="15" customHeight="1">
      <c r="A103" s="46"/>
      <c r="B103" s="47"/>
      <c r="C103" s="47"/>
      <c r="D103" s="47"/>
      <c r="E103" s="47"/>
      <c r="F103" s="47"/>
      <c r="G103" s="47"/>
      <c r="H103" s="47"/>
      <c r="I103" s="47"/>
      <c r="J103" s="47"/>
      <c r="K103" s="47"/>
      <c r="L103" s="47"/>
      <c r="M103" s="47"/>
      <c r="N103" s="47"/>
      <c r="O103" s="47"/>
      <c r="P103" s="47"/>
      <c r="Q103" s="47"/>
    </row>
    <row r="104" spans="1:17" ht="15" customHeight="1">
      <c r="A104" s="46"/>
      <c r="B104" s="47"/>
      <c r="C104" s="47"/>
      <c r="D104" s="47"/>
      <c r="E104" s="47"/>
      <c r="F104" s="47"/>
      <c r="G104" s="47"/>
      <c r="H104" s="47"/>
      <c r="I104" s="47"/>
      <c r="J104" s="47"/>
      <c r="K104" s="47"/>
      <c r="L104" s="47"/>
      <c r="M104" s="47"/>
      <c r="N104" s="47"/>
      <c r="O104" s="47"/>
      <c r="P104" s="47"/>
      <c r="Q104" s="47"/>
    </row>
    <row r="105" spans="1:17" ht="15" customHeight="1">
      <c r="A105" s="46"/>
      <c r="B105" s="47"/>
      <c r="C105" s="47"/>
      <c r="D105" s="47"/>
      <c r="E105" s="47"/>
      <c r="F105" s="47"/>
      <c r="G105" s="47"/>
      <c r="H105" s="47"/>
      <c r="I105" s="47"/>
      <c r="J105" s="47"/>
      <c r="K105" s="47"/>
      <c r="L105" s="47"/>
      <c r="M105" s="47"/>
      <c r="N105" s="47"/>
      <c r="O105" s="47"/>
      <c r="P105" s="47"/>
      <c r="Q105" s="47"/>
    </row>
    <row r="106" spans="1:17" ht="15" customHeight="1">
      <c r="A106" s="46"/>
      <c r="B106" s="47"/>
      <c r="C106" s="47"/>
      <c r="D106" s="47"/>
      <c r="E106" s="47"/>
      <c r="F106" s="47"/>
      <c r="G106" s="47"/>
      <c r="H106" s="47"/>
      <c r="I106" s="47"/>
      <c r="J106" s="47"/>
      <c r="K106" s="47"/>
      <c r="L106" s="47"/>
      <c r="M106" s="47"/>
      <c r="N106" s="47"/>
      <c r="O106" s="47"/>
      <c r="P106" s="47"/>
      <c r="Q106" s="47"/>
    </row>
    <row r="107" spans="1:17" ht="15" customHeight="1">
      <c r="A107" s="46"/>
      <c r="B107" s="47"/>
      <c r="C107" s="47"/>
      <c r="D107" s="47"/>
      <c r="E107" s="47"/>
      <c r="F107" s="47"/>
      <c r="G107" s="47"/>
      <c r="H107" s="47"/>
      <c r="I107" s="47"/>
      <c r="J107" s="47"/>
      <c r="K107" s="47"/>
      <c r="L107" s="47"/>
      <c r="M107" s="47"/>
      <c r="N107" s="47"/>
      <c r="O107" s="47"/>
      <c r="P107" s="47"/>
      <c r="Q107" s="47"/>
    </row>
  </sheetData>
  <mergeCells count="1">
    <mergeCell ref="A1:C1"/>
  </mergeCells>
  <printOptions horizontalCentered="1"/>
  <pageMargins left="0.5" right="0.5" top="0.52" bottom="0.5" header="0" footer="0.25"/>
  <pageSetup horizontalDpi="600" verticalDpi="600" orientation="landscape" scale="85" r:id="rId1"/>
</worksheet>
</file>

<file path=xl/worksheets/sheet16.xml><?xml version="1.0" encoding="utf-8"?>
<worksheet xmlns="http://schemas.openxmlformats.org/spreadsheetml/2006/main" xmlns:r="http://schemas.openxmlformats.org/officeDocument/2006/relationships">
  <dimension ref="A1:Q27"/>
  <sheetViews>
    <sheetView workbookViewId="0" topLeftCell="A1">
      <selection activeCell="A27" sqref="A27"/>
    </sheetView>
  </sheetViews>
  <sheetFormatPr defaultColWidth="9.140625" defaultRowHeight="12.75"/>
  <cols>
    <col min="1" max="1" width="9.00390625" style="0" bestFit="1" customWidth="1"/>
    <col min="2" max="2" width="55.00390625" style="0" customWidth="1"/>
    <col min="3" max="3" width="14.8515625" style="0" bestFit="1" customWidth="1"/>
    <col min="4" max="4" width="11.8515625" style="0" customWidth="1"/>
    <col min="5" max="5" width="13.421875" style="0" customWidth="1"/>
    <col min="6" max="6" width="12.7109375" style="0" bestFit="1" customWidth="1"/>
    <col min="7" max="7" width="15.57421875" style="0" customWidth="1"/>
    <col min="8" max="8" width="15.00390625" style="0" bestFit="1" customWidth="1"/>
    <col min="9" max="9" width="7.00390625" style="0" customWidth="1"/>
    <col min="10" max="10" width="5.28125" style="0" customWidth="1"/>
    <col min="12" max="12" width="19.00390625" style="0" customWidth="1"/>
  </cols>
  <sheetData>
    <row r="1" spans="1:8" ht="12.75">
      <c r="A1" t="s">
        <v>217</v>
      </c>
      <c r="H1" s="206" t="s">
        <v>196</v>
      </c>
    </row>
    <row r="2" ht="12.75">
      <c r="A2" t="s">
        <v>53</v>
      </c>
    </row>
    <row r="4" spans="3:9" ht="25.5">
      <c r="C4" s="171" t="s">
        <v>216</v>
      </c>
      <c r="D4" s="263" t="s">
        <v>51</v>
      </c>
      <c r="E4" s="263" t="s">
        <v>54</v>
      </c>
      <c r="F4" s="263" t="s">
        <v>56</v>
      </c>
      <c r="G4" s="263"/>
      <c r="H4" s="171" t="s">
        <v>644</v>
      </c>
      <c r="I4" s="172"/>
    </row>
    <row r="5" spans="3:9" ht="12.75">
      <c r="C5" s="172"/>
      <c r="D5" s="261"/>
      <c r="E5" s="261"/>
      <c r="F5" s="261"/>
      <c r="G5" s="261"/>
      <c r="H5" s="172"/>
      <c r="I5" s="172"/>
    </row>
    <row r="6" spans="1:9" ht="12.75">
      <c r="A6" s="159">
        <v>5081.1</v>
      </c>
      <c r="B6" s="159" t="s">
        <v>198</v>
      </c>
      <c r="C6" s="164">
        <f>+'[3]SUPP A TB'!E104</f>
        <v>546</v>
      </c>
      <c r="D6" s="261"/>
      <c r="E6" s="261"/>
      <c r="F6" s="262">
        <f>+D6+E6</f>
        <v>0</v>
      </c>
      <c r="G6" s="262"/>
      <c r="H6" s="264">
        <f aca="true" t="shared" si="0" ref="H6:H20">+F6+C6</f>
        <v>546</v>
      </c>
      <c r="I6" s="172"/>
    </row>
    <row r="7" spans="1:9" ht="12.75">
      <c r="A7" s="159">
        <v>5081.3</v>
      </c>
      <c r="B7" s="159" t="s">
        <v>199</v>
      </c>
      <c r="C7" s="164">
        <f>+'[3]SUPP A TB'!E105</f>
        <v>-138766</v>
      </c>
      <c r="D7" s="262">
        <f>-C7</f>
        <v>138766</v>
      </c>
      <c r="E7" s="261"/>
      <c r="F7" s="262">
        <f aca="true" t="shared" si="1" ref="F7:F20">+D7+E7</f>
        <v>138766</v>
      </c>
      <c r="G7" s="312" t="s">
        <v>652</v>
      </c>
      <c r="H7" s="264">
        <f t="shared" si="0"/>
        <v>0</v>
      </c>
      <c r="I7" s="172"/>
    </row>
    <row r="8" spans="1:17" ht="12.75">
      <c r="A8" s="265" t="s">
        <v>52</v>
      </c>
      <c r="B8" s="170" t="s">
        <v>273</v>
      </c>
      <c r="C8" s="164">
        <f>+'[3]SUPP A TB'!E115</f>
        <v>-964807</v>
      </c>
      <c r="D8" s="159"/>
      <c r="E8" s="159"/>
      <c r="F8" s="262">
        <f t="shared" si="1"/>
        <v>0</v>
      </c>
      <c r="G8" s="262"/>
      <c r="H8" s="264">
        <f t="shared" si="0"/>
        <v>-964807</v>
      </c>
      <c r="I8" s="164"/>
      <c r="J8" s="159"/>
      <c r="K8" s="159"/>
      <c r="L8" s="159"/>
      <c r="M8" s="159"/>
      <c r="N8" s="159"/>
      <c r="O8" s="159"/>
      <c r="P8" s="159"/>
      <c r="Q8" s="159"/>
    </row>
    <row r="9" spans="1:17" ht="12.75">
      <c r="A9" s="159">
        <v>5082.1</v>
      </c>
      <c r="B9" s="159" t="s">
        <v>200</v>
      </c>
      <c r="C9" s="164">
        <f>+'[3]SUPP A TB'!E117</f>
        <v>-1904.21</v>
      </c>
      <c r="D9" s="159"/>
      <c r="E9" s="159"/>
      <c r="F9" s="262">
        <f t="shared" si="1"/>
        <v>0</v>
      </c>
      <c r="G9" s="262"/>
      <c r="H9" s="264">
        <f t="shared" si="0"/>
        <v>-1904.21</v>
      </c>
      <c r="I9" s="164"/>
      <c r="J9" s="159"/>
      <c r="K9" s="159"/>
      <c r="L9" s="159"/>
      <c r="M9" s="159"/>
      <c r="N9" s="159"/>
      <c r="O9" s="159"/>
      <c r="P9" s="159"/>
      <c r="Q9" s="159"/>
    </row>
    <row r="10" spans="1:17" ht="12.75">
      <c r="A10" s="159">
        <v>5082.2</v>
      </c>
      <c r="B10" s="159" t="s">
        <v>201</v>
      </c>
      <c r="C10" s="164">
        <f>+'[3]SUPP A TB'!E118</f>
        <v>-890733.97</v>
      </c>
      <c r="D10" s="159"/>
      <c r="E10" s="159"/>
      <c r="F10" s="262">
        <f t="shared" si="1"/>
        <v>0</v>
      </c>
      <c r="G10" s="262"/>
      <c r="H10" s="264">
        <f t="shared" si="0"/>
        <v>-890733.97</v>
      </c>
      <c r="I10" s="164"/>
      <c r="J10" s="159"/>
      <c r="K10" s="159"/>
      <c r="L10" s="159"/>
      <c r="M10" s="159"/>
      <c r="N10" s="159"/>
      <c r="O10" s="159"/>
      <c r="P10" s="159"/>
      <c r="Q10" s="159"/>
    </row>
    <row r="11" spans="1:17" ht="12.75">
      <c r="A11" s="159">
        <v>5082.4</v>
      </c>
      <c r="B11" s="159" t="s">
        <v>202</v>
      </c>
      <c r="C11" s="164">
        <f>+'[3]SUPP A TB'!E119</f>
        <v>0</v>
      </c>
      <c r="D11" s="159"/>
      <c r="E11" s="159"/>
      <c r="F11" s="262">
        <f t="shared" si="1"/>
        <v>0</v>
      </c>
      <c r="G11" s="262"/>
      <c r="H11" s="264">
        <f t="shared" si="0"/>
        <v>0</v>
      </c>
      <c r="I11" s="164"/>
      <c r="J11" s="159"/>
      <c r="K11" s="159"/>
      <c r="L11" s="159"/>
      <c r="M11" s="159"/>
      <c r="N11" s="159"/>
      <c r="O11" s="159"/>
      <c r="P11" s="159"/>
      <c r="Q11" s="159"/>
    </row>
    <row r="12" spans="1:17" ht="12.75">
      <c r="A12" s="159">
        <v>5082.41</v>
      </c>
      <c r="B12" s="159" t="s">
        <v>203</v>
      </c>
      <c r="C12" s="164">
        <f>+'[3]SUPP A TB'!E120</f>
        <v>38883</v>
      </c>
      <c r="D12" s="159"/>
      <c r="E12" s="159"/>
      <c r="F12" s="262">
        <f t="shared" si="1"/>
        <v>0</v>
      </c>
      <c r="G12" s="262"/>
      <c r="H12" s="264">
        <f t="shared" si="0"/>
        <v>38883</v>
      </c>
      <c r="I12" s="164"/>
      <c r="J12" s="159"/>
      <c r="K12" s="159"/>
      <c r="L12" s="159"/>
      <c r="M12" s="159"/>
      <c r="N12" s="159"/>
      <c r="O12" s="159"/>
      <c r="P12" s="159"/>
      <c r="Q12" s="159"/>
    </row>
    <row r="13" spans="1:17" ht="12.75">
      <c r="A13" s="159">
        <v>5082.42</v>
      </c>
      <c r="B13" s="159" t="s">
        <v>204</v>
      </c>
      <c r="C13" s="164">
        <f>+'[3]SUPP A TB'!E121</f>
        <v>554942</v>
      </c>
      <c r="D13" s="159"/>
      <c r="E13" s="159"/>
      <c r="F13" s="262">
        <f t="shared" si="1"/>
        <v>0</v>
      </c>
      <c r="G13" s="262"/>
      <c r="H13" s="264">
        <f t="shared" si="0"/>
        <v>554942</v>
      </c>
      <c r="I13" s="164"/>
      <c r="J13" s="159"/>
      <c r="K13" s="159"/>
      <c r="L13" s="159"/>
      <c r="M13" s="159"/>
      <c r="N13" s="159"/>
      <c r="O13" s="159"/>
      <c r="P13" s="159"/>
      <c r="Q13" s="159"/>
    </row>
    <row r="14" spans="1:17" ht="12.75">
      <c r="A14" s="159">
        <v>5082.43</v>
      </c>
      <c r="B14" s="159" t="s">
        <v>205</v>
      </c>
      <c r="C14" s="164">
        <f>+'[3]SUPP A TB'!E122</f>
        <v>315332</v>
      </c>
      <c r="D14" s="159"/>
      <c r="E14" s="164">
        <f>-C14</f>
        <v>-315332</v>
      </c>
      <c r="F14" s="262">
        <f t="shared" si="1"/>
        <v>-315332</v>
      </c>
      <c r="G14" s="312" t="s">
        <v>652</v>
      </c>
      <c r="H14" s="264">
        <f t="shared" si="0"/>
        <v>0</v>
      </c>
      <c r="I14" s="164"/>
      <c r="J14" s="159"/>
      <c r="K14" s="159"/>
      <c r="L14" s="159"/>
      <c r="M14" s="159"/>
      <c r="N14" s="159"/>
      <c r="O14" s="159"/>
      <c r="P14" s="159"/>
      <c r="Q14" s="159"/>
    </row>
    <row r="15" spans="1:17" ht="12.75">
      <c r="A15" s="159">
        <v>5082.44</v>
      </c>
      <c r="B15" s="159" t="s">
        <v>206</v>
      </c>
      <c r="C15" s="164">
        <f>+'[3]SUPP A TB'!E123</f>
        <v>0</v>
      </c>
      <c r="D15" s="159"/>
      <c r="E15" s="159"/>
      <c r="F15" s="262">
        <f t="shared" si="1"/>
        <v>0</v>
      </c>
      <c r="G15" s="262"/>
      <c r="H15" s="264">
        <f t="shared" si="0"/>
        <v>0</v>
      </c>
      <c r="I15" s="164"/>
      <c r="J15" s="159"/>
      <c r="K15" s="159"/>
      <c r="L15" s="159"/>
      <c r="M15" s="159"/>
      <c r="N15" s="159"/>
      <c r="O15" s="159"/>
      <c r="P15" s="159"/>
      <c r="Q15" s="159"/>
    </row>
    <row r="16" spans="1:17" ht="12.75">
      <c r="A16" s="159">
        <v>5082.45</v>
      </c>
      <c r="B16" s="159" t="s">
        <v>207</v>
      </c>
      <c r="C16" s="164">
        <f>+'[3]SUPP A TB'!E124</f>
        <v>0</v>
      </c>
      <c r="D16" s="159"/>
      <c r="E16" s="159"/>
      <c r="F16" s="262">
        <f t="shared" si="1"/>
        <v>0</v>
      </c>
      <c r="G16" s="262"/>
      <c r="H16" s="264">
        <f t="shared" si="0"/>
        <v>0</v>
      </c>
      <c r="I16" s="164"/>
      <c r="J16" s="159"/>
      <c r="K16" s="159"/>
      <c r="L16" s="159"/>
      <c r="M16" s="159"/>
      <c r="N16" s="159"/>
      <c r="O16" s="159"/>
      <c r="P16" s="159"/>
      <c r="Q16" s="159"/>
    </row>
    <row r="17" spans="1:17" ht="12.75">
      <c r="A17" s="159">
        <v>5082.46</v>
      </c>
      <c r="B17" s="159" t="s">
        <v>208</v>
      </c>
      <c r="C17" s="164">
        <f>+'[3]SUPP A TB'!E125</f>
        <v>-878968</v>
      </c>
      <c r="D17" s="159"/>
      <c r="E17" s="159"/>
      <c r="F17" s="262">
        <f t="shared" si="1"/>
        <v>0</v>
      </c>
      <c r="G17" s="262"/>
      <c r="H17" s="264">
        <f t="shared" si="0"/>
        <v>-878968</v>
      </c>
      <c r="I17" s="164"/>
      <c r="J17" s="159"/>
      <c r="K17" s="159"/>
      <c r="L17" s="159"/>
      <c r="M17" s="159"/>
      <c r="N17" s="159"/>
      <c r="O17" s="159"/>
      <c r="P17" s="159"/>
      <c r="Q17" s="159"/>
    </row>
    <row r="18" spans="1:17" ht="12.75">
      <c r="A18" s="159">
        <v>5082.47</v>
      </c>
      <c r="B18" s="159" t="s">
        <v>209</v>
      </c>
      <c r="C18" s="165">
        <v>2160482</v>
      </c>
      <c r="D18" s="159"/>
      <c r="E18" s="159"/>
      <c r="F18" s="262">
        <f t="shared" si="1"/>
        <v>0</v>
      </c>
      <c r="G18" s="262"/>
      <c r="H18" s="264">
        <f t="shared" si="0"/>
        <v>2160482</v>
      </c>
      <c r="I18" s="165"/>
      <c r="J18" s="159"/>
      <c r="K18" s="159"/>
      <c r="L18" s="159"/>
      <c r="M18" s="159"/>
      <c r="N18" s="159"/>
      <c r="O18" s="159"/>
      <c r="P18" s="159"/>
      <c r="Q18" s="159"/>
    </row>
    <row r="19" spans="2:17" ht="12.75">
      <c r="B19" s="159" t="s">
        <v>210</v>
      </c>
      <c r="C19" s="164">
        <f>+'[3]SUPP A TB'!E129</f>
        <v>-2809437</v>
      </c>
      <c r="D19" s="164">
        <v>0</v>
      </c>
      <c r="E19" s="164">
        <v>0</v>
      </c>
      <c r="F19" s="262">
        <f t="shared" si="1"/>
        <v>0</v>
      </c>
      <c r="G19" s="262"/>
      <c r="H19" s="264">
        <f t="shared" si="0"/>
        <v>-2809437</v>
      </c>
      <c r="I19" s="164"/>
      <c r="J19" s="159"/>
      <c r="K19" s="159"/>
      <c r="L19" s="159"/>
      <c r="M19" s="159"/>
      <c r="N19" s="159"/>
      <c r="O19" s="159"/>
      <c r="P19" s="159"/>
      <c r="Q19" s="159"/>
    </row>
    <row r="20" spans="2:17" ht="12.75">
      <c r="B20" s="159" t="s">
        <v>344</v>
      </c>
      <c r="C20" s="164">
        <f>+'[3]SUPP A TB'!E130</f>
        <v>-1367</v>
      </c>
      <c r="D20" s="164">
        <v>0</v>
      </c>
      <c r="E20" s="164">
        <v>0</v>
      </c>
      <c r="F20" s="262">
        <f t="shared" si="1"/>
        <v>0</v>
      </c>
      <c r="G20" s="262"/>
      <c r="H20" s="264">
        <f t="shared" si="0"/>
        <v>-1367</v>
      </c>
      <c r="I20" s="165"/>
      <c r="J20" s="159"/>
      <c r="K20" s="159"/>
      <c r="L20" s="159"/>
      <c r="M20" s="159"/>
      <c r="N20" s="159"/>
      <c r="O20" s="159"/>
      <c r="P20" s="159"/>
      <c r="Q20" s="159"/>
    </row>
    <row r="21" spans="2:17" ht="12.75">
      <c r="B21" s="159" t="s">
        <v>272</v>
      </c>
      <c r="C21" s="166">
        <f>SUM(C6:C20)</f>
        <v>-2615798.1799999997</v>
      </c>
      <c r="D21" s="166">
        <f>SUM(D6:D20)</f>
        <v>138766</v>
      </c>
      <c r="E21" s="166">
        <f>SUM(E6:E20)</f>
        <v>-315332</v>
      </c>
      <c r="F21" s="166">
        <f>SUM(F6:F20)</f>
        <v>-176566</v>
      </c>
      <c r="G21" s="166"/>
      <c r="H21" s="166">
        <f>SUM(H6:H20)</f>
        <v>-2792364.1799999997</v>
      </c>
      <c r="I21" s="165"/>
      <c r="K21" s="159"/>
      <c r="P21" s="159"/>
      <c r="Q21" s="159"/>
    </row>
    <row r="22" spans="6:7" ht="12.75">
      <c r="F22" s="256"/>
      <c r="G22" s="256"/>
    </row>
    <row r="23" spans="2:8" ht="12.75">
      <c r="B23" s="242"/>
      <c r="D23" s="118"/>
      <c r="F23" s="160"/>
      <c r="G23" s="160"/>
      <c r="H23" s="164"/>
    </row>
    <row r="24" spans="1:8" ht="12.75">
      <c r="A24" s="159">
        <v>6540</v>
      </c>
      <c r="B24" t="s">
        <v>57</v>
      </c>
      <c r="C24" s="118">
        <f>+'[3]SUPP A TB'!E220</f>
        <v>237748.38</v>
      </c>
      <c r="D24" s="173">
        <f>-C24</f>
        <v>-237748.38</v>
      </c>
      <c r="F24" s="308">
        <f>+D24+E24</f>
        <v>-237748.38</v>
      </c>
      <c r="G24" s="255" t="s">
        <v>652</v>
      </c>
      <c r="H24" s="264"/>
    </row>
    <row r="25" ht="12.75">
      <c r="G25" s="255"/>
    </row>
    <row r="26" ht="12.75">
      <c r="F26">
        <v>184293</v>
      </c>
    </row>
    <row r="27" ht="12.75">
      <c r="F27" s="173"/>
    </row>
  </sheetData>
  <printOptions/>
  <pageMargins left="0.56" right="0.75" top="0.64" bottom="1" header="0.5" footer="0.5"/>
  <pageSetup horizontalDpi="600" verticalDpi="600" orientation="landscape" scale="85" r:id="rId1"/>
</worksheet>
</file>

<file path=xl/worksheets/sheet17.xml><?xml version="1.0" encoding="utf-8"?>
<worksheet xmlns="http://schemas.openxmlformats.org/spreadsheetml/2006/main" xmlns:r="http://schemas.openxmlformats.org/officeDocument/2006/relationships">
  <dimension ref="A1:K28"/>
  <sheetViews>
    <sheetView tabSelected="1" workbookViewId="0" topLeftCell="A1">
      <selection activeCell="B12" sqref="B12"/>
    </sheetView>
  </sheetViews>
  <sheetFormatPr defaultColWidth="9.140625" defaultRowHeight="12.75"/>
  <cols>
    <col min="1" max="1" width="3.140625" style="0" customWidth="1"/>
    <col min="2" max="2" width="35.7109375" style="0" customWidth="1"/>
    <col min="3" max="3" width="17.00390625" style="0" customWidth="1"/>
    <col min="4" max="4" width="14.28125" style="0" customWidth="1"/>
    <col min="5" max="5" width="13.8515625" style="0" customWidth="1"/>
    <col min="6" max="6" width="12.00390625" style="0" customWidth="1"/>
    <col min="7" max="7" width="12.57421875" style="0" customWidth="1"/>
    <col min="8" max="8" width="13.7109375" style="0" customWidth="1"/>
    <col min="9" max="9" width="14.00390625" style="0" bestFit="1" customWidth="1"/>
    <col min="10" max="10" width="12.421875" style="0" customWidth="1"/>
  </cols>
  <sheetData>
    <row r="1" spans="1:10" ht="12.75">
      <c r="A1" s="496" t="str">
        <f>+'EXH 10 TOT COMP REV'!A1:C1</f>
        <v>CARBON / EMERY TELCOM</v>
      </c>
      <c r="B1" s="497"/>
      <c r="D1" s="194"/>
      <c r="J1" s="206" t="s">
        <v>194</v>
      </c>
    </row>
    <row r="2" spans="1:4" ht="12.75">
      <c r="A2" s="194" t="s">
        <v>180</v>
      </c>
      <c r="D2" s="194"/>
    </row>
    <row r="3" spans="1:4" ht="12.75">
      <c r="A3" s="194" t="s">
        <v>195</v>
      </c>
      <c r="D3" s="194"/>
    </row>
    <row r="5" spans="1:2" ht="12.75">
      <c r="A5" s="1"/>
      <c r="B5" s="1"/>
    </row>
    <row r="6" spans="1:10" ht="12.75">
      <c r="A6" s="1">
        <v>1</v>
      </c>
      <c r="B6" s="1" t="s">
        <v>356</v>
      </c>
      <c r="C6" s="1" t="s">
        <v>162</v>
      </c>
      <c r="D6" s="194"/>
      <c r="J6" s="196">
        <f>+'EXH 9 TOT COMP'!O35</f>
        <v>1692255.8171547046</v>
      </c>
    </row>
    <row r="7" spans="1:10" ht="12.75">
      <c r="A7" s="1">
        <v>2</v>
      </c>
      <c r="B7" s="1" t="s">
        <v>339</v>
      </c>
      <c r="C7" s="1" t="s">
        <v>163</v>
      </c>
      <c r="D7" s="194"/>
      <c r="J7" s="196">
        <f>-'EXH 3 CAP'!F15</f>
        <v>-446591.428</v>
      </c>
    </row>
    <row r="8" spans="1:10" ht="12.75">
      <c r="A8" s="1">
        <v>3</v>
      </c>
      <c r="B8" s="1" t="s">
        <v>340</v>
      </c>
      <c r="C8" s="1" t="s">
        <v>235</v>
      </c>
      <c r="D8" s="194"/>
      <c r="G8" s="198" t="s">
        <v>357</v>
      </c>
      <c r="J8" s="196">
        <f>+J6+J7</f>
        <v>1245664.3891547045</v>
      </c>
    </row>
    <row r="9" spans="1:10" ht="12.75">
      <c r="A9" s="1">
        <v>4</v>
      </c>
      <c r="B9" s="1" t="s">
        <v>345</v>
      </c>
      <c r="C9" s="1" t="s">
        <v>76</v>
      </c>
      <c r="D9" s="194"/>
      <c r="G9" s="197">
        <v>0.05</v>
      </c>
      <c r="J9" s="187">
        <f>ROUND(+J8*G9,0)</f>
        <v>62283</v>
      </c>
    </row>
    <row r="10" spans="1:10" ht="12.75">
      <c r="A10" s="1">
        <v>5</v>
      </c>
      <c r="B10" s="1" t="s">
        <v>346</v>
      </c>
      <c r="C10" s="1" t="s">
        <v>77</v>
      </c>
      <c r="D10" s="194"/>
      <c r="G10" s="197"/>
      <c r="J10" s="185">
        <f>+J8-J9</f>
        <v>1183381.3891547045</v>
      </c>
    </row>
    <row r="11" spans="1:4" ht="22.5" customHeight="1">
      <c r="A11" s="1"/>
      <c r="B11" s="1" t="s">
        <v>347</v>
      </c>
      <c r="C11" s="194"/>
      <c r="D11" s="194"/>
    </row>
    <row r="12" spans="4:9" ht="25.5">
      <c r="D12" s="198" t="s">
        <v>348</v>
      </c>
      <c r="E12" s="198" t="s">
        <v>349</v>
      </c>
      <c r="F12" s="198" t="s">
        <v>350</v>
      </c>
      <c r="G12" s="198" t="s">
        <v>357</v>
      </c>
      <c r="H12" s="198" t="s">
        <v>351</v>
      </c>
      <c r="I12" s="198" t="s">
        <v>352</v>
      </c>
    </row>
    <row r="13" spans="1:9" ht="12.75">
      <c r="A13">
        <v>6</v>
      </c>
      <c r="B13" t="s">
        <v>72</v>
      </c>
      <c r="D13" s="196">
        <v>0</v>
      </c>
      <c r="E13" s="199">
        <v>50000</v>
      </c>
      <c r="F13" s="199">
        <f>+E13-D13</f>
        <v>50000</v>
      </c>
      <c r="G13" s="197">
        <v>0.15</v>
      </c>
      <c r="H13" s="199">
        <f>IF(J10&gt;F13,+F13,J10)</f>
        <v>50000</v>
      </c>
      <c r="I13" s="199">
        <f>ROUND(+H13*G13,0)</f>
        <v>7500</v>
      </c>
    </row>
    <row r="14" spans="1:9" ht="12.75">
      <c r="A14">
        <v>7</v>
      </c>
      <c r="B14" t="s">
        <v>73</v>
      </c>
      <c r="D14" s="200">
        <v>50000</v>
      </c>
      <c r="E14" s="201">
        <v>75000</v>
      </c>
      <c r="F14" s="201">
        <f>+E14-E13</f>
        <v>25000</v>
      </c>
      <c r="G14" s="197">
        <v>0.25</v>
      </c>
      <c r="H14" s="202">
        <v>25000</v>
      </c>
      <c r="I14" s="202">
        <f>ROUND(+H14*G14,0)</f>
        <v>6250</v>
      </c>
    </row>
    <row r="15" spans="1:9" ht="12.75">
      <c r="A15">
        <v>8</v>
      </c>
      <c r="B15" t="s">
        <v>73</v>
      </c>
      <c r="D15" s="200">
        <v>75000</v>
      </c>
      <c r="E15" s="201">
        <v>100000</v>
      </c>
      <c r="F15" s="201">
        <f>+E15-E14</f>
        <v>25000</v>
      </c>
      <c r="G15" s="197">
        <v>0.34</v>
      </c>
      <c r="H15" s="202">
        <v>25000</v>
      </c>
      <c r="I15" s="202">
        <f>ROUND(+H15*G15,0)</f>
        <v>8500</v>
      </c>
    </row>
    <row r="16" spans="1:9" ht="12.75">
      <c r="A16">
        <v>9</v>
      </c>
      <c r="B16" t="s">
        <v>73</v>
      </c>
      <c r="D16" s="200">
        <v>100000</v>
      </c>
      <c r="E16" s="201">
        <v>335000</v>
      </c>
      <c r="F16" s="201">
        <f>+E16-E15</f>
        <v>235000</v>
      </c>
      <c r="G16" s="249">
        <v>0.39</v>
      </c>
      <c r="H16" s="203">
        <v>235000</v>
      </c>
      <c r="I16" s="203">
        <f>ROUND(+H16*G16,0)</f>
        <v>91650</v>
      </c>
    </row>
    <row r="17" spans="1:9" ht="12.75">
      <c r="A17">
        <v>10</v>
      </c>
      <c r="B17" t="s">
        <v>74</v>
      </c>
      <c r="D17" s="200"/>
      <c r="E17" s="201"/>
      <c r="F17" s="201"/>
      <c r="G17" s="197">
        <f>+I17/H17</f>
        <v>0.34</v>
      </c>
      <c r="H17" s="202">
        <f>SUM(H13:H16)</f>
        <v>335000</v>
      </c>
      <c r="I17" s="202">
        <f>SUM(I13:I16)</f>
        <v>113900</v>
      </c>
    </row>
    <row r="18" spans="1:9" ht="12.75">
      <c r="A18">
        <v>11</v>
      </c>
      <c r="B18" t="s">
        <v>81</v>
      </c>
      <c r="C18" t="s">
        <v>79</v>
      </c>
      <c r="D18" s="200">
        <v>335000</v>
      </c>
      <c r="E18" s="201">
        <v>10000000</v>
      </c>
      <c r="F18" s="201">
        <f>+E18-E16</f>
        <v>9665000</v>
      </c>
      <c r="G18" s="250">
        <v>0.34</v>
      </c>
      <c r="H18" s="203">
        <f>+J10-H13-H14-H15-H16</f>
        <v>848381.3891547045</v>
      </c>
      <c r="I18" s="203">
        <f>ROUND(+H18*G18,0)</f>
        <v>288450</v>
      </c>
    </row>
    <row r="19" spans="1:10" ht="12.75">
      <c r="A19">
        <v>12</v>
      </c>
      <c r="B19" t="s">
        <v>78</v>
      </c>
      <c r="C19" t="s">
        <v>80</v>
      </c>
      <c r="D19" s="200"/>
      <c r="E19" s="201"/>
      <c r="F19" s="201"/>
      <c r="G19" s="250">
        <f>+J19/H19</f>
        <v>0.3400002769076846</v>
      </c>
      <c r="H19" s="189">
        <f>+H17+H18</f>
        <v>1183381.3891547045</v>
      </c>
      <c r="I19" s="266"/>
      <c r="J19" s="189">
        <f>+I17+I18</f>
        <v>402350</v>
      </c>
    </row>
    <row r="20" spans="1:11" ht="17.25" customHeight="1">
      <c r="A20">
        <v>13</v>
      </c>
      <c r="B20" t="s">
        <v>353</v>
      </c>
      <c r="C20" t="s">
        <v>83</v>
      </c>
      <c r="D20" s="186"/>
      <c r="J20" s="189">
        <f>+J6-J9-J19</f>
        <v>1227622.8171547046</v>
      </c>
      <c r="K20" s="259"/>
    </row>
    <row r="21" spans="1:10" ht="12.75">
      <c r="A21">
        <v>14</v>
      </c>
      <c r="B21" t="s">
        <v>354</v>
      </c>
      <c r="C21" t="s">
        <v>82</v>
      </c>
      <c r="J21" s="189">
        <f>+'EXH 9 TOT COMP'!O58</f>
        <v>11752405.284700003</v>
      </c>
    </row>
    <row r="22" spans="1:10" ht="12.75">
      <c r="A22">
        <v>15</v>
      </c>
      <c r="B22" t="s">
        <v>355</v>
      </c>
      <c r="C22" t="s">
        <v>84</v>
      </c>
      <c r="J22" s="243">
        <f>+J20/J21</f>
        <v>0.10445715471988519</v>
      </c>
    </row>
    <row r="23" spans="4:8" ht="25.5">
      <c r="D23" s="210" t="s">
        <v>112</v>
      </c>
      <c r="E23" s="270" t="s">
        <v>114</v>
      </c>
      <c r="F23" s="493" t="s">
        <v>119</v>
      </c>
      <c r="G23" s="493"/>
      <c r="H23" s="270" t="s">
        <v>115</v>
      </c>
    </row>
    <row r="24" spans="4:8" ht="12.75">
      <c r="D24" s="260" t="s">
        <v>451</v>
      </c>
      <c r="E24" s="263" t="s">
        <v>276</v>
      </c>
      <c r="F24" s="494" t="s">
        <v>452</v>
      </c>
      <c r="G24" s="494"/>
      <c r="H24" s="260" t="s">
        <v>453</v>
      </c>
    </row>
    <row r="25" spans="2:10" ht="12.75">
      <c r="B25" t="s">
        <v>110</v>
      </c>
      <c r="D25" s="260" t="s">
        <v>113</v>
      </c>
      <c r="E25" s="260" t="s">
        <v>118</v>
      </c>
      <c r="F25" s="495"/>
      <c r="G25" s="495"/>
      <c r="H25" s="271"/>
      <c r="J25" s="204"/>
    </row>
    <row r="26" spans="2:9" ht="12.75">
      <c r="B26" s="28" t="s">
        <v>410</v>
      </c>
      <c r="D26" s="196">
        <f>+'EXH 9 TOT COMP'!E37</f>
        <v>-80612</v>
      </c>
      <c r="E26" s="196">
        <f>ROUND(+H26-D26,0)</f>
        <v>142895</v>
      </c>
      <c r="F26" t="s">
        <v>120</v>
      </c>
      <c r="H26" s="196">
        <f>+J9</f>
        <v>62283</v>
      </c>
      <c r="I26" t="s">
        <v>116</v>
      </c>
    </row>
    <row r="27" spans="2:9" ht="12.75">
      <c r="B27" s="25" t="s">
        <v>411</v>
      </c>
      <c r="D27" s="85">
        <f>+'EXH 9 TOT COMP'!E38</f>
        <v>-1136513</v>
      </c>
      <c r="E27" s="85">
        <f>+H27-D27</f>
        <v>1538863</v>
      </c>
      <c r="F27" t="s">
        <v>121</v>
      </c>
      <c r="H27" s="85">
        <f>+J19</f>
        <v>402350</v>
      </c>
      <c r="I27" t="s">
        <v>117</v>
      </c>
    </row>
    <row r="28" spans="2:8" ht="13.5" thickBot="1">
      <c r="B28" t="s">
        <v>111</v>
      </c>
      <c r="D28" s="258">
        <f>+D26+D27</f>
        <v>-1217125</v>
      </c>
      <c r="E28" s="258">
        <f>+E26+E27</f>
        <v>1681758</v>
      </c>
      <c r="H28" s="258">
        <f>+H26+H27</f>
        <v>464633</v>
      </c>
    </row>
    <row r="29" ht="13.5" thickTop="1"/>
  </sheetData>
  <mergeCells count="4">
    <mergeCell ref="F23:G23"/>
    <mergeCell ref="F24:G24"/>
    <mergeCell ref="F25:G25"/>
    <mergeCell ref="A1:B1"/>
  </mergeCells>
  <printOptions/>
  <pageMargins left="0.75" right="0.75" top="0.61" bottom="1" header="0.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I79"/>
  <sheetViews>
    <sheetView workbookViewId="0" topLeftCell="A1">
      <selection activeCell="H74" sqref="H74"/>
    </sheetView>
  </sheetViews>
  <sheetFormatPr defaultColWidth="9.140625" defaultRowHeight="12.75"/>
  <cols>
    <col min="1" max="1" width="4.140625" style="0" customWidth="1"/>
    <col min="2" max="2" width="5.7109375" style="0" customWidth="1"/>
    <col min="5" max="5" width="16.00390625" style="0" customWidth="1"/>
    <col min="6" max="6" width="13.57421875" style="0" customWidth="1"/>
    <col min="7" max="7" width="15.00390625" style="0" customWidth="1"/>
    <col min="8" max="8" width="13.140625" style="0" customWidth="1"/>
    <col min="9" max="9" width="22.28125" style="0" customWidth="1"/>
  </cols>
  <sheetData>
    <row r="1" spans="1:9" ht="15.75">
      <c r="A1" s="175" t="s">
        <v>132</v>
      </c>
      <c r="I1" s="320" t="s">
        <v>668</v>
      </c>
    </row>
    <row r="2" ht="15.75">
      <c r="A2" s="175" t="s">
        <v>100</v>
      </c>
    </row>
    <row r="5" spans="1:2" ht="15.75">
      <c r="A5" s="175" t="s">
        <v>375</v>
      </c>
      <c r="B5" s="194" t="s">
        <v>101</v>
      </c>
    </row>
    <row r="6" spans="1:2" ht="12.75">
      <c r="A6" s="194"/>
      <c r="B6" s="194"/>
    </row>
    <row r="7" spans="1:2" ht="85.5" customHeight="1">
      <c r="A7" s="194"/>
      <c r="B7" s="194"/>
    </row>
    <row r="8" spans="1:8" ht="15">
      <c r="A8" s="194"/>
      <c r="B8" s="194"/>
      <c r="C8" s="313" t="s">
        <v>102</v>
      </c>
      <c r="D8" s="313"/>
      <c r="E8" s="313"/>
      <c r="F8" s="314">
        <v>5053</v>
      </c>
      <c r="G8" s="314"/>
      <c r="H8" s="314"/>
    </row>
    <row r="9" spans="3:8" ht="15.75" thickBot="1">
      <c r="C9" s="313" t="s">
        <v>103</v>
      </c>
      <c r="D9" s="313"/>
      <c r="E9" s="313"/>
      <c r="F9" s="315">
        <f>+F8*12</f>
        <v>60636</v>
      </c>
      <c r="G9" s="323" t="s">
        <v>677</v>
      </c>
      <c r="H9" s="323"/>
    </row>
    <row r="10" ht="13.5" thickTop="1"/>
    <row r="11" spans="2:4" ht="15">
      <c r="B11" s="313"/>
      <c r="C11" s="313"/>
      <c r="D11" s="313"/>
    </row>
    <row r="12" spans="1:4" ht="15.75">
      <c r="A12" s="175" t="s">
        <v>376</v>
      </c>
      <c r="B12" s="175" t="s">
        <v>161</v>
      </c>
      <c r="C12" s="175"/>
      <c r="D12" s="313"/>
    </row>
    <row r="13" ht="184.5" customHeight="1"/>
    <row r="15" ht="51">
      <c r="G15" s="263" t="s">
        <v>664</v>
      </c>
    </row>
    <row r="16" spans="2:8" ht="14.25">
      <c r="B16" s="316" t="s">
        <v>192</v>
      </c>
      <c r="C16" s="316"/>
      <c r="D16" s="316"/>
      <c r="E16" s="316"/>
      <c r="G16" s="316"/>
      <c r="H16" s="317">
        <v>178180</v>
      </c>
    </row>
    <row r="17" spans="2:9" ht="14.25">
      <c r="B17" s="316" t="s">
        <v>157</v>
      </c>
      <c r="C17" s="316"/>
      <c r="D17" s="316"/>
      <c r="E17" s="316"/>
      <c r="G17" s="318">
        <f>+'EXH 8 TB Apport.'!E64</f>
        <v>0.7372</v>
      </c>
      <c r="H17" s="319">
        <f>ROUND(+H16*G17,0)</f>
        <v>131354</v>
      </c>
      <c r="I17" t="s">
        <v>679</v>
      </c>
    </row>
    <row r="18" spans="2:8" ht="14.25">
      <c r="B18" s="316"/>
      <c r="C18" s="316"/>
      <c r="D18" s="316"/>
      <c r="E18" s="316"/>
      <c r="G18" s="316"/>
      <c r="H18" s="319"/>
    </row>
    <row r="19" spans="2:9" ht="14.25">
      <c r="B19" s="316" t="s">
        <v>678</v>
      </c>
      <c r="C19" s="316"/>
      <c r="D19" s="316"/>
      <c r="E19" s="316"/>
      <c r="G19" s="316"/>
      <c r="H19" s="317">
        <f>+'EXH 5 2005 Plant Additions '!K42</f>
        <v>99861</v>
      </c>
      <c r="I19" t="s">
        <v>680</v>
      </c>
    </row>
    <row r="20" spans="2:9" ht="14.25">
      <c r="B20" s="316" t="s">
        <v>157</v>
      </c>
      <c r="C20" s="316"/>
      <c r="D20" s="316"/>
      <c r="E20" s="316"/>
      <c r="G20" s="318">
        <f>+'EXH 5 2005 Plant Additions '!J50</f>
        <v>0.6143</v>
      </c>
      <c r="H20" s="319">
        <f>ROUND(+H19*G20,0)</f>
        <v>61345</v>
      </c>
      <c r="I20" t="s">
        <v>679</v>
      </c>
    </row>
    <row r="21" spans="2:8" ht="14.25">
      <c r="B21" s="316"/>
      <c r="C21" s="316"/>
      <c r="D21" s="316"/>
      <c r="E21" s="316"/>
      <c r="G21" s="316"/>
      <c r="H21" s="316"/>
    </row>
    <row r="22" spans="2:9" ht="14.25">
      <c r="B22" s="316" t="s">
        <v>726</v>
      </c>
      <c r="C22" s="316"/>
      <c r="D22" s="316"/>
      <c r="E22" s="316"/>
      <c r="G22" s="316"/>
      <c r="H22" s="317">
        <f>+'EXH 5 2005 Plant Additions '!E42</f>
        <v>1124874.5</v>
      </c>
      <c r="I22" t="s">
        <v>682</v>
      </c>
    </row>
    <row r="23" spans="2:9" ht="14.25">
      <c r="B23" s="316" t="s">
        <v>157</v>
      </c>
      <c r="C23" s="316"/>
      <c r="D23" s="316"/>
      <c r="E23" s="316"/>
      <c r="G23" s="318">
        <f>+'EXH 5 2005 Plant Additions '!D53</f>
        <v>0.672</v>
      </c>
      <c r="H23" s="319">
        <f>ROUND(+H22*G23,0)</f>
        <v>755916</v>
      </c>
      <c r="I23" t="s">
        <v>679</v>
      </c>
    </row>
    <row r="24" spans="2:8" ht="14.25">
      <c r="B24" s="316"/>
      <c r="C24" s="316"/>
      <c r="D24" s="316"/>
      <c r="E24" s="316"/>
      <c r="G24" s="316"/>
      <c r="H24" s="316"/>
    </row>
    <row r="25" spans="2:9" ht="14.25">
      <c r="B25" s="316" t="s">
        <v>193</v>
      </c>
      <c r="C25" s="316"/>
      <c r="D25" s="316"/>
      <c r="E25" s="316"/>
      <c r="G25" s="316"/>
      <c r="H25" s="317">
        <f>+'EXH 5 2005 Plant Additions '!H42</f>
        <v>49930.5</v>
      </c>
      <c r="I25" t="s">
        <v>681</v>
      </c>
    </row>
    <row r="26" spans="2:9" ht="14.25">
      <c r="B26" s="316" t="s">
        <v>157</v>
      </c>
      <c r="C26" s="316"/>
      <c r="D26" s="316"/>
      <c r="E26" s="316"/>
      <c r="G26" s="318">
        <f>+'EXH 5 2005 Plant Additions '!G53</f>
        <v>0.6306</v>
      </c>
      <c r="H26" s="319">
        <f>ROUND(+H25*G26,0)</f>
        <v>31486</v>
      </c>
      <c r="I26" t="s">
        <v>679</v>
      </c>
    </row>
    <row r="29" spans="1:9" ht="15.75">
      <c r="A29" s="175" t="str">
        <f>+A$1</f>
        <v>CARBON / EMERY TELCOM</v>
      </c>
      <c r="I29" s="320" t="s">
        <v>669</v>
      </c>
    </row>
    <row r="30" ht="15.75">
      <c r="A30" s="175" t="str">
        <f>+A$2</f>
        <v>Notes to Exhibit 1</v>
      </c>
    </row>
    <row r="32" spans="1:3" ht="15.75">
      <c r="A32" s="175" t="s">
        <v>377</v>
      </c>
      <c r="B32" s="175" t="s">
        <v>633</v>
      </c>
      <c r="C32" s="175"/>
    </row>
    <row r="34" ht="189.75" customHeight="1"/>
    <row r="36" spans="1:8" ht="15">
      <c r="A36" s="316"/>
      <c r="B36" s="316" t="s">
        <v>661</v>
      </c>
      <c r="C36" s="316"/>
      <c r="D36" s="316"/>
      <c r="E36" s="316"/>
      <c r="F36" s="317">
        <f>+'EXH 6  Depr ADJ'!M44</f>
        <v>64640.48940000008</v>
      </c>
      <c r="H36" s="316" t="s">
        <v>665</v>
      </c>
    </row>
    <row r="37" spans="1:8" ht="15">
      <c r="A37" s="316"/>
      <c r="B37" s="316" t="s">
        <v>660</v>
      </c>
      <c r="C37" s="316"/>
      <c r="D37" s="316"/>
      <c r="E37" s="316"/>
      <c r="F37" s="317">
        <f>-'EXH 6  Depr ADJ'!M51</f>
        <v>7268.036419209984</v>
      </c>
      <c r="H37" s="316" t="s">
        <v>701</v>
      </c>
    </row>
    <row r="40" spans="1:5" ht="15.75">
      <c r="A40" s="175" t="s">
        <v>378</v>
      </c>
      <c r="B40" s="175" t="s">
        <v>666</v>
      </c>
      <c r="C40" s="175"/>
      <c r="D40" s="175"/>
      <c r="E40" s="175"/>
    </row>
    <row r="42" spans="1:5" ht="15.75">
      <c r="A42" s="175" t="s">
        <v>636</v>
      </c>
      <c r="B42" s="175" t="s">
        <v>667</v>
      </c>
      <c r="C42" s="175"/>
      <c r="D42" s="175"/>
      <c r="E42" s="175"/>
    </row>
    <row r="44" spans="1:5" ht="15.75">
      <c r="A44" s="175" t="s">
        <v>638</v>
      </c>
      <c r="B44" s="175" t="s">
        <v>635</v>
      </c>
      <c r="C44" s="175"/>
      <c r="D44" s="175"/>
      <c r="E44" s="175"/>
    </row>
    <row r="46" ht="126.75" customHeight="1"/>
    <row r="47" spans="1:3" ht="15.75">
      <c r="A47" s="175" t="s">
        <v>641</v>
      </c>
      <c r="B47" s="175" t="s">
        <v>637</v>
      </c>
      <c r="C47" s="175"/>
    </row>
    <row r="49" ht="15">
      <c r="B49" s="321" t="s">
        <v>721</v>
      </c>
    </row>
    <row r="51" spans="1:9" ht="15.75">
      <c r="A51" s="175" t="str">
        <f>+A$1</f>
        <v>CARBON / EMERY TELCOM</v>
      </c>
      <c r="I51" s="320" t="s">
        <v>670</v>
      </c>
    </row>
    <row r="52" ht="15.75">
      <c r="A52" s="175" t="str">
        <f>+A$2</f>
        <v>Notes to Exhibit 1</v>
      </c>
    </row>
    <row r="55" spans="1:3" ht="15.75">
      <c r="A55" s="175" t="s">
        <v>653</v>
      </c>
      <c r="B55" s="322" t="s">
        <v>639</v>
      </c>
      <c r="C55" s="313"/>
    </row>
    <row r="56" ht="12.75">
      <c r="B56" s="194"/>
    </row>
    <row r="57" spans="2:9" ht="15.75">
      <c r="B57" s="175" t="s">
        <v>671</v>
      </c>
      <c r="C57" s="321"/>
      <c r="D57" s="321"/>
      <c r="E57" s="321"/>
      <c r="F57" s="321"/>
      <c r="G57" s="321"/>
      <c r="H57" s="321"/>
      <c r="I57" s="321"/>
    </row>
    <row r="58" spans="2:9" ht="15.75">
      <c r="B58" s="175"/>
      <c r="C58" s="321"/>
      <c r="D58" s="321"/>
      <c r="E58" s="321"/>
      <c r="F58" s="321"/>
      <c r="G58" s="321"/>
      <c r="H58" s="321"/>
      <c r="I58" s="321"/>
    </row>
    <row r="59" spans="2:9" ht="15.75">
      <c r="B59" s="175" t="s">
        <v>672</v>
      </c>
      <c r="C59" s="321"/>
      <c r="D59" s="321"/>
      <c r="E59" s="321"/>
      <c r="F59" s="321"/>
      <c r="G59" s="321"/>
      <c r="H59" s="321"/>
      <c r="I59" s="321"/>
    </row>
    <row r="60" spans="2:9" ht="15.75">
      <c r="B60" s="175"/>
      <c r="C60" s="321"/>
      <c r="D60" s="321"/>
      <c r="E60" s="321"/>
      <c r="F60" s="321"/>
      <c r="G60" s="321"/>
      <c r="H60" s="321"/>
      <c r="I60" s="321"/>
    </row>
    <row r="61" spans="2:9" ht="15.75">
      <c r="B61" s="175" t="s">
        <v>674</v>
      </c>
      <c r="C61" s="321"/>
      <c r="D61" s="321"/>
      <c r="E61" s="321"/>
      <c r="F61" s="321"/>
      <c r="G61" s="321"/>
      <c r="H61" s="321"/>
      <c r="I61" s="321"/>
    </row>
    <row r="62" spans="2:9" ht="15">
      <c r="B62" s="321" t="s">
        <v>673</v>
      </c>
      <c r="C62" s="321"/>
      <c r="D62" s="321"/>
      <c r="E62" s="321"/>
      <c r="F62" s="321"/>
      <c r="G62" s="321"/>
      <c r="H62" s="321"/>
      <c r="I62" s="321"/>
    </row>
    <row r="63" spans="2:9" ht="15">
      <c r="B63" s="321"/>
      <c r="C63" s="321"/>
      <c r="D63" s="321"/>
      <c r="E63" s="321"/>
      <c r="F63" s="321"/>
      <c r="G63" s="321"/>
      <c r="H63" s="321"/>
      <c r="I63" s="321"/>
    </row>
    <row r="64" spans="2:9" ht="15.75">
      <c r="B64" s="175" t="s">
        <v>675</v>
      </c>
      <c r="C64" s="321"/>
      <c r="D64" s="321"/>
      <c r="E64" s="321"/>
      <c r="F64" s="321"/>
      <c r="G64" s="321"/>
      <c r="H64" s="321"/>
      <c r="I64" s="321"/>
    </row>
    <row r="65" ht="15">
      <c r="B65" s="321" t="s">
        <v>676</v>
      </c>
    </row>
    <row r="67" ht="79.5" customHeight="1"/>
    <row r="68" spans="7:9" ht="15.75" customHeight="1">
      <c r="G68" s="486" t="s">
        <v>683</v>
      </c>
      <c r="H68" s="487"/>
      <c r="I68" s="488"/>
    </row>
    <row r="69" spans="7:9" ht="12.75">
      <c r="G69" s="260" t="s">
        <v>430</v>
      </c>
      <c r="H69" s="260" t="s">
        <v>429</v>
      </c>
      <c r="I69" s="263" t="s">
        <v>640</v>
      </c>
    </row>
    <row r="70" spans="2:9" ht="12.75">
      <c r="B70" s="86" t="s">
        <v>515</v>
      </c>
      <c r="C70" s="59"/>
      <c r="G70" s="339">
        <v>11.93</v>
      </c>
      <c r="H70" s="339">
        <v>13.5</v>
      </c>
      <c r="I70" s="340">
        <f>+H70-G70</f>
        <v>1.5700000000000003</v>
      </c>
    </row>
    <row r="71" spans="2:9" ht="12.75">
      <c r="B71" s="86" t="s">
        <v>516</v>
      </c>
      <c r="C71" s="59"/>
      <c r="G71" s="339">
        <v>19.37</v>
      </c>
      <c r="H71" s="339">
        <v>23</v>
      </c>
      <c r="I71" s="340">
        <f>+H71-G71</f>
        <v>3.629999999999999</v>
      </c>
    </row>
    <row r="74" spans="1:3" ht="15.75">
      <c r="A74" s="175" t="s">
        <v>654</v>
      </c>
      <c r="B74" s="322" t="s">
        <v>643</v>
      </c>
      <c r="C74" s="313"/>
    </row>
    <row r="75" spans="1:3" ht="15.75">
      <c r="A75" s="175"/>
      <c r="B75" s="322"/>
      <c r="C75" s="313"/>
    </row>
    <row r="77" ht="15.75">
      <c r="B77" s="175" t="s">
        <v>727</v>
      </c>
    </row>
    <row r="78" ht="15">
      <c r="B78" s="321" t="s">
        <v>642</v>
      </c>
    </row>
    <row r="79" ht="15">
      <c r="B79" s="321" t="s">
        <v>720</v>
      </c>
    </row>
  </sheetData>
  <mergeCells count="1">
    <mergeCell ref="G68:I68"/>
  </mergeCells>
  <printOptions/>
  <pageMargins left="0.96" right="0.75" top="0.87" bottom="1" header="0.5" footer="0.5"/>
  <pageSetup horizontalDpi="600" verticalDpi="600" orientation="portrait" scale="80" r:id="rId2"/>
  <rowBreaks count="2" manualBreakCount="2">
    <brk id="28" max="9" man="1"/>
    <brk id="50" max="7" man="1"/>
  </rowBreaks>
  <drawing r:id="rId1"/>
</worksheet>
</file>

<file path=xl/worksheets/sheet3.xml><?xml version="1.0" encoding="utf-8"?>
<worksheet xmlns="http://schemas.openxmlformats.org/spreadsheetml/2006/main" xmlns:r="http://schemas.openxmlformats.org/officeDocument/2006/relationships">
  <dimension ref="A1:Q103"/>
  <sheetViews>
    <sheetView workbookViewId="0" topLeftCell="A1">
      <selection activeCell="A1" sqref="A1:C1"/>
    </sheetView>
  </sheetViews>
  <sheetFormatPr defaultColWidth="9.140625" defaultRowHeight="15" customHeight="1"/>
  <cols>
    <col min="1" max="1" width="7.140625" style="54" customWidth="1"/>
    <col min="2" max="2" width="32.28125" style="48" customWidth="1"/>
    <col min="3" max="3" width="23.57421875" style="48" customWidth="1"/>
    <col min="4" max="4" width="21.8515625" style="48" customWidth="1"/>
    <col min="5" max="5" width="13.00390625" style="48" customWidth="1"/>
    <col min="6" max="6" width="3.00390625" style="48" customWidth="1"/>
    <col min="7" max="7" width="23.421875" style="48" customWidth="1"/>
    <col min="8" max="8" width="22.421875" style="48" customWidth="1"/>
    <col min="9" max="9" width="13.57421875" style="48" customWidth="1"/>
    <col min="10" max="16384" width="11.421875" style="48" customWidth="1"/>
  </cols>
  <sheetData>
    <row r="1" spans="1:8" ht="29.25" customHeight="1">
      <c r="A1" s="489" t="s">
        <v>132</v>
      </c>
      <c r="B1" s="489"/>
      <c r="C1" s="489"/>
      <c r="H1" s="345" t="s">
        <v>104</v>
      </c>
    </row>
    <row r="2" spans="1:17" ht="15" customHeight="1">
      <c r="A2" s="273" t="s">
        <v>722</v>
      </c>
      <c r="B2" s="245"/>
      <c r="C2" s="245"/>
      <c r="D2" s="245"/>
      <c r="E2" s="245"/>
      <c r="F2" s="245"/>
      <c r="G2" s="245"/>
      <c r="H2" s="245"/>
      <c r="I2" s="47"/>
      <c r="J2" s="47"/>
      <c r="K2" s="47"/>
      <c r="L2" s="47"/>
      <c r="M2" s="47"/>
      <c r="N2" s="47"/>
      <c r="O2" s="47"/>
      <c r="P2" s="47"/>
      <c r="Q2" s="47"/>
    </row>
    <row r="3" spans="1:17" ht="15" customHeight="1">
      <c r="A3" s="46"/>
      <c r="B3" s="47"/>
      <c r="C3" s="46"/>
      <c r="E3" s="46"/>
      <c r="F3" s="46"/>
      <c r="G3" s="47"/>
      <c r="H3" s="47"/>
      <c r="I3" s="47"/>
      <c r="J3" s="47"/>
      <c r="K3" s="47"/>
      <c r="L3" s="47"/>
      <c r="M3" s="47"/>
      <c r="N3" s="47"/>
      <c r="O3" s="47"/>
      <c r="P3" s="47"/>
      <c r="Q3" s="47"/>
    </row>
    <row r="4" spans="2:17" ht="15" customHeight="1">
      <c r="B4" s="47"/>
      <c r="C4" s="46" t="s">
        <v>436</v>
      </c>
      <c r="D4" s="46" t="s">
        <v>437</v>
      </c>
      <c r="E4" s="46"/>
      <c r="F4" s="46"/>
      <c r="G4" s="46" t="s">
        <v>438</v>
      </c>
      <c r="H4" s="47"/>
      <c r="I4" s="47"/>
      <c r="J4" s="47"/>
      <c r="K4" s="47"/>
      <c r="L4" s="47"/>
      <c r="M4" s="47"/>
      <c r="N4" s="47"/>
      <c r="O4" s="47"/>
      <c r="P4" s="47"/>
      <c r="Q4" s="47"/>
    </row>
    <row r="5" spans="1:17" ht="15" customHeight="1">
      <c r="A5" s="46" t="s">
        <v>439</v>
      </c>
      <c r="B5" s="46" t="s">
        <v>440</v>
      </c>
      <c r="C5" s="49" t="s">
        <v>441</v>
      </c>
      <c r="D5" s="46" t="s">
        <v>442</v>
      </c>
      <c r="E5" s="50"/>
      <c r="F5" s="50"/>
      <c r="G5" s="46" t="s">
        <v>443</v>
      </c>
      <c r="H5" s="47"/>
      <c r="I5" s="47"/>
      <c r="J5" s="47"/>
      <c r="K5" s="47"/>
      <c r="L5" s="47"/>
      <c r="M5" s="47"/>
      <c r="N5" s="47"/>
      <c r="O5" s="47"/>
      <c r="P5" s="47"/>
      <c r="Q5" s="47"/>
    </row>
    <row r="6" spans="1:17" ht="15" customHeight="1" thickBot="1">
      <c r="A6" s="78" t="s">
        <v>444</v>
      </c>
      <c r="B6" s="79"/>
      <c r="C6" s="80" t="s">
        <v>445</v>
      </c>
      <c r="D6" s="80" t="s">
        <v>446</v>
      </c>
      <c r="E6" s="80" t="s">
        <v>315</v>
      </c>
      <c r="F6" s="80"/>
      <c r="G6" s="80" t="s">
        <v>129</v>
      </c>
      <c r="H6" s="47"/>
      <c r="I6" s="47"/>
      <c r="J6" s="47"/>
      <c r="K6" s="47"/>
      <c r="L6" s="47"/>
      <c r="M6" s="47"/>
      <c r="N6" s="47"/>
      <c r="O6" s="47"/>
      <c r="P6" s="47"/>
      <c r="Q6" s="47"/>
    </row>
    <row r="7" spans="1:17" ht="15" customHeight="1">
      <c r="A7" s="88"/>
      <c r="B7" s="89"/>
      <c r="C7" s="90"/>
      <c r="D7" s="90"/>
      <c r="E7" s="90"/>
      <c r="F7" s="89"/>
      <c r="G7" s="90"/>
      <c r="H7" s="47"/>
      <c r="I7" s="47"/>
      <c r="J7" s="47"/>
      <c r="K7" s="47"/>
      <c r="L7" s="47"/>
      <c r="M7" s="47"/>
      <c r="N7" s="47"/>
      <c r="O7" s="47"/>
      <c r="P7" s="47"/>
      <c r="Q7" s="47"/>
    </row>
    <row r="8" spans="1:17" ht="15" customHeight="1">
      <c r="A8" s="88">
        <v>1</v>
      </c>
      <c r="B8" s="91" t="s">
        <v>447</v>
      </c>
      <c r="C8" s="92">
        <f>+'EXH 9 TOT COMP'!M14</f>
        <v>2688535</v>
      </c>
      <c r="D8" s="248">
        <f>+'REV 2.1 LOCAL'!L28</f>
        <v>299341.07999999984</v>
      </c>
      <c r="E8" s="94" t="s">
        <v>603</v>
      </c>
      <c r="F8" s="94"/>
      <c r="G8" s="92">
        <f>+D8+C8</f>
        <v>2987876.08</v>
      </c>
      <c r="H8" s="52"/>
      <c r="I8" s="53"/>
      <c r="J8" s="47"/>
      <c r="K8" s="47"/>
      <c r="L8" s="47"/>
      <c r="M8" s="47"/>
      <c r="N8" s="47"/>
      <c r="O8" s="47"/>
      <c r="P8" s="47"/>
      <c r="Q8" s="47"/>
    </row>
    <row r="9" spans="1:17" ht="15" customHeight="1">
      <c r="A9" s="88"/>
      <c r="B9" s="89"/>
      <c r="C9" s="94"/>
      <c r="D9" s="94"/>
      <c r="E9" s="94"/>
      <c r="F9" s="94"/>
      <c r="G9" s="92"/>
      <c r="H9" s="52"/>
      <c r="I9" s="47"/>
      <c r="J9" s="47"/>
      <c r="K9" s="47"/>
      <c r="L9" s="47"/>
      <c r="M9" s="47"/>
      <c r="N9" s="47"/>
      <c r="O9" s="47"/>
      <c r="P9" s="47"/>
      <c r="Q9" s="47"/>
    </row>
    <row r="10" spans="1:17" ht="15" customHeight="1">
      <c r="A10" s="88">
        <v>2</v>
      </c>
      <c r="B10" s="91" t="s">
        <v>448</v>
      </c>
      <c r="C10" s="92">
        <f>'EXH 9 TOT COMP'!M16</f>
        <v>0</v>
      </c>
      <c r="D10" s="93">
        <f>+D24-D8-D14</f>
        <v>1584519.1545693555</v>
      </c>
      <c r="E10" s="95" t="s">
        <v>107</v>
      </c>
      <c r="F10" s="94"/>
      <c r="G10" s="92">
        <f>+D10+C10</f>
        <v>1584519.1545693555</v>
      </c>
      <c r="H10" s="52"/>
      <c r="I10" s="52"/>
      <c r="J10" s="47"/>
      <c r="K10" s="47"/>
      <c r="L10" s="47"/>
      <c r="M10" s="47"/>
      <c r="N10" s="47"/>
      <c r="O10" s="47"/>
      <c r="P10" s="47"/>
      <c r="Q10" s="47"/>
    </row>
    <row r="11" spans="1:17" ht="15" customHeight="1">
      <c r="A11" s="88"/>
      <c r="B11" s="91"/>
      <c r="C11" s="92"/>
      <c r="D11" s="94"/>
      <c r="E11" s="94"/>
      <c r="F11" s="94"/>
      <c r="G11" s="92"/>
      <c r="H11" s="52"/>
      <c r="I11" s="47"/>
      <c r="J11" s="47"/>
      <c r="K11" s="47"/>
      <c r="L11" s="47"/>
      <c r="M11" s="47"/>
      <c r="N11" s="47"/>
      <c r="O11" s="47"/>
      <c r="P11" s="47"/>
      <c r="Q11" s="47"/>
    </row>
    <row r="12" spans="1:17" ht="15" customHeight="1">
      <c r="A12" s="88">
        <v>3</v>
      </c>
      <c r="B12" s="91" t="s">
        <v>449</v>
      </c>
      <c r="C12" s="92">
        <v>0</v>
      </c>
      <c r="D12" s="92">
        <v>0</v>
      </c>
      <c r="E12" s="96"/>
      <c r="F12" s="94"/>
      <c r="G12" s="92">
        <f>+D12+C12</f>
        <v>0</v>
      </c>
      <c r="H12" s="52"/>
      <c r="I12" s="53"/>
      <c r="J12" s="47"/>
      <c r="K12" s="47"/>
      <c r="L12" s="47"/>
      <c r="M12" s="47"/>
      <c r="N12" s="47"/>
      <c r="O12" s="47"/>
      <c r="P12" s="47"/>
      <c r="Q12" s="47"/>
    </row>
    <row r="13" spans="1:17" ht="15" customHeight="1">
      <c r="A13" s="88"/>
      <c r="B13" s="89"/>
      <c r="D13" s="94"/>
      <c r="E13" s="94"/>
      <c r="F13" s="94"/>
      <c r="G13" s="92"/>
      <c r="H13" s="52"/>
      <c r="I13" s="47"/>
      <c r="J13" s="47"/>
      <c r="K13" s="47"/>
      <c r="L13" s="47"/>
      <c r="M13" s="47"/>
      <c r="N13" s="47"/>
      <c r="O13" s="47"/>
      <c r="P13" s="47"/>
      <c r="Q13" s="47"/>
    </row>
    <row r="14" spans="1:17" ht="15" customHeight="1">
      <c r="A14" s="88">
        <v>4</v>
      </c>
      <c r="B14" s="91" t="s">
        <v>504</v>
      </c>
      <c r="C14" s="92">
        <f>+'EXH 9 TOT COMP'!M18</f>
        <v>294748.45</v>
      </c>
      <c r="D14" s="92">
        <f>+'REV 2.2 ACCESS'!H27</f>
        <v>351580.4783319999</v>
      </c>
      <c r="E14" s="94" t="s">
        <v>106</v>
      </c>
      <c r="F14" s="94"/>
      <c r="G14" s="92">
        <f>+D14+C14</f>
        <v>646328.9283319999</v>
      </c>
      <c r="H14" s="52"/>
      <c r="I14" s="47"/>
      <c r="J14" s="47"/>
      <c r="K14" s="47"/>
      <c r="L14" s="47"/>
      <c r="M14" s="47"/>
      <c r="N14" s="47"/>
      <c r="O14" s="47"/>
      <c r="P14" s="47"/>
      <c r="Q14" s="47"/>
    </row>
    <row r="15" spans="1:17" ht="15" customHeight="1">
      <c r="A15" s="88"/>
      <c r="C15" s="92"/>
      <c r="D15" s="94"/>
      <c r="E15" s="94"/>
      <c r="F15" s="94"/>
      <c r="G15" s="92"/>
      <c r="H15" s="52"/>
      <c r="I15" s="47"/>
      <c r="J15" s="47"/>
      <c r="K15" s="47"/>
      <c r="L15" s="47"/>
      <c r="M15" s="47"/>
      <c r="N15" s="47"/>
      <c r="O15" s="47"/>
      <c r="P15" s="47"/>
      <c r="Q15" s="47"/>
    </row>
    <row r="16" spans="1:17" ht="15" customHeight="1">
      <c r="A16" s="88">
        <v>5</v>
      </c>
      <c r="B16" s="89" t="s">
        <v>512</v>
      </c>
      <c r="C16" s="106">
        <f>'EXH 9 TOT COMP'!M19</f>
        <v>364687.92</v>
      </c>
      <c r="D16" s="92">
        <v>0</v>
      </c>
      <c r="E16" s="97"/>
      <c r="F16" s="94"/>
      <c r="G16" s="92">
        <f>+D16+C16</f>
        <v>364687.92</v>
      </c>
      <c r="H16" s="52"/>
      <c r="I16" s="51"/>
      <c r="J16" s="47"/>
      <c r="K16" s="47"/>
      <c r="L16" s="47"/>
      <c r="M16" s="47"/>
      <c r="N16" s="47"/>
      <c r="O16" s="47"/>
      <c r="P16" s="47"/>
      <c r="Q16" s="47"/>
    </row>
    <row r="17" spans="1:17" ht="15" customHeight="1">
      <c r="A17" s="88"/>
      <c r="B17" s="89"/>
      <c r="D17" s="92"/>
      <c r="E17" s="97"/>
      <c r="F17" s="94"/>
      <c r="G17" s="98"/>
      <c r="H17" s="52"/>
      <c r="I17" s="51"/>
      <c r="J17" s="47"/>
      <c r="K17" s="47"/>
      <c r="L17" s="47"/>
      <c r="M17" s="47"/>
      <c r="N17" s="47"/>
      <c r="O17" s="47"/>
      <c r="P17" s="47"/>
      <c r="Q17" s="47"/>
    </row>
    <row r="18" spans="1:17" ht="15" customHeight="1">
      <c r="A18" s="88">
        <v>6</v>
      </c>
      <c r="B18" s="89" t="s">
        <v>464</v>
      </c>
      <c r="C18" s="106">
        <v>0</v>
      </c>
      <c r="D18" s="92">
        <v>0</v>
      </c>
      <c r="E18" s="97"/>
      <c r="F18" s="94"/>
      <c r="G18" s="92">
        <f>+D18+C18</f>
        <v>0</v>
      </c>
      <c r="H18" s="52"/>
      <c r="I18" s="51"/>
      <c r="J18" s="47"/>
      <c r="K18" s="47"/>
      <c r="L18" s="47"/>
      <c r="M18" s="47"/>
      <c r="N18" s="47"/>
      <c r="O18" s="47"/>
      <c r="P18" s="47"/>
      <c r="Q18" s="47"/>
    </row>
    <row r="19" spans="1:17" ht="15" customHeight="1">
      <c r="A19" s="88"/>
      <c r="B19" s="89"/>
      <c r="D19" s="92"/>
      <c r="E19" s="97"/>
      <c r="F19" s="94"/>
      <c r="G19" s="98"/>
      <c r="H19" s="52"/>
      <c r="I19" s="51"/>
      <c r="J19" s="47"/>
      <c r="K19" s="47"/>
      <c r="L19" s="47"/>
      <c r="M19" s="47"/>
      <c r="N19" s="47"/>
      <c r="O19" s="47"/>
      <c r="P19" s="47"/>
      <c r="Q19" s="47"/>
    </row>
    <row r="20" spans="1:17" ht="15" customHeight="1">
      <c r="A20" s="88">
        <v>7</v>
      </c>
      <c r="B20" s="91" t="s">
        <v>494</v>
      </c>
      <c r="C20" s="99">
        <f>'EXH 9 TOT COMP'!M20</f>
        <v>278439.68</v>
      </c>
      <c r="D20" s="92">
        <v>0</v>
      </c>
      <c r="E20" s="100"/>
      <c r="F20" s="101"/>
      <c r="G20" s="92">
        <f>+D20+C20</f>
        <v>278439.68</v>
      </c>
      <c r="H20" s="52"/>
      <c r="I20" s="47"/>
      <c r="J20" s="47"/>
      <c r="K20" s="47"/>
      <c r="L20" s="47"/>
      <c r="M20" s="47"/>
      <c r="N20" s="47"/>
      <c r="O20" s="47"/>
      <c r="P20" s="47"/>
      <c r="Q20" s="47"/>
    </row>
    <row r="21" spans="1:17" ht="15" customHeight="1">
      <c r="A21" s="48"/>
      <c r="B21" s="89"/>
      <c r="C21" s="99"/>
      <c r="D21" s="99"/>
      <c r="E21" s="94"/>
      <c r="F21" s="94"/>
      <c r="G21" s="94"/>
      <c r="H21" s="47"/>
      <c r="I21" s="47"/>
      <c r="J21" s="47"/>
      <c r="K21" s="47"/>
      <c r="L21" s="47"/>
      <c r="M21" s="47"/>
      <c r="N21" s="47"/>
      <c r="O21" s="47"/>
      <c r="P21" s="47"/>
      <c r="Q21" s="47"/>
    </row>
    <row r="22" spans="1:17" ht="15" customHeight="1" thickBot="1">
      <c r="A22" s="88">
        <v>8</v>
      </c>
      <c r="B22" s="89" t="s">
        <v>495</v>
      </c>
      <c r="C22" s="102">
        <f>'EXH 9 TOT COMP'!M21</f>
        <v>-41082</v>
      </c>
      <c r="D22" s="102">
        <f>'EXH 9 TOT COMP'!N21</f>
        <v>0</v>
      </c>
      <c r="E22" s="89"/>
      <c r="F22" s="89"/>
      <c r="G22" s="102">
        <f>+D22+C22</f>
        <v>-41082</v>
      </c>
      <c r="H22" s="47"/>
      <c r="I22" s="47"/>
      <c r="J22" s="47"/>
      <c r="K22" s="47"/>
      <c r="L22" s="47"/>
      <c r="M22" s="47"/>
      <c r="N22" s="47"/>
      <c r="O22" s="47"/>
      <c r="P22" s="47"/>
      <c r="Q22" s="47"/>
    </row>
    <row r="23" spans="1:17" ht="15" customHeight="1">
      <c r="A23" s="88"/>
      <c r="B23" s="89"/>
      <c r="C23" s="89"/>
      <c r="D23" s="89"/>
      <c r="E23" s="89"/>
      <c r="F23" s="89"/>
      <c r="G23" s="89"/>
      <c r="H23" s="47"/>
      <c r="I23" s="47"/>
      <c r="J23" s="47"/>
      <c r="K23" s="47"/>
      <c r="L23" s="47"/>
      <c r="M23" s="47"/>
      <c r="N23" s="47"/>
      <c r="O23" s="47"/>
      <c r="P23" s="47"/>
      <c r="Q23" s="47"/>
    </row>
    <row r="24" spans="1:17" ht="15" customHeight="1" thickBot="1">
      <c r="A24" s="88">
        <v>9</v>
      </c>
      <c r="B24" s="89" t="s">
        <v>450</v>
      </c>
      <c r="C24" s="103">
        <f>SUM(C8:C22)</f>
        <v>3585329.0500000003</v>
      </c>
      <c r="D24" s="103">
        <f>+'EXH 1 STATE'!N13</f>
        <v>2235440.7129013552</v>
      </c>
      <c r="E24" s="104"/>
      <c r="F24" s="94"/>
      <c r="G24" s="103">
        <f>SUM(G8:G22)</f>
        <v>5820769.7629013555</v>
      </c>
      <c r="I24" s="47"/>
      <c r="J24" s="47"/>
      <c r="K24" s="47"/>
      <c r="L24" s="47"/>
      <c r="M24" s="47"/>
      <c r="N24" s="47"/>
      <c r="O24" s="47"/>
      <c r="P24" s="47"/>
      <c r="Q24" s="47"/>
    </row>
    <row r="25" spans="1:17" ht="21" customHeight="1" thickTop="1">
      <c r="A25" s="46"/>
      <c r="B25" s="47"/>
      <c r="C25" s="347" t="s">
        <v>684</v>
      </c>
      <c r="D25" s="347" t="s">
        <v>109</v>
      </c>
      <c r="E25" s="347"/>
      <c r="F25" s="347"/>
      <c r="G25" s="347" t="s">
        <v>108</v>
      </c>
      <c r="H25" s="47"/>
      <c r="I25" s="47"/>
      <c r="J25" s="47"/>
      <c r="K25" s="47"/>
      <c r="L25" s="47"/>
      <c r="M25" s="47"/>
      <c r="N25" s="47"/>
      <c r="O25" s="47"/>
      <c r="P25" s="47"/>
      <c r="Q25" s="47"/>
    </row>
    <row r="26" spans="1:17" ht="37.5" customHeight="1">
      <c r="A26" s="46"/>
      <c r="B26" s="274" t="s">
        <v>134</v>
      </c>
      <c r="C26" s="47"/>
      <c r="D26" s="47"/>
      <c r="E26" s="47"/>
      <c r="F26" s="47"/>
      <c r="G26" s="47"/>
      <c r="H26" s="47"/>
      <c r="I26" s="47"/>
      <c r="J26" s="47"/>
      <c r="K26" s="47"/>
      <c r="L26" s="47"/>
      <c r="M26" s="47"/>
      <c r="N26" s="47"/>
      <c r="O26" s="47"/>
      <c r="P26" s="47"/>
      <c r="Q26" s="47"/>
    </row>
    <row r="27" spans="1:17" ht="15" customHeight="1">
      <c r="A27" s="46"/>
      <c r="B27" s="47" t="s">
        <v>135</v>
      </c>
      <c r="C27" s="47"/>
      <c r="D27" s="47"/>
      <c r="E27" s="47"/>
      <c r="F27" s="47"/>
      <c r="G27" s="47"/>
      <c r="H27" s="47"/>
      <c r="I27" s="47"/>
      <c r="J27" s="47"/>
      <c r="K27" s="47"/>
      <c r="L27" s="47"/>
      <c r="M27" s="47"/>
      <c r="N27" s="47"/>
      <c r="O27" s="47"/>
      <c r="P27" s="47"/>
      <c r="Q27" s="47"/>
    </row>
    <row r="28" spans="1:17" ht="15" customHeight="1">
      <c r="A28" s="46"/>
      <c r="B28" s="47" t="s">
        <v>136</v>
      </c>
      <c r="C28" s="47"/>
      <c r="D28" s="47"/>
      <c r="E28" s="47"/>
      <c r="F28" s="47"/>
      <c r="G28" s="47"/>
      <c r="H28" s="47"/>
      <c r="I28" s="47"/>
      <c r="J28" s="47"/>
      <c r="K28" s="47"/>
      <c r="L28" s="47"/>
      <c r="M28" s="47"/>
      <c r="N28" s="47"/>
      <c r="O28" s="47"/>
      <c r="P28" s="47"/>
      <c r="Q28" s="47"/>
    </row>
    <row r="29" spans="1:17" ht="15" customHeight="1">
      <c r="A29" s="46"/>
      <c r="B29" s="47"/>
      <c r="C29" s="47"/>
      <c r="D29" s="47"/>
      <c r="E29" s="47"/>
      <c r="F29" s="47"/>
      <c r="G29" s="47"/>
      <c r="H29" s="47"/>
      <c r="I29" s="47"/>
      <c r="J29" s="47"/>
      <c r="K29" s="47"/>
      <c r="L29" s="47"/>
      <c r="M29" s="47"/>
      <c r="N29" s="47"/>
      <c r="O29" s="47"/>
      <c r="P29" s="47"/>
      <c r="Q29" s="47"/>
    </row>
    <row r="30" spans="1:17" ht="15" customHeight="1">
      <c r="A30" s="46"/>
      <c r="B30" s="47"/>
      <c r="C30" s="47"/>
      <c r="D30" s="47"/>
      <c r="E30" s="47"/>
      <c r="F30" s="47"/>
      <c r="G30" s="47"/>
      <c r="H30" s="47"/>
      <c r="I30" s="47"/>
      <c r="J30" s="47"/>
      <c r="K30" s="47"/>
      <c r="L30" s="47"/>
      <c r="M30" s="47"/>
      <c r="N30" s="47"/>
      <c r="O30" s="47"/>
      <c r="P30" s="47"/>
      <c r="Q30" s="47"/>
    </row>
    <row r="31" spans="1:17" ht="15" customHeight="1">
      <c r="A31" s="46"/>
      <c r="B31" s="47"/>
      <c r="C31" s="47"/>
      <c r="D31" s="47"/>
      <c r="E31" s="47"/>
      <c r="F31" s="47"/>
      <c r="G31" s="47"/>
      <c r="H31" s="47"/>
      <c r="I31" s="47"/>
      <c r="J31" s="47"/>
      <c r="K31" s="47"/>
      <c r="L31" s="47"/>
      <c r="M31" s="47"/>
      <c r="N31" s="47"/>
      <c r="O31" s="47"/>
      <c r="P31" s="47"/>
      <c r="Q31" s="47"/>
    </row>
    <row r="32" spans="1:17" ht="15" customHeight="1">
      <c r="A32" s="46"/>
      <c r="B32" s="47"/>
      <c r="C32" s="47"/>
      <c r="D32" s="47"/>
      <c r="E32" s="47"/>
      <c r="F32" s="47"/>
      <c r="G32" s="47"/>
      <c r="H32" s="47"/>
      <c r="I32" s="47"/>
      <c r="J32" s="47"/>
      <c r="K32" s="47"/>
      <c r="L32" s="47"/>
      <c r="M32" s="47"/>
      <c r="N32" s="47"/>
      <c r="O32" s="47"/>
      <c r="P32" s="47"/>
      <c r="Q32" s="47"/>
    </row>
    <row r="33" spans="1:17" ht="15" customHeight="1">
      <c r="A33" s="46"/>
      <c r="B33" s="47"/>
      <c r="C33" s="47"/>
      <c r="D33" s="47"/>
      <c r="E33" s="47"/>
      <c r="F33" s="47"/>
      <c r="G33" s="47"/>
      <c r="H33" s="47"/>
      <c r="I33" s="47"/>
      <c r="J33" s="47"/>
      <c r="K33" s="47"/>
      <c r="L33" s="47"/>
      <c r="M33" s="47"/>
      <c r="N33" s="47"/>
      <c r="O33" s="47"/>
      <c r="P33" s="47"/>
      <c r="Q33" s="47"/>
    </row>
    <row r="34" spans="1:17" ht="15" customHeight="1">
      <c r="A34" s="46"/>
      <c r="B34" s="47"/>
      <c r="C34" s="47"/>
      <c r="D34" s="47"/>
      <c r="E34" s="47"/>
      <c r="F34" s="47"/>
      <c r="G34" s="47"/>
      <c r="H34" s="47"/>
      <c r="I34" s="47"/>
      <c r="J34" s="47"/>
      <c r="K34" s="47"/>
      <c r="L34" s="47"/>
      <c r="M34" s="47"/>
      <c r="N34" s="47"/>
      <c r="O34" s="47"/>
      <c r="P34" s="47"/>
      <c r="Q34" s="47"/>
    </row>
    <row r="35" spans="1:17" ht="15" customHeight="1">
      <c r="A35" s="46"/>
      <c r="B35" s="47"/>
      <c r="C35" s="47"/>
      <c r="D35" s="47"/>
      <c r="E35" s="47"/>
      <c r="F35" s="47"/>
      <c r="G35" s="47"/>
      <c r="H35" s="47"/>
      <c r="I35" s="47"/>
      <c r="J35" s="47"/>
      <c r="K35" s="47"/>
      <c r="L35" s="47"/>
      <c r="M35" s="47"/>
      <c r="N35" s="47"/>
      <c r="O35" s="47"/>
      <c r="P35" s="47"/>
      <c r="Q35" s="47"/>
    </row>
    <row r="36" spans="1:17" ht="15" customHeight="1">
      <c r="A36" s="46"/>
      <c r="B36" s="47"/>
      <c r="C36" s="47"/>
      <c r="D36" s="47"/>
      <c r="E36" s="47"/>
      <c r="F36" s="47"/>
      <c r="G36" s="47"/>
      <c r="H36" s="47"/>
      <c r="I36" s="47"/>
      <c r="J36" s="47"/>
      <c r="K36" s="47"/>
      <c r="L36" s="47"/>
      <c r="M36" s="47"/>
      <c r="N36" s="47"/>
      <c r="O36" s="47"/>
      <c r="P36" s="47"/>
      <c r="Q36" s="47"/>
    </row>
    <row r="37" spans="1:17" ht="15" customHeight="1">
      <c r="A37" s="46"/>
      <c r="B37" s="47"/>
      <c r="C37" s="47"/>
      <c r="D37" s="47"/>
      <c r="E37" s="47"/>
      <c r="F37" s="47"/>
      <c r="G37" s="47"/>
      <c r="H37" s="47"/>
      <c r="I37" s="47"/>
      <c r="J37" s="47"/>
      <c r="K37" s="47"/>
      <c r="L37" s="47"/>
      <c r="M37" s="47"/>
      <c r="N37" s="47"/>
      <c r="O37" s="47"/>
      <c r="P37" s="47"/>
      <c r="Q37" s="47"/>
    </row>
    <row r="38" spans="1:17" ht="15" customHeight="1">
      <c r="A38" s="46"/>
      <c r="B38" s="47"/>
      <c r="C38" s="47"/>
      <c r="D38" s="47"/>
      <c r="E38" s="47"/>
      <c r="F38" s="47"/>
      <c r="G38" s="47"/>
      <c r="H38" s="47"/>
      <c r="I38" s="47"/>
      <c r="J38" s="47"/>
      <c r="K38" s="47"/>
      <c r="L38" s="47"/>
      <c r="M38" s="47"/>
      <c r="N38" s="47"/>
      <c r="O38" s="47"/>
      <c r="P38" s="47"/>
      <c r="Q38" s="47"/>
    </row>
    <row r="39" spans="1:17" ht="15" customHeight="1">
      <c r="A39" s="46"/>
      <c r="B39" s="47"/>
      <c r="C39" s="47"/>
      <c r="D39" s="47"/>
      <c r="E39" s="47"/>
      <c r="F39" s="47"/>
      <c r="G39" s="47"/>
      <c r="H39" s="47"/>
      <c r="I39" s="47"/>
      <c r="J39" s="47"/>
      <c r="K39" s="47"/>
      <c r="L39" s="47"/>
      <c r="M39" s="47"/>
      <c r="N39" s="47"/>
      <c r="O39" s="47"/>
      <c r="P39" s="47"/>
      <c r="Q39" s="47"/>
    </row>
    <row r="40" spans="1:17" ht="15" customHeight="1">
      <c r="A40" s="46"/>
      <c r="B40" s="47"/>
      <c r="C40" s="47"/>
      <c r="D40" s="47"/>
      <c r="E40" s="47"/>
      <c r="F40" s="47"/>
      <c r="G40" s="47"/>
      <c r="H40" s="47"/>
      <c r="I40" s="47"/>
      <c r="J40" s="47"/>
      <c r="K40" s="47"/>
      <c r="L40" s="47"/>
      <c r="M40" s="47"/>
      <c r="N40" s="47"/>
      <c r="O40" s="47"/>
      <c r="P40" s="47"/>
      <c r="Q40" s="47"/>
    </row>
    <row r="41" spans="1:17" ht="15" customHeight="1">
      <c r="A41" s="46"/>
      <c r="B41" s="47"/>
      <c r="C41" s="47"/>
      <c r="D41" s="47"/>
      <c r="E41" s="47"/>
      <c r="F41" s="47"/>
      <c r="G41" s="47"/>
      <c r="H41" s="47"/>
      <c r="I41" s="47"/>
      <c r="J41" s="47"/>
      <c r="K41" s="47"/>
      <c r="L41" s="47"/>
      <c r="M41" s="47"/>
      <c r="N41" s="47"/>
      <c r="O41" s="47"/>
      <c r="P41" s="47"/>
      <c r="Q41" s="47"/>
    </row>
    <row r="42" spans="1:17" ht="15" customHeight="1">
      <c r="A42" s="46"/>
      <c r="B42" s="47"/>
      <c r="C42" s="47"/>
      <c r="D42" s="47"/>
      <c r="E42" s="47"/>
      <c r="F42" s="47"/>
      <c r="G42" s="47"/>
      <c r="H42" s="47"/>
      <c r="I42" s="47"/>
      <c r="J42" s="47"/>
      <c r="K42" s="47"/>
      <c r="L42" s="47"/>
      <c r="M42" s="47"/>
      <c r="N42" s="47"/>
      <c r="O42" s="47"/>
      <c r="P42" s="47"/>
      <c r="Q42" s="47"/>
    </row>
    <row r="43" spans="1:17" ht="15" customHeight="1">
      <c r="A43" s="46"/>
      <c r="B43" s="47"/>
      <c r="C43" s="47"/>
      <c r="D43" s="47"/>
      <c r="E43" s="47"/>
      <c r="F43" s="47"/>
      <c r="G43" s="47"/>
      <c r="H43" s="47"/>
      <c r="I43" s="47"/>
      <c r="J43" s="47"/>
      <c r="K43" s="47"/>
      <c r="L43" s="47"/>
      <c r="M43" s="47"/>
      <c r="N43" s="47"/>
      <c r="O43" s="47"/>
      <c r="P43" s="47"/>
      <c r="Q43" s="47"/>
    </row>
    <row r="44" spans="1:17" ht="15" customHeight="1">
      <c r="A44" s="46"/>
      <c r="B44" s="47"/>
      <c r="C44" s="47"/>
      <c r="D44" s="47"/>
      <c r="E44" s="47"/>
      <c r="F44" s="47"/>
      <c r="G44" s="47"/>
      <c r="H44" s="47"/>
      <c r="I44" s="47"/>
      <c r="J44" s="47"/>
      <c r="K44" s="47"/>
      <c r="L44" s="47"/>
      <c r="M44" s="47"/>
      <c r="N44" s="47"/>
      <c r="O44" s="47"/>
      <c r="P44" s="47"/>
      <c r="Q44" s="47"/>
    </row>
    <row r="45" spans="1:17" ht="15" customHeight="1">
      <c r="A45" s="46"/>
      <c r="B45" s="47"/>
      <c r="C45" s="47"/>
      <c r="D45" s="47"/>
      <c r="E45" s="47"/>
      <c r="F45" s="47"/>
      <c r="G45" s="47"/>
      <c r="H45" s="47"/>
      <c r="I45" s="47"/>
      <c r="J45" s="47"/>
      <c r="K45" s="47"/>
      <c r="L45" s="47"/>
      <c r="M45" s="47"/>
      <c r="N45" s="47"/>
      <c r="O45" s="47"/>
      <c r="P45" s="47"/>
      <c r="Q45" s="47"/>
    </row>
    <row r="46" spans="1:17" ht="15" customHeight="1">
      <c r="A46" s="46"/>
      <c r="B46" s="47"/>
      <c r="C46" s="47"/>
      <c r="D46" s="47"/>
      <c r="E46" s="47"/>
      <c r="F46" s="47"/>
      <c r="G46" s="47"/>
      <c r="H46" s="47"/>
      <c r="I46" s="47"/>
      <c r="J46" s="47"/>
      <c r="K46" s="47"/>
      <c r="L46" s="47"/>
      <c r="M46" s="47"/>
      <c r="N46" s="47"/>
      <c r="O46" s="47"/>
      <c r="P46" s="47"/>
      <c r="Q46" s="47"/>
    </row>
    <row r="47" spans="1:17" ht="15" customHeight="1">
      <c r="A47" s="46"/>
      <c r="B47" s="47"/>
      <c r="C47" s="47"/>
      <c r="D47" s="47"/>
      <c r="E47" s="47"/>
      <c r="F47" s="47"/>
      <c r="G47" s="47"/>
      <c r="H47" s="47"/>
      <c r="I47" s="47"/>
      <c r="J47" s="47"/>
      <c r="K47" s="47"/>
      <c r="L47" s="47"/>
      <c r="M47" s="47"/>
      <c r="N47" s="47"/>
      <c r="O47" s="47"/>
      <c r="P47" s="47"/>
      <c r="Q47" s="47"/>
    </row>
    <row r="48" spans="1:17" ht="15" customHeight="1">
      <c r="A48" s="46"/>
      <c r="B48" s="47"/>
      <c r="C48" s="47"/>
      <c r="D48" s="47"/>
      <c r="E48" s="47"/>
      <c r="F48" s="47"/>
      <c r="G48" s="47"/>
      <c r="H48" s="47"/>
      <c r="I48" s="47"/>
      <c r="J48" s="47"/>
      <c r="K48" s="47"/>
      <c r="L48" s="47"/>
      <c r="M48" s="47"/>
      <c r="N48" s="47"/>
      <c r="O48" s="47"/>
      <c r="P48" s="47"/>
      <c r="Q48" s="47"/>
    </row>
    <row r="49" spans="1:17" ht="15" customHeight="1">
      <c r="A49" s="46"/>
      <c r="B49" s="47"/>
      <c r="C49" s="47"/>
      <c r="D49" s="47"/>
      <c r="E49" s="47"/>
      <c r="F49" s="47"/>
      <c r="G49" s="47"/>
      <c r="H49" s="47"/>
      <c r="I49" s="47"/>
      <c r="J49" s="47"/>
      <c r="K49" s="47"/>
      <c r="L49" s="47"/>
      <c r="M49" s="47"/>
      <c r="N49" s="47"/>
      <c r="O49" s="47"/>
      <c r="P49" s="47"/>
      <c r="Q49" s="47"/>
    </row>
    <row r="50" spans="1:17" ht="15" customHeight="1">
      <c r="A50" s="46"/>
      <c r="B50" s="47"/>
      <c r="C50" s="47"/>
      <c r="D50" s="47"/>
      <c r="E50" s="47"/>
      <c r="F50" s="47"/>
      <c r="G50" s="47"/>
      <c r="H50" s="47"/>
      <c r="I50" s="47"/>
      <c r="J50" s="47"/>
      <c r="K50" s="47"/>
      <c r="L50" s="47"/>
      <c r="M50" s="47"/>
      <c r="N50" s="47"/>
      <c r="O50" s="47"/>
      <c r="P50" s="47"/>
      <c r="Q50" s="47"/>
    </row>
    <row r="51" spans="1:17" ht="15" customHeight="1">
      <c r="A51" s="46"/>
      <c r="B51" s="47"/>
      <c r="C51" s="47"/>
      <c r="D51" s="47"/>
      <c r="E51" s="47"/>
      <c r="F51" s="47"/>
      <c r="G51" s="47"/>
      <c r="H51" s="47"/>
      <c r="I51" s="47"/>
      <c r="J51" s="47"/>
      <c r="K51" s="47"/>
      <c r="L51" s="47"/>
      <c r="M51" s="47"/>
      <c r="N51" s="47"/>
      <c r="O51" s="47"/>
      <c r="P51" s="47"/>
      <c r="Q51" s="47"/>
    </row>
    <row r="52" spans="1:17" ht="15" customHeight="1">
      <c r="A52" s="46"/>
      <c r="B52" s="47"/>
      <c r="C52" s="47"/>
      <c r="D52" s="47"/>
      <c r="E52" s="47"/>
      <c r="F52" s="47"/>
      <c r="G52" s="47"/>
      <c r="H52" s="47"/>
      <c r="I52" s="47"/>
      <c r="J52" s="47"/>
      <c r="K52" s="47"/>
      <c r="L52" s="47"/>
      <c r="M52" s="47"/>
      <c r="N52" s="47"/>
      <c r="O52" s="47"/>
      <c r="P52" s="47"/>
      <c r="Q52" s="47"/>
    </row>
    <row r="53" spans="1:17" ht="15" customHeight="1">
      <c r="A53" s="46"/>
      <c r="B53" s="47"/>
      <c r="C53" s="47"/>
      <c r="D53" s="47"/>
      <c r="E53" s="47"/>
      <c r="F53" s="47"/>
      <c r="G53" s="47"/>
      <c r="H53" s="47"/>
      <c r="I53" s="47"/>
      <c r="J53" s="47"/>
      <c r="K53" s="47"/>
      <c r="L53" s="47"/>
      <c r="M53" s="47"/>
      <c r="N53" s="47"/>
      <c r="O53" s="47"/>
      <c r="P53" s="47"/>
      <c r="Q53" s="47"/>
    </row>
    <row r="54" spans="1:17" ht="15" customHeight="1">
      <c r="A54" s="46"/>
      <c r="B54" s="47"/>
      <c r="C54" s="47"/>
      <c r="D54" s="47"/>
      <c r="E54" s="47"/>
      <c r="F54" s="47"/>
      <c r="G54" s="47"/>
      <c r="H54" s="47"/>
      <c r="I54" s="47"/>
      <c r="J54" s="47"/>
      <c r="K54" s="47"/>
      <c r="L54" s="47"/>
      <c r="M54" s="47"/>
      <c r="N54" s="47"/>
      <c r="O54" s="47"/>
      <c r="P54" s="47"/>
      <c r="Q54" s="47"/>
    </row>
    <row r="55" spans="1:17" ht="15" customHeight="1">
      <c r="A55" s="46"/>
      <c r="B55" s="47"/>
      <c r="C55" s="47"/>
      <c r="D55" s="47"/>
      <c r="E55" s="47"/>
      <c r="F55" s="47"/>
      <c r="G55" s="47"/>
      <c r="H55" s="47"/>
      <c r="I55" s="47"/>
      <c r="J55" s="47"/>
      <c r="K55" s="47"/>
      <c r="L55" s="47"/>
      <c r="M55" s="47"/>
      <c r="N55" s="47"/>
      <c r="O55" s="47"/>
      <c r="P55" s="47"/>
      <c r="Q55" s="47"/>
    </row>
    <row r="56" spans="1:17" ht="15" customHeight="1">
      <c r="A56" s="46"/>
      <c r="B56" s="47"/>
      <c r="C56" s="47"/>
      <c r="D56" s="47"/>
      <c r="E56" s="47"/>
      <c r="F56" s="47"/>
      <c r="G56" s="47"/>
      <c r="H56" s="47"/>
      <c r="I56" s="47"/>
      <c r="J56" s="47"/>
      <c r="K56" s="47"/>
      <c r="L56" s="47"/>
      <c r="M56" s="47"/>
      <c r="N56" s="47"/>
      <c r="O56" s="47"/>
      <c r="P56" s="47"/>
      <c r="Q56" s="47"/>
    </row>
    <row r="57" spans="1:17" ht="15" customHeight="1">
      <c r="A57" s="46"/>
      <c r="B57" s="47"/>
      <c r="C57" s="47"/>
      <c r="D57" s="47"/>
      <c r="E57" s="47"/>
      <c r="F57" s="47"/>
      <c r="G57" s="47"/>
      <c r="H57" s="47"/>
      <c r="I57" s="47"/>
      <c r="J57" s="47"/>
      <c r="K57" s="47"/>
      <c r="L57" s="47"/>
      <c r="M57" s="47"/>
      <c r="N57" s="47"/>
      <c r="O57" s="47"/>
      <c r="P57" s="47"/>
      <c r="Q57" s="47"/>
    </row>
    <row r="58" spans="1:17" ht="15" customHeight="1">
      <c r="A58" s="46"/>
      <c r="B58" s="47"/>
      <c r="C58" s="47"/>
      <c r="D58" s="47"/>
      <c r="E58" s="47"/>
      <c r="F58" s="47"/>
      <c r="G58" s="47"/>
      <c r="H58" s="47"/>
      <c r="I58" s="47"/>
      <c r="J58" s="47"/>
      <c r="K58" s="47"/>
      <c r="L58" s="47"/>
      <c r="M58" s="47"/>
      <c r="N58" s="47"/>
      <c r="O58" s="47"/>
      <c r="P58" s="47"/>
      <c r="Q58" s="47"/>
    </row>
    <row r="59" spans="1:17" ht="15" customHeight="1">
      <c r="A59" s="46"/>
      <c r="B59" s="47"/>
      <c r="C59" s="47"/>
      <c r="D59" s="47"/>
      <c r="E59" s="47"/>
      <c r="F59" s="47"/>
      <c r="G59" s="47"/>
      <c r="H59" s="47"/>
      <c r="I59" s="47"/>
      <c r="J59" s="47"/>
      <c r="K59" s="47"/>
      <c r="L59" s="47"/>
      <c r="M59" s="47"/>
      <c r="N59" s="47"/>
      <c r="O59" s="47"/>
      <c r="P59" s="47"/>
      <c r="Q59" s="47"/>
    </row>
    <row r="60" spans="1:17" ht="15" customHeight="1">
      <c r="A60" s="46"/>
      <c r="B60" s="47"/>
      <c r="C60" s="47"/>
      <c r="D60" s="47"/>
      <c r="E60" s="47"/>
      <c r="F60" s="47"/>
      <c r="G60" s="47"/>
      <c r="H60" s="47"/>
      <c r="I60" s="47"/>
      <c r="J60" s="47"/>
      <c r="K60" s="47"/>
      <c r="L60" s="47"/>
      <c r="M60" s="47"/>
      <c r="N60" s="47"/>
      <c r="O60" s="47"/>
      <c r="P60" s="47"/>
      <c r="Q60" s="47"/>
    </row>
    <row r="61" spans="1:17" ht="15" customHeight="1">
      <c r="A61" s="46"/>
      <c r="B61" s="47"/>
      <c r="C61" s="47"/>
      <c r="D61" s="47"/>
      <c r="E61" s="47"/>
      <c r="F61" s="47"/>
      <c r="G61" s="47"/>
      <c r="H61" s="47"/>
      <c r="I61" s="47"/>
      <c r="J61" s="47"/>
      <c r="K61" s="47"/>
      <c r="L61" s="47"/>
      <c r="M61" s="47"/>
      <c r="N61" s="47"/>
      <c r="O61" s="47"/>
      <c r="P61" s="47"/>
      <c r="Q61" s="47"/>
    </row>
    <row r="62" spans="1:17" ht="15" customHeight="1">
      <c r="A62" s="46"/>
      <c r="B62" s="47"/>
      <c r="C62" s="47"/>
      <c r="D62" s="47"/>
      <c r="E62" s="47"/>
      <c r="F62" s="47"/>
      <c r="G62" s="47"/>
      <c r="H62" s="47"/>
      <c r="I62" s="47"/>
      <c r="J62" s="47"/>
      <c r="K62" s="47"/>
      <c r="L62" s="47"/>
      <c r="M62" s="47"/>
      <c r="N62" s="47"/>
      <c r="O62" s="47"/>
      <c r="P62" s="47"/>
      <c r="Q62" s="47"/>
    </row>
    <row r="63" spans="1:17" ht="15" customHeight="1">
      <c r="A63" s="46"/>
      <c r="B63" s="47"/>
      <c r="C63" s="47"/>
      <c r="D63" s="47"/>
      <c r="E63" s="47"/>
      <c r="F63" s="47"/>
      <c r="G63" s="47"/>
      <c r="H63" s="47"/>
      <c r="I63" s="47"/>
      <c r="J63" s="47"/>
      <c r="K63" s="47"/>
      <c r="L63" s="47"/>
      <c r="M63" s="47"/>
      <c r="N63" s="47"/>
      <c r="O63" s="47"/>
      <c r="P63" s="47"/>
      <c r="Q63" s="47"/>
    </row>
    <row r="64" spans="1:17" ht="15" customHeight="1">
      <c r="A64" s="46"/>
      <c r="B64" s="47"/>
      <c r="C64" s="47"/>
      <c r="D64" s="47"/>
      <c r="E64" s="47"/>
      <c r="F64" s="47"/>
      <c r="G64" s="47"/>
      <c r="H64" s="47"/>
      <c r="I64" s="47"/>
      <c r="J64" s="47"/>
      <c r="K64" s="47"/>
      <c r="L64" s="47"/>
      <c r="M64" s="47"/>
      <c r="N64" s="47"/>
      <c r="O64" s="47"/>
      <c r="P64" s="47"/>
      <c r="Q64" s="47"/>
    </row>
    <row r="65" spans="1:17" ht="15" customHeight="1">
      <c r="A65" s="46"/>
      <c r="B65" s="47"/>
      <c r="C65" s="47"/>
      <c r="D65" s="47"/>
      <c r="E65" s="47"/>
      <c r="F65" s="47"/>
      <c r="G65" s="47"/>
      <c r="H65" s="47"/>
      <c r="I65" s="47"/>
      <c r="J65" s="47"/>
      <c r="K65" s="47"/>
      <c r="L65" s="47"/>
      <c r="M65" s="47"/>
      <c r="N65" s="47"/>
      <c r="O65" s="47"/>
      <c r="P65" s="47"/>
      <c r="Q65" s="47"/>
    </row>
    <row r="66" spans="1:17" ht="15" customHeight="1">
      <c r="A66" s="46"/>
      <c r="B66" s="47"/>
      <c r="C66" s="47"/>
      <c r="D66" s="47"/>
      <c r="E66" s="47"/>
      <c r="F66" s="47"/>
      <c r="G66" s="47"/>
      <c r="H66" s="47"/>
      <c r="I66" s="47"/>
      <c r="J66" s="47"/>
      <c r="K66" s="47"/>
      <c r="L66" s="47"/>
      <c r="M66" s="47"/>
      <c r="N66" s="47"/>
      <c r="O66" s="47"/>
      <c r="P66" s="47"/>
      <c r="Q66" s="47"/>
    </row>
    <row r="67" spans="1:17" ht="15" customHeight="1">
      <c r="A67" s="46"/>
      <c r="B67" s="47"/>
      <c r="C67" s="47"/>
      <c r="D67" s="47"/>
      <c r="E67" s="47"/>
      <c r="F67" s="47"/>
      <c r="G67" s="47"/>
      <c r="H67" s="47"/>
      <c r="I67" s="47"/>
      <c r="J67" s="47"/>
      <c r="K67" s="47"/>
      <c r="L67" s="47"/>
      <c r="M67" s="47"/>
      <c r="N67" s="47"/>
      <c r="O67" s="47"/>
      <c r="P67" s="47"/>
      <c r="Q67" s="47"/>
    </row>
    <row r="68" spans="1:17" ht="15" customHeight="1">
      <c r="A68" s="46"/>
      <c r="B68" s="47"/>
      <c r="C68" s="47"/>
      <c r="D68" s="47"/>
      <c r="E68" s="47"/>
      <c r="F68" s="47"/>
      <c r="G68" s="47"/>
      <c r="H68" s="47"/>
      <c r="I68" s="47"/>
      <c r="J68" s="47"/>
      <c r="K68" s="47"/>
      <c r="L68" s="47"/>
      <c r="M68" s="47"/>
      <c r="N68" s="47"/>
      <c r="O68" s="47"/>
      <c r="P68" s="47"/>
      <c r="Q68" s="47"/>
    </row>
    <row r="69" spans="1:17" ht="15" customHeight="1">
      <c r="A69" s="46"/>
      <c r="B69" s="47"/>
      <c r="C69" s="47"/>
      <c r="D69" s="47"/>
      <c r="E69" s="47"/>
      <c r="F69" s="47"/>
      <c r="G69" s="47"/>
      <c r="H69" s="47"/>
      <c r="I69" s="47"/>
      <c r="J69" s="47"/>
      <c r="K69" s="47"/>
      <c r="L69" s="47"/>
      <c r="M69" s="47"/>
      <c r="N69" s="47"/>
      <c r="O69" s="47"/>
      <c r="P69" s="47"/>
      <c r="Q69" s="47"/>
    </row>
    <row r="70" spans="1:17" ht="15" customHeight="1">
      <c r="A70" s="46"/>
      <c r="B70" s="47"/>
      <c r="C70" s="47"/>
      <c r="D70" s="47"/>
      <c r="E70" s="47"/>
      <c r="F70" s="47"/>
      <c r="G70" s="47"/>
      <c r="H70" s="47"/>
      <c r="I70" s="47"/>
      <c r="J70" s="47"/>
      <c r="K70" s="47"/>
      <c r="L70" s="47"/>
      <c r="M70" s="47"/>
      <c r="N70" s="47"/>
      <c r="O70" s="47"/>
      <c r="P70" s="47"/>
      <c r="Q70" s="47"/>
    </row>
    <row r="71" spans="1:17" ht="15" customHeight="1">
      <c r="A71" s="46"/>
      <c r="B71" s="47"/>
      <c r="C71" s="47"/>
      <c r="D71" s="47"/>
      <c r="E71" s="47"/>
      <c r="F71" s="47"/>
      <c r="G71" s="47"/>
      <c r="H71" s="47"/>
      <c r="I71" s="47"/>
      <c r="J71" s="47"/>
      <c r="K71" s="47"/>
      <c r="L71" s="47"/>
      <c r="M71" s="47"/>
      <c r="N71" s="47"/>
      <c r="O71" s="47"/>
      <c r="P71" s="47"/>
      <c r="Q71" s="47"/>
    </row>
    <row r="72" spans="1:17" ht="15" customHeight="1">
      <c r="A72" s="46"/>
      <c r="B72" s="47"/>
      <c r="C72" s="47"/>
      <c r="D72" s="47"/>
      <c r="E72" s="47"/>
      <c r="F72" s="47"/>
      <c r="G72" s="47"/>
      <c r="H72" s="47"/>
      <c r="I72" s="47"/>
      <c r="J72" s="47"/>
      <c r="K72" s="47"/>
      <c r="L72" s="47"/>
      <c r="M72" s="47"/>
      <c r="N72" s="47"/>
      <c r="O72" s="47"/>
      <c r="P72" s="47"/>
      <c r="Q72" s="47"/>
    </row>
    <row r="73" spans="1:17" ht="15" customHeight="1">
      <c r="A73" s="46"/>
      <c r="B73" s="47"/>
      <c r="C73" s="47"/>
      <c r="D73" s="47"/>
      <c r="E73" s="47"/>
      <c r="F73" s="47"/>
      <c r="G73" s="47"/>
      <c r="H73" s="47"/>
      <c r="I73" s="47"/>
      <c r="J73" s="47"/>
      <c r="K73" s="47"/>
      <c r="L73" s="47"/>
      <c r="M73" s="47"/>
      <c r="N73" s="47"/>
      <c r="O73" s="47"/>
      <c r="P73" s="47"/>
      <c r="Q73" s="47"/>
    </row>
    <row r="74" spans="1:17" ht="15" customHeight="1">
      <c r="A74" s="46"/>
      <c r="B74" s="47"/>
      <c r="C74" s="47"/>
      <c r="D74" s="47"/>
      <c r="E74" s="47"/>
      <c r="F74" s="47"/>
      <c r="G74" s="47"/>
      <c r="H74" s="47"/>
      <c r="I74" s="47"/>
      <c r="J74" s="47"/>
      <c r="K74" s="47"/>
      <c r="L74" s="47"/>
      <c r="M74" s="47"/>
      <c r="N74" s="47"/>
      <c r="O74" s="47"/>
      <c r="P74" s="47"/>
      <c r="Q74" s="47"/>
    </row>
    <row r="75" spans="1:17" ht="15" customHeight="1">
      <c r="A75" s="46"/>
      <c r="B75" s="47"/>
      <c r="C75" s="47"/>
      <c r="D75" s="47"/>
      <c r="E75" s="47"/>
      <c r="F75" s="47"/>
      <c r="G75" s="47"/>
      <c r="H75" s="47"/>
      <c r="I75" s="47"/>
      <c r="J75" s="47"/>
      <c r="K75" s="47"/>
      <c r="L75" s="47"/>
      <c r="M75" s="47"/>
      <c r="N75" s="47"/>
      <c r="O75" s="47"/>
      <c r="P75" s="47"/>
      <c r="Q75" s="47"/>
    </row>
    <row r="76" spans="1:17" ht="15" customHeight="1">
      <c r="A76" s="46"/>
      <c r="B76" s="47"/>
      <c r="C76" s="47"/>
      <c r="D76" s="47"/>
      <c r="E76" s="47"/>
      <c r="F76" s="47"/>
      <c r="G76" s="47"/>
      <c r="H76" s="47"/>
      <c r="I76" s="47"/>
      <c r="J76" s="47"/>
      <c r="K76" s="47"/>
      <c r="L76" s="47"/>
      <c r="M76" s="47"/>
      <c r="N76" s="47"/>
      <c r="O76" s="47"/>
      <c r="P76" s="47"/>
      <c r="Q76" s="47"/>
    </row>
    <row r="77" spans="1:17" ht="15" customHeight="1">
      <c r="A77" s="46"/>
      <c r="B77" s="47"/>
      <c r="C77" s="47"/>
      <c r="D77" s="47"/>
      <c r="E77" s="47"/>
      <c r="F77" s="47"/>
      <c r="G77" s="47"/>
      <c r="H77" s="47"/>
      <c r="I77" s="47"/>
      <c r="J77" s="47"/>
      <c r="K77" s="47"/>
      <c r="L77" s="47"/>
      <c r="M77" s="47"/>
      <c r="N77" s="47"/>
      <c r="O77" s="47"/>
      <c r="P77" s="47"/>
      <c r="Q77" s="47"/>
    </row>
    <row r="78" spans="1:17" ht="15" customHeight="1">
      <c r="A78" s="46"/>
      <c r="B78" s="47"/>
      <c r="C78" s="47"/>
      <c r="D78" s="47"/>
      <c r="E78" s="47"/>
      <c r="F78" s="47"/>
      <c r="G78" s="47"/>
      <c r="H78" s="47"/>
      <c r="I78" s="47"/>
      <c r="J78" s="47"/>
      <c r="K78" s="47"/>
      <c r="L78" s="47"/>
      <c r="M78" s="47"/>
      <c r="N78" s="47"/>
      <c r="O78" s="47"/>
      <c r="P78" s="47"/>
      <c r="Q78" s="47"/>
    </row>
    <row r="79" spans="1:17" ht="15" customHeight="1">
      <c r="A79" s="46"/>
      <c r="B79" s="47"/>
      <c r="C79" s="47"/>
      <c r="D79" s="47"/>
      <c r="E79" s="47"/>
      <c r="F79" s="47"/>
      <c r="G79" s="47"/>
      <c r="H79" s="47"/>
      <c r="I79" s="47"/>
      <c r="J79" s="47"/>
      <c r="K79" s="47"/>
      <c r="L79" s="47"/>
      <c r="M79" s="47"/>
      <c r="N79" s="47"/>
      <c r="O79" s="47"/>
      <c r="P79" s="47"/>
      <c r="Q79" s="47"/>
    </row>
    <row r="80" spans="1:17" ht="15" customHeight="1">
      <c r="A80" s="46"/>
      <c r="B80" s="47"/>
      <c r="C80" s="47"/>
      <c r="D80" s="47"/>
      <c r="E80" s="47"/>
      <c r="F80" s="47"/>
      <c r="G80" s="47"/>
      <c r="H80" s="47"/>
      <c r="I80" s="47"/>
      <c r="J80" s="47"/>
      <c r="K80" s="47"/>
      <c r="L80" s="47"/>
      <c r="M80" s="47"/>
      <c r="N80" s="47"/>
      <c r="O80" s="47"/>
      <c r="P80" s="47"/>
      <c r="Q80" s="47"/>
    </row>
    <row r="81" spans="1:17" ht="15" customHeight="1">
      <c r="A81" s="46"/>
      <c r="B81" s="47"/>
      <c r="C81" s="47"/>
      <c r="D81" s="47"/>
      <c r="E81" s="47"/>
      <c r="F81" s="47"/>
      <c r="G81" s="47"/>
      <c r="H81" s="47"/>
      <c r="I81" s="47"/>
      <c r="J81" s="47"/>
      <c r="K81" s="47"/>
      <c r="L81" s="47"/>
      <c r="M81" s="47"/>
      <c r="N81" s="47"/>
      <c r="O81" s="47"/>
      <c r="P81" s="47"/>
      <c r="Q81" s="47"/>
    </row>
    <row r="82" spans="1:17" ht="15" customHeight="1">
      <c r="A82" s="46"/>
      <c r="B82" s="47"/>
      <c r="C82" s="47"/>
      <c r="D82" s="47"/>
      <c r="E82" s="47"/>
      <c r="F82" s="47"/>
      <c r="G82" s="47"/>
      <c r="H82" s="47"/>
      <c r="I82" s="47"/>
      <c r="J82" s="47"/>
      <c r="K82" s="47"/>
      <c r="L82" s="47"/>
      <c r="M82" s="47"/>
      <c r="N82" s="47"/>
      <c r="O82" s="47"/>
      <c r="P82" s="47"/>
      <c r="Q82" s="47"/>
    </row>
    <row r="83" spans="1:17" ht="15" customHeight="1">
      <c r="A83" s="46"/>
      <c r="B83" s="47"/>
      <c r="C83" s="47"/>
      <c r="D83" s="47"/>
      <c r="E83" s="47"/>
      <c r="F83" s="47"/>
      <c r="G83" s="47"/>
      <c r="H83" s="47"/>
      <c r="I83" s="47"/>
      <c r="J83" s="47"/>
      <c r="K83" s="47"/>
      <c r="L83" s="47"/>
      <c r="M83" s="47"/>
      <c r="N83" s="47"/>
      <c r="O83" s="47"/>
      <c r="P83" s="47"/>
      <c r="Q83" s="47"/>
    </row>
    <row r="84" spans="1:17" ht="15" customHeight="1">
      <c r="A84" s="46"/>
      <c r="B84" s="47"/>
      <c r="C84" s="47"/>
      <c r="D84" s="47"/>
      <c r="E84" s="47"/>
      <c r="F84" s="47"/>
      <c r="G84" s="47"/>
      <c r="H84" s="47"/>
      <c r="I84" s="47"/>
      <c r="J84" s="47"/>
      <c r="K84" s="47"/>
      <c r="L84" s="47"/>
      <c r="M84" s="47"/>
      <c r="N84" s="47"/>
      <c r="O84" s="47"/>
      <c r="P84" s="47"/>
      <c r="Q84" s="47"/>
    </row>
    <row r="85" spans="1:17" ht="15" customHeight="1">
      <c r="A85" s="46"/>
      <c r="B85" s="47"/>
      <c r="C85" s="47"/>
      <c r="D85" s="47"/>
      <c r="E85" s="47"/>
      <c r="F85" s="47"/>
      <c r="G85" s="47"/>
      <c r="H85" s="47"/>
      <c r="I85" s="47"/>
      <c r="J85" s="47"/>
      <c r="K85" s="47"/>
      <c r="L85" s="47"/>
      <c r="M85" s="47"/>
      <c r="N85" s="47"/>
      <c r="O85" s="47"/>
      <c r="P85" s="47"/>
      <c r="Q85" s="47"/>
    </row>
    <row r="86" spans="1:17" ht="15" customHeight="1">
      <c r="A86" s="46"/>
      <c r="B86" s="47"/>
      <c r="C86" s="47"/>
      <c r="D86" s="47"/>
      <c r="E86" s="47"/>
      <c r="F86" s="47"/>
      <c r="G86" s="47"/>
      <c r="H86" s="47"/>
      <c r="I86" s="47"/>
      <c r="J86" s="47"/>
      <c r="K86" s="47"/>
      <c r="L86" s="47"/>
      <c r="M86" s="47"/>
      <c r="N86" s="47"/>
      <c r="O86" s="47"/>
      <c r="P86" s="47"/>
      <c r="Q86" s="47"/>
    </row>
    <row r="87" spans="1:17" ht="15" customHeight="1">
      <c r="A87" s="46"/>
      <c r="B87" s="47"/>
      <c r="C87" s="47"/>
      <c r="D87" s="47"/>
      <c r="E87" s="47"/>
      <c r="F87" s="47"/>
      <c r="G87" s="47"/>
      <c r="H87" s="47"/>
      <c r="I87" s="47"/>
      <c r="J87" s="47"/>
      <c r="K87" s="47"/>
      <c r="L87" s="47"/>
      <c r="M87" s="47"/>
      <c r="N87" s="47"/>
      <c r="O87" s="47"/>
      <c r="P87" s="47"/>
      <c r="Q87" s="47"/>
    </row>
    <row r="88" spans="1:17" ht="15" customHeight="1">
      <c r="A88" s="46"/>
      <c r="B88" s="47"/>
      <c r="C88" s="47"/>
      <c r="D88" s="47"/>
      <c r="E88" s="47"/>
      <c r="F88" s="47"/>
      <c r="G88" s="47"/>
      <c r="H88" s="47"/>
      <c r="I88" s="47"/>
      <c r="J88" s="47"/>
      <c r="K88" s="47"/>
      <c r="L88" s="47"/>
      <c r="M88" s="47"/>
      <c r="N88" s="47"/>
      <c r="O88" s="47"/>
      <c r="P88" s="47"/>
      <c r="Q88" s="47"/>
    </row>
    <row r="89" spans="1:17" ht="15" customHeight="1">
      <c r="A89" s="46"/>
      <c r="B89" s="47"/>
      <c r="C89" s="47"/>
      <c r="D89" s="47"/>
      <c r="E89" s="47"/>
      <c r="F89" s="47"/>
      <c r="G89" s="47"/>
      <c r="H89" s="47"/>
      <c r="I89" s="47"/>
      <c r="J89" s="47"/>
      <c r="K89" s="47"/>
      <c r="L89" s="47"/>
      <c r="M89" s="47"/>
      <c r="N89" s="47"/>
      <c r="O89" s="47"/>
      <c r="P89" s="47"/>
      <c r="Q89" s="47"/>
    </row>
    <row r="90" spans="1:17" ht="15" customHeight="1">
      <c r="A90" s="46"/>
      <c r="B90" s="47"/>
      <c r="C90" s="47"/>
      <c r="D90" s="47"/>
      <c r="E90" s="47"/>
      <c r="F90" s="47"/>
      <c r="G90" s="47"/>
      <c r="H90" s="47"/>
      <c r="I90" s="47"/>
      <c r="J90" s="47"/>
      <c r="K90" s="47"/>
      <c r="L90" s="47"/>
      <c r="M90" s="47"/>
      <c r="N90" s="47"/>
      <c r="O90" s="47"/>
      <c r="P90" s="47"/>
      <c r="Q90" s="47"/>
    </row>
    <row r="91" spans="1:17" ht="15" customHeight="1">
      <c r="A91" s="46"/>
      <c r="B91" s="47"/>
      <c r="C91" s="47"/>
      <c r="D91" s="47"/>
      <c r="E91" s="47"/>
      <c r="F91" s="47"/>
      <c r="G91" s="47"/>
      <c r="H91" s="47"/>
      <c r="I91" s="47"/>
      <c r="J91" s="47"/>
      <c r="K91" s="47"/>
      <c r="L91" s="47"/>
      <c r="M91" s="47"/>
      <c r="N91" s="47"/>
      <c r="O91" s="47"/>
      <c r="P91" s="47"/>
      <c r="Q91" s="47"/>
    </row>
    <row r="92" spans="1:17" ht="15" customHeight="1">
      <c r="A92" s="46"/>
      <c r="B92" s="47"/>
      <c r="C92" s="47"/>
      <c r="D92" s="47"/>
      <c r="E92" s="47"/>
      <c r="F92" s="47"/>
      <c r="G92" s="47"/>
      <c r="H92" s="47"/>
      <c r="I92" s="47"/>
      <c r="J92" s="47"/>
      <c r="K92" s="47"/>
      <c r="L92" s="47"/>
      <c r="M92" s="47"/>
      <c r="N92" s="47"/>
      <c r="O92" s="47"/>
      <c r="P92" s="47"/>
      <c r="Q92" s="47"/>
    </row>
    <row r="93" spans="1:17" ht="15" customHeight="1">
      <c r="A93" s="46"/>
      <c r="B93" s="47"/>
      <c r="C93" s="47"/>
      <c r="D93" s="47"/>
      <c r="E93" s="47"/>
      <c r="F93" s="47"/>
      <c r="G93" s="47"/>
      <c r="H93" s="47"/>
      <c r="I93" s="47"/>
      <c r="J93" s="47"/>
      <c r="K93" s="47"/>
      <c r="L93" s="47"/>
      <c r="M93" s="47"/>
      <c r="N93" s="47"/>
      <c r="O93" s="47"/>
      <c r="P93" s="47"/>
      <c r="Q93" s="47"/>
    </row>
    <row r="94" spans="1:17" ht="15" customHeight="1">
      <c r="A94" s="46"/>
      <c r="B94" s="47"/>
      <c r="C94" s="47"/>
      <c r="D94" s="47"/>
      <c r="E94" s="47"/>
      <c r="F94" s="47"/>
      <c r="G94" s="47"/>
      <c r="H94" s="47"/>
      <c r="I94" s="47"/>
      <c r="J94" s="47"/>
      <c r="K94" s="47"/>
      <c r="L94" s="47"/>
      <c r="M94" s="47"/>
      <c r="N94" s="47"/>
      <c r="O94" s="47"/>
      <c r="P94" s="47"/>
      <c r="Q94" s="47"/>
    </row>
    <row r="95" spans="1:17" ht="15" customHeight="1">
      <c r="A95" s="46"/>
      <c r="B95" s="47"/>
      <c r="C95" s="47"/>
      <c r="D95" s="47"/>
      <c r="E95" s="47"/>
      <c r="F95" s="47"/>
      <c r="G95" s="47"/>
      <c r="H95" s="47"/>
      <c r="I95" s="47"/>
      <c r="J95" s="47"/>
      <c r="K95" s="47"/>
      <c r="L95" s="47"/>
      <c r="M95" s="47"/>
      <c r="N95" s="47"/>
      <c r="O95" s="47"/>
      <c r="P95" s="47"/>
      <c r="Q95" s="47"/>
    </row>
    <row r="96" spans="1:17" ht="15" customHeight="1">
      <c r="A96" s="46"/>
      <c r="B96" s="47"/>
      <c r="C96" s="47"/>
      <c r="D96" s="47"/>
      <c r="E96" s="47"/>
      <c r="F96" s="47"/>
      <c r="G96" s="47"/>
      <c r="H96" s="47"/>
      <c r="I96" s="47"/>
      <c r="J96" s="47"/>
      <c r="K96" s="47"/>
      <c r="L96" s="47"/>
      <c r="M96" s="47"/>
      <c r="N96" s="47"/>
      <c r="O96" s="47"/>
      <c r="P96" s="47"/>
      <c r="Q96" s="47"/>
    </row>
    <row r="97" spans="1:17" ht="15" customHeight="1">
      <c r="A97" s="46"/>
      <c r="B97" s="47"/>
      <c r="C97" s="47"/>
      <c r="D97" s="47"/>
      <c r="E97" s="47"/>
      <c r="F97" s="47"/>
      <c r="G97" s="47"/>
      <c r="H97" s="47"/>
      <c r="I97" s="47"/>
      <c r="J97" s="47"/>
      <c r="K97" s="47"/>
      <c r="L97" s="47"/>
      <c r="M97" s="47"/>
      <c r="N97" s="47"/>
      <c r="O97" s="47"/>
      <c r="P97" s="47"/>
      <c r="Q97" s="47"/>
    </row>
    <row r="98" spans="1:17" ht="15" customHeight="1">
      <c r="A98" s="46"/>
      <c r="B98" s="47"/>
      <c r="C98" s="47"/>
      <c r="D98" s="47"/>
      <c r="E98" s="47"/>
      <c r="F98" s="47"/>
      <c r="G98" s="47"/>
      <c r="H98" s="47"/>
      <c r="I98" s="47"/>
      <c r="J98" s="47"/>
      <c r="K98" s="47"/>
      <c r="L98" s="47"/>
      <c r="M98" s="47"/>
      <c r="N98" s="47"/>
      <c r="O98" s="47"/>
      <c r="P98" s="47"/>
      <c r="Q98" s="47"/>
    </row>
    <row r="99" spans="1:17" ht="15" customHeight="1">
      <c r="A99" s="46"/>
      <c r="B99" s="47"/>
      <c r="C99" s="47"/>
      <c r="D99" s="47"/>
      <c r="E99" s="47"/>
      <c r="F99" s="47"/>
      <c r="G99" s="47"/>
      <c r="H99" s="47"/>
      <c r="I99" s="47"/>
      <c r="J99" s="47"/>
      <c r="K99" s="47"/>
      <c r="L99" s="47"/>
      <c r="M99" s="47"/>
      <c r="N99" s="47"/>
      <c r="O99" s="47"/>
      <c r="P99" s="47"/>
      <c r="Q99" s="47"/>
    </row>
    <row r="100" spans="1:17" ht="15" customHeight="1">
      <c r="A100" s="46"/>
      <c r="B100" s="47"/>
      <c r="C100" s="47"/>
      <c r="D100" s="47"/>
      <c r="E100" s="47"/>
      <c r="F100" s="47"/>
      <c r="G100" s="47"/>
      <c r="H100" s="47"/>
      <c r="I100" s="47"/>
      <c r="J100" s="47"/>
      <c r="K100" s="47"/>
      <c r="L100" s="47"/>
      <c r="M100" s="47"/>
      <c r="N100" s="47"/>
      <c r="O100" s="47"/>
      <c r="P100" s="47"/>
      <c r="Q100" s="47"/>
    </row>
    <row r="101" spans="1:17" ht="15" customHeight="1">
      <c r="A101" s="46"/>
      <c r="B101" s="47"/>
      <c r="C101" s="47"/>
      <c r="D101" s="47"/>
      <c r="E101" s="47"/>
      <c r="F101" s="47"/>
      <c r="G101" s="47"/>
      <c r="H101" s="47"/>
      <c r="I101" s="47"/>
      <c r="J101" s="47"/>
      <c r="K101" s="47"/>
      <c r="L101" s="47"/>
      <c r="M101" s="47"/>
      <c r="N101" s="47"/>
      <c r="O101" s="47"/>
      <c r="P101" s="47"/>
      <c r="Q101" s="47"/>
    </row>
    <row r="102" spans="1:17" ht="15" customHeight="1">
      <c r="A102" s="46"/>
      <c r="B102" s="47"/>
      <c r="C102" s="47"/>
      <c r="D102" s="47"/>
      <c r="E102" s="47"/>
      <c r="F102" s="47"/>
      <c r="G102" s="47"/>
      <c r="H102" s="47"/>
      <c r="I102" s="47"/>
      <c r="J102" s="47"/>
      <c r="K102" s="47"/>
      <c r="L102" s="47"/>
      <c r="M102" s="47"/>
      <c r="N102" s="47"/>
      <c r="O102" s="47"/>
      <c r="P102" s="47"/>
      <c r="Q102" s="47"/>
    </row>
    <row r="103" spans="1:17" ht="15" customHeight="1">
      <c r="A103" s="46"/>
      <c r="B103" s="47"/>
      <c r="C103" s="47"/>
      <c r="D103" s="47"/>
      <c r="E103" s="47"/>
      <c r="F103" s="47"/>
      <c r="G103" s="47"/>
      <c r="H103" s="47"/>
      <c r="I103" s="47"/>
      <c r="J103" s="47"/>
      <c r="K103" s="47"/>
      <c r="L103" s="47"/>
      <c r="M103" s="47"/>
      <c r="N103" s="47"/>
      <c r="O103" s="47"/>
      <c r="P103" s="47"/>
      <c r="Q103" s="47"/>
    </row>
  </sheetData>
  <mergeCells count="1">
    <mergeCell ref="A1:C1"/>
  </mergeCells>
  <printOptions horizontalCentered="1"/>
  <pageMargins left="0.5" right="0.5" top="0.52" bottom="0.5" header="0" footer="0.25"/>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W125"/>
  <sheetViews>
    <sheetView workbookViewId="0" topLeftCell="A1">
      <selection activeCell="L1" sqref="L1"/>
    </sheetView>
  </sheetViews>
  <sheetFormatPr defaultColWidth="9.140625" defaultRowHeight="15" customHeight="1"/>
  <cols>
    <col min="1" max="1" width="4.7109375" style="58" customWidth="1"/>
    <col min="2" max="2" width="9.28125" style="59" hidden="1" customWidth="1"/>
    <col min="3" max="3" width="6.28125" style="59" customWidth="1"/>
    <col min="4" max="4" width="48.28125" style="58" customWidth="1"/>
    <col min="5" max="5" width="6.421875" style="59" customWidth="1"/>
    <col min="6" max="7" width="9.7109375" style="58" customWidth="1"/>
    <col min="8" max="8" width="2.00390625" style="58" customWidth="1"/>
    <col min="9" max="9" width="7.00390625" style="114" customWidth="1"/>
    <col min="10" max="10" width="13.421875" style="58" customWidth="1"/>
    <col min="11" max="11" width="10.7109375" style="58" bestFit="1" customWidth="1"/>
    <col min="12" max="12" width="14.421875" style="58" customWidth="1"/>
    <col min="13" max="13" width="6.57421875" style="246" customWidth="1"/>
    <col min="14" max="14" width="11.421875" style="246" customWidth="1"/>
    <col min="15" max="15" width="11.28125" style="246" customWidth="1"/>
    <col min="16" max="23" width="11.421875" style="246" customWidth="1"/>
    <col min="24" max="16384" width="11.421875" style="58" customWidth="1"/>
  </cols>
  <sheetData>
    <row r="1" spans="4:12" ht="15" customHeight="1">
      <c r="D1" s="490" t="s">
        <v>307</v>
      </c>
      <c r="E1" s="490"/>
      <c r="F1" s="490"/>
      <c r="G1" s="490"/>
      <c r="H1" s="490"/>
      <c r="I1" s="490"/>
      <c r="J1" s="490"/>
      <c r="K1" s="490"/>
      <c r="L1" s="482" t="s">
        <v>605</v>
      </c>
    </row>
    <row r="2" spans="4:11" ht="15" customHeight="1">
      <c r="D2" s="490" t="s">
        <v>308</v>
      </c>
      <c r="E2" s="490"/>
      <c r="F2" s="490"/>
      <c r="G2" s="490"/>
      <c r="H2" s="490"/>
      <c r="I2" s="490"/>
      <c r="J2" s="490"/>
      <c r="K2" s="490"/>
    </row>
    <row r="3" spans="2:12" ht="15" customHeight="1">
      <c r="B3" s="62"/>
      <c r="C3" s="62"/>
      <c r="D3" s="491" t="s">
        <v>508</v>
      </c>
      <c r="E3" s="491"/>
      <c r="F3" s="491"/>
      <c r="G3" s="491"/>
      <c r="H3" s="491"/>
      <c r="I3" s="491"/>
      <c r="J3" s="491"/>
      <c r="K3" s="491"/>
      <c r="L3" s="63"/>
    </row>
    <row r="4" spans="2:12" ht="15" customHeight="1">
      <c r="B4" s="62"/>
      <c r="C4" s="62"/>
      <c r="D4" s="61"/>
      <c r="E4" s="61"/>
      <c r="F4" s="61"/>
      <c r="G4" s="61"/>
      <c r="H4" s="61"/>
      <c r="I4" s="61"/>
      <c r="J4" s="61"/>
      <c r="K4" s="61"/>
      <c r="L4" s="63"/>
    </row>
    <row r="5" spans="2:12" ht="15" customHeight="1">
      <c r="B5" s="59" t="s">
        <v>414</v>
      </c>
      <c r="D5" s="64" t="s">
        <v>414</v>
      </c>
      <c r="E5" s="59" t="s">
        <v>416</v>
      </c>
      <c r="F5" s="64" t="s">
        <v>415</v>
      </c>
      <c r="G5" s="64" t="s">
        <v>416</v>
      </c>
      <c r="H5" s="59"/>
      <c r="I5" s="111" t="s">
        <v>396</v>
      </c>
      <c r="J5" s="64" t="s">
        <v>397</v>
      </c>
      <c r="K5" s="64" t="s">
        <v>398</v>
      </c>
      <c r="L5" s="64" t="s">
        <v>399</v>
      </c>
    </row>
    <row r="6" spans="2:23" s="65" customFormat="1" ht="15" customHeight="1">
      <c r="B6" s="66"/>
      <c r="C6" s="66"/>
      <c r="E6" s="66"/>
      <c r="F6" s="77"/>
      <c r="G6" s="66"/>
      <c r="H6" s="67"/>
      <c r="I6" s="112"/>
      <c r="J6" s="67" t="s">
        <v>430</v>
      </c>
      <c r="K6" s="67" t="s">
        <v>429</v>
      </c>
      <c r="L6" s="59"/>
      <c r="M6" s="246"/>
      <c r="N6" s="246"/>
      <c r="O6" s="246"/>
      <c r="P6" s="246"/>
      <c r="Q6" s="246"/>
      <c r="R6" s="246"/>
      <c r="S6" s="246"/>
      <c r="T6" s="246"/>
      <c r="U6" s="246"/>
      <c r="V6" s="246"/>
      <c r="W6" s="246"/>
    </row>
    <row r="7" spans="1:12" ht="15" customHeight="1">
      <c r="A7" s="59" t="s">
        <v>281</v>
      </c>
      <c r="B7" s="59" t="s">
        <v>467</v>
      </c>
      <c r="C7" s="59" t="s">
        <v>467</v>
      </c>
      <c r="D7" s="59"/>
      <c r="E7" s="59" t="s">
        <v>468</v>
      </c>
      <c r="F7" s="67" t="s">
        <v>430</v>
      </c>
      <c r="G7" s="67" t="s">
        <v>429</v>
      </c>
      <c r="H7" s="67"/>
      <c r="I7" s="128" t="s">
        <v>435</v>
      </c>
      <c r="J7" s="109" t="s">
        <v>431</v>
      </c>
      <c r="K7" s="109" t="s">
        <v>469</v>
      </c>
      <c r="L7" s="59" t="s">
        <v>470</v>
      </c>
    </row>
    <row r="8" spans="1:23" s="59" customFormat="1" ht="15" customHeight="1">
      <c r="A8" s="69" t="s">
        <v>444</v>
      </c>
      <c r="B8" s="57" t="s">
        <v>432</v>
      </c>
      <c r="C8" s="57" t="s">
        <v>471</v>
      </c>
      <c r="D8" s="57" t="s">
        <v>433</v>
      </c>
      <c r="E8" s="57" t="s">
        <v>472</v>
      </c>
      <c r="F8" s="57" t="s">
        <v>434</v>
      </c>
      <c r="G8" s="57" t="s">
        <v>434</v>
      </c>
      <c r="H8" s="57"/>
      <c r="I8" s="107" t="s">
        <v>743</v>
      </c>
      <c r="J8" s="69" t="s">
        <v>473</v>
      </c>
      <c r="K8" s="69" t="s">
        <v>474</v>
      </c>
      <c r="L8" s="69" t="s">
        <v>475</v>
      </c>
      <c r="M8" s="246"/>
      <c r="N8" s="246"/>
      <c r="O8" s="246"/>
      <c r="P8" s="246"/>
      <c r="Q8" s="246"/>
      <c r="R8" s="246"/>
      <c r="S8" s="246"/>
      <c r="T8" s="246"/>
      <c r="U8" s="246"/>
      <c r="V8" s="246"/>
      <c r="W8" s="246"/>
    </row>
    <row r="9" spans="2:23" s="59" customFormat="1" ht="15" customHeight="1">
      <c r="B9" s="68"/>
      <c r="C9" s="68"/>
      <c r="E9" s="68"/>
      <c r="F9" s="68"/>
      <c r="G9" s="68"/>
      <c r="H9" s="68"/>
      <c r="I9" s="113"/>
      <c r="J9" s="70"/>
      <c r="K9" s="71"/>
      <c r="L9" s="71"/>
      <c r="M9" s="246"/>
      <c r="N9" s="246"/>
      <c r="O9" s="246"/>
      <c r="P9" s="246"/>
      <c r="Q9" s="246"/>
      <c r="R9" s="246"/>
      <c r="S9" s="246"/>
      <c r="T9" s="246"/>
      <c r="U9" s="246"/>
      <c r="V9" s="246"/>
      <c r="W9" s="246"/>
    </row>
    <row r="10" spans="2:23" s="59" customFormat="1" ht="15" customHeight="1">
      <c r="B10" s="68"/>
      <c r="C10" s="68"/>
      <c r="D10" s="350" t="s">
        <v>527</v>
      </c>
      <c r="E10" s="68"/>
      <c r="F10" s="68"/>
      <c r="G10" s="68"/>
      <c r="H10" s="68"/>
      <c r="I10" s="113"/>
      <c r="J10" s="70"/>
      <c r="K10" s="71"/>
      <c r="L10" s="71"/>
      <c r="M10" s="246"/>
      <c r="N10" s="246"/>
      <c r="O10" s="246"/>
      <c r="P10" s="246"/>
      <c r="Q10" s="246"/>
      <c r="R10" s="246"/>
      <c r="S10" s="246"/>
      <c r="T10" s="246"/>
      <c r="U10" s="246"/>
      <c r="V10" s="246"/>
      <c r="W10" s="246"/>
    </row>
    <row r="11" spans="1:23" s="59" customFormat="1" ht="15" customHeight="1">
      <c r="A11" s="59">
        <v>1</v>
      </c>
      <c r="B11" s="59" t="s">
        <v>477</v>
      </c>
      <c r="C11" s="59">
        <v>24</v>
      </c>
      <c r="D11" s="86" t="s">
        <v>515</v>
      </c>
      <c r="E11" s="59" t="s">
        <v>476</v>
      </c>
      <c r="F11" s="329">
        <v>11.93</v>
      </c>
      <c r="G11" s="329">
        <v>13.5</v>
      </c>
      <c r="H11" s="341"/>
      <c r="I11" s="348">
        <v>7194</v>
      </c>
      <c r="J11" s="72">
        <f>I11*F11*12</f>
        <v>1029893.04</v>
      </c>
      <c r="K11" s="72">
        <f>I11*G11*12</f>
        <v>1165428</v>
      </c>
      <c r="L11" s="72">
        <f>K11-J11</f>
        <v>135534.95999999996</v>
      </c>
      <c r="M11" s="246"/>
      <c r="N11" s="246"/>
      <c r="O11" s="246"/>
      <c r="P11" s="246"/>
      <c r="Q11" s="246"/>
      <c r="R11" s="246"/>
      <c r="S11" s="246"/>
      <c r="T11" s="246"/>
      <c r="U11" s="246"/>
      <c r="V11" s="246"/>
      <c r="W11" s="246"/>
    </row>
    <row r="12" spans="1:12" ht="15" customHeight="1">
      <c r="A12" s="59">
        <v>2</v>
      </c>
      <c r="B12" s="59" t="s">
        <v>478</v>
      </c>
      <c r="C12" s="59">
        <v>24</v>
      </c>
      <c r="D12" s="86" t="s">
        <v>516</v>
      </c>
      <c r="E12" s="59" t="s">
        <v>476</v>
      </c>
      <c r="F12" s="329">
        <v>19.37</v>
      </c>
      <c r="G12" s="329">
        <v>23</v>
      </c>
      <c r="H12" s="341"/>
      <c r="I12" s="348">
        <v>2777</v>
      </c>
      <c r="J12" s="72">
        <f>I12*F12*12</f>
        <v>645485.8800000001</v>
      </c>
      <c r="K12" s="72">
        <f>I12*G12*12</f>
        <v>766452</v>
      </c>
      <c r="L12" s="72">
        <f>K12-J12</f>
        <v>120966.11999999988</v>
      </c>
    </row>
    <row r="13" spans="1:12" ht="15" customHeight="1">
      <c r="A13" s="59">
        <v>3</v>
      </c>
      <c r="D13" s="86" t="s">
        <v>517</v>
      </c>
      <c r="E13" s="59" t="s">
        <v>476</v>
      </c>
      <c r="F13" s="329">
        <v>0.99</v>
      </c>
      <c r="G13" s="329">
        <v>0.99</v>
      </c>
      <c r="H13" s="341"/>
      <c r="I13" s="348">
        <f>+I11</f>
        <v>7194</v>
      </c>
      <c r="J13" s="72">
        <f>I13*F13*12</f>
        <v>85464.72</v>
      </c>
      <c r="K13" s="72">
        <f>I13*G13*12</f>
        <v>85464.72</v>
      </c>
      <c r="L13" s="72">
        <f>K13-J13</f>
        <v>0</v>
      </c>
    </row>
    <row r="14" spans="1:12" ht="15" customHeight="1">
      <c r="A14" s="59">
        <f>(A13+1)</f>
        <v>4</v>
      </c>
      <c r="B14" s="59" t="s">
        <v>479</v>
      </c>
      <c r="C14" s="59">
        <v>24</v>
      </c>
      <c r="D14" s="86" t="s">
        <v>518</v>
      </c>
      <c r="E14" s="59" t="s">
        <v>476</v>
      </c>
      <c r="F14" s="329">
        <v>1.49</v>
      </c>
      <c r="G14" s="329">
        <v>1.49</v>
      </c>
      <c r="H14" s="341"/>
      <c r="I14" s="348">
        <f>+I12</f>
        <v>2777</v>
      </c>
      <c r="J14" s="72">
        <f>I14*F14*12</f>
        <v>49652.759999999995</v>
      </c>
      <c r="K14" s="72">
        <f>I14*G14*12</f>
        <v>49652.759999999995</v>
      </c>
      <c r="L14" s="72">
        <f>K14-J14</f>
        <v>0</v>
      </c>
    </row>
    <row r="15" spans="1:12" ht="15" customHeight="1">
      <c r="A15" s="59">
        <f>(A14+1)</f>
        <v>5</v>
      </c>
      <c r="D15" s="86" t="s">
        <v>309</v>
      </c>
      <c r="E15" s="59" t="s">
        <v>476</v>
      </c>
      <c r="F15" s="342">
        <v>28.45</v>
      </c>
      <c r="G15" s="342">
        <v>28.45</v>
      </c>
      <c r="H15" s="341"/>
      <c r="I15" s="348">
        <v>2</v>
      </c>
      <c r="J15" s="73">
        <f>I15*F15*12</f>
        <v>682.8</v>
      </c>
      <c r="K15" s="73">
        <f>I15*G15*12</f>
        <v>682.8</v>
      </c>
      <c r="L15" s="73">
        <f>K15-J15</f>
        <v>0</v>
      </c>
    </row>
    <row r="16" spans="1:23" s="59" customFormat="1" ht="15" customHeight="1" thickBot="1">
      <c r="A16" s="59">
        <f>(A15+1)</f>
        <v>6</v>
      </c>
      <c r="C16" s="82"/>
      <c r="D16" s="60" t="s">
        <v>489</v>
      </c>
      <c r="E16" s="59" t="s">
        <v>519</v>
      </c>
      <c r="F16" s="343"/>
      <c r="G16" s="343"/>
      <c r="H16" s="341"/>
      <c r="I16" s="348"/>
      <c r="J16" s="115">
        <f>SUM(J11:J15)</f>
        <v>1811179.2000000002</v>
      </c>
      <c r="K16" s="115">
        <f>SUM(K11:K15)</f>
        <v>2067680.28</v>
      </c>
      <c r="L16" s="115">
        <f>SUM(L11:L15)</f>
        <v>256501.07999999984</v>
      </c>
      <c r="M16" s="246"/>
      <c r="N16" s="246"/>
      <c r="O16" s="246"/>
      <c r="P16" s="246"/>
      <c r="Q16" s="246"/>
      <c r="R16" s="246"/>
      <c r="S16" s="246"/>
      <c r="T16" s="246"/>
      <c r="U16" s="246"/>
      <c r="V16" s="246"/>
      <c r="W16" s="246"/>
    </row>
    <row r="17" spans="1:12" ht="15" customHeight="1" thickTop="1">
      <c r="A17" s="59"/>
      <c r="B17" s="59" t="s">
        <v>480</v>
      </c>
      <c r="C17" s="59">
        <v>35</v>
      </c>
      <c r="D17" s="130"/>
      <c r="F17" s="343"/>
      <c r="G17" s="343"/>
      <c r="H17" s="341"/>
      <c r="I17" s="348"/>
      <c r="J17" s="72"/>
      <c r="K17" s="72"/>
      <c r="L17" s="72"/>
    </row>
    <row r="18" spans="1:12" ht="15" customHeight="1">
      <c r="A18" s="59"/>
      <c r="D18" s="349" t="s">
        <v>310</v>
      </c>
      <c r="F18" s="343"/>
      <c r="G18" s="343"/>
      <c r="H18" s="341"/>
      <c r="I18" s="348"/>
      <c r="J18" s="72"/>
      <c r="K18" s="72"/>
      <c r="L18" s="72"/>
    </row>
    <row r="19" spans="1:12" ht="15" customHeight="1">
      <c r="A19" s="59">
        <v>7</v>
      </c>
      <c r="B19" s="59" t="s">
        <v>490</v>
      </c>
      <c r="C19" s="59">
        <v>37</v>
      </c>
      <c r="D19" s="58" t="s">
        <v>507</v>
      </c>
      <c r="E19" s="59" t="s">
        <v>476</v>
      </c>
      <c r="F19" s="342">
        <v>15</v>
      </c>
      <c r="G19" s="342">
        <v>20</v>
      </c>
      <c r="H19" s="341"/>
      <c r="I19" s="348">
        <v>22</v>
      </c>
      <c r="J19" s="72">
        <f aca="true" t="shared" si="0" ref="J19:J25">I19*F19*12</f>
        <v>3960</v>
      </c>
      <c r="K19" s="72">
        <f aca="true" t="shared" si="1" ref="K19:K25">I19*G19*12</f>
        <v>5280</v>
      </c>
      <c r="L19" s="72">
        <f aca="true" t="shared" si="2" ref="L19:L25">K19-J19</f>
        <v>1320</v>
      </c>
    </row>
    <row r="20" spans="1:12" ht="15" customHeight="1">
      <c r="A20" s="59">
        <v>8</v>
      </c>
      <c r="B20" s="59" t="s">
        <v>481</v>
      </c>
      <c r="C20" s="83">
        <v>38.1</v>
      </c>
      <c r="D20" s="58" t="s">
        <v>520</v>
      </c>
      <c r="E20" s="59" t="s">
        <v>476</v>
      </c>
      <c r="F20" s="342">
        <v>10</v>
      </c>
      <c r="G20" s="342">
        <v>15</v>
      </c>
      <c r="H20" s="341"/>
      <c r="I20" s="348">
        <v>239</v>
      </c>
      <c r="J20" s="72">
        <f t="shared" si="0"/>
        <v>28680</v>
      </c>
      <c r="K20" s="72">
        <f t="shared" si="1"/>
        <v>43020</v>
      </c>
      <c r="L20" s="72">
        <f t="shared" si="2"/>
        <v>14340</v>
      </c>
    </row>
    <row r="21" spans="1:12" ht="15" customHeight="1">
      <c r="A21" s="59">
        <v>9</v>
      </c>
      <c r="C21" s="83"/>
      <c r="D21" s="58" t="s">
        <v>521</v>
      </c>
      <c r="E21" s="59" t="s">
        <v>476</v>
      </c>
      <c r="F21" s="342">
        <v>13</v>
      </c>
      <c r="G21" s="342">
        <v>15</v>
      </c>
      <c r="H21" s="341"/>
      <c r="I21" s="348">
        <v>30</v>
      </c>
      <c r="J21" s="72">
        <f t="shared" si="0"/>
        <v>4680</v>
      </c>
      <c r="K21" s="72">
        <f t="shared" si="1"/>
        <v>5400</v>
      </c>
      <c r="L21" s="72">
        <f t="shared" si="2"/>
        <v>720</v>
      </c>
    </row>
    <row r="22" spans="1:12" ht="15" customHeight="1">
      <c r="A22" s="59">
        <v>10</v>
      </c>
      <c r="B22" s="59" t="s">
        <v>482</v>
      </c>
      <c r="C22" s="83">
        <v>38.1</v>
      </c>
      <c r="D22" s="58" t="s">
        <v>522</v>
      </c>
      <c r="E22" s="59" t="s">
        <v>476</v>
      </c>
      <c r="F22" s="342">
        <v>8</v>
      </c>
      <c r="G22" s="342">
        <v>15</v>
      </c>
      <c r="H22" s="341"/>
      <c r="I22" s="348">
        <v>221</v>
      </c>
      <c r="J22" s="72">
        <f t="shared" si="0"/>
        <v>21216</v>
      </c>
      <c r="K22" s="72">
        <f t="shared" si="1"/>
        <v>39780</v>
      </c>
      <c r="L22" s="72">
        <f t="shared" si="2"/>
        <v>18564</v>
      </c>
    </row>
    <row r="23" spans="1:12" ht="15" customHeight="1">
      <c r="A23" s="59">
        <v>11</v>
      </c>
      <c r="B23" s="59" t="s">
        <v>491</v>
      </c>
      <c r="C23" s="83">
        <v>38.1</v>
      </c>
      <c r="D23" s="58" t="s">
        <v>523</v>
      </c>
      <c r="E23" s="59" t="s">
        <v>476</v>
      </c>
      <c r="F23" s="342">
        <v>12</v>
      </c>
      <c r="G23" s="342">
        <v>15</v>
      </c>
      <c r="H23" s="341"/>
      <c r="I23" s="348">
        <v>28</v>
      </c>
      <c r="J23" s="72">
        <f t="shared" si="0"/>
        <v>4032</v>
      </c>
      <c r="K23" s="72">
        <f t="shared" si="1"/>
        <v>5040</v>
      </c>
      <c r="L23" s="72">
        <f t="shared" si="2"/>
        <v>1008</v>
      </c>
    </row>
    <row r="24" spans="1:12" ht="15" customHeight="1">
      <c r="A24" s="59">
        <v>12</v>
      </c>
      <c r="B24" s="247" t="s">
        <v>483</v>
      </c>
      <c r="C24" s="83">
        <v>38.1</v>
      </c>
      <c r="D24" s="58" t="s">
        <v>524</v>
      </c>
      <c r="E24" s="59" t="s">
        <v>476</v>
      </c>
      <c r="F24" s="342">
        <v>10</v>
      </c>
      <c r="G24" s="342">
        <v>30</v>
      </c>
      <c r="H24" s="341"/>
      <c r="I24" s="348">
        <v>21</v>
      </c>
      <c r="J24" s="72">
        <f t="shared" si="0"/>
        <v>2520</v>
      </c>
      <c r="K24" s="72">
        <f t="shared" si="1"/>
        <v>7560</v>
      </c>
      <c r="L24" s="72">
        <f t="shared" si="2"/>
        <v>5040</v>
      </c>
    </row>
    <row r="25" spans="1:12" ht="15" customHeight="1">
      <c r="A25" s="59">
        <v>13</v>
      </c>
      <c r="B25" s="247"/>
      <c r="C25" s="83"/>
      <c r="D25" s="58" t="s">
        <v>525</v>
      </c>
      <c r="E25" s="59" t="s">
        <v>476</v>
      </c>
      <c r="F25" s="342">
        <v>16</v>
      </c>
      <c r="G25" s="342">
        <v>30</v>
      </c>
      <c r="H25" s="341"/>
      <c r="I25" s="348">
        <v>11</v>
      </c>
      <c r="J25" s="72">
        <f t="shared" si="0"/>
        <v>2112</v>
      </c>
      <c r="K25" s="72">
        <f t="shared" si="1"/>
        <v>3960</v>
      </c>
      <c r="L25" s="72">
        <f t="shared" si="2"/>
        <v>1848</v>
      </c>
    </row>
    <row r="26" spans="1:12" ht="15" customHeight="1" thickBot="1">
      <c r="A26" s="59">
        <v>15</v>
      </c>
      <c r="B26" s="59" t="s">
        <v>484</v>
      </c>
      <c r="C26" s="83"/>
      <c r="D26" s="58" t="s">
        <v>311</v>
      </c>
      <c r="F26" s="75"/>
      <c r="G26" s="75"/>
      <c r="H26" s="59"/>
      <c r="I26" s="110"/>
      <c r="J26" s="115">
        <f>SUM(J19:J25)</f>
        <v>67200</v>
      </c>
      <c r="K26" s="115">
        <f>SUM(K19:K25)</f>
        <v>110040</v>
      </c>
      <c r="L26" s="115">
        <f>SUM(L19:L25)</f>
        <v>42840</v>
      </c>
    </row>
    <row r="27" spans="1:12" ht="15" customHeight="1" thickTop="1">
      <c r="A27" s="59"/>
      <c r="C27" s="83"/>
      <c r="D27" s="58" t="s">
        <v>333</v>
      </c>
      <c r="F27" s="75"/>
      <c r="G27" s="76"/>
      <c r="H27" s="59"/>
      <c r="I27" s="110"/>
      <c r="J27" s="73"/>
      <c r="K27" s="73"/>
      <c r="L27" s="73"/>
    </row>
    <row r="28" spans="1:12" ht="15" customHeight="1" thickBot="1">
      <c r="A28" s="59"/>
      <c r="D28" s="58" t="s">
        <v>604</v>
      </c>
      <c r="F28" s="74"/>
      <c r="G28" s="74"/>
      <c r="H28" s="59"/>
      <c r="I28" s="110"/>
      <c r="J28" s="72"/>
      <c r="K28" s="72"/>
      <c r="L28" s="115">
        <f>+L26+L16</f>
        <v>299341.07999999984</v>
      </c>
    </row>
    <row r="29" spans="1:12" ht="15" customHeight="1" thickTop="1">
      <c r="A29" s="59"/>
      <c r="D29" s="246"/>
      <c r="E29" s="246"/>
      <c r="F29" s="246"/>
      <c r="G29" s="246"/>
      <c r="H29" s="246"/>
      <c r="I29" s="246"/>
      <c r="J29" s="246"/>
      <c r="K29" s="246"/>
      <c r="L29" s="344" t="s">
        <v>606</v>
      </c>
    </row>
    <row r="30" spans="1:12" ht="15" customHeight="1">
      <c r="A30" s="59"/>
      <c r="D30" s="246"/>
      <c r="E30" s="246"/>
      <c r="F30" s="246"/>
      <c r="G30" s="246"/>
      <c r="H30" s="246"/>
      <c r="I30" s="246"/>
      <c r="J30" s="246"/>
      <c r="K30" s="246"/>
      <c r="L30" s="246"/>
    </row>
    <row r="31" spans="1:12" ht="15" customHeight="1">
      <c r="A31" s="59" t="s">
        <v>744</v>
      </c>
      <c r="C31" s="59" t="s">
        <v>375</v>
      </c>
      <c r="D31" s="58" t="s">
        <v>737</v>
      </c>
      <c r="E31" s="246"/>
      <c r="F31" s="246"/>
      <c r="G31" s="246"/>
      <c r="H31" s="246"/>
      <c r="I31" s="246"/>
      <c r="J31" s="246"/>
      <c r="K31" s="246"/>
      <c r="L31" s="246"/>
    </row>
    <row r="32" spans="1:12" ht="15" customHeight="1">
      <c r="A32" s="59"/>
      <c r="D32" s="58" t="s">
        <v>732</v>
      </c>
      <c r="E32" s="246"/>
      <c r="F32" s="246"/>
      <c r="G32" s="246"/>
      <c r="H32" s="246"/>
      <c r="I32" s="246"/>
      <c r="J32" s="246"/>
      <c r="K32" s="246"/>
      <c r="L32" s="246"/>
    </row>
    <row r="33" spans="1:4" s="246" customFormat="1" ht="15" customHeight="1">
      <c r="A33" s="59"/>
      <c r="B33" s="59"/>
      <c r="C33" s="59"/>
      <c r="D33" s="58" t="s">
        <v>733</v>
      </c>
    </row>
    <row r="34" spans="1:4" s="246" customFormat="1" ht="15" customHeight="1">
      <c r="A34" s="59"/>
      <c r="B34" s="59"/>
      <c r="C34" s="59"/>
      <c r="D34" s="58" t="s">
        <v>734</v>
      </c>
    </row>
    <row r="35" spans="1:4" s="246" customFormat="1" ht="15" customHeight="1">
      <c r="A35" s="59"/>
      <c r="B35" s="59"/>
      <c r="C35" s="59"/>
      <c r="D35" s="58" t="s">
        <v>735</v>
      </c>
    </row>
    <row r="36" spans="1:4" s="246" customFormat="1" ht="15" customHeight="1">
      <c r="A36" s="59"/>
      <c r="B36" s="59"/>
      <c r="C36" s="59"/>
      <c r="D36" s="58"/>
    </row>
    <row r="37" spans="1:4" s="246" customFormat="1" ht="15" customHeight="1">
      <c r="A37" s="59"/>
      <c r="B37" s="59"/>
      <c r="C37" s="59"/>
      <c r="D37" s="58" t="s">
        <v>736</v>
      </c>
    </row>
    <row r="38" spans="1:3" s="246" customFormat="1" ht="15" customHeight="1">
      <c r="A38" s="59"/>
      <c r="B38" s="59"/>
      <c r="C38" s="59"/>
    </row>
    <row r="39" spans="1:3" s="246" customFormat="1" ht="15" customHeight="1">
      <c r="A39" s="59"/>
      <c r="B39" s="59"/>
      <c r="C39" s="59"/>
    </row>
    <row r="40" spans="1:3" s="246" customFormat="1" ht="15" customHeight="1">
      <c r="A40" s="59"/>
      <c r="B40" s="59"/>
      <c r="C40" s="59"/>
    </row>
    <row r="41" spans="1:3" s="246" customFormat="1" ht="15" customHeight="1">
      <c r="A41" s="59"/>
      <c r="B41" s="59"/>
      <c r="C41" s="59"/>
    </row>
    <row r="42" spans="1:3" s="246" customFormat="1" ht="15" customHeight="1">
      <c r="A42" s="59"/>
      <c r="B42" s="59"/>
      <c r="C42" s="59"/>
    </row>
    <row r="43" spans="1:3" s="246" customFormat="1" ht="15" customHeight="1">
      <c r="A43" s="59"/>
      <c r="B43" s="59"/>
      <c r="C43" s="59"/>
    </row>
    <row r="44" spans="1:3" s="246" customFormat="1" ht="15" customHeight="1">
      <c r="A44" s="59"/>
      <c r="B44" s="59"/>
      <c r="C44" s="59"/>
    </row>
    <row r="45" spans="1:3" s="246" customFormat="1" ht="15" customHeight="1">
      <c r="A45" s="59"/>
      <c r="B45" s="59"/>
      <c r="C45" s="59"/>
    </row>
    <row r="46" spans="1:3" s="246" customFormat="1" ht="15" customHeight="1">
      <c r="A46" s="59"/>
      <c r="B46" s="59"/>
      <c r="C46" s="59"/>
    </row>
    <row r="47" spans="1:3" s="246" customFormat="1" ht="15" customHeight="1">
      <c r="A47" s="59"/>
      <c r="B47" s="59"/>
      <c r="C47" s="59"/>
    </row>
    <row r="48" spans="1:3" s="246" customFormat="1" ht="15" customHeight="1">
      <c r="A48" s="59"/>
      <c r="B48" s="59"/>
      <c r="C48" s="59"/>
    </row>
    <row r="49" spans="1:3" s="246" customFormat="1" ht="15" customHeight="1">
      <c r="A49" s="58"/>
      <c r="B49" s="59"/>
      <c r="C49" s="59"/>
    </row>
    <row r="50" spans="1:3" s="246" customFormat="1" ht="15" customHeight="1">
      <c r="A50" s="58"/>
      <c r="B50" s="59"/>
      <c r="C50" s="59"/>
    </row>
    <row r="51" spans="1:3" s="246" customFormat="1" ht="15" customHeight="1">
      <c r="A51" s="58"/>
      <c r="B51" s="59"/>
      <c r="C51" s="59"/>
    </row>
    <row r="52" spans="1:3" s="246" customFormat="1" ht="15" customHeight="1">
      <c r="A52" s="58"/>
      <c r="B52" s="59"/>
      <c r="C52" s="59"/>
    </row>
    <row r="53" spans="1:3" s="246" customFormat="1" ht="15" customHeight="1">
      <c r="A53" s="58"/>
      <c r="B53" s="59"/>
      <c r="C53" s="59"/>
    </row>
    <row r="54" spans="1:3" s="246" customFormat="1" ht="15" customHeight="1">
      <c r="A54" s="58"/>
      <c r="B54" s="59"/>
      <c r="C54" s="59"/>
    </row>
    <row r="55" spans="1:3" s="246" customFormat="1" ht="15" customHeight="1">
      <c r="A55" s="58"/>
      <c r="B55" s="59"/>
      <c r="C55" s="59"/>
    </row>
    <row r="56" spans="1:3" s="246" customFormat="1" ht="15" customHeight="1">
      <c r="A56" s="58"/>
      <c r="B56" s="59"/>
      <c r="C56" s="59"/>
    </row>
    <row r="57" spans="1:3" s="246" customFormat="1" ht="15" customHeight="1">
      <c r="A57" s="58"/>
      <c r="B57" s="59"/>
      <c r="C57" s="59"/>
    </row>
    <row r="58" spans="1:3" s="246" customFormat="1" ht="15" customHeight="1">
      <c r="A58" s="59"/>
      <c r="B58" s="59" t="s">
        <v>492</v>
      </c>
      <c r="C58" s="83">
        <v>38.1</v>
      </c>
    </row>
    <row r="59" spans="1:3" s="246" customFormat="1" ht="15" customHeight="1">
      <c r="A59" s="59"/>
      <c r="B59" s="59"/>
      <c r="C59" s="83"/>
    </row>
    <row r="60" spans="1:3" s="246" customFormat="1" ht="15" customHeight="1">
      <c r="A60" s="59"/>
      <c r="B60" s="59"/>
      <c r="C60" s="59"/>
    </row>
    <row r="61" spans="1:3" s="246" customFormat="1" ht="15" customHeight="1">
      <c r="A61" s="59"/>
      <c r="B61" s="59"/>
      <c r="C61" s="59"/>
    </row>
    <row r="62" spans="1:3" s="246" customFormat="1" ht="15" customHeight="1">
      <c r="A62" s="59"/>
      <c r="B62" s="59"/>
      <c r="C62" s="59"/>
    </row>
    <row r="63" spans="1:3" s="246" customFormat="1" ht="15" customHeight="1">
      <c r="A63" s="58"/>
      <c r="B63" s="59"/>
      <c r="C63" s="59"/>
    </row>
    <row r="64" spans="1:3" s="246" customFormat="1" ht="15" customHeight="1">
      <c r="A64" s="58"/>
      <c r="B64" s="59"/>
      <c r="C64" s="59"/>
    </row>
    <row r="65" spans="1:3" s="246" customFormat="1" ht="15" customHeight="1">
      <c r="A65" s="58"/>
      <c r="B65" s="59"/>
      <c r="C65" s="59"/>
    </row>
    <row r="66" spans="1:3" s="246" customFormat="1" ht="15" customHeight="1">
      <c r="A66" s="58"/>
      <c r="B66" s="59"/>
      <c r="C66" s="59"/>
    </row>
    <row r="67" spans="1:3" s="246" customFormat="1" ht="15" customHeight="1">
      <c r="A67" s="58"/>
      <c r="B67" s="59"/>
      <c r="C67" s="59"/>
    </row>
    <row r="68" spans="1:3" s="246" customFormat="1" ht="15" customHeight="1">
      <c r="A68" s="58"/>
      <c r="B68" s="59"/>
      <c r="C68" s="59"/>
    </row>
    <row r="69" spans="1:3" s="246" customFormat="1" ht="15" customHeight="1">
      <c r="A69" s="58"/>
      <c r="B69" s="59"/>
      <c r="C69" s="59"/>
    </row>
    <row r="70" spans="1:3" s="246" customFormat="1" ht="15" customHeight="1">
      <c r="A70" s="58"/>
      <c r="B70" s="59"/>
      <c r="C70" s="59"/>
    </row>
    <row r="71" spans="1:3" s="246" customFormat="1" ht="15" customHeight="1">
      <c r="A71" s="58"/>
      <c r="B71" s="59"/>
      <c r="C71" s="59"/>
    </row>
    <row r="72" spans="1:3" s="246" customFormat="1" ht="15" customHeight="1">
      <c r="A72" s="58"/>
      <c r="B72" s="59"/>
      <c r="C72" s="59"/>
    </row>
    <row r="73" spans="1:3" s="246" customFormat="1" ht="15" customHeight="1">
      <c r="A73" s="58"/>
      <c r="B73" s="59"/>
      <c r="C73" s="59"/>
    </row>
    <row r="74" spans="1:3" s="246" customFormat="1" ht="15" customHeight="1">
      <c r="A74" s="58"/>
      <c r="B74" s="59"/>
      <c r="C74" s="59"/>
    </row>
    <row r="75" spans="1:3" s="246" customFormat="1" ht="15" customHeight="1">
      <c r="A75" s="58"/>
      <c r="B75" s="59"/>
      <c r="C75" s="59"/>
    </row>
    <row r="76" spans="1:3" s="246" customFormat="1" ht="15" customHeight="1">
      <c r="A76" s="58"/>
      <c r="B76" s="59"/>
      <c r="C76" s="59"/>
    </row>
    <row r="77" spans="1:3" s="246" customFormat="1" ht="15" customHeight="1">
      <c r="A77" s="58"/>
      <c r="B77" s="59"/>
      <c r="C77" s="59"/>
    </row>
    <row r="78" spans="1:3" s="246" customFormat="1" ht="15" customHeight="1">
      <c r="A78" s="58"/>
      <c r="B78" s="59"/>
      <c r="C78" s="59"/>
    </row>
    <row r="79" spans="1:3" s="246" customFormat="1" ht="15" customHeight="1">
      <c r="A79" s="58"/>
      <c r="B79" s="59"/>
      <c r="C79" s="59"/>
    </row>
    <row r="80" spans="1:3" s="246" customFormat="1" ht="15" customHeight="1">
      <c r="A80" s="58"/>
      <c r="B80" s="59"/>
      <c r="C80" s="59"/>
    </row>
    <row r="81" spans="1:3" s="246" customFormat="1" ht="15" customHeight="1">
      <c r="A81" s="58"/>
      <c r="B81" s="59"/>
      <c r="C81" s="59"/>
    </row>
    <row r="82" spans="1:3" s="246" customFormat="1" ht="15" customHeight="1">
      <c r="A82" s="58"/>
      <c r="B82" s="59"/>
      <c r="C82" s="59"/>
    </row>
    <row r="83" spans="1:3" s="246" customFormat="1" ht="15" customHeight="1">
      <c r="A83" s="58"/>
      <c r="B83" s="59"/>
      <c r="C83" s="59"/>
    </row>
    <row r="84" spans="1:3" s="246" customFormat="1" ht="15" customHeight="1">
      <c r="A84" s="58"/>
      <c r="B84" s="59"/>
      <c r="C84" s="59"/>
    </row>
    <row r="85" spans="1:3" s="246" customFormat="1" ht="15" customHeight="1">
      <c r="A85" s="58"/>
      <c r="B85" s="59"/>
      <c r="C85" s="59"/>
    </row>
    <row r="86" spans="1:3" s="246" customFormat="1" ht="15" customHeight="1">
      <c r="A86" s="58"/>
      <c r="B86" s="59"/>
      <c r="C86" s="59"/>
    </row>
    <row r="87" spans="1:3" s="246" customFormat="1" ht="15" customHeight="1">
      <c r="A87" s="58"/>
      <c r="B87" s="59"/>
      <c r="C87" s="59"/>
    </row>
    <row r="88" spans="1:3" s="246" customFormat="1" ht="15" customHeight="1">
      <c r="A88" s="58"/>
      <c r="B88" s="59"/>
      <c r="C88" s="59"/>
    </row>
    <row r="89" spans="1:3" s="246" customFormat="1" ht="15" customHeight="1">
      <c r="A89" s="58"/>
      <c r="B89" s="59"/>
      <c r="C89" s="59"/>
    </row>
    <row r="90" spans="1:3" s="246" customFormat="1" ht="15" customHeight="1">
      <c r="A90" s="58"/>
      <c r="B90" s="59"/>
      <c r="C90" s="59"/>
    </row>
    <row r="91" spans="1:3" s="246" customFormat="1" ht="15" customHeight="1">
      <c r="A91" s="58"/>
      <c r="B91" s="59"/>
      <c r="C91" s="59"/>
    </row>
    <row r="92" spans="1:3" s="246" customFormat="1" ht="15" customHeight="1">
      <c r="A92" s="58"/>
      <c r="B92" s="59"/>
      <c r="C92" s="59"/>
    </row>
    <row r="93" spans="1:3" s="246" customFormat="1" ht="15" customHeight="1">
      <c r="A93" s="58"/>
      <c r="B93" s="59"/>
      <c r="C93" s="59"/>
    </row>
    <row r="94" spans="1:3" s="246" customFormat="1" ht="15" customHeight="1">
      <c r="A94" s="58"/>
      <c r="B94" s="59"/>
      <c r="C94" s="59"/>
    </row>
    <row r="95" spans="1:3" s="246" customFormat="1" ht="15" customHeight="1">
      <c r="A95" s="58"/>
      <c r="B95" s="59"/>
      <c r="C95" s="59"/>
    </row>
    <row r="96" spans="1:3" s="246" customFormat="1" ht="15" customHeight="1">
      <c r="A96" s="58"/>
      <c r="B96" s="59"/>
      <c r="C96" s="59"/>
    </row>
    <row r="97" spans="1:3" s="246" customFormat="1" ht="15" customHeight="1">
      <c r="A97" s="58"/>
      <c r="B97" s="59"/>
      <c r="C97" s="59"/>
    </row>
    <row r="98" spans="1:3" s="246" customFormat="1" ht="15" customHeight="1">
      <c r="A98" s="58"/>
      <c r="B98" s="59"/>
      <c r="C98" s="59"/>
    </row>
    <row r="99" spans="1:3" s="246" customFormat="1" ht="15" customHeight="1">
      <c r="A99" s="58"/>
      <c r="B99" s="59"/>
      <c r="C99" s="59"/>
    </row>
    <row r="100" spans="1:3" s="246" customFormat="1" ht="15" customHeight="1">
      <c r="A100" s="58"/>
      <c r="B100" s="59"/>
      <c r="C100" s="59"/>
    </row>
    <row r="101" spans="1:3" s="246" customFormat="1" ht="15" customHeight="1">
      <c r="A101" s="58"/>
      <c r="B101" s="59"/>
      <c r="C101" s="59"/>
    </row>
    <row r="102" spans="1:3" s="246" customFormat="1" ht="15" customHeight="1">
      <c r="A102" s="58"/>
      <c r="B102" s="59"/>
      <c r="C102" s="59"/>
    </row>
    <row r="103" spans="1:3" s="246" customFormat="1" ht="15" customHeight="1">
      <c r="A103" s="58"/>
      <c r="B103" s="59"/>
      <c r="C103" s="59"/>
    </row>
    <row r="104" spans="1:3" s="246" customFormat="1" ht="15" customHeight="1">
      <c r="A104" s="58"/>
      <c r="B104" s="59"/>
      <c r="C104" s="59"/>
    </row>
    <row r="105" spans="1:3" s="246" customFormat="1" ht="15" customHeight="1">
      <c r="A105" s="58"/>
      <c r="B105" s="59"/>
      <c r="C105" s="59"/>
    </row>
    <row r="106" spans="1:3" s="246" customFormat="1" ht="15" customHeight="1">
      <c r="A106" s="58"/>
      <c r="B106" s="59"/>
      <c r="C106" s="59"/>
    </row>
    <row r="107" spans="1:3" s="246" customFormat="1" ht="15" customHeight="1">
      <c r="A107" s="58"/>
      <c r="B107" s="59"/>
      <c r="C107" s="59"/>
    </row>
    <row r="108" spans="1:3" s="246" customFormat="1" ht="15" customHeight="1">
      <c r="A108" s="58"/>
      <c r="B108" s="59"/>
      <c r="C108" s="59"/>
    </row>
    <row r="109" spans="1:3" s="246" customFormat="1" ht="15" customHeight="1">
      <c r="A109" s="58"/>
      <c r="B109" s="59"/>
      <c r="C109" s="59"/>
    </row>
    <row r="110" spans="1:3" s="246" customFormat="1" ht="15" customHeight="1">
      <c r="A110" s="58"/>
      <c r="B110" s="59"/>
      <c r="C110" s="59"/>
    </row>
    <row r="111" spans="1:3" s="246" customFormat="1" ht="15" customHeight="1">
      <c r="A111" s="58"/>
      <c r="B111" s="59"/>
      <c r="C111" s="59"/>
    </row>
    <row r="112" spans="1:3" s="246" customFormat="1" ht="15" customHeight="1">
      <c r="A112" s="58"/>
      <c r="B112" s="59"/>
      <c r="C112" s="59"/>
    </row>
    <row r="113" spans="1:3" s="246" customFormat="1" ht="15" customHeight="1">
      <c r="A113" s="58"/>
      <c r="B113" s="59"/>
      <c r="C113" s="59"/>
    </row>
    <row r="114" spans="1:3" s="246" customFormat="1" ht="15" customHeight="1">
      <c r="A114" s="58"/>
      <c r="B114" s="59"/>
      <c r="C114" s="59"/>
    </row>
    <row r="115" spans="1:3" s="246" customFormat="1" ht="15" customHeight="1">
      <c r="A115" s="58"/>
      <c r="B115" s="59"/>
      <c r="C115" s="59"/>
    </row>
    <row r="116" spans="1:3" s="246" customFormat="1" ht="15" customHeight="1">
      <c r="A116" s="58"/>
      <c r="B116" s="59"/>
      <c r="C116" s="59"/>
    </row>
    <row r="117" spans="1:3" s="246" customFormat="1" ht="15" customHeight="1">
      <c r="A117" s="58"/>
      <c r="B117" s="59"/>
      <c r="C117" s="59"/>
    </row>
    <row r="118" spans="1:3" s="246" customFormat="1" ht="15" customHeight="1">
      <c r="A118" s="58"/>
      <c r="B118" s="59"/>
      <c r="C118" s="59"/>
    </row>
    <row r="119" spans="1:3" s="246" customFormat="1" ht="15" customHeight="1">
      <c r="A119" s="58"/>
      <c r="B119" s="59"/>
      <c r="C119" s="59"/>
    </row>
    <row r="120" spans="1:3" s="246" customFormat="1" ht="15" customHeight="1">
      <c r="A120" s="58"/>
      <c r="B120" s="59"/>
      <c r="C120" s="59"/>
    </row>
    <row r="121" spans="1:3" s="246" customFormat="1" ht="15" customHeight="1">
      <c r="A121" s="58"/>
      <c r="B121" s="59"/>
      <c r="C121" s="59"/>
    </row>
    <row r="122" spans="1:3" s="246" customFormat="1" ht="15" customHeight="1">
      <c r="A122" s="58"/>
      <c r="B122" s="59"/>
      <c r="C122" s="59"/>
    </row>
    <row r="123" spans="1:3" s="246" customFormat="1" ht="15" customHeight="1">
      <c r="A123" s="58"/>
      <c r="B123" s="59"/>
      <c r="C123" s="59"/>
    </row>
    <row r="124" spans="1:3" s="246" customFormat="1" ht="15" customHeight="1">
      <c r="A124" s="58"/>
      <c r="B124" s="59"/>
      <c r="C124" s="59"/>
    </row>
    <row r="125" spans="1:3" s="246" customFormat="1" ht="15" customHeight="1">
      <c r="A125" s="58"/>
      <c r="B125" s="59"/>
      <c r="C125" s="59"/>
    </row>
  </sheetData>
  <mergeCells count="3">
    <mergeCell ref="D1:K1"/>
    <mergeCell ref="D3:K3"/>
    <mergeCell ref="D2:K2"/>
  </mergeCells>
  <printOptions horizontalCentered="1"/>
  <pageMargins left="0.56" right="0.3" top="0.67" bottom="0.46" header="0.17" footer="0.25"/>
  <pageSetup horizontalDpi="600" verticalDpi="600" orientation="landscape" scale="95" r:id="rId1"/>
  <headerFooter alignWithMargins="0">
    <oddHeader>&amp;C
</oddHeader>
  </headerFooter>
</worksheet>
</file>

<file path=xl/worksheets/sheet5.xml><?xml version="1.0" encoding="utf-8"?>
<worksheet xmlns="http://schemas.openxmlformats.org/spreadsheetml/2006/main" xmlns:r="http://schemas.openxmlformats.org/officeDocument/2006/relationships">
  <dimension ref="A1:I87"/>
  <sheetViews>
    <sheetView workbookViewId="0" topLeftCell="A1">
      <selection activeCell="E14" sqref="E14"/>
    </sheetView>
  </sheetViews>
  <sheetFormatPr defaultColWidth="9.140625" defaultRowHeight="12.75"/>
  <cols>
    <col min="1" max="1" width="3.8515625" style="55" customWidth="1"/>
    <col min="2" max="2" width="2.28125" style="55" customWidth="1"/>
    <col min="3" max="3" width="39.421875" style="55" customWidth="1"/>
    <col min="4" max="4" width="12.28125" style="55" customWidth="1"/>
    <col min="5" max="5" width="14.28125" style="55" customWidth="1"/>
    <col min="6" max="6" width="14.7109375" style="55" customWidth="1"/>
    <col min="7" max="7" width="15.28125" style="55" customWidth="1"/>
    <col min="8" max="8" width="15.421875" style="55" customWidth="1"/>
    <col min="9" max="9" width="0.9921875" style="55" customWidth="1"/>
    <col min="10" max="10" width="2.7109375" style="55" customWidth="1"/>
    <col min="11" max="16384" width="11.421875" style="55" customWidth="1"/>
  </cols>
  <sheetData>
    <row r="1" spans="1:8" ht="15">
      <c r="A1" s="352" t="s">
        <v>132</v>
      </c>
      <c r="B1" s="352"/>
      <c r="C1" s="352"/>
      <c r="D1" s="352"/>
      <c r="E1" s="352"/>
      <c r="F1" s="352"/>
      <c r="G1" s="352"/>
      <c r="H1" s="482" t="s">
        <v>105</v>
      </c>
    </row>
    <row r="2" spans="1:8" ht="12.75">
      <c r="A2" s="492" t="s">
        <v>509</v>
      </c>
      <c r="B2" s="492"/>
      <c r="C2" s="492"/>
      <c r="D2" s="492"/>
      <c r="E2" s="492"/>
      <c r="F2" s="492"/>
      <c r="G2" s="492"/>
      <c r="H2" s="492"/>
    </row>
    <row r="3" spans="1:8" ht="12.75">
      <c r="A3" s="353"/>
      <c r="B3" s="353"/>
      <c r="C3" s="353"/>
      <c r="D3" s="353"/>
      <c r="E3" s="353"/>
      <c r="F3" s="353"/>
      <c r="G3" s="353"/>
      <c r="H3" s="353"/>
    </row>
    <row r="4" spans="1:8" ht="12.75">
      <c r="A4" s="353"/>
      <c r="B4" s="353"/>
      <c r="C4" s="353"/>
      <c r="D4" s="353"/>
      <c r="E4" s="353"/>
      <c r="F4" s="353"/>
      <c r="G4" s="353"/>
      <c r="H4" s="353"/>
    </row>
    <row r="5" spans="1:8" ht="12.75">
      <c r="A5" s="86"/>
      <c r="B5" s="86"/>
      <c r="C5" s="86"/>
      <c r="D5" s="86"/>
      <c r="E5" s="86"/>
      <c r="F5" s="86"/>
      <c r="G5" s="86"/>
      <c r="H5" s="86"/>
    </row>
    <row r="6" spans="1:8" ht="12.75">
      <c r="A6" s="86"/>
      <c r="B6" s="86"/>
      <c r="C6" s="86"/>
      <c r="D6" s="86"/>
      <c r="E6" s="86"/>
      <c r="F6" s="354" t="s">
        <v>451</v>
      </c>
      <c r="G6" s="354" t="s">
        <v>276</v>
      </c>
      <c r="H6" s="354" t="s">
        <v>452</v>
      </c>
    </row>
    <row r="7" spans="1:8" ht="12.75">
      <c r="A7" s="86"/>
      <c r="B7" s="86"/>
      <c r="C7" s="86"/>
      <c r="D7" s="86"/>
      <c r="E7" s="86"/>
      <c r="F7" s="355"/>
      <c r="G7" s="356" t="s">
        <v>418</v>
      </c>
      <c r="H7" s="357"/>
    </row>
    <row r="8" spans="1:8" ht="12.75">
      <c r="A8" s="67" t="s">
        <v>485</v>
      </c>
      <c r="B8" s="86"/>
      <c r="C8" s="86" t="s">
        <v>456</v>
      </c>
      <c r="D8" s="86"/>
      <c r="E8" s="86"/>
      <c r="F8" s="358" t="s">
        <v>457</v>
      </c>
      <c r="G8" s="359" t="s">
        <v>458</v>
      </c>
      <c r="H8" s="359"/>
    </row>
    <row r="9" spans="1:8" ht="12.75">
      <c r="A9" s="360" t="s">
        <v>444</v>
      </c>
      <c r="B9" s="361"/>
      <c r="C9" s="86"/>
      <c r="D9" s="361" t="s">
        <v>631</v>
      </c>
      <c r="E9" s="86"/>
      <c r="F9" s="358" t="s">
        <v>459</v>
      </c>
      <c r="G9" s="359" t="s">
        <v>455</v>
      </c>
      <c r="H9" s="359" t="s">
        <v>443</v>
      </c>
    </row>
    <row r="10" spans="1:8" ht="12.75">
      <c r="A10" s="67">
        <v>1</v>
      </c>
      <c r="B10" s="362"/>
      <c r="C10" s="363" t="s">
        <v>460</v>
      </c>
      <c r="D10" s="362" t="s">
        <v>686</v>
      </c>
      <c r="E10" s="357"/>
      <c r="F10" s="364">
        <v>8076973</v>
      </c>
      <c r="G10" s="365">
        <v>0.007656</v>
      </c>
      <c r="H10" s="366">
        <f>F10*G10</f>
        <v>61837.305287999996</v>
      </c>
    </row>
    <row r="11" spans="1:8" ht="12.75">
      <c r="A11" s="67">
        <v>2</v>
      </c>
      <c r="B11" s="362"/>
      <c r="C11" s="362" t="s">
        <v>461</v>
      </c>
      <c r="D11" s="362" t="s">
        <v>686</v>
      </c>
      <c r="E11" s="367"/>
      <c r="F11" s="368">
        <v>9181425</v>
      </c>
      <c r="G11" s="369">
        <v>0.007656</v>
      </c>
      <c r="H11" s="391">
        <f>F11*G11</f>
        <v>70292.9898</v>
      </c>
    </row>
    <row r="12" spans="1:8" ht="12.75">
      <c r="A12" s="67">
        <v>3</v>
      </c>
      <c r="B12" s="362"/>
      <c r="C12" s="362" t="s">
        <v>462</v>
      </c>
      <c r="D12" s="362" t="s">
        <v>686</v>
      </c>
      <c r="E12" s="367"/>
      <c r="F12" s="368">
        <v>47795180</v>
      </c>
      <c r="G12" s="369">
        <v>0.001061</v>
      </c>
      <c r="H12" s="391">
        <f>F12*G12</f>
        <v>50710.68598</v>
      </c>
    </row>
    <row r="13" spans="1:8" ht="12.75">
      <c r="A13" s="67">
        <v>4</v>
      </c>
      <c r="B13" s="362"/>
      <c r="C13" s="362" t="s">
        <v>463</v>
      </c>
      <c r="D13" s="362" t="s">
        <v>686</v>
      </c>
      <c r="E13" s="367"/>
      <c r="F13" s="368">
        <v>17258398</v>
      </c>
      <c r="G13" s="369">
        <v>0.0108</v>
      </c>
      <c r="H13" s="392">
        <f>F13*G13</f>
        <v>186390.69840000002</v>
      </c>
    </row>
    <row r="14" spans="1:8" ht="24" customHeight="1">
      <c r="A14" s="67">
        <v>5</v>
      </c>
      <c r="B14" s="362"/>
      <c r="C14" s="361" t="s">
        <v>465</v>
      </c>
      <c r="D14" s="361"/>
      <c r="E14" s="370"/>
      <c r="F14" s="371"/>
      <c r="G14" s="372"/>
      <c r="H14" s="373">
        <f>SUM(H10:H13)</f>
        <v>369231.679468</v>
      </c>
    </row>
    <row r="15" spans="1:8" ht="12.75">
      <c r="A15" s="67">
        <v>6</v>
      </c>
      <c r="B15" s="86"/>
      <c r="C15" s="86"/>
      <c r="D15" s="86"/>
      <c r="E15" s="86"/>
      <c r="F15" s="346"/>
      <c r="G15" s="86"/>
      <c r="H15" s="86"/>
    </row>
    <row r="16" spans="1:8" ht="12.75">
      <c r="A16" s="67">
        <v>7</v>
      </c>
      <c r="B16" s="86"/>
      <c r="C16" s="374" t="s">
        <v>745</v>
      </c>
      <c r="D16" s="375"/>
      <c r="E16" s="375"/>
      <c r="F16" s="375">
        <v>14760458</v>
      </c>
      <c r="G16" s="376">
        <f>+G12</f>
        <v>0.001061</v>
      </c>
      <c r="H16" s="377">
        <f>-F16*G16</f>
        <v>-15660.845938000002</v>
      </c>
    </row>
    <row r="17" spans="1:8" ht="12.75">
      <c r="A17" s="67">
        <v>8</v>
      </c>
      <c r="B17" s="86"/>
      <c r="C17" s="86"/>
      <c r="D17" s="86"/>
      <c r="E17" s="86"/>
      <c r="F17" s="86"/>
      <c r="G17" s="378"/>
      <c r="H17" s="86"/>
    </row>
    <row r="18" spans="1:8" ht="12.75">
      <c r="A18" s="67">
        <v>9</v>
      </c>
      <c r="B18" s="86"/>
      <c r="C18" s="86"/>
      <c r="D18" s="86"/>
      <c r="E18" s="86"/>
      <c r="F18" s="379"/>
      <c r="G18" s="356" t="s">
        <v>454</v>
      </c>
      <c r="H18" s="357"/>
    </row>
    <row r="19" spans="1:8" ht="12.75">
      <c r="A19" s="67">
        <v>10</v>
      </c>
      <c r="B19" s="86"/>
      <c r="C19" s="86" t="s">
        <v>466</v>
      </c>
      <c r="D19" s="86"/>
      <c r="E19" s="86"/>
      <c r="F19" s="380" t="s">
        <v>457</v>
      </c>
      <c r="G19" s="359" t="s">
        <v>458</v>
      </c>
      <c r="H19" s="359"/>
    </row>
    <row r="20" spans="1:8" ht="12.75">
      <c r="A20" s="67">
        <v>11</v>
      </c>
      <c r="B20" s="86"/>
      <c r="C20" s="86"/>
      <c r="D20" s="86" t="s">
        <v>631</v>
      </c>
      <c r="E20" s="86"/>
      <c r="F20" s="381" t="s">
        <v>459</v>
      </c>
      <c r="G20" s="382" t="s">
        <v>455</v>
      </c>
      <c r="H20" s="382" t="s">
        <v>443</v>
      </c>
    </row>
    <row r="21" spans="1:8" ht="12.75">
      <c r="A21" s="67">
        <v>12</v>
      </c>
      <c r="B21" s="86"/>
      <c r="C21" s="383" t="s">
        <v>460</v>
      </c>
      <c r="D21" s="363" t="s">
        <v>627</v>
      </c>
      <c r="E21" s="357"/>
      <c r="F21" s="384">
        <f>+F10</f>
        <v>8076973</v>
      </c>
      <c r="G21" s="385">
        <v>0</v>
      </c>
      <c r="H21" s="366">
        <f>F21*G21</f>
        <v>0</v>
      </c>
    </row>
    <row r="22" spans="1:8" ht="12.75">
      <c r="A22" s="67">
        <v>13</v>
      </c>
      <c r="B22" s="86"/>
      <c r="C22" s="386" t="s">
        <v>461</v>
      </c>
      <c r="D22" s="362" t="s">
        <v>628</v>
      </c>
      <c r="E22" s="367"/>
      <c r="F22" s="387">
        <f>+F11</f>
        <v>9181425</v>
      </c>
      <c r="G22" s="388">
        <v>0</v>
      </c>
      <c r="H22" s="391">
        <f>F22*G22</f>
        <v>0</v>
      </c>
    </row>
    <row r="23" spans="1:8" ht="12.75">
      <c r="A23" s="67">
        <v>14</v>
      </c>
      <c r="B23" s="86"/>
      <c r="C23" s="386" t="s">
        <v>462</v>
      </c>
      <c r="D23" s="362" t="s">
        <v>629</v>
      </c>
      <c r="E23" s="367"/>
      <c r="F23" s="387">
        <f>+F12-F16</f>
        <v>33034722</v>
      </c>
      <c r="G23" s="388">
        <f>+'REV 2.3 '!F48</f>
        <v>0.0167</v>
      </c>
      <c r="H23" s="391">
        <f>F23*G23</f>
        <v>551679.8574</v>
      </c>
    </row>
    <row r="24" spans="1:8" ht="12.75">
      <c r="A24" s="67">
        <v>15</v>
      </c>
      <c r="B24" s="86"/>
      <c r="C24" s="386" t="s">
        <v>463</v>
      </c>
      <c r="D24" s="362" t="s">
        <v>630</v>
      </c>
      <c r="E24" s="367"/>
      <c r="F24" s="387">
        <f>F13</f>
        <v>17258398</v>
      </c>
      <c r="G24" s="388">
        <f>+'REV 2.3 '!H48</f>
        <v>0.0098</v>
      </c>
      <c r="H24" s="392">
        <f>F24*G24</f>
        <v>169132.3004</v>
      </c>
    </row>
    <row r="25" spans="1:8" ht="23.25" customHeight="1">
      <c r="A25" s="67">
        <v>16</v>
      </c>
      <c r="B25" s="86"/>
      <c r="C25" s="386" t="s">
        <v>465</v>
      </c>
      <c r="D25" s="362"/>
      <c r="E25" s="367"/>
      <c r="F25" s="371"/>
      <c r="G25" s="372"/>
      <c r="H25" s="373">
        <f>SUM(H21:H24)</f>
        <v>720812.1577999999</v>
      </c>
    </row>
    <row r="26" spans="1:8" ht="12.75">
      <c r="A26" s="67">
        <v>17</v>
      </c>
      <c r="B26" s="86"/>
      <c r="C26" s="389"/>
      <c r="D26" s="361"/>
      <c r="E26" s="361"/>
      <c r="F26" s="361"/>
      <c r="G26" s="361"/>
      <c r="H26" s="370"/>
    </row>
    <row r="27" spans="1:8" ht="27" customHeight="1" thickBot="1">
      <c r="A27" s="67">
        <v>18</v>
      </c>
      <c r="B27" s="86"/>
      <c r="C27" s="86" t="s">
        <v>379</v>
      </c>
      <c r="D27" s="86"/>
      <c r="E27" s="86"/>
      <c r="F27" s="86"/>
      <c r="G27" s="86"/>
      <c r="H27" s="390">
        <f>H25-H14</f>
        <v>351580.4783319999</v>
      </c>
    </row>
    <row r="28" spans="1:8" ht="13.5" thickTop="1">
      <c r="A28" s="67"/>
      <c r="B28" s="86"/>
      <c r="C28" s="86"/>
      <c r="D28" s="86"/>
      <c r="E28" s="86"/>
      <c r="F28" s="86"/>
      <c r="G28" s="86"/>
      <c r="H28" s="86"/>
    </row>
    <row r="29" spans="1:8" ht="12.75">
      <c r="A29" s="67"/>
      <c r="B29" s="86"/>
      <c r="C29" s="86"/>
      <c r="D29" s="86"/>
      <c r="E29" s="86"/>
      <c r="F29" s="86"/>
      <c r="G29" s="86"/>
      <c r="H29" s="328" t="s">
        <v>685</v>
      </c>
    </row>
    <row r="30" spans="1:8" ht="12.75">
      <c r="A30" s="67"/>
      <c r="B30" s="86"/>
      <c r="C30" s="86"/>
      <c r="D30" s="86"/>
      <c r="E30" s="86"/>
      <c r="F30" s="86"/>
      <c r="G30" s="86"/>
      <c r="H30" s="86"/>
    </row>
    <row r="31" spans="1:8" ht="12.75">
      <c r="A31" s="67" t="s">
        <v>744</v>
      </c>
      <c r="B31" s="86" t="s">
        <v>375</v>
      </c>
      <c r="C31" s="86" t="s">
        <v>738</v>
      </c>
      <c r="D31" s="86"/>
      <c r="E31" s="86"/>
      <c r="F31" s="86"/>
      <c r="G31" s="86"/>
      <c r="H31" s="86"/>
    </row>
    <row r="32" spans="1:9" ht="12.75">
      <c r="A32" s="67"/>
      <c r="B32" s="86"/>
      <c r="C32" s="86" t="s">
        <v>739</v>
      </c>
      <c r="D32" s="1"/>
      <c r="E32" s="1"/>
      <c r="F32" s="1"/>
      <c r="G32" s="1"/>
      <c r="H32" s="1"/>
      <c r="I32"/>
    </row>
    <row r="33" spans="1:9" ht="12.75">
      <c r="A33" s="67"/>
      <c r="B33" s="86"/>
      <c r="C33" s="86" t="s">
        <v>740</v>
      </c>
      <c r="D33" s="1"/>
      <c r="E33" s="1"/>
      <c r="F33" s="1"/>
      <c r="G33" s="1"/>
      <c r="H33" s="1"/>
      <c r="I33"/>
    </row>
    <row r="34" spans="1:9" ht="12.75">
      <c r="A34" s="56"/>
      <c r="D34"/>
      <c r="E34"/>
      <c r="F34"/>
      <c r="G34"/>
      <c r="H34"/>
      <c r="I34"/>
    </row>
    <row r="35" spans="1:9" ht="12.75">
      <c r="A35" s="56"/>
      <c r="D35"/>
      <c r="E35"/>
      <c r="F35"/>
      <c r="G35"/>
      <c r="H35"/>
      <c r="I35"/>
    </row>
    <row r="36" spans="1:9" ht="12.75">
      <c r="A36" s="56"/>
      <c r="D36"/>
      <c r="E36"/>
      <c r="F36"/>
      <c r="G36"/>
      <c r="H36"/>
      <c r="I36"/>
    </row>
    <row r="37" spans="1:9" ht="12.75">
      <c r="A37" s="56"/>
      <c r="D37"/>
      <c r="E37"/>
      <c r="F37"/>
      <c r="G37"/>
      <c r="H37"/>
      <c r="I37"/>
    </row>
    <row r="38" spans="1:9" ht="12.75">
      <c r="A38" s="56"/>
      <c r="D38"/>
      <c r="E38"/>
      <c r="F38"/>
      <c r="G38"/>
      <c r="H38"/>
      <c r="I38"/>
    </row>
    <row r="39" ht="12.75">
      <c r="A39" s="56"/>
    </row>
    <row r="40" ht="12.75">
      <c r="A40" s="56"/>
    </row>
    <row r="41" ht="12.75">
      <c r="A41" s="56"/>
    </row>
    <row r="42" ht="12.75">
      <c r="A42" s="56"/>
    </row>
    <row r="43" ht="12.75">
      <c r="A43" s="56"/>
    </row>
    <row r="44" ht="12.75">
      <c r="A44" s="56"/>
    </row>
    <row r="45" ht="12.75">
      <c r="A45" s="56"/>
    </row>
    <row r="46" ht="12.75">
      <c r="A46" s="56"/>
    </row>
    <row r="47" ht="12.75">
      <c r="A47" s="56"/>
    </row>
    <row r="48" ht="12.75">
      <c r="A48" s="56"/>
    </row>
    <row r="49" ht="12.75">
      <c r="A49" s="56"/>
    </row>
    <row r="50" ht="12.75">
      <c r="A50" s="56"/>
    </row>
    <row r="51" ht="12.75">
      <c r="A51" s="56"/>
    </row>
    <row r="52" ht="12.75">
      <c r="A52" s="56"/>
    </row>
    <row r="53" ht="12.75">
      <c r="A53" s="56"/>
    </row>
    <row r="54" ht="12.75">
      <c r="A54" s="56"/>
    </row>
    <row r="55" ht="12.75">
      <c r="A55" s="56"/>
    </row>
    <row r="56" ht="12.75">
      <c r="A56" s="56"/>
    </row>
    <row r="57" ht="12.75">
      <c r="A57" s="56"/>
    </row>
    <row r="58" ht="12.75">
      <c r="A58" s="56"/>
    </row>
    <row r="59" ht="12.75">
      <c r="A59" s="56"/>
    </row>
    <row r="60" ht="12.75">
      <c r="A60" s="56"/>
    </row>
    <row r="61" ht="12.75">
      <c r="A61" s="56"/>
    </row>
    <row r="62" ht="12.75">
      <c r="A62" s="56"/>
    </row>
    <row r="63" ht="12.75">
      <c r="A63" s="56"/>
    </row>
    <row r="64" ht="12.75">
      <c r="A64" s="56"/>
    </row>
    <row r="65" ht="12.75">
      <c r="A65" s="56"/>
    </row>
    <row r="66" ht="12.75">
      <c r="A66" s="56"/>
    </row>
    <row r="67" ht="12.75">
      <c r="A67" s="56"/>
    </row>
    <row r="68" ht="12.75">
      <c r="A68" s="56"/>
    </row>
    <row r="69" ht="12.75">
      <c r="A69" s="56"/>
    </row>
    <row r="70" ht="12.75">
      <c r="A70" s="56"/>
    </row>
    <row r="71" ht="12.75">
      <c r="A71" s="56"/>
    </row>
    <row r="72" ht="12.75">
      <c r="A72" s="56"/>
    </row>
    <row r="73" ht="12.75">
      <c r="A73" s="56"/>
    </row>
    <row r="74" ht="12.75">
      <c r="A74" s="56"/>
    </row>
    <row r="75" ht="12.75">
      <c r="A75" s="56"/>
    </row>
    <row r="76" ht="12.75">
      <c r="A76" s="56"/>
    </row>
    <row r="77" ht="12.75">
      <c r="A77" s="56"/>
    </row>
    <row r="78" ht="12.75">
      <c r="A78" s="56"/>
    </row>
    <row r="79" ht="12.75">
      <c r="A79" s="56"/>
    </row>
    <row r="80" ht="12.75">
      <c r="A80" s="56"/>
    </row>
    <row r="81" ht="12.75">
      <c r="A81" s="56"/>
    </row>
    <row r="82" ht="12.75">
      <c r="A82" s="56"/>
    </row>
    <row r="83" ht="12.75">
      <c r="A83" s="56"/>
    </row>
    <row r="84" ht="12.75">
      <c r="A84" s="56"/>
    </row>
    <row r="85" ht="12.75">
      <c r="A85" s="56"/>
    </row>
    <row r="86" ht="12.75">
      <c r="A86" s="56"/>
    </row>
    <row r="87" ht="12.75">
      <c r="A87" s="56"/>
    </row>
  </sheetData>
  <mergeCells count="1">
    <mergeCell ref="A2:H2"/>
  </mergeCells>
  <printOptions/>
  <pageMargins left="0.74" right="0.47" top="0.61" bottom="0.46" header="0" footer="0.25"/>
  <pageSetup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dimension ref="A1:AC70"/>
  <sheetViews>
    <sheetView workbookViewId="0" topLeftCell="A1">
      <selection activeCell="A1" sqref="A1"/>
    </sheetView>
  </sheetViews>
  <sheetFormatPr defaultColWidth="9.140625" defaultRowHeight="12.75"/>
  <cols>
    <col min="1" max="1" width="5.7109375" style="0" customWidth="1"/>
    <col min="2" max="2" width="50.421875" style="0" customWidth="1"/>
    <col min="3" max="3" width="7.00390625" style="0" customWidth="1"/>
    <col min="4" max="10" width="12.7109375" style="0" customWidth="1"/>
    <col min="11" max="11" width="3.7109375" style="0" customWidth="1"/>
    <col min="12" max="12" width="13.7109375" style="0" customWidth="1"/>
    <col min="13" max="15" width="12.7109375" style="0" customWidth="1"/>
    <col min="16" max="16" width="13.7109375" style="0" customWidth="1"/>
    <col min="17" max="18" width="12.7109375" style="0" customWidth="1"/>
    <col min="19" max="20" width="3.8515625" style="0" customWidth="1"/>
    <col min="21" max="29" width="12.7109375" style="0" customWidth="1"/>
  </cols>
  <sheetData>
    <row r="1" spans="1:27" ht="15.75">
      <c r="A1" s="304" t="str">
        <f>+'EXH 2'!A1:C1</f>
        <v>CARBON / EMERY TELCOM</v>
      </c>
      <c r="J1" s="483" t="s">
        <v>599</v>
      </c>
      <c r="R1" s="194" t="s">
        <v>599</v>
      </c>
      <c r="AA1" s="194" t="s">
        <v>599</v>
      </c>
    </row>
    <row r="2" spans="10:27" ht="12.75">
      <c r="J2" s="194"/>
      <c r="R2" s="194" t="s">
        <v>601</v>
      </c>
      <c r="AA2" s="194" t="s">
        <v>600</v>
      </c>
    </row>
    <row r="4" spans="1:29" ht="12.75">
      <c r="A4" s="127"/>
      <c r="B4" s="127"/>
      <c r="C4" s="127"/>
      <c r="D4" s="127"/>
      <c r="E4" s="155" t="s">
        <v>555</v>
      </c>
      <c r="F4" s="127"/>
      <c r="G4" s="127"/>
      <c r="H4" s="127"/>
      <c r="I4" s="127"/>
      <c r="J4" s="127"/>
      <c r="K4" s="127"/>
      <c r="L4" s="127"/>
      <c r="M4" s="155" t="s">
        <v>555</v>
      </c>
      <c r="N4" s="127"/>
      <c r="O4" s="127"/>
      <c r="P4" s="127"/>
      <c r="Q4" s="127"/>
      <c r="R4" s="127"/>
      <c r="S4" s="127"/>
      <c r="T4" s="127"/>
      <c r="U4" s="127"/>
      <c r="V4" s="155" t="s">
        <v>555</v>
      </c>
      <c r="W4" s="127"/>
      <c r="X4" s="127"/>
      <c r="Y4" s="127"/>
      <c r="Z4" s="127"/>
      <c r="AA4" s="127"/>
      <c r="AB4" s="127"/>
      <c r="AC4" s="127"/>
    </row>
    <row r="5" spans="1:29" ht="12.75">
      <c r="A5" s="126"/>
      <c r="B5" s="127"/>
      <c r="C5" s="127"/>
      <c r="D5" s="127"/>
      <c r="E5" s="155" t="s">
        <v>598</v>
      </c>
      <c r="F5" s="127"/>
      <c r="G5" s="127"/>
      <c r="H5" s="127"/>
      <c r="I5" s="127"/>
      <c r="J5" s="127"/>
      <c r="K5" s="127"/>
      <c r="L5" s="127"/>
      <c r="M5" s="155" t="s">
        <v>556</v>
      </c>
      <c r="N5" s="127"/>
      <c r="O5" s="127"/>
      <c r="P5" s="127"/>
      <c r="Q5" s="127"/>
      <c r="R5" s="127"/>
      <c r="S5" s="127"/>
      <c r="T5" s="127"/>
      <c r="U5" s="127"/>
      <c r="V5" s="155" t="s">
        <v>557</v>
      </c>
      <c r="W5" s="127"/>
      <c r="X5" s="127"/>
      <c r="Y5" s="127"/>
      <c r="Z5" s="127"/>
      <c r="AA5" s="127"/>
      <c r="AB5" s="127"/>
      <c r="AC5" s="127"/>
    </row>
    <row r="6" spans="1:29" ht="12.75">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row>
    <row r="7" spans="1:29" ht="12.75">
      <c r="A7" s="127"/>
      <c r="B7" s="127"/>
      <c r="C7" s="127"/>
      <c r="D7" s="291" t="s">
        <v>392</v>
      </c>
      <c r="E7" s="292"/>
      <c r="F7" s="292"/>
      <c r="G7" s="292"/>
      <c r="H7" s="292"/>
      <c r="I7" s="292"/>
      <c r="J7" s="292"/>
      <c r="K7" s="127"/>
      <c r="L7" s="291" t="s">
        <v>392</v>
      </c>
      <c r="M7" s="292"/>
      <c r="N7" s="292"/>
      <c r="O7" s="292"/>
      <c r="P7" s="292"/>
      <c r="Q7" s="292"/>
      <c r="R7" s="292"/>
      <c r="S7" s="127"/>
      <c r="T7" s="127"/>
      <c r="U7" s="291" t="s">
        <v>392</v>
      </c>
      <c r="V7" s="292"/>
      <c r="W7" s="292"/>
      <c r="X7" s="292"/>
      <c r="Y7" s="292"/>
      <c r="Z7" s="292"/>
      <c r="AA7" s="292"/>
      <c r="AB7" s="127"/>
      <c r="AC7" s="127"/>
    </row>
    <row r="8" spans="1:29" ht="12.75">
      <c r="A8" s="127"/>
      <c r="B8" s="292"/>
      <c r="C8" s="294"/>
      <c r="D8" s="293" t="s">
        <v>500</v>
      </c>
      <c r="E8" s="293" t="s">
        <v>558</v>
      </c>
      <c r="F8" s="293" t="s">
        <v>447</v>
      </c>
      <c r="G8" s="294"/>
      <c r="H8" s="293" t="s">
        <v>558</v>
      </c>
      <c r="I8" s="293" t="s">
        <v>559</v>
      </c>
      <c r="J8" s="294"/>
      <c r="K8" s="127"/>
      <c r="L8" s="293" t="s">
        <v>500</v>
      </c>
      <c r="M8" s="293" t="s">
        <v>558</v>
      </c>
      <c r="N8" s="293" t="s">
        <v>447</v>
      </c>
      <c r="O8" s="294"/>
      <c r="P8" s="293" t="s">
        <v>558</v>
      </c>
      <c r="Q8" s="293" t="s">
        <v>559</v>
      </c>
      <c r="R8" s="294"/>
      <c r="S8" s="127"/>
      <c r="T8" s="127"/>
      <c r="U8" s="293" t="s">
        <v>500</v>
      </c>
      <c r="V8" s="293" t="s">
        <v>558</v>
      </c>
      <c r="W8" s="293" t="s">
        <v>447</v>
      </c>
      <c r="X8" s="294"/>
      <c r="Y8" s="293" t="s">
        <v>558</v>
      </c>
      <c r="Z8" s="293" t="s">
        <v>559</v>
      </c>
      <c r="AA8" s="294"/>
      <c r="AB8" s="127"/>
      <c r="AC8" s="127"/>
    </row>
    <row r="9" spans="1:29" ht="12.75">
      <c r="A9" s="127"/>
      <c r="B9" s="295" t="s">
        <v>560</v>
      </c>
      <c r="C9" s="295"/>
      <c r="D9" s="296" t="s">
        <v>549</v>
      </c>
      <c r="E9" s="296" t="s">
        <v>565</v>
      </c>
      <c r="F9" s="296" t="s">
        <v>561</v>
      </c>
      <c r="G9" s="296" t="s">
        <v>562</v>
      </c>
      <c r="H9" s="296" t="s">
        <v>563</v>
      </c>
      <c r="I9" s="296" t="s">
        <v>457</v>
      </c>
      <c r="J9" s="296" t="s">
        <v>564</v>
      </c>
      <c r="K9" s="127"/>
      <c r="L9" s="296" t="s">
        <v>549</v>
      </c>
      <c r="M9" s="296" t="s">
        <v>565</v>
      </c>
      <c r="N9" s="296" t="s">
        <v>561</v>
      </c>
      <c r="O9" s="296" t="s">
        <v>562</v>
      </c>
      <c r="P9" s="296" t="s">
        <v>563</v>
      </c>
      <c r="Q9" s="296" t="s">
        <v>457</v>
      </c>
      <c r="R9" s="296" t="s">
        <v>564</v>
      </c>
      <c r="S9" s="127"/>
      <c r="T9" s="127"/>
      <c r="U9" s="296" t="s">
        <v>552</v>
      </c>
      <c r="V9" s="296" t="s">
        <v>565</v>
      </c>
      <c r="W9" s="296" t="s">
        <v>561</v>
      </c>
      <c r="X9" s="296" t="s">
        <v>562</v>
      </c>
      <c r="Y9" s="296" t="s">
        <v>563</v>
      </c>
      <c r="Z9" s="296" t="s">
        <v>457</v>
      </c>
      <c r="AA9" s="296" t="s">
        <v>564</v>
      </c>
      <c r="AB9" s="127"/>
      <c r="AC9" s="127"/>
    </row>
    <row r="10" spans="1:29" ht="12.75">
      <c r="A10" s="127"/>
      <c r="B10" s="297"/>
      <c r="C10" s="297"/>
      <c r="D10" s="155"/>
      <c r="E10" s="155"/>
      <c r="F10" s="155"/>
      <c r="G10" s="155"/>
      <c r="H10" s="155"/>
      <c r="I10" s="155"/>
      <c r="J10" s="155"/>
      <c r="K10" s="127"/>
      <c r="L10" s="155"/>
      <c r="M10" s="155"/>
      <c r="N10" s="155"/>
      <c r="O10" s="155"/>
      <c r="P10" s="155"/>
      <c r="Q10" s="155"/>
      <c r="R10" s="155"/>
      <c r="S10" s="127"/>
      <c r="T10" s="127"/>
      <c r="U10" s="155"/>
      <c r="V10" s="155"/>
      <c r="W10" s="155"/>
      <c r="X10" s="155"/>
      <c r="Y10" s="155"/>
      <c r="Z10" s="155"/>
      <c r="AA10" s="155"/>
      <c r="AB10" s="127"/>
      <c r="AC10" s="127"/>
    </row>
    <row r="11" spans="1:29" ht="12.75">
      <c r="A11" s="127">
        <v>1</v>
      </c>
      <c r="B11" s="155" t="s">
        <v>566</v>
      </c>
      <c r="C11" s="155"/>
      <c r="D11" s="393">
        <f aca="true" t="shared" si="0" ref="D11:J11">ROUND(+L11+U11,0)</f>
        <v>3649638</v>
      </c>
      <c r="E11" s="393">
        <f t="shared" si="0"/>
        <v>2905347</v>
      </c>
      <c r="F11" s="393">
        <f t="shared" si="0"/>
        <v>461529</v>
      </c>
      <c r="G11" s="393">
        <f t="shared" si="0"/>
        <v>0</v>
      </c>
      <c r="H11" s="393">
        <f t="shared" si="0"/>
        <v>225504</v>
      </c>
      <c r="I11" s="393">
        <f t="shared" si="0"/>
        <v>55743</v>
      </c>
      <c r="J11" s="393">
        <f t="shared" si="0"/>
        <v>1516</v>
      </c>
      <c r="K11" s="127"/>
      <c r="L11" s="298">
        <v>3624801.00042966</v>
      </c>
      <c r="M11" s="298">
        <v>2891967.212636052</v>
      </c>
      <c r="N11" s="298">
        <v>452865.21797393175</v>
      </c>
      <c r="O11" s="298">
        <v>0</v>
      </c>
      <c r="P11" s="298">
        <v>222712.32952377814</v>
      </c>
      <c r="Q11" s="298">
        <v>55742.94890827564</v>
      </c>
      <c r="R11" s="298">
        <v>1513.2913876225161</v>
      </c>
      <c r="S11" s="127"/>
      <c r="T11" s="127"/>
      <c r="U11" s="298">
        <v>24836.84238805457</v>
      </c>
      <c r="V11" s="298">
        <v>13379.349864286367</v>
      </c>
      <c r="W11" s="298">
        <v>8663.446532205104</v>
      </c>
      <c r="X11" s="298">
        <v>0</v>
      </c>
      <c r="Y11" s="298">
        <v>2791.546506394708</v>
      </c>
      <c r="Z11" s="298">
        <v>0</v>
      </c>
      <c r="AA11" s="298">
        <v>2.499485168391768</v>
      </c>
      <c r="AB11" s="127"/>
      <c r="AC11" s="127"/>
    </row>
    <row r="12" spans="1:29" ht="12.75">
      <c r="A12" s="127">
        <v>2</v>
      </c>
      <c r="B12" s="155" t="s">
        <v>567</v>
      </c>
      <c r="C12" s="155"/>
      <c r="D12" s="394">
        <v>0.1</v>
      </c>
      <c r="E12" s="394">
        <v>0.1</v>
      </c>
      <c r="F12" s="394">
        <v>0.1</v>
      </c>
      <c r="G12" s="394">
        <v>0.1</v>
      </c>
      <c r="H12" s="394">
        <v>0.1</v>
      </c>
      <c r="I12" s="394">
        <v>0.1</v>
      </c>
      <c r="J12" s="394">
        <v>0.1</v>
      </c>
      <c r="K12" s="127"/>
      <c r="L12" s="299">
        <v>0.1</v>
      </c>
      <c r="M12" s="299">
        <v>0.1</v>
      </c>
      <c r="N12" s="299">
        <v>0.1</v>
      </c>
      <c r="O12" s="299">
        <v>0.1</v>
      </c>
      <c r="P12" s="299">
        <v>0.1</v>
      </c>
      <c r="Q12" s="299">
        <v>0.1</v>
      </c>
      <c r="R12" s="299">
        <v>0.1</v>
      </c>
      <c r="S12" s="127"/>
      <c r="T12" s="127"/>
      <c r="U12" s="299">
        <v>0.1</v>
      </c>
      <c r="V12" s="299">
        <v>0.1</v>
      </c>
      <c r="W12" s="299">
        <v>0.1</v>
      </c>
      <c r="X12" s="299">
        <v>0.1</v>
      </c>
      <c r="Y12" s="299">
        <v>0.1</v>
      </c>
      <c r="Z12" s="299">
        <v>0.1</v>
      </c>
      <c r="AA12" s="299">
        <v>0.1</v>
      </c>
      <c r="AB12" s="127"/>
      <c r="AC12" s="127"/>
    </row>
    <row r="13" spans="1:29" ht="12.75">
      <c r="A13" s="127">
        <v>3</v>
      </c>
      <c r="B13" s="155" t="s">
        <v>568</v>
      </c>
      <c r="C13" s="155"/>
      <c r="D13" s="393">
        <f aca="true" t="shared" si="1" ref="D13:D36">ROUND(+L13+U13,0)</f>
        <v>364964</v>
      </c>
      <c r="E13" s="393">
        <f aca="true" t="shared" si="2" ref="E13:E36">ROUND(+M13+V13,0)</f>
        <v>290535</v>
      </c>
      <c r="F13" s="393">
        <f aca="true" t="shared" si="3" ref="F13:F36">ROUND(+N13+W13,0)</f>
        <v>46153</v>
      </c>
      <c r="G13" s="393">
        <f aca="true" t="shared" si="4" ref="G13:G36">ROUND(+O13+X13,0)</f>
        <v>0</v>
      </c>
      <c r="H13" s="393">
        <f aca="true" t="shared" si="5" ref="H13:H36">ROUND(+P13+Y13,0)</f>
        <v>22550</v>
      </c>
      <c r="I13" s="393">
        <f aca="true" t="shared" si="6" ref="I13:I36">ROUND(+Q13+Z13,0)</f>
        <v>5574</v>
      </c>
      <c r="J13" s="393">
        <f aca="true" t="shared" si="7" ref="J13:J36">ROUND(+R13+AA13,0)</f>
        <v>152</v>
      </c>
      <c r="K13" s="127"/>
      <c r="L13" s="298">
        <v>362480.100042966</v>
      </c>
      <c r="M13" s="298">
        <v>289196.7212636052</v>
      </c>
      <c r="N13" s="298">
        <v>45286.52179739318</v>
      </c>
      <c r="O13" s="298">
        <v>0</v>
      </c>
      <c r="P13" s="298">
        <v>22271.232952377817</v>
      </c>
      <c r="Q13" s="298">
        <v>5574.294890827565</v>
      </c>
      <c r="R13" s="298">
        <v>151.32913876225163</v>
      </c>
      <c r="S13" s="127"/>
      <c r="T13" s="127"/>
      <c r="U13" s="298">
        <v>2483.684238805457</v>
      </c>
      <c r="V13" s="298">
        <v>1337.9349864286369</v>
      </c>
      <c r="W13" s="298">
        <v>866.3446532205104</v>
      </c>
      <c r="X13" s="298">
        <v>0</v>
      </c>
      <c r="Y13" s="298">
        <v>279.15465063947084</v>
      </c>
      <c r="Z13" s="298">
        <v>0</v>
      </c>
      <c r="AA13" s="298">
        <v>0.24994851683917682</v>
      </c>
      <c r="AB13" s="127"/>
      <c r="AC13" s="127"/>
    </row>
    <row r="14" spans="1:29" ht="12.75">
      <c r="A14" s="127">
        <v>4</v>
      </c>
      <c r="B14" s="155" t="s">
        <v>569</v>
      </c>
      <c r="C14" s="155"/>
      <c r="D14" s="393">
        <f t="shared" si="1"/>
        <v>0</v>
      </c>
      <c r="E14" s="393">
        <f t="shared" si="2"/>
        <v>0</v>
      </c>
      <c r="F14" s="393">
        <f t="shared" si="3"/>
        <v>0</v>
      </c>
      <c r="G14" s="393">
        <f t="shared" si="4"/>
        <v>0</v>
      </c>
      <c r="H14" s="393">
        <f t="shared" si="5"/>
        <v>0</v>
      </c>
      <c r="I14" s="393">
        <f t="shared" si="6"/>
        <v>0</v>
      </c>
      <c r="J14" s="393">
        <f t="shared" si="7"/>
        <v>0</v>
      </c>
      <c r="K14" s="127"/>
      <c r="L14" s="298">
        <v>0</v>
      </c>
      <c r="M14" s="298">
        <v>0</v>
      </c>
      <c r="N14" s="298">
        <v>0</v>
      </c>
      <c r="O14" s="298">
        <v>0</v>
      </c>
      <c r="P14" s="298">
        <v>0</v>
      </c>
      <c r="Q14" s="298">
        <v>0</v>
      </c>
      <c r="R14" s="298">
        <v>0</v>
      </c>
      <c r="S14" s="127"/>
      <c r="T14" s="127"/>
      <c r="U14" s="298">
        <v>0</v>
      </c>
      <c r="V14" s="298">
        <v>0</v>
      </c>
      <c r="W14" s="298">
        <v>0</v>
      </c>
      <c r="X14" s="298">
        <v>0</v>
      </c>
      <c r="Y14" s="298">
        <v>0</v>
      </c>
      <c r="Z14" s="298">
        <v>0</v>
      </c>
      <c r="AA14" s="298">
        <v>0</v>
      </c>
      <c r="AB14" s="127"/>
      <c r="AC14" s="127"/>
    </row>
    <row r="15" spans="1:29" ht="12.75">
      <c r="A15" s="127">
        <v>5</v>
      </c>
      <c r="B15" s="155" t="s">
        <v>570</v>
      </c>
      <c r="C15" s="155"/>
      <c r="D15" s="393">
        <f t="shared" si="1"/>
        <v>364964</v>
      </c>
      <c r="E15" s="393">
        <f t="shared" si="2"/>
        <v>290535</v>
      </c>
      <c r="F15" s="393">
        <f t="shared" si="3"/>
        <v>46153</v>
      </c>
      <c r="G15" s="393">
        <f t="shared" si="4"/>
        <v>0</v>
      </c>
      <c r="H15" s="393">
        <f t="shared" si="5"/>
        <v>22550</v>
      </c>
      <c r="I15" s="393">
        <f t="shared" si="6"/>
        <v>5574</v>
      </c>
      <c r="J15" s="393">
        <f t="shared" si="7"/>
        <v>152</v>
      </c>
      <c r="K15" s="127"/>
      <c r="L15" s="298">
        <v>362480.100042966</v>
      </c>
      <c r="M15" s="298">
        <v>289196.7212636052</v>
      </c>
      <c r="N15" s="298">
        <v>45286.52179739318</v>
      </c>
      <c r="O15" s="298">
        <v>0</v>
      </c>
      <c r="P15" s="298">
        <v>22271.232952377817</v>
      </c>
      <c r="Q15" s="298">
        <v>5574.294890827565</v>
      </c>
      <c r="R15" s="298">
        <v>151.32913876225163</v>
      </c>
      <c r="S15" s="127"/>
      <c r="T15" s="127"/>
      <c r="U15" s="298">
        <v>2483.684238805457</v>
      </c>
      <c r="V15" s="298">
        <v>1337.9349864286369</v>
      </c>
      <c r="W15" s="298">
        <v>866.3446532205104</v>
      </c>
      <c r="X15" s="298">
        <v>0</v>
      </c>
      <c r="Y15" s="298">
        <v>279.15465063947084</v>
      </c>
      <c r="Z15" s="298">
        <v>0</v>
      </c>
      <c r="AA15" s="298">
        <v>0.24994851683917682</v>
      </c>
      <c r="AB15" s="127"/>
      <c r="AC15" s="127"/>
    </row>
    <row r="16" spans="1:29" ht="12.75">
      <c r="A16" s="127">
        <v>6</v>
      </c>
      <c r="B16" s="155" t="s">
        <v>571</v>
      </c>
      <c r="C16" s="155"/>
      <c r="D16" s="393">
        <f t="shared" si="1"/>
        <v>309066</v>
      </c>
      <c r="E16" s="393">
        <f t="shared" si="2"/>
        <v>227467</v>
      </c>
      <c r="F16" s="393">
        <f t="shared" si="3"/>
        <v>44615</v>
      </c>
      <c r="G16" s="393">
        <f t="shared" si="4"/>
        <v>0</v>
      </c>
      <c r="H16" s="393">
        <f t="shared" si="5"/>
        <v>31141</v>
      </c>
      <c r="I16" s="393">
        <f t="shared" si="6"/>
        <v>5772</v>
      </c>
      <c r="J16" s="393">
        <f t="shared" si="7"/>
        <v>70</v>
      </c>
      <c r="K16" s="127"/>
      <c r="L16" s="298">
        <v>307563.62112231436</v>
      </c>
      <c r="M16" s="298">
        <v>226740.06677391604</v>
      </c>
      <c r="N16" s="298">
        <v>44064.88690895403</v>
      </c>
      <c r="O16" s="298">
        <v>0</v>
      </c>
      <c r="P16" s="298">
        <v>30916.506057633935</v>
      </c>
      <c r="Q16" s="298">
        <v>5772.45560971745</v>
      </c>
      <c r="R16" s="298">
        <v>69.70577209286547</v>
      </c>
      <c r="S16" s="127"/>
      <c r="T16" s="127"/>
      <c r="U16" s="298">
        <v>1502.4751152534416</v>
      </c>
      <c r="V16" s="298">
        <v>727.2119486728567</v>
      </c>
      <c r="W16" s="298">
        <v>550.2742426778556</v>
      </c>
      <c r="X16" s="298">
        <v>0</v>
      </c>
      <c r="Y16" s="298">
        <v>224.89963322394206</v>
      </c>
      <c r="Z16" s="298">
        <v>0</v>
      </c>
      <c r="AA16" s="298">
        <v>0.08929067878718357</v>
      </c>
      <c r="AB16" s="127"/>
      <c r="AC16" s="127"/>
    </row>
    <row r="17" spans="1:29" ht="12.75">
      <c r="A17" s="127">
        <v>7</v>
      </c>
      <c r="B17" s="155" t="s">
        <v>572</v>
      </c>
      <c r="C17" s="155"/>
      <c r="D17" s="393">
        <f t="shared" si="1"/>
        <v>0</v>
      </c>
      <c r="E17" s="393">
        <f t="shared" si="2"/>
        <v>0</v>
      </c>
      <c r="F17" s="393">
        <f t="shared" si="3"/>
        <v>0</v>
      </c>
      <c r="G17" s="393">
        <f t="shared" si="4"/>
        <v>0</v>
      </c>
      <c r="H17" s="393">
        <f t="shared" si="5"/>
        <v>0</v>
      </c>
      <c r="I17" s="393">
        <f t="shared" si="6"/>
        <v>0</v>
      </c>
      <c r="J17" s="393">
        <f t="shared" si="7"/>
        <v>0</v>
      </c>
      <c r="K17" s="127"/>
      <c r="L17" s="298">
        <v>0</v>
      </c>
      <c r="M17" s="298">
        <v>0</v>
      </c>
      <c r="N17" s="298">
        <v>0</v>
      </c>
      <c r="O17" s="298">
        <v>0</v>
      </c>
      <c r="P17" s="298">
        <v>0</v>
      </c>
      <c r="Q17" s="298">
        <v>0</v>
      </c>
      <c r="R17" s="298">
        <v>0</v>
      </c>
      <c r="S17" s="127"/>
      <c r="T17" s="127"/>
      <c r="U17" s="298">
        <v>0</v>
      </c>
      <c r="V17" s="298">
        <v>0</v>
      </c>
      <c r="W17" s="298">
        <v>0</v>
      </c>
      <c r="X17" s="298">
        <v>0</v>
      </c>
      <c r="Y17" s="298">
        <v>0</v>
      </c>
      <c r="Z17" s="298">
        <v>0</v>
      </c>
      <c r="AA17" s="298">
        <v>0</v>
      </c>
      <c r="AB17" s="127"/>
      <c r="AC17" s="127"/>
    </row>
    <row r="18" spans="1:29" ht="12.75">
      <c r="A18" s="127">
        <v>8</v>
      </c>
      <c r="B18" s="155" t="s">
        <v>573</v>
      </c>
      <c r="C18" s="155"/>
      <c r="D18" s="393">
        <f t="shared" si="1"/>
        <v>0</v>
      </c>
      <c r="E18" s="393">
        <f t="shared" si="2"/>
        <v>0</v>
      </c>
      <c r="F18" s="393">
        <f t="shared" si="3"/>
        <v>0</v>
      </c>
      <c r="G18" s="393">
        <f t="shared" si="4"/>
        <v>0</v>
      </c>
      <c r="H18" s="393">
        <f t="shared" si="5"/>
        <v>0</v>
      </c>
      <c r="I18" s="393">
        <f t="shared" si="6"/>
        <v>0</v>
      </c>
      <c r="J18" s="393">
        <f t="shared" si="7"/>
        <v>0</v>
      </c>
      <c r="K18" s="127"/>
      <c r="L18" s="298">
        <v>0</v>
      </c>
      <c r="M18" s="298">
        <v>0</v>
      </c>
      <c r="N18" s="298">
        <v>0</v>
      </c>
      <c r="O18" s="298">
        <v>0</v>
      </c>
      <c r="P18" s="298">
        <v>0</v>
      </c>
      <c r="Q18" s="298">
        <v>0</v>
      </c>
      <c r="R18" s="298">
        <v>0</v>
      </c>
      <c r="S18" s="127"/>
      <c r="T18" s="127"/>
      <c r="U18" s="298">
        <v>0</v>
      </c>
      <c r="V18" s="298">
        <v>0</v>
      </c>
      <c r="W18" s="298">
        <v>0</v>
      </c>
      <c r="X18" s="298">
        <v>0</v>
      </c>
      <c r="Y18" s="298">
        <v>0</v>
      </c>
      <c r="Z18" s="298">
        <v>0</v>
      </c>
      <c r="AA18" s="298">
        <v>0</v>
      </c>
      <c r="AB18" s="127"/>
      <c r="AC18" s="127"/>
    </row>
    <row r="19" spans="1:29" ht="12.75">
      <c r="A19" s="127">
        <v>9</v>
      </c>
      <c r="B19" s="155" t="s">
        <v>574</v>
      </c>
      <c r="C19" s="155"/>
      <c r="D19" s="393">
        <f t="shared" si="1"/>
        <v>55898</v>
      </c>
      <c r="E19" s="393">
        <f t="shared" si="2"/>
        <v>63067</v>
      </c>
      <c r="F19" s="393">
        <f t="shared" si="3"/>
        <v>1538</v>
      </c>
      <c r="G19" s="393">
        <f t="shared" si="4"/>
        <v>0</v>
      </c>
      <c r="H19" s="393">
        <f t="shared" si="5"/>
        <v>-8591</v>
      </c>
      <c r="I19" s="393">
        <f t="shared" si="6"/>
        <v>-198</v>
      </c>
      <c r="J19" s="393">
        <f t="shared" si="7"/>
        <v>82</v>
      </c>
      <c r="K19" s="127"/>
      <c r="L19" s="298">
        <v>54916.47892065172</v>
      </c>
      <c r="M19" s="127">
        <v>62456.65448968919</v>
      </c>
      <c r="N19" s="127">
        <v>1221.6348884391482</v>
      </c>
      <c r="O19" s="127">
        <v>0</v>
      </c>
      <c r="P19" s="127">
        <v>-8645.273105256118</v>
      </c>
      <c r="Q19" s="127">
        <v>-198.16071888988517</v>
      </c>
      <c r="R19" s="127">
        <v>81.62336666938616</v>
      </c>
      <c r="S19" s="127"/>
      <c r="T19" s="127"/>
      <c r="U19" s="298">
        <v>981.2091235520157</v>
      </c>
      <c r="V19" s="127">
        <v>610.7230377557802</v>
      </c>
      <c r="W19" s="127">
        <v>316.0704105426548</v>
      </c>
      <c r="X19" s="127">
        <v>0</v>
      </c>
      <c r="Y19" s="127">
        <v>54.25501741552878</v>
      </c>
      <c r="Z19" s="127">
        <v>0</v>
      </c>
      <c r="AA19" s="127">
        <v>0.16065783805199324</v>
      </c>
      <c r="AB19" s="127"/>
      <c r="AC19" s="127"/>
    </row>
    <row r="20" spans="1:29" ht="12.75">
      <c r="A20" s="127">
        <v>10</v>
      </c>
      <c r="B20" s="155" t="s">
        <v>575</v>
      </c>
      <c r="C20" s="155"/>
      <c r="D20" s="393">
        <f t="shared" si="1"/>
        <v>84693</v>
      </c>
      <c r="E20" s="393">
        <f t="shared" si="2"/>
        <v>95557</v>
      </c>
      <c r="F20" s="393">
        <f t="shared" si="3"/>
        <v>2330</v>
      </c>
      <c r="G20" s="393">
        <f t="shared" si="4"/>
        <v>0</v>
      </c>
      <c r="H20" s="393">
        <f t="shared" si="5"/>
        <v>-13017</v>
      </c>
      <c r="I20" s="393">
        <f t="shared" si="6"/>
        <v>-300</v>
      </c>
      <c r="J20" s="393">
        <f t="shared" si="7"/>
        <v>124</v>
      </c>
      <c r="K20" s="127"/>
      <c r="L20" s="298">
        <v>83206.78624341171</v>
      </c>
      <c r="M20" s="298">
        <v>94631.29468134727</v>
      </c>
      <c r="N20" s="298">
        <v>1850.9619521805278</v>
      </c>
      <c r="O20" s="298">
        <v>0</v>
      </c>
      <c r="P20" s="298">
        <v>-13098.898644327452</v>
      </c>
      <c r="Q20" s="298">
        <v>-300.243513469523</v>
      </c>
      <c r="R20" s="298">
        <v>123.67176768088814</v>
      </c>
      <c r="S20" s="127"/>
      <c r="T20" s="127"/>
      <c r="U20" s="298">
        <v>1486.680490230327</v>
      </c>
      <c r="V20" s="298">
        <v>925.3379359936065</v>
      </c>
      <c r="W20" s="298">
        <v>478.8945614282649</v>
      </c>
      <c r="X20" s="298">
        <v>0</v>
      </c>
      <c r="Y20" s="298">
        <v>82.20457184171029</v>
      </c>
      <c r="Z20" s="298">
        <v>0</v>
      </c>
      <c r="AA20" s="298">
        <v>0.24342096674544433</v>
      </c>
      <c r="AB20" s="127"/>
      <c r="AC20" s="127"/>
    </row>
    <row r="21" spans="1:29" ht="12.75">
      <c r="A21" s="127">
        <v>11</v>
      </c>
      <c r="B21" s="155" t="s">
        <v>576</v>
      </c>
      <c r="C21" s="155"/>
      <c r="D21" s="393">
        <f t="shared" si="1"/>
        <v>28796</v>
      </c>
      <c r="E21" s="393">
        <f t="shared" si="2"/>
        <v>32489</v>
      </c>
      <c r="F21" s="393">
        <f t="shared" si="3"/>
        <v>792</v>
      </c>
      <c r="G21" s="393">
        <f t="shared" si="4"/>
        <v>0</v>
      </c>
      <c r="H21" s="393">
        <f t="shared" si="5"/>
        <v>-4426</v>
      </c>
      <c r="I21" s="393">
        <f t="shared" si="6"/>
        <v>-102</v>
      </c>
      <c r="J21" s="393">
        <f t="shared" si="7"/>
        <v>42</v>
      </c>
      <c r="K21" s="127"/>
      <c r="L21" s="298">
        <v>28290.307322759985</v>
      </c>
      <c r="M21" s="298">
        <v>32174.640191658073</v>
      </c>
      <c r="N21" s="298">
        <v>629.3270637413794</v>
      </c>
      <c r="O21" s="298">
        <v>0</v>
      </c>
      <c r="P21" s="298">
        <v>-4453.625539071334</v>
      </c>
      <c r="Q21" s="298">
        <v>-102.08279457963783</v>
      </c>
      <c r="R21" s="298">
        <v>42.04840101150197</v>
      </c>
      <c r="S21" s="127"/>
      <c r="T21" s="127"/>
      <c r="U21" s="298">
        <v>505.4713666783113</v>
      </c>
      <c r="V21" s="298">
        <v>314.61489823782625</v>
      </c>
      <c r="W21" s="298">
        <v>162.8241508856101</v>
      </c>
      <c r="X21" s="298">
        <v>0</v>
      </c>
      <c r="Y21" s="298">
        <v>27.9495544261815</v>
      </c>
      <c r="Z21" s="298">
        <v>0</v>
      </c>
      <c r="AA21" s="298">
        <v>0.08276312869345108</v>
      </c>
      <c r="AB21" s="127"/>
      <c r="AC21" s="127"/>
    </row>
    <row r="22" spans="1:29" ht="12.75">
      <c r="A22" s="127">
        <v>12</v>
      </c>
      <c r="B22" s="155" t="s">
        <v>577</v>
      </c>
      <c r="C22" s="155"/>
      <c r="D22" s="393">
        <f t="shared" si="1"/>
        <v>0</v>
      </c>
      <c r="E22" s="393">
        <f t="shared" si="2"/>
        <v>0</v>
      </c>
      <c r="F22" s="393">
        <f t="shared" si="3"/>
        <v>0</v>
      </c>
      <c r="G22" s="393">
        <f t="shared" si="4"/>
        <v>0</v>
      </c>
      <c r="H22" s="393">
        <f t="shared" si="5"/>
        <v>0</v>
      </c>
      <c r="I22" s="393">
        <f t="shared" si="6"/>
        <v>0</v>
      </c>
      <c r="J22" s="393">
        <f t="shared" si="7"/>
        <v>0</v>
      </c>
      <c r="K22" s="127"/>
      <c r="L22" s="298">
        <v>0</v>
      </c>
      <c r="M22" s="298">
        <v>0</v>
      </c>
      <c r="N22" s="298">
        <v>0</v>
      </c>
      <c r="O22" s="298">
        <v>0</v>
      </c>
      <c r="P22" s="298">
        <v>0</v>
      </c>
      <c r="Q22" s="298">
        <v>0</v>
      </c>
      <c r="R22" s="298">
        <v>0</v>
      </c>
      <c r="S22" s="127"/>
      <c r="T22" s="127"/>
      <c r="U22" s="298">
        <v>0</v>
      </c>
      <c r="V22" s="298">
        <v>0</v>
      </c>
      <c r="W22" s="298">
        <v>0</v>
      </c>
      <c r="X22" s="298">
        <v>0</v>
      </c>
      <c r="Y22" s="298">
        <v>0</v>
      </c>
      <c r="Z22" s="298">
        <v>0</v>
      </c>
      <c r="AA22" s="298">
        <v>0</v>
      </c>
      <c r="AB22" s="127"/>
      <c r="AC22" s="127"/>
    </row>
    <row r="23" spans="1:29" ht="12.75">
      <c r="A23" s="127">
        <v>13</v>
      </c>
      <c r="B23" s="155" t="s">
        <v>578</v>
      </c>
      <c r="C23" s="155"/>
      <c r="D23" s="393">
        <f t="shared" si="1"/>
        <v>28796</v>
      </c>
      <c r="E23" s="393">
        <f t="shared" si="2"/>
        <v>32489</v>
      </c>
      <c r="F23" s="393">
        <f t="shared" si="3"/>
        <v>792</v>
      </c>
      <c r="G23" s="393">
        <f t="shared" si="4"/>
        <v>0</v>
      </c>
      <c r="H23" s="393">
        <f t="shared" si="5"/>
        <v>-4426</v>
      </c>
      <c r="I23" s="393">
        <f t="shared" si="6"/>
        <v>-102</v>
      </c>
      <c r="J23" s="393">
        <f t="shared" si="7"/>
        <v>42</v>
      </c>
      <c r="K23" s="127"/>
      <c r="L23" s="298">
        <v>28290.307322759985</v>
      </c>
      <c r="M23" s="298">
        <v>32174.640191658073</v>
      </c>
      <c r="N23" s="298">
        <v>629.3270637413794</v>
      </c>
      <c r="O23" s="298">
        <v>0</v>
      </c>
      <c r="P23" s="298">
        <v>-4453.625539071334</v>
      </c>
      <c r="Q23" s="298">
        <v>-102.08279457963783</v>
      </c>
      <c r="R23" s="298">
        <v>42.04840101150197</v>
      </c>
      <c r="S23" s="127"/>
      <c r="T23" s="127"/>
      <c r="U23" s="298">
        <v>505.4713666783113</v>
      </c>
      <c r="V23" s="298">
        <v>314.61489823782625</v>
      </c>
      <c r="W23" s="298">
        <v>162.8241508856101</v>
      </c>
      <c r="X23" s="298">
        <v>0</v>
      </c>
      <c r="Y23" s="298">
        <v>27.9495544261815</v>
      </c>
      <c r="Z23" s="298">
        <v>0</v>
      </c>
      <c r="AA23" s="298">
        <v>0.08276312869345108</v>
      </c>
      <c r="AB23" s="127"/>
      <c r="AC23" s="127"/>
    </row>
    <row r="24" spans="1:29" ht="12.75">
      <c r="A24" s="127">
        <v>14</v>
      </c>
      <c r="B24" s="155" t="s">
        <v>579</v>
      </c>
      <c r="C24" s="155"/>
      <c r="D24" s="393">
        <f t="shared" si="1"/>
        <v>0</v>
      </c>
      <c r="E24" s="393">
        <f t="shared" si="2"/>
        <v>0</v>
      </c>
      <c r="F24" s="393">
        <f t="shared" si="3"/>
        <v>0</v>
      </c>
      <c r="G24" s="393">
        <f t="shared" si="4"/>
        <v>0</v>
      </c>
      <c r="H24" s="393">
        <f t="shared" si="5"/>
        <v>0</v>
      </c>
      <c r="I24" s="393">
        <f t="shared" si="6"/>
        <v>0</v>
      </c>
      <c r="J24" s="393">
        <f t="shared" si="7"/>
        <v>0</v>
      </c>
      <c r="K24" s="127"/>
      <c r="L24" s="298">
        <v>0</v>
      </c>
      <c r="M24" s="127">
        <v>0</v>
      </c>
      <c r="N24" s="127">
        <v>0</v>
      </c>
      <c r="O24" s="127">
        <v>0</v>
      </c>
      <c r="P24" s="127">
        <v>0</v>
      </c>
      <c r="Q24" s="127">
        <v>0</v>
      </c>
      <c r="R24" s="127">
        <v>0</v>
      </c>
      <c r="S24" s="127"/>
      <c r="T24" s="127"/>
      <c r="U24" s="298">
        <v>0</v>
      </c>
      <c r="V24" s="127">
        <v>0</v>
      </c>
      <c r="W24" s="127">
        <v>0</v>
      </c>
      <c r="X24" s="127">
        <v>0</v>
      </c>
      <c r="Y24" s="127">
        <v>0</v>
      </c>
      <c r="Z24" s="127">
        <v>0</v>
      </c>
      <c r="AA24" s="127">
        <v>0</v>
      </c>
      <c r="AB24" s="127"/>
      <c r="AC24" s="127"/>
    </row>
    <row r="25" spans="1:29" ht="12.75">
      <c r="A25" s="127">
        <v>15</v>
      </c>
      <c r="B25" s="155" t="s">
        <v>580</v>
      </c>
      <c r="C25" s="155"/>
      <c r="D25" s="393">
        <f t="shared" si="1"/>
        <v>84693</v>
      </c>
      <c r="E25" s="393">
        <f t="shared" si="2"/>
        <v>95557</v>
      </c>
      <c r="F25" s="393">
        <f t="shared" si="3"/>
        <v>2330</v>
      </c>
      <c r="G25" s="393">
        <f t="shared" si="4"/>
        <v>0</v>
      </c>
      <c r="H25" s="393">
        <f t="shared" si="5"/>
        <v>-13017</v>
      </c>
      <c r="I25" s="393">
        <f t="shared" si="6"/>
        <v>-300</v>
      </c>
      <c r="J25" s="393">
        <f t="shared" si="7"/>
        <v>124</v>
      </c>
      <c r="K25" s="127"/>
      <c r="L25" s="127">
        <v>83206.78624341171</v>
      </c>
      <c r="M25" s="127">
        <v>94631.29468134727</v>
      </c>
      <c r="N25" s="127">
        <v>1850.9619521805278</v>
      </c>
      <c r="O25" s="127">
        <v>0</v>
      </c>
      <c r="P25" s="127">
        <v>-13098.898644327452</v>
      </c>
      <c r="Q25" s="127">
        <v>-300.243513469523</v>
      </c>
      <c r="R25" s="127">
        <v>123.67176768088814</v>
      </c>
      <c r="S25" s="127"/>
      <c r="T25" s="127"/>
      <c r="U25" s="127">
        <v>1486.680490230327</v>
      </c>
      <c r="V25" s="127">
        <v>925.3379359936065</v>
      </c>
      <c r="W25" s="127">
        <v>478.8945614282649</v>
      </c>
      <c r="X25" s="127">
        <v>0</v>
      </c>
      <c r="Y25" s="127">
        <v>82.20457184171029</v>
      </c>
      <c r="Z25" s="127">
        <v>0</v>
      </c>
      <c r="AA25" s="127">
        <v>0.24342096674544433</v>
      </c>
      <c r="AB25" s="127"/>
      <c r="AC25" s="127"/>
    </row>
    <row r="26" spans="1:29" ht="12.75">
      <c r="A26" s="127">
        <v>16</v>
      </c>
      <c r="B26" s="155" t="s">
        <v>581</v>
      </c>
      <c r="C26" s="155"/>
      <c r="D26" s="393">
        <f t="shared" si="1"/>
        <v>89151</v>
      </c>
      <c r="E26" s="393">
        <f t="shared" si="2"/>
        <v>100586</v>
      </c>
      <c r="F26" s="393">
        <f t="shared" si="3"/>
        <v>2452</v>
      </c>
      <c r="G26" s="393">
        <f t="shared" si="4"/>
        <v>0</v>
      </c>
      <c r="H26" s="393">
        <f t="shared" si="5"/>
        <v>-13702</v>
      </c>
      <c r="I26" s="393">
        <f t="shared" si="6"/>
        <v>-316</v>
      </c>
      <c r="J26" s="393">
        <f t="shared" si="7"/>
        <v>130</v>
      </c>
      <c r="K26" s="127"/>
      <c r="L26" s="298">
        <v>87586.09078253865</v>
      </c>
      <c r="M26" s="290">
        <v>99611.88913826029</v>
      </c>
      <c r="N26" s="290">
        <v>1948.3810022952925</v>
      </c>
      <c r="O26" s="290">
        <v>0</v>
      </c>
      <c r="P26" s="290">
        <v>-13788.31436244995</v>
      </c>
      <c r="Q26" s="290">
        <v>-316.0458036521295</v>
      </c>
      <c r="R26" s="290">
        <v>130.1808080851454</v>
      </c>
      <c r="S26" s="127"/>
      <c r="T26" s="127"/>
      <c r="U26" s="298">
        <v>1564.9268318213972</v>
      </c>
      <c r="V26" s="290">
        <v>974.039932624849</v>
      </c>
      <c r="W26" s="290">
        <v>504.09953834554204</v>
      </c>
      <c r="X26" s="290">
        <v>0</v>
      </c>
      <c r="Y26" s="290">
        <v>86.53112825443189</v>
      </c>
      <c r="Z26" s="290">
        <v>0</v>
      </c>
      <c r="AA26" s="290">
        <v>0.2562325965741519</v>
      </c>
      <c r="AB26" s="127"/>
      <c r="AC26" s="127"/>
    </row>
    <row r="27" spans="1:29" ht="12.75">
      <c r="A27" s="127">
        <v>17</v>
      </c>
      <c r="B27" s="155" t="s">
        <v>597</v>
      </c>
      <c r="C27" s="155"/>
      <c r="D27" s="393">
        <f t="shared" si="1"/>
        <v>4458</v>
      </c>
      <c r="E27" s="393">
        <f t="shared" si="2"/>
        <v>5029</v>
      </c>
      <c r="F27" s="393">
        <f t="shared" si="3"/>
        <v>123</v>
      </c>
      <c r="G27" s="393">
        <f t="shared" si="4"/>
        <v>0</v>
      </c>
      <c r="H27" s="393">
        <f t="shared" si="5"/>
        <v>-685</v>
      </c>
      <c r="I27" s="393">
        <f t="shared" si="6"/>
        <v>-16</v>
      </c>
      <c r="J27" s="393">
        <f t="shared" si="7"/>
        <v>7</v>
      </c>
      <c r="K27" s="127"/>
      <c r="L27" s="298">
        <v>4379.304539126934</v>
      </c>
      <c r="M27" s="298">
        <v>4980.594456913015</v>
      </c>
      <c r="N27" s="298">
        <v>97.41905011476463</v>
      </c>
      <c r="O27" s="298">
        <v>0</v>
      </c>
      <c r="P27" s="298">
        <v>-689.4157181224975</v>
      </c>
      <c r="Q27" s="298">
        <v>-15.802290182606477</v>
      </c>
      <c r="R27" s="298">
        <v>6.50904040425727</v>
      </c>
      <c r="S27" s="127"/>
      <c r="T27" s="127"/>
      <c r="U27" s="298">
        <v>78.24634159106986</v>
      </c>
      <c r="V27" s="298">
        <v>48.70199663124245</v>
      </c>
      <c r="W27" s="298">
        <v>25.204976917277104</v>
      </c>
      <c r="X27" s="298">
        <v>0</v>
      </c>
      <c r="Y27" s="298">
        <v>4.326556412721595</v>
      </c>
      <c r="Z27" s="298">
        <v>0</v>
      </c>
      <c r="AA27" s="298">
        <v>0.012811629828707597</v>
      </c>
      <c r="AB27" s="127"/>
      <c r="AC27" s="127"/>
    </row>
    <row r="28" spans="1:29" ht="12.75">
      <c r="A28" s="127">
        <v>18</v>
      </c>
      <c r="B28" s="155" t="s">
        <v>582</v>
      </c>
      <c r="C28" s="155"/>
      <c r="D28" s="393">
        <f t="shared" si="1"/>
        <v>0</v>
      </c>
      <c r="E28" s="393">
        <f t="shared" si="2"/>
        <v>0</v>
      </c>
      <c r="F28" s="393">
        <f t="shared" si="3"/>
        <v>0</v>
      </c>
      <c r="G28" s="393">
        <f t="shared" si="4"/>
        <v>0</v>
      </c>
      <c r="H28" s="393">
        <f t="shared" si="5"/>
        <v>0</v>
      </c>
      <c r="I28" s="393">
        <f t="shared" si="6"/>
        <v>0</v>
      </c>
      <c r="J28" s="393">
        <f t="shared" si="7"/>
        <v>0</v>
      </c>
      <c r="K28" s="127"/>
      <c r="L28" s="298">
        <v>0</v>
      </c>
      <c r="M28" s="298">
        <v>0</v>
      </c>
      <c r="N28" s="298">
        <v>0</v>
      </c>
      <c r="O28" s="298">
        <v>0</v>
      </c>
      <c r="P28" s="298">
        <v>0</v>
      </c>
      <c r="Q28" s="298">
        <v>0</v>
      </c>
      <c r="R28" s="298">
        <v>0</v>
      </c>
      <c r="S28" s="127"/>
      <c r="T28" s="127"/>
      <c r="U28" s="298">
        <v>0</v>
      </c>
      <c r="V28" s="298">
        <v>0</v>
      </c>
      <c r="W28" s="298">
        <v>0</v>
      </c>
      <c r="X28" s="298">
        <v>0</v>
      </c>
      <c r="Y28" s="298">
        <v>0</v>
      </c>
      <c r="Z28" s="298">
        <v>0</v>
      </c>
      <c r="AA28" s="298">
        <v>0</v>
      </c>
      <c r="AB28" s="127"/>
      <c r="AC28" s="127"/>
    </row>
    <row r="29" spans="1:29" ht="12.75">
      <c r="A29" s="127">
        <v>19</v>
      </c>
      <c r="B29" s="155" t="s">
        <v>583</v>
      </c>
      <c r="C29" s="155"/>
      <c r="D29" s="393">
        <f t="shared" si="1"/>
        <v>4458</v>
      </c>
      <c r="E29" s="393">
        <f t="shared" si="2"/>
        <v>5029</v>
      </c>
      <c r="F29" s="393">
        <f t="shared" si="3"/>
        <v>123</v>
      </c>
      <c r="G29" s="393">
        <f t="shared" si="4"/>
        <v>0</v>
      </c>
      <c r="H29" s="393">
        <f t="shared" si="5"/>
        <v>-685</v>
      </c>
      <c r="I29" s="393">
        <f t="shared" si="6"/>
        <v>-16</v>
      </c>
      <c r="J29" s="393">
        <f t="shared" si="7"/>
        <v>7</v>
      </c>
      <c r="K29" s="127"/>
      <c r="L29" s="298">
        <v>4379.304539126934</v>
      </c>
      <c r="M29" s="298">
        <v>4980.594456913015</v>
      </c>
      <c r="N29" s="298">
        <v>97.41905011476463</v>
      </c>
      <c r="O29" s="298">
        <v>0</v>
      </c>
      <c r="P29" s="298">
        <v>-689.4157181224975</v>
      </c>
      <c r="Q29" s="298">
        <v>-15.802290182606477</v>
      </c>
      <c r="R29" s="298">
        <v>6.50904040425727</v>
      </c>
      <c r="S29" s="127"/>
      <c r="T29" s="127"/>
      <c r="U29" s="298">
        <v>78.24634159106986</v>
      </c>
      <c r="V29" s="298">
        <v>48.70199663124245</v>
      </c>
      <c r="W29" s="298">
        <v>25.204976917277104</v>
      </c>
      <c r="X29" s="298">
        <v>0</v>
      </c>
      <c r="Y29" s="298">
        <v>4.326556412721595</v>
      </c>
      <c r="Z29" s="298">
        <v>0</v>
      </c>
      <c r="AA29" s="298">
        <v>0.012811629828707597</v>
      </c>
      <c r="AB29" s="127"/>
      <c r="AC29" s="127"/>
    </row>
    <row r="30" spans="1:29" ht="12.75">
      <c r="A30" s="127">
        <v>20</v>
      </c>
      <c r="B30" s="155" t="s">
        <v>584</v>
      </c>
      <c r="C30" s="155"/>
      <c r="D30" s="393">
        <f t="shared" si="1"/>
        <v>2267589</v>
      </c>
      <c r="E30" s="393">
        <f t="shared" si="2"/>
        <v>1455377</v>
      </c>
      <c r="F30" s="393">
        <f t="shared" si="3"/>
        <v>505314</v>
      </c>
      <c r="G30" s="393">
        <f t="shared" si="4"/>
        <v>12005</v>
      </c>
      <c r="H30" s="393">
        <f t="shared" si="5"/>
        <v>151878</v>
      </c>
      <c r="I30" s="393">
        <f t="shared" si="6"/>
        <v>30195</v>
      </c>
      <c r="J30" s="393">
        <f t="shared" si="7"/>
        <v>112821</v>
      </c>
      <c r="K30" s="127"/>
      <c r="L30" s="298">
        <v>2194604.8418165212</v>
      </c>
      <c r="M30" s="298">
        <v>1449819.3658177527</v>
      </c>
      <c r="N30" s="298">
        <v>458126.79864711047</v>
      </c>
      <c r="O30" s="298">
        <v>11963.424402075443</v>
      </c>
      <c r="P30" s="298">
        <v>133237.16517409863</v>
      </c>
      <c r="Q30" s="298">
        <v>30194.624725829646</v>
      </c>
      <c r="R30" s="298">
        <v>111263.46304965447</v>
      </c>
      <c r="S30" s="127"/>
      <c r="T30" s="127"/>
      <c r="U30" s="298">
        <v>72984.64899828461</v>
      </c>
      <c r="V30" s="298">
        <v>5557.884710218992</v>
      </c>
      <c r="W30" s="298">
        <v>47187.108821527596</v>
      </c>
      <c r="X30" s="298">
        <v>41.84097959887647</v>
      </c>
      <c r="Y30" s="298">
        <v>18640.381540169765</v>
      </c>
      <c r="Z30" s="298">
        <v>0</v>
      </c>
      <c r="AA30" s="298">
        <v>1557.432946769384</v>
      </c>
      <c r="AB30" s="127"/>
      <c r="AC30" s="127"/>
    </row>
    <row r="31" spans="1:29" ht="12.75">
      <c r="A31" s="127">
        <v>21</v>
      </c>
      <c r="B31" s="155" t="s">
        <v>585</v>
      </c>
      <c r="C31" s="155"/>
      <c r="D31" s="393">
        <f t="shared" si="1"/>
        <v>0</v>
      </c>
      <c r="E31" s="393">
        <f t="shared" si="2"/>
        <v>0</v>
      </c>
      <c r="F31" s="393">
        <f t="shared" si="3"/>
        <v>0</v>
      </c>
      <c r="G31" s="393">
        <f t="shared" si="4"/>
        <v>0</v>
      </c>
      <c r="H31" s="393">
        <f t="shared" si="5"/>
        <v>0</v>
      </c>
      <c r="I31" s="393">
        <f t="shared" si="6"/>
        <v>0</v>
      </c>
      <c r="J31" s="393">
        <f t="shared" si="7"/>
        <v>0</v>
      </c>
      <c r="K31" s="127"/>
      <c r="L31" s="298">
        <v>0</v>
      </c>
      <c r="M31" s="298">
        <v>0</v>
      </c>
      <c r="N31" s="298">
        <v>0</v>
      </c>
      <c r="O31" s="298">
        <v>0</v>
      </c>
      <c r="P31" s="298">
        <v>0</v>
      </c>
      <c r="Q31" s="298">
        <v>0</v>
      </c>
      <c r="R31" s="298">
        <v>0</v>
      </c>
      <c r="S31" s="127"/>
      <c r="T31" s="127"/>
      <c r="U31" s="298">
        <v>0</v>
      </c>
      <c r="V31" s="298">
        <v>0</v>
      </c>
      <c r="W31" s="298">
        <v>0</v>
      </c>
      <c r="X31" s="298">
        <v>0</v>
      </c>
      <c r="Y31" s="298">
        <v>0</v>
      </c>
      <c r="Z31" s="298">
        <v>0</v>
      </c>
      <c r="AA31" s="298">
        <v>0</v>
      </c>
      <c r="AB31" s="127"/>
      <c r="AC31" s="127"/>
    </row>
    <row r="32" spans="1:29" ht="12.75">
      <c r="A32" s="127">
        <v>22</v>
      </c>
      <c r="B32" s="155" t="s">
        <v>586</v>
      </c>
      <c r="C32" s="155"/>
      <c r="D32" s="393">
        <f t="shared" si="1"/>
        <v>0</v>
      </c>
      <c r="E32" s="393">
        <f t="shared" si="2"/>
        <v>0</v>
      </c>
      <c r="F32" s="393">
        <f t="shared" si="3"/>
        <v>0</v>
      </c>
      <c r="G32" s="393">
        <f t="shared" si="4"/>
        <v>0</v>
      </c>
      <c r="H32" s="393">
        <f t="shared" si="5"/>
        <v>0</v>
      </c>
      <c r="I32" s="393">
        <f t="shared" si="6"/>
        <v>0</v>
      </c>
      <c r="J32" s="393">
        <f t="shared" si="7"/>
        <v>0</v>
      </c>
      <c r="K32" s="127"/>
      <c r="L32" s="298">
        <v>0</v>
      </c>
      <c r="M32" s="298">
        <v>0</v>
      </c>
      <c r="N32" s="298">
        <v>0</v>
      </c>
      <c r="O32" s="298">
        <v>0</v>
      </c>
      <c r="P32" s="298">
        <v>0</v>
      </c>
      <c r="Q32" s="298">
        <v>0</v>
      </c>
      <c r="R32" s="298">
        <v>0</v>
      </c>
      <c r="S32" s="127"/>
      <c r="T32" s="127"/>
      <c r="U32" s="298">
        <v>0</v>
      </c>
      <c r="V32" s="298">
        <v>0</v>
      </c>
      <c r="W32" s="298">
        <v>0</v>
      </c>
      <c r="X32" s="298">
        <v>0</v>
      </c>
      <c r="Y32" s="298">
        <v>0</v>
      </c>
      <c r="Z32" s="298">
        <v>0</v>
      </c>
      <c r="AA32" s="298">
        <v>0</v>
      </c>
      <c r="AB32" s="127"/>
      <c r="AC32" s="127"/>
    </row>
    <row r="33" spans="1:29" ht="12.75">
      <c r="A33" s="127">
        <v>23</v>
      </c>
      <c r="B33" s="155" t="s">
        <v>587</v>
      </c>
      <c r="C33" s="155"/>
      <c r="D33" s="393">
        <f t="shared" si="1"/>
        <v>2665807</v>
      </c>
      <c r="E33" s="393">
        <f t="shared" si="2"/>
        <v>1783430</v>
      </c>
      <c r="F33" s="393">
        <f t="shared" si="3"/>
        <v>552382</v>
      </c>
      <c r="G33" s="393">
        <f t="shared" si="4"/>
        <v>12005</v>
      </c>
      <c r="H33" s="393">
        <f t="shared" si="5"/>
        <v>169317</v>
      </c>
      <c r="I33" s="393">
        <f t="shared" si="6"/>
        <v>35651</v>
      </c>
      <c r="J33" s="393">
        <f t="shared" si="7"/>
        <v>113021</v>
      </c>
      <c r="K33" s="127"/>
      <c r="L33" s="298">
        <v>2589754.5537213744</v>
      </c>
      <c r="M33" s="298">
        <v>1776171.321729929</v>
      </c>
      <c r="N33" s="298">
        <v>504140.0665583598</v>
      </c>
      <c r="O33" s="298">
        <v>11963.424402075443</v>
      </c>
      <c r="P33" s="298">
        <v>150365.3568692826</v>
      </c>
      <c r="Q33" s="298">
        <v>35651.03453189497</v>
      </c>
      <c r="R33" s="298">
        <v>111463.34962983248</v>
      </c>
      <c r="S33" s="127"/>
      <c r="T33" s="127"/>
      <c r="U33" s="298">
        <v>76052.05094535946</v>
      </c>
      <c r="V33" s="298">
        <v>7259.136591516698</v>
      </c>
      <c r="W33" s="298">
        <v>48241.48260255099</v>
      </c>
      <c r="X33" s="298">
        <v>41.84097959887647</v>
      </c>
      <c r="Y33" s="298">
        <v>18951.81230164814</v>
      </c>
      <c r="Z33" s="298">
        <v>0</v>
      </c>
      <c r="AA33" s="298">
        <v>1557.7784700447453</v>
      </c>
      <c r="AB33" s="127"/>
      <c r="AC33" s="127"/>
    </row>
    <row r="34" spans="1:29" ht="12.75">
      <c r="A34" s="127">
        <v>24</v>
      </c>
      <c r="B34" s="155" t="s">
        <v>588</v>
      </c>
      <c r="C34" s="155"/>
      <c r="D34" s="393">
        <f t="shared" si="1"/>
        <v>0</v>
      </c>
      <c r="E34" s="393">
        <f t="shared" si="2"/>
        <v>0</v>
      </c>
      <c r="F34" s="393">
        <f t="shared" si="3"/>
        <v>0</v>
      </c>
      <c r="G34" s="393">
        <f t="shared" si="4"/>
        <v>0</v>
      </c>
      <c r="H34" s="393">
        <f t="shared" si="5"/>
        <v>0</v>
      </c>
      <c r="I34" s="393">
        <f t="shared" si="6"/>
        <v>0</v>
      </c>
      <c r="J34" s="393">
        <f t="shared" si="7"/>
        <v>0</v>
      </c>
      <c r="K34" s="127"/>
      <c r="L34" s="300"/>
      <c r="M34" s="301">
        <v>0</v>
      </c>
      <c r="N34" s="301">
        <v>0</v>
      </c>
      <c r="O34" s="301">
        <v>0</v>
      </c>
      <c r="P34" s="301">
        <v>0</v>
      </c>
      <c r="Q34" s="301">
        <v>0</v>
      </c>
      <c r="R34" s="301">
        <v>0</v>
      </c>
      <c r="S34" s="127"/>
      <c r="T34" s="127"/>
      <c r="U34" s="300"/>
      <c r="V34" s="301">
        <v>0</v>
      </c>
      <c r="W34" s="301">
        <v>0</v>
      </c>
      <c r="X34" s="301">
        <v>0</v>
      </c>
      <c r="Y34" s="301">
        <v>0</v>
      </c>
      <c r="Z34" s="301">
        <v>0</v>
      </c>
      <c r="AA34" s="301">
        <v>0</v>
      </c>
      <c r="AB34" s="127"/>
      <c r="AC34" s="127"/>
    </row>
    <row r="35" spans="1:29" ht="12.75">
      <c r="A35" s="127">
        <v>25</v>
      </c>
      <c r="B35" s="155" t="s">
        <v>589</v>
      </c>
      <c r="C35" s="155"/>
      <c r="D35" s="393">
        <f t="shared" si="1"/>
        <v>0</v>
      </c>
      <c r="E35" s="393">
        <f t="shared" si="2"/>
        <v>0</v>
      </c>
      <c r="F35" s="393">
        <f t="shared" si="3"/>
        <v>0</v>
      </c>
      <c r="G35" s="393">
        <f t="shared" si="4"/>
        <v>0</v>
      </c>
      <c r="H35" s="393">
        <f t="shared" si="5"/>
        <v>0</v>
      </c>
      <c r="I35" s="393">
        <f t="shared" si="6"/>
        <v>0</v>
      </c>
      <c r="J35" s="393">
        <f t="shared" si="7"/>
        <v>0</v>
      </c>
      <c r="K35" s="127"/>
      <c r="L35" s="298">
        <v>0</v>
      </c>
      <c r="M35" s="298">
        <v>0</v>
      </c>
      <c r="N35" s="298">
        <v>0</v>
      </c>
      <c r="O35" s="298">
        <v>0</v>
      </c>
      <c r="P35" s="298">
        <v>0</v>
      </c>
      <c r="Q35" s="298">
        <v>0</v>
      </c>
      <c r="R35" s="298">
        <v>0</v>
      </c>
      <c r="S35" s="127"/>
      <c r="T35" s="127"/>
      <c r="U35" s="298">
        <v>0</v>
      </c>
      <c r="V35" s="298">
        <v>0</v>
      </c>
      <c r="W35" s="298">
        <v>0</v>
      </c>
      <c r="X35" s="298">
        <v>0</v>
      </c>
      <c r="Y35" s="298">
        <v>0</v>
      </c>
      <c r="Z35" s="298">
        <v>0</v>
      </c>
      <c r="AA35" s="298">
        <v>0</v>
      </c>
      <c r="AB35" s="127"/>
      <c r="AC35" s="127"/>
    </row>
    <row r="36" spans="1:29" ht="12.75">
      <c r="A36" s="127">
        <v>26</v>
      </c>
      <c r="B36" s="302" t="s">
        <v>590</v>
      </c>
      <c r="C36" s="302"/>
      <c r="D36" s="393">
        <f t="shared" si="1"/>
        <v>2665807</v>
      </c>
      <c r="E36" s="393">
        <f t="shared" si="2"/>
        <v>1783430</v>
      </c>
      <c r="F36" s="393">
        <f t="shared" si="3"/>
        <v>552382</v>
      </c>
      <c r="G36" s="393">
        <f t="shared" si="4"/>
        <v>12005</v>
      </c>
      <c r="H36" s="393">
        <f t="shared" si="5"/>
        <v>169317</v>
      </c>
      <c r="I36" s="393">
        <f t="shared" si="6"/>
        <v>35651</v>
      </c>
      <c r="J36" s="393">
        <f t="shared" si="7"/>
        <v>113021</v>
      </c>
      <c r="K36" s="127"/>
      <c r="L36" s="298">
        <v>2589754.5537213744</v>
      </c>
      <c r="M36" s="303">
        <v>1776171.321729929</v>
      </c>
      <c r="N36" s="303">
        <v>504140.0665583598</v>
      </c>
      <c r="O36" s="303">
        <v>11963.424402075443</v>
      </c>
      <c r="P36" s="303">
        <v>150365.3568692826</v>
      </c>
      <c r="Q36" s="303">
        <v>35651.03453189497</v>
      </c>
      <c r="R36" s="303">
        <v>111463.34962983248</v>
      </c>
      <c r="S36" s="127"/>
      <c r="T36" s="127"/>
      <c r="U36" s="298">
        <v>76052.05094535946</v>
      </c>
      <c r="V36" s="303">
        <v>7259.136591516698</v>
      </c>
      <c r="W36" s="303">
        <v>48241.48260255099</v>
      </c>
      <c r="X36" s="303">
        <v>41.84097959887647</v>
      </c>
      <c r="Y36" s="303">
        <v>18951.81230164814</v>
      </c>
      <c r="Z36" s="303">
        <v>0</v>
      </c>
      <c r="AA36" s="303">
        <v>1557.7784700447453</v>
      </c>
      <c r="AB36" s="127"/>
      <c r="AC36" s="127"/>
    </row>
    <row r="37" spans="1:29" ht="12.75">
      <c r="A37" s="127">
        <v>27</v>
      </c>
      <c r="B37" s="302" t="s">
        <v>591</v>
      </c>
      <c r="C37" s="302"/>
      <c r="D37" s="395"/>
      <c r="E37" s="395"/>
      <c r="F37" s="395"/>
      <c r="G37" s="395"/>
      <c r="H37" s="395"/>
      <c r="I37" s="395"/>
      <c r="J37" s="395"/>
      <c r="K37" s="127"/>
      <c r="L37" s="298"/>
      <c r="M37" s="298"/>
      <c r="N37" s="298"/>
      <c r="O37" s="298"/>
      <c r="P37" s="298"/>
      <c r="Q37" s="298"/>
      <c r="R37" s="298"/>
      <c r="S37" s="127"/>
      <c r="T37" s="127"/>
      <c r="U37" s="298"/>
      <c r="V37" s="298"/>
      <c r="W37" s="298"/>
      <c r="X37" s="298"/>
      <c r="Y37" s="298"/>
      <c r="Z37" s="298"/>
      <c r="AA37" s="298"/>
      <c r="AB37" s="127"/>
      <c r="AC37" s="127"/>
    </row>
    <row r="38" spans="1:29" ht="12.75">
      <c r="A38" s="127">
        <v>28</v>
      </c>
      <c r="B38" s="302" t="s">
        <v>592</v>
      </c>
      <c r="C38" s="302"/>
      <c r="D38" s="395"/>
      <c r="E38" s="395"/>
      <c r="F38" s="395"/>
      <c r="G38" s="395"/>
      <c r="H38" s="395"/>
      <c r="I38" s="395"/>
      <c r="J38" s="395"/>
      <c r="K38" s="127"/>
      <c r="L38" s="298"/>
      <c r="M38" s="298"/>
      <c r="N38" s="298"/>
      <c r="O38" s="298"/>
      <c r="P38" s="298"/>
      <c r="Q38" s="298"/>
      <c r="R38" s="298"/>
      <c r="S38" s="127"/>
      <c r="T38" s="127"/>
      <c r="U38" s="298"/>
      <c r="V38" s="298"/>
      <c r="W38" s="298"/>
      <c r="X38" s="298"/>
      <c r="Y38" s="298"/>
      <c r="Z38" s="298"/>
      <c r="AA38" s="298"/>
      <c r="AB38" s="127"/>
      <c r="AC38" s="127"/>
    </row>
    <row r="39" spans="1:29" ht="12.75">
      <c r="A39" s="127">
        <v>29</v>
      </c>
      <c r="B39" s="302" t="s">
        <v>593</v>
      </c>
      <c r="C39" s="302"/>
      <c r="D39" s="395"/>
      <c r="E39" s="395"/>
      <c r="F39" s="395"/>
      <c r="G39" s="395"/>
      <c r="H39" s="395"/>
      <c r="I39" s="395"/>
      <c r="J39" s="395"/>
      <c r="K39" s="127"/>
      <c r="L39" s="298"/>
      <c r="M39" s="298"/>
      <c r="N39" s="298"/>
      <c r="O39" s="298"/>
      <c r="P39" s="298"/>
      <c r="Q39" s="298"/>
      <c r="R39" s="298"/>
      <c r="S39" s="127"/>
      <c r="T39" s="127"/>
      <c r="U39" s="298"/>
      <c r="V39" s="298"/>
      <c r="W39" s="298"/>
      <c r="X39" s="298"/>
      <c r="Y39" s="298"/>
      <c r="Z39" s="298"/>
      <c r="AA39" s="298"/>
      <c r="AB39" s="127"/>
      <c r="AC39" s="127"/>
    </row>
    <row r="40" spans="1:29" ht="12.75">
      <c r="A40" s="127">
        <v>30</v>
      </c>
      <c r="B40" s="302" t="s">
        <v>594</v>
      </c>
      <c r="C40" s="302"/>
      <c r="D40" s="393">
        <f aca="true" t="shared" si="8" ref="D40:J40">ROUND(+L40+U40,0)</f>
        <v>2665807</v>
      </c>
      <c r="E40" s="393">
        <f t="shared" si="8"/>
        <v>1783430</v>
      </c>
      <c r="F40" s="393">
        <f t="shared" si="8"/>
        <v>552382</v>
      </c>
      <c r="G40" s="393">
        <f t="shared" si="8"/>
        <v>12005</v>
      </c>
      <c r="H40" s="393">
        <f t="shared" si="8"/>
        <v>169317</v>
      </c>
      <c r="I40" s="393">
        <f t="shared" si="8"/>
        <v>35651</v>
      </c>
      <c r="J40" s="393">
        <f t="shared" si="8"/>
        <v>113021</v>
      </c>
      <c r="K40" s="127"/>
      <c r="L40" s="298">
        <v>2589754.5537213744</v>
      </c>
      <c r="M40" s="303">
        <v>1776171.321729929</v>
      </c>
      <c r="N40" s="303">
        <v>504140.0665583598</v>
      </c>
      <c r="O40" s="303">
        <v>11963.424402075443</v>
      </c>
      <c r="P40" s="303">
        <v>150365.3568692826</v>
      </c>
      <c r="Q40" s="303">
        <v>35651.03453189497</v>
      </c>
      <c r="R40" s="303">
        <v>111463.34962983248</v>
      </c>
      <c r="S40" s="127"/>
      <c r="T40" s="127"/>
      <c r="U40" s="298">
        <v>76052.05094535946</v>
      </c>
      <c r="V40" s="303">
        <v>7259.136591516698</v>
      </c>
      <c r="W40" s="303">
        <v>48241.48260255099</v>
      </c>
      <c r="X40" s="303">
        <v>41.84097959887647</v>
      </c>
      <c r="Y40" s="303">
        <v>18951.81230164814</v>
      </c>
      <c r="Z40" s="303">
        <v>0</v>
      </c>
      <c r="AA40" s="303">
        <v>1557.7784700447453</v>
      </c>
      <c r="AB40" s="127"/>
      <c r="AC40" s="127"/>
    </row>
    <row r="41" spans="1:29" ht="12.75">
      <c r="A41" s="127"/>
      <c r="B41" s="127"/>
      <c r="C41" s="127"/>
      <c r="D41" s="395"/>
      <c r="E41" s="396"/>
      <c r="F41" s="396"/>
      <c r="G41" s="396"/>
      <c r="H41" s="396"/>
      <c r="I41" s="396"/>
      <c r="J41" s="396"/>
      <c r="K41" s="127"/>
      <c r="L41" s="298"/>
      <c r="M41" s="127"/>
      <c r="N41" s="127"/>
      <c r="O41" s="127"/>
      <c r="P41" s="127"/>
      <c r="Q41" s="127"/>
      <c r="R41" s="127"/>
      <c r="S41" s="127"/>
      <c r="T41" s="127"/>
      <c r="U41" s="127"/>
      <c r="V41" s="127"/>
      <c r="W41" s="127"/>
      <c r="X41" s="127"/>
      <c r="Y41" s="127"/>
      <c r="Z41" s="127"/>
      <c r="AA41" s="127"/>
      <c r="AB41" s="127"/>
      <c r="AC41" s="127"/>
    </row>
    <row r="42" spans="1:29" ht="12.75">
      <c r="A42" s="127">
        <v>31</v>
      </c>
      <c r="B42" s="155" t="s">
        <v>595</v>
      </c>
      <c r="C42" s="155"/>
      <c r="D42" s="393">
        <f aca="true" t="shared" si="9" ref="D42:J42">ROUND(+L42+U42,0)</f>
        <v>2665807</v>
      </c>
      <c r="E42" s="393">
        <f t="shared" si="9"/>
        <v>1783430</v>
      </c>
      <c r="F42" s="393">
        <f t="shared" si="9"/>
        <v>552382</v>
      </c>
      <c r="G42" s="393">
        <f t="shared" si="9"/>
        <v>12005</v>
      </c>
      <c r="H42" s="393">
        <f t="shared" si="9"/>
        <v>169317</v>
      </c>
      <c r="I42" s="393">
        <f t="shared" si="9"/>
        <v>35651</v>
      </c>
      <c r="J42" s="393">
        <f t="shared" si="9"/>
        <v>113021</v>
      </c>
      <c r="K42" s="127"/>
      <c r="L42" s="298">
        <v>2589754.553721374</v>
      </c>
      <c r="M42" s="127">
        <v>1776171.3217299287</v>
      </c>
      <c r="N42" s="127">
        <v>504140.0665583598</v>
      </c>
      <c r="O42" s="127">
        <v>11963.424402075443</v>
      </c>
      <c r="P42" s="127">
        <v>150365.3568692826</v>
      </c>
      <c r="Q42" s="127">
        <v>35651.03453189497</v>
      </c>
      <c r="R42" s="127">
        <v>111463.34962983246</v>
      </c>
      <c r="S42" s="127"/>
      <c r="T42" s="127"/>
      <c r="U42" s="298">
        <v>76052.05094535946</v>
      </c>
      <c r="V42" s="127">
        <v>7259.136591516698</v>
      </c>
      <c r="W42" s="127">
        <v>48241.48260255099</v>
      </c>
      <c r="X42" s="127">
        <v>41.84097959887647</v>
      </c>
      <c r="Y42" s="127">
        <v>18951.81230164814</v>
      </c>
      <c r="Z42" s="127">
        <v>0</v>
      </c>
      <c r="AA42" s="127">
        <v>1557.778470044745</v>
      </c>
      <c r="AB42" s="127"/>
      <c r="AC42" s="127"/>
    </row>
    <row r="43" spans="1:29" ht="12.75">
      <c r="A43" s="127"/>
      <c r="B43" s="302" t="s">
        <v>596</v>
      </c>
      <c r="C43" s="302"/>
      <c r="D43" s="395"/>
      <c r="E43" s="396"/>
      <c r="F43" s="396"/>
      <c r="G43" s="396"/>
      <c r="H43" s="396"/>
      <c r="I43" s="396"/>
      <c r="J43" s="396"/>
      <c r="K43" s="127"/>
      <c r="L43" s="298"/>
      <c r="M43" s="127"/>
      <c r="N43" s="127"/>
      <c r="O43" s="127"/>
      <c r="P43" s="127"/>
      <c r="Q43" s="127"/>
      <c r="R43" s="127"/>
      <c r="S43" s="127"/>
      <c r="T43" s="127"/>
      <c r="U43" s="127"/>
      <c r="V43" s="127"/>
      <c r="W43" s="127"/>
      <c r="X43" s="127"/>
      <c r="Y43" s="127"/>
      <c r="Z43" s="127"/>
      <c r="AA43" s="127"/>
      <c r="AB43" s="127"/>
      <c r="AC43" s="127"/>
    </row>
    <row r="44" spans="1:29" ht="12.75">
      <c r="A44" s="127"/>
      <c r="B44" s="302"/>
      <c r="C44" s="302"/>
      <c r="D44" s="395"/>
      <c r="E44" s="396"/>
      <c r="F44" s="396"/>
      <c r="G44" s="396"/>
      <c r="H44" s="396"/>
      <c r="I44" s="396"/>
      <c r="J44" s="396"/>
      <c r="K44" s="127"/>
      <c r="L44" s="298"/>
      <c r="M44" s="127"/>
      <c r="N44" s="127"/>
      <c r="O44" s="127"/>
      <c r="P44" s="127"/>
      <c r="Q44" s="127"/>
      <c r="R44" s="127"/>
      <c r="S44" s="127"/>
      <c r="T44" s="127"/>
      <c r="U44" s="127"/>
      <c r="V44" s="127"/>
      <c r="W44" s="127"/>
      <c r="X44" s="127"/>
      <c r="Y44" s="127"/>
      <c r="Z44" s="127"/>
      <c r="AA44" s="127"/>
      <c r="AB44" s="127"/>
      <c r="AC44" s="127"/>
    </row>
    <row r="45" spans="1:29" ht="12.75">
      <c r="A45" s="127">
        <v>32</v>
      </c>
      <c r="B45" s="155" t="s">
        <v>602</v>
      </c>
      <c r="C45" s="302"/>
      <c r="D45" s="395"/>
      <c r="E45" s="396"/>
      <c r="F45" s="396">
        <f>+'REV 2.2 ACCESS'!F23</f>
        <v>33034722</v>
      </c>
      <c r="G45" s="396"/>
      <c r="H45" s="396">
        <f>+'REV 2.2 ACCESS'!F24</f>
        <v>17258398</v>
      </c>
      <c r="I45" s="396"/>
      <c r="J45" s="396"/>
      <c r="K45" s="127"/>
      <c r="L45" s="298"/>
      <c r="M45" s="127"/>
      <c r="N45" s="127"/>
      <c r="O45" s="127"/>
      <c r="P45" s="127"/>
      <c r="Q45" s="127"/>
      <c r="R45" s="127"/>
      <c r="S45" s="127"/>
      <c r="T45" s="127"/>
      <c r="U45" s="127"/>
      <c r="V45" s="127"/>
      <c r="W45" s="127"/>
      <c r="X45" s="127"/>
      <c r="Y45" s="127"/>
      <c r="Z45" s="127"/>
      <c r="AA45" s="127"/>
      <c r="AB45" s="127"/>
      <c r="AC45" s="127"/>
    </row>
    <row r="46" spans="1:29" ht="12.75">
      <c r="A46" s="127"/>
      <c r="B46" s="302"/>
      <c r="C46" s="302"/>
      <c r="D46" s="395"/>
      <c r="E46" s="396"/>
      <c r="F46" s="396"/>
      <c r="G46" s="396"/>
      <c r="H46" s="396"/>
      <c r="I46" s="396"/>
      <c r="J46" s="396"/>
      <c r="K46" s="127"/>
      <c r="L46" s="298"/>
      <c r="M46" s="127"/>
      <c r="N46" s="127"/>
      <c r="O46" s="127"/>
      <c r="P46" s="127"/>
      <c r="Q46" s="127"/>
      <c r="R46" s="127"/>
      <c r="S46" s="127"/>
      <c r="T46" s="127"/>
      <c r="U46" s="127"/>
      <c r="V46" s="127"/>
      <c r="W46" s="127"/>
      <c r="X46" s="127"/>
      <c r="Y46" s="127"/>
      <c r="Z46" s="127"/>
      <c r="AA46" s="127"/>
      <c r="AB46" s="127"/>
      <c r="AC46" s="127"/>
    </row>
    <row r="47" spans="1:29" ht="12.75">
      <c r="A47" s="127"/>
      <c r="B47" s="302"/>
      <c r="C47" s="302"/>
      <c r="D47" s="395"/>
      <c r="E47" s="396"/>
      <c r="F47" s="396"/>
      <c r="G47" s="396"/>
      <c r="H47" s="396"/>
      <c r="I47" s="396"/>
      <c r="J47" s="396"/>
      <c r="K47" s="127"/>
      <c r="L47" s="298"/>
      <c r="M47" s="127"/>
      <c r="N47" s="127"/>
      <c r="O47" s="127"/>
      <c r="P47" s="127"/>
      <c r="Q47" s="127"/>
      <c r="R47" s="127"/>
      <c r="S47" s="127"/>
      <c r="T47" s="127"/>
      <c r="U47" s="127"/>
      <c r="V47" s="127"/>
      <c r="W47" s="127"/>
      <c r="X47" s="127"/>
      <c r="Y47" s="127"/>
      <c r="Z47" s="127"/>
      <c r="AA47" s="127"/>
      <c r="AB47" s="127"/>
      <c r="AC47" s="127"/>
    </row>
    <row r="48" spans="1:10" ht="12.75">
      <c r="A48" s="81">
        <v>33</v>
      </c>
      <c r="B48" s="155" t="s">
        <v>623</v>
      </c>
      <c r="D48" s="397"/>
      <c r="E48" s="397"/>
      <c r="F48" s="398">
        <f>ROUND(+F42/F45,4)</f>
        <v>0.0167</v>
      </c>
      <c r="G48" s="397"/>
      <c r="H48" s="398">
        <f>ROUND(+H42/H45,4)</f>
        <v>0.0098</v>
      </c>
      <c r="I48" s="397"/>
      <c r="J48" s="397"/>
    </row>
    <row r="49" spans="4:10" ht="12.75">
      <c r="D49" s="397"/>
      <c r="E49" s="397"/>
      <c r="F49" s="399" t="s">
        <v>624</v>
      </c>
      <c r="G49" s="397"/>
      <c r="H49" s="399" t="s">
        <v>624</v>
      </c>
      <c r="I49" s="397"/>
      <c r="J49" s="397"/>
    </row>
    <row r="50" spans="4:10" ht="12.75">
      <c r="D50" s="397"/>
      <c r="E50" s="397"/>
      <c r="F50" s="399" t="s">
        <v>625</v>
      </c>
      <c r="G50" s="399"/>
      <c r="H50" s="399" t="s">
        <v>626</v>
      </c>
      <c r="I50" s="397"/>
      <c r="J50" s="397"/>
    </row>
    <row r="51" spans="4:10" ht="12.75">
      <c r="D51" s="397"/>
      <c r="E51" s="397"/>
      <c r="F51" s="397"/>
      <c r="G51" s="397"/>
      <c r="H51" s="397"/>
      <c r="I51" s="397"/>
      <c r="J51" s="397"/>
    </row>
    <row r="52" spans="4:10" ht="12.75">
      <c r="D52" s="397"/>
      <c r="E52" s="397"/>
      <c r="F52" s="397"/>
      <c r="G52" s="397"/>
      <c r="H52" s="397"/>
      <c r="I52" s="397"/>
      <c r="J52" s="397"/>
    </row>
    <row r="53" spans="4:10" ht="12.75">
      <c r="D53" s="397"/>
      <c r="E53" s="397"/>
      <c r="F53" s="397"/>
      <c r="G53" s="397"/>
      <c r="H53" s="397"/>
      <c r="I53" s="397"/>
      <c r="J53" s="397"/>
    </row>
    <row r="54" spans="4:10" ht="12.75">
      <c r="D54" s="397"/>
      <c r="E54" s="397"/>
      <c r="F54" s="397"/>
      <c r="G54" s="397"/>
      <c r="H54" s="397"/>
      <c r="I54" s="397"/>
      <c r="J54" s="397"/>
    </row>
    <row r="55" spans="4:10" ht="12.75">
      <c r="D55" s="397"/>
      <c r="E55" s="397"/>
      <c r="F55" s="397"/>
      <c r="G55" s="397"/>
      <c r="H55" s="397"/>
      <c r="I55" s="397"/>
      <c r="J55" s="397"/>
    </row>
    <row r="56" spans="4:10" ht="12.75">
      <c r="D56" s="397"/>
      <c r="E56" s="397"/>
      <c r="F56" s="397"/>
      <c r="G56" s="397"/>
      <c r="H56" s="397"/>
      <c r="I56" s="397"/>
      <c r="J56" s="397"/>
    </row>
    <row r="57" spans="4:10" ht="12.75">
      <c r="D57" s="397"/>
      <c r="E57" s="397"/>
      <c r="F57" s="397"/>
      <c r="G57" s="397"/>
      <c r="H57" s="397"/>
      <c r="I57" s="397"/>
      <c r="J57" s="397"/>
    </row>
    <row r="58" spans="4:10" ht="12.75">
      <c r="D58" s="397"/>
      <c r="E58" s="397"/>
      <c r="F58" s="397"/>
      <c r="G58" s="397"/>
      <c r="H58" s="397"/>
      <c r="I58" s="397"/>
      <c r="J58" s="397"/>
    </row>
    <row r="59" spans="4:10" ht="12.75">
      <c r="D59" s="397"/>
      <c r="E59" s="397"/>
      <c r="F59" s="397"/>
      <c r="G59" s="397"/>
      <c r="H59" s="397"/>
      <c r="I59" s="397"/>
      <c r="J59" s="397"/>
    </row>
    <row r="60" spans="4:10" ht="12.75">
      <c r="D60" s="397"/>
      <c r="E60" s="397"/>
      <c r="F60" s="397"/>
      <c r="G60" s="397"/>
      <c r="H60" s="397"/>
      <c r="I60" s="397"/>
      <c r="J60" s="397"/>
    </row>
    <row r="61" spans="4:10" ht="12.75">
      <c r="D61" s="397"/>
      <c r="E61" s="397"/>
      <c r="F61" s="397"/>
      <c r="G61" s="397"/>
      <c r="H61" s="397"/>
      <c r="I61" s="397"/>
      <c r="J61" s="397"/>
    </row>
    <row r="62" spans="4:10" ht="12.75">
      <c r="D62" s="397"/>
      <c r="E62" s="397"/>
      <c r="F62" s="397"/>
      <c r="G62" s="397"/>
      <c r="H62" s="397"/>
      <c r="I62" s="397"/>
      <c r="J62" s="397"/>
    </row>
    <row r="63" spans="4:10" ht="12.75">
      <c r="D63" s="397"/>
      <c r="E63" s="397"/>
      <c r="F63" s="397"/>
      <c r="G63" s="397"/>
      <c r="H63" s="397"/>
      <c r="I63" s="397"/>
      <c r="J63" s="397"/>
    </row>
    <row r="64" spans="4:10" ht="12.75">
      <c r="D64" s="397"/>
      <c r="E64" s="397"/>
      <c r="F64" s="397"/>
      <c r="G64" s="397"/>
      <c r="H64" s="397"/>
      <c r="I64" s="397"/>
      <c r="J64" s="397"/>
    </row>
    <row r="65" spans="4:10" ht="12.75">
      <c r="D65" s="397"/>
      <c r="E65" s="397"/>
      <c r="F65" s="397"/>
      <c r="G65" s="397"/>
      <c r="H65" s="397"/>
      <c r="I65" s="397"/>
      <c r="J65" s="397"/>
    </row>
    <row r="66" spans="4:10" ht="12.75">
      <c r="D66" s="397"/>
      <c r="E66" s="397"/>
      <c r="F66" s="397"/>
      <c r="G66" s="397"/>
      <c r="H66" s="397"/>
      <c r="I66" s="397"/>
      <c r="J66" s="397"/>
    </row>
    <row r="67" spans="4:10" ht="12.75">
      <c r="D67" s="397"/>
      <c r="E67" s="397"/>
      <c r="F67" s="397"/>
      <c r="G67" s="397"/>
      <c r="H67" s="397"/>
      <c r="I67" s="397"/>
      <c r="J67" s="397"/>
    </row>
    <row r="68" spans="4:10" ht="12.75">
      <c r="D68" s="397"/>
      <c r="E68" s="397"/>
      <c r="F68" s="397"/>
      <c r="G68" s="397"/>
      <c r="H68" s="397"/>
      <c r="I68" s="397"/>
      <c r="J68" s="397"/>
    </row>
    <row r="69" spans="4:10" ht="12.75">
      <c r="D69" s="397"/>
      <c r="E69" s="397"/>
      <c r="F69" s="397"/>
      <c r="G69" s="397"/>
      <c r="H69" s="397"/>
      <c r="I69" s="397"/>
      <c r="J69" s="397"/>
    </row>
    <row r="70" spans="4:10" ht="12.75">
      <c r="D70" s="397"/>
      <c r="E70" s="397"/>
      <c r="F70" s="397"/>
      <c r="G70" s="397"/>
      <c r="H70" s="397"/>
      <c r="I70" s="397"/>
      <c r="J70" s="397"/>
    </row>
  </sheetData>
  <printOptions/>
  <pageMargins left="0.75" right="0.75" top="0.69" bottom="1" header="0.5" footer="0.5"/>
  <pageSetup horizontalDpi="1200" verticalDpi="1200" orientation="landscape" scale="75" r:id="rId1"/>
  <colBreaks count="2" manualBreakCount="2">
    <brk id="10" max="65535" man="1"/>
    <brk id="19" max="65535" man="1"/>
  </colBreaks>
</worksheet>
</file>

<file path=xl/worksheets/sheet7.xml><?xml version="1.0" encoding="utf-8"?>
<worksheet xmlns="http://schemas.openxmlformats.org/spreadsheetml/2006/main" xmlns:r="http://schemas.openxmlformats.org/officeDocument/2006/relationships">
  <dimension ref="A1:I49"/>
  <sheetViews>
    <sheetView workbookViewId="0" topLeftCell="A1">
      <selection activeCell="B30" sqref="B30"/>
    </sheetView>
  </sheetViews>
  <sheetFormatPr defaultColWidth="9.140625" defaultRowHeight="12.75"/>
  <cols>
    <col min="1" max="1" width="4.28125" style="0" customWidth="1"/>
    <col min="2" max="2" width="36.28125" style="0" customWidth="1"/>
    <col min="3" max="3" width="31.140625" style="0" customWidth="1"/>
    <col min="4" max="4" width="15.57421875" style="0" customWidth="1"/>
    <col min="5" max="5" width="15.7109375" style="0" customWidth="1"/>
    <col min="6" max="6" width="16.7109375" style="0" customWidth="1"/>
    <col min="7" max="7" width="16.57421875" style="0" customWidth="1"/>
  </cols>
  <sheetData>
    <row r="1" spans="1:9" ht="12.75">
      <c r="A1" s="194" t="s">
        <v>341</v>
      </c>
      <c r="I1" s="206" t="s">
        <v>85</v>
      </c>
    </row>
    <row r="2" ht="12.75">
      <c r="A2" s="194" t="s">
        <v>338</v>
      </c>
    </row>
    <row r="4" ht="9.75" customHeight="1"/>
    <row r="5" spans="2:8" ht="15.75">
      <c r="B5" s="324" t="s">
        <v>728</v>
      </c>
      <c r="C5" s="213"/>
      <c r="D5" s="213"/>
      <c r="E5" s="213"/>
      <c r="F5" s="213"/>
      <c r="G5" s="214"/>
      <c r="H5" s="214"/>
    </row>
    <row r="6" spans="4:7" ht="12.75">
      <c r="D6" s="81" t="s">
        <v>320</v>
      </c>
      <c r="E6" s="216" t="s">
        <v>320</v>
      </c>
      <c r="F6" s="216"/>
      <c r="G6" s="216" t="s">
        <v>321</v>
      </c>
    </row>
    <row r="7" spans="4:7" ht="12.75">
      <c r="D7" s="217" t="s">
        <v>322</v>
      </c>
      <c r="E7" s="218" t="s">
        <v>323</v>
      </c>
      <c r="F7" s="218" t="s">
        <v>324</v>
      </c>
      <c r="G7" s="218" t="s">
        <v>324</v>
      </c>
    </row>
    <row r="8" spans="1:7" ht="12.75">
      <c r="A8" s="186" t="s">
        <v>228</v>
      </c>
      <c r="B8" s="219" t="s">
        <v>427</v>
      </c>
      <c r="C8" s="219" t="s">
        <v>59</v>
      </c>
      <c r="D8" s="220">
        <f>ROUND(+E8*D10,0)</f>
        <v>5876203</v>
      </c>
      <c r="E8" s="330">
        <v>0.5</v>
      </c>
      <c r="F8" s="330">
        <v>0.076</v>
      </c>
      <c r="G8" s="221">
        <v>0.038</v>
      </c>
    </row>
    <row r="9" spans="1:7" ht="12.75">
      <c r="A9" s="186" t="s">
        <v>229</v>
      </c>
      <c r="B9" t="s">
        <v>325</v>
      </c>
      <c r="C9" t="s">
        <v>59</v>
      </c>
      <c r="D9" s="222">
        <f>ROUND(+E9*D10,0)</f>
        <v>5876203</v>
      </c>
      <c r="E9" s="331">
        <v>0.5</v>
      </c>
      <c r="F9" s="332">
        <v>0.125</v>
      </c>
      <c r="G9" s="218">
        <v>0.0625</v>
      </c>
    </row>
    <row r="10" spans="1:7" ht="13.5" thickBot="1">
      <c r="A10" s="186" t="s">
        <v>230</v>
      </c>
      <c r="B10" t="s">
        <v>227</v>
      </c>
      <c r="C10" t="s">
        <v>60</v>
      </c>
      <c r="D10" s="223">
        <f>+'EXH 9 TOT COMP'!O58</f>
        <v>11752405.284700003</v>
      </c>
      <c r="E10" s="209">
        <v>1</v>
      </c>
      <c r="F10" s="224"/>
      <c r="G10" s="209">
        <v>0.1005</v>
      </c>
    </row>
    <row r="11" spans="1:7" ht="13.5" thickTop="1">
      <c r="A11" s="186"/>
      <c r="E11" s="19"/>
      <c r="F11" s="19"/>
      <c r="G11" s="19"/>
    </row>
    <row r="12" spans="1:7" ht="12.75">
      <c r="A12" s="186"/>
      <c r="B12" s="225" t="s">
        <v>326</v>
      </c>
      <c r="C12" s="225"/>
      <c r="D12" s="226"/>
      <c r="F12" s="19"/>
      <c r="G12" s="19"/>
    </row>
    <row r="13" spans="1:7" ht="12.75">
      <c r="A13" s="186"/>
      <c r="B13" s="225"/>
      <c r="C13" s="225"/>
      <c r="F13" s="228"/>
      <c r="G13" s="19"/>
    </row>
    <row r="14" spans="1:7" ht="12.75">
      <c r="A14" s="186"/>
      <c r="B14" s="225"/>
      <c r="C14" s="225"/>
      <c r="D14" s="229" t="s">
        <v>328</v>
      </c>
      <c r="E14" s="229" t="s">
        <v>329</v>
      </c>
      <c r="F14" s="229" t="s">
        <v>167</v>
      </c>
      <c r="G14" s="19"/>
    </row>
    <row r="15" spans="1:7" ht="12.75">
      <c r="A15" s="186" t="s">
        <v>231</v>
      </c>
      <c r="B15" t="s">
        <v>168</v>
      </c>
      <c r="C15" s="226" t="s">
        <v>61</v>
      </c>
      <c r="D15" s="189">
        <f>ROUND(+D20*E15,0)</f>
        <v>98002</v>
      </c>
      <c r="E15" s="189">
        <f>ROUND(+E20*F15,0)</f>
        <v>301360</v>
      </c>
      <c r="F15" s="276">
        <f>+D8*F8</f>
        <v>446591.428</v>
      </c>
      <c r="G15" s="19"/>
    </row>
    <row r="16" spans="1:5" ht="12.75">
      <c r="A16" s="186"/>
      <c r="B16" t="s">
        <v>169</v>
      </c>
      <c r="E16" s="215"/>
    </row>
    <row r="17" spans="1:8" ht="24" customHeight="1">
      <c r="A17" s="186"/>
      <c r="B17" s="227" t="s">
        <v>327</v>
      </c>
      <c r="C17" s="227"/>
      <c r="E17" s="226"/>
      <c r="F17" s="19"/>
      <c r="H17" s="19"/>
    </row>
    <row r="18" spans="1:9" ht="12.75">
      <c r="A18" s="186" t="s">
        <v>232</v>
      </c>
      <c r="B18" s="231" t="s">
        <v>354</v>
      </c>
      <c r="C18" s="231" t="s">
        <v>58</v>
      </c>
      <c r="D18" s="232">
        <f>+F18-E18</f>
        <v>3875539.866128211</v>
      </c>
      <c r="E18" s="233">
        <f>+'EXH 1 STATE'!M57</f>
        <v>7876865.418571792</v>
      </c>
      <c r="F18" s="232">
        <f>+D10</f>
        <v>11752405.284700003</v>
      </c>
      <c r="I18" s="230"/>
    </row>
    <row r="19" spans="1:9" ht="25.5">
      <c r="A19" s="186" t="s">
        <v>233</v>
      </c>
      <c r="B19" s="231" t="s">
        <v>176</v>
      </c>
      <c r="C19" s="280"/>
      <c r="D19" s="278" t="s">
        <v>166</v>
      </c>
      <c r="E19" s="279" t="s">
        <v>165</v>
      </c>
      <c r="F19" s="279" t="s">
        <v>164</v>
      </c>
      <c r="I19" s="230"/>
    </row>
    <row r="20" spans="1:9" ht="19.5" customHeight="1">
      <c r="A20" s="186" t="s">
        <v>234</v>
      </c>
      <c r="B20" s="231" t="s">
        <v>172</v>
      </c>
      <c r="C20" s="231" t="s">
        <v>746</v>
      </c>
      <c r="D20" s="251">
        <f>+'[3]SUP B JUR FACS'!Q36</f>
        <v>0.3252</v>
      </c>
      <c r="E20" s="251">
        <f>+'[3]SUP B JUR FACS'!R36</f>
        <v>0.6748</v>
      </c>
      <c r="F20" s="251">
        <f>+D20+E20</f>
        <v>1</v>
      </c>
      <c r="I20" s="230"/>
    </row>
    <row r="21" spans="1:9" ht="12.75">
      <c r="A21" s="186" t="s">
        <v>239</v>
      </c>
      <c r="B21" s="231" t="s">
        <v>226</v>
      </c>
      <c r="C21" s="231"/>
      <c r="D21" s="333">
        <v>0.1125</v>
      </c>
      <c r="E21" s="333">
        <v>0.1005</v>
      </c>
      <c r="F21" s="281">
        <f>+F23/F18</f>
        <v>0.10445718810464132</v>
      </c>
      <c r="I21" s="230"/>
    </row>
    <row r="22" spans="1:9" ht="12.75">
      <c r="A22" s="186" t="s">
        <v>240</v>
      </c>
      <c r="B22" s="231" t="s">
        <v>175</v>
      </c>
      <c r="C22" s="231"/>
      <c r="D22" s="282" t="s">
        <v>177</v>
      </c>
      <c r="E22" s="282" t="s">
        <v>178</v>
      </c>
      <c r="F22" s="282" t="s">
        <v>173</v>
      </c>
      <c r="I22" s="230"/>
    </row>
    <row r="23" spans="1:9" ht="12.75">
      <c r="A23" s="186" t="s">
        <v>140</v>
      </c>
      <c r="B23" s="231" t="s">
        <v>330</v>
      </c>
      <c r="C23" s="231" t="s">
        <v>170</v>
      </c>
      <c r="D23" s="235">
        <f>+D18*D21</f>
        <v>435998.23493942374</v>
      </c>
      <c r="E23" s="235">
        <f>+E18*E21</f>
        <v>791624.9745664651</v>
      </c>
      <c r="F23" s="234">
        <f>+D23+E23</f>
        <v>1227623.2095058889</v>
      </c>
      <c r="I23" s="230"/>
    </row>
    <row r="24" spans="1:9" ht="12.75">
      <c r="A24" t="s">
        <v>174</v>
      </c>
      <c r="B24" s="231" t="s">
        <v>179</v>
      </c>
      <c r="C24" s="280"/>
      <c r="D24" s="260" t="s">
        <v>170</v>
      </c>
      <c r="E24" s="260" t="s">
        <v>170</v>
      </c>
      <c r="F24" s="277" t="s">
        <v>171</v>
      </c>
      <c r="I24" s="230"/>
    </row>
    <row r="25" spans="2:9" ht="12.75">
      <c r="B25" s="236" t="s">
        <v>331</v>
      </c>
      <c r="C25" s="231"/>
      <c r="D25" s="81"/>
      <c r="E25" s="81"/>
      <c r="F25" s="235"/>
      <c r="I25" s="230"/>
    </row>
    <row r="26" spans="1:6" ht="12.75">
      <c r="A26" s="1">
        <v>1</v>
      </c>
      <c r="B26" s="237" t="s">
        <v>428</v>
      </c>
      <c r="C26" s="237"/>
      <c r="E26" s="238">
        <v>1</v>
      </c>
      <c r="F26" s="238">
        <v>1</v>
      </c>
    </row>
    <row r="27" spans="1:6" ht="12.75">
      <c r="A27" s="12">
        <v>2</v>
      </c>
      <c r="B27" s="237" t="s">
        <v>332</v>
      </c>
      <c r="C27" s="237" t="s">
        <v>64</v>
      </c>
      <c r="E27" s="267">
        <v>0</v>
      </c>
      <c r="F27" s="267">
        <v>0</v>
      </c>
    </row>
    <row r="28" spans="1:6" ht="12.75">
      <c r="A28" s="12">
        <v>3</v>
      </c>
      <c r="B28" s="237" t="s">
        <v>334</v>
      </c>
      <c r="C28" s="237" t="s">
        <v>235</v>
      </c>
      <c r="E28" s="238">
        <f>+E26-E27</f>
        <v>1</v>
      </c>
      <c r="F28" s="238">
        <f>+F26-F27</f>
        <v>1</v>
      </c>
    </row>
    <row r="29" spans="1:6" ht="12.75">
      <c r="A29" s="1">
        <v>4</v>
      </c>
      <c r="B29" s="237" t="s">
        <v>335</v>
      </c>
      <c r="C29" s="257" t="s">
        <v>236</v>
      </c>
      <c r="E29" s="267">
        <f>0.05*E28</f>
        <v>0.05</v>
      </c>
      <c r="F29" s="267">
        <f>0.05*F28</f>
        <v>0.05</v>
      </c>
    </row>
    <row r="30" spans="1:6" ht="15" customHeight="1">
      <c r="A30" s="1">
        <v>5</v>
      </c>
      <c r="B30" s="239" t="s">
        <v>336</v>
      </c>
      <c r="C30" s="239" t="s">
        <v>237</v>
      </c>
      <c r="E30" s="238">
        <f>+E28-E29</f>
        <v>0.95</v>
      </c>
      <c r="F30" s="238">
        <f>+F28-F29</f>
        <v>0.95</v>
      </c>
    </row>
    <row r="31" spans="1:6" ht="15" customHeight="1">
      <c r="A31" s="1">
        <v>6</v>
      </c>
      <c r="B31" s="239" t="s">
        <v>91</v>
      </c>
      <c r="C31" s="239" t="s">
        <v>94</v>
      </c>
      <c r="E31" s="238">
        <v>0.34</v>
      </c>
      <c r="F31" s="238">
        <v>0.34</v>
      </c>
    </row>
    <row r="32" spans="1:6" ht="15" customHeight="1">
      <c r="A32" s="1">
        <v>7</v>
      </c>
      <c r="B32" s="239" t="s">
        <v>93</v>
      </c>
      <c r="C32" s="239" t="s">
        <v>92</v>
      </c>
      <c r="E32" s="238">
        <f>+E30*E31</f>
        <v>0.323</v>
      </c>
      <c r="F32" s="238">
        <f>+F30*F31</f>
        <v>0.323</v>
      </c>
    </row>
    <row r="33" spans="1:6" ht="12.75">
      <c r="A33" s="12">
        <v>8</v>
      </c>
      <c r="B33" s="237" t="s">
        <v>337</v>
      </c>
      <c r="C33" s="237" t="s">
        <v>95</v>
      </c>
      <c r="E33" s="238">
        <f>+E30-E32</f>
        <v>0.627</v>
      </c>
      <c r="F33" s="238">
        <f>+F30-F32</f>
        <v>0.627</v>
      </c>
    </row>
    <row r="34" spans="1:6" ht="12.75">
      <c r="A34" s="12">
        <v>9</v>
      </c>
      <c r="B34" s="240" t="s">
        <v>62</v>
      </c>
      <c r="C34" s="240" t="s">
        <v>63</v>
      </c>
      <c r="E34" s="241">
        <f>1/E33</f>
        <v>1.594896331738437</v>
      </c>
      <c r="F34" s="241">
        <f>1/F33</f>
        <v>1.594896331738437</v>
      </c>
    </row>
    <row r="35" spans="1:6" ht="12.75">
      <c r="A35">
        <v>10</v>
      </c>
      <c r="B35" t="s">
        <v>312</v>
      </c>
      <c r="C35" t="s">
        <v>141</v>
      </c>
      <c r="E35" s="233">
        <f>+E18</f>
        <v>7876865.418571792</v>
      </c>
      <c r="F35" s="85">
        <f>+'EXH 9 TOT COMP'!M58</f>
        <v>11752405.284700003</v>
      </c>
    </row>
    <row r="36" spans="1:6" ht="12.75">
      <c r="A36">
        <v>11</v>
      </c>
      <c r="B36" t="s">
        <v>65</v>
      </c>
      <c r="C36" t="s">
        <v>142</v>
      </c>
      <c r="E36" s="195">
        <f>+E21</f>
        <v>0.1005</v>
      </c>
      <c r="F36" s="195">
        <f>+F21</f>
        <v>0.10445718810464132</v>
      </c>
    </row>
    <row r="37" spans="1:6" ht="12.75">
      <c r="A37">
        <v>12</v>
      </c>
      <c r="B37" t="s">
        <v>238</v>
      </c>
      <c r="C37" t="s">
        <v>269</v>
      </c>
      <c r="E37" s="118">
        <f>ROUND(+E35*E36,0)</f>
        <v>791625</v>
      </c>
      <c r="F37" s="118">
        <f>ROUND(+F35*F36,0)</f>
        <v>1227623</v>
      </c>
    </row>
    <row r="38" spans="1:6" ht="12.75">
      <c r="A38">
        <v>13</v>
      </c>
      <c r="B38" t="s">
        <v>86</v>
      </c>
      <c r="C38" t="s">
        <v>87</v>
      </c>
      <c r="E38" s="268">
        <f>+F38*E20</f>
        <v>301359.8956144</v>
      </c>
      <c r="F38" s="268">
        <f>+F15</f>
        <v>446591.428</v>
      </c>
    </row>
    <row r="39" spans="1:6" ht="12.75">
      <c r="A39">
        <v>14</v>
      </c>
      <c r="B39" t="s">
        <v>88</v>
      </c>
      <c r="C39" t="s">
        <v>96</v>
      </c>
      <c r="E39" s="118">
        <f>+E37-E38</f>
        <v>490265.1043856</v>
      </c>
      <c r="F39" s="118">
        <f>+F37-F38</f>
        <v>781031.5719999999</v>
      </c>
    </row>
    <row r="40" spans="1:6" ht="12.75">
      <c r="A40">
        <v>15</v>
      </c>
      <c r="B40" t="s">
        <v>89</v>
      </c>
      <c r="C40" t="s">
        <v>97</v>
      </c>
      <c r="E40" s="269">
        <f>+E34*E39</f>
        <v>781922.0165639553</v>
      </c>
      <c r="F40" s="269">
        <f>+F34*F39</f>
        <v>1245664.3891547048</v>
      </c>
    </row>
    <row r="41" spans="1:6" ht="13.5" thickBot="1">
      <c r="A41">
        <v>16</v>
      </c>
      <c r="B41" t="s">
        <v>90</v>
      </c>
      <c r="C41" t="s">
        <v>98</v>
      </c>
      <c r="E41" s="258">
        <f>+E40+E38</f>
        <v>1083281.9121783553</v>
      </c>
      <c r="F41" s="258">
        <f>+F40+F38</f>
        <v>1692255.8171547048</v>
      </c>
    </row>
    <row r="42" spans="1:6" ht="13.5" thickTop="1">
      <c r="A42">
        <v>17</v>
      </c>
      <c r="B42" t="s">
        <v>241</v>
      </c>
      <c r="C42" t="s">
        <v>67</v>
      </c>
      <c r="E42" s="85">
        <f>+'EXH 1 STATE'!M22</f>
        <v>3585329.0500000003</v>
      </c>
      <c r="F42" s="85">
        <f>+'EXH 9 TOT COMP'!M23</f>
        <v>6599213.2299999995</v>
      </c>
    </row>
    <row r="43" spans="1:6" ht="12.75">
      <c r="A43">
        <v>18</v>
      </c>
      <c r="B43" t="s">
        <v>242</v>
      </c>
      <c r="C43" t="s">
        <v>66</v>
      </c>
      <c r="E43" s="85">
        <f>+'EXH 1 STATE'!M32</f>
        <v>4737487.850723</v>
      </c>
      <c r="F43" s="85">
        <f>+'EXH 9 TOT COMP'!M33</f>
        <v>7222149.799400001</v>
      </c>
    </row>
    <row r="44" spans="1:6" ht="12.75">
      <c r="A44">
        <v>19</v>
      </c>
      <c r="B44" t="s">
        <v>243</v>
      </c>
      <c r="C44" t="s">
        <v>68</v>
      </c>
      <c r="E44" s="85">
        <f>+E42-E43</f>
        <v>-1152158.800723</v>
      </c>
      <c r="F44" s="85">
        <f>+F42-F43</f>
        <v>-622936.5694000013</v>
      </c>
    </row>
    <row r="45" spans="1:6" ht="13.5" thickBot="1">
      <c r="A45">
        <v>20</v>
      </c>
      <c r="B45" t="s">
        <v>313</v>
      </c>
      <c r="C45" t="s">
        <v>99</v>
      </c>
      <c r="E45" s="258">
        <f>+E41-E44</f>
        <v>2235440.7129013552</v>
      </c>
      <c r="F45" s="258">
        <f>+F41-F44</f>
        <v>2315192.386554706</v>
      </c>
    </row>
    <row r="46" spans="5:6" ht="13.5" thickTop="1">
      <c r="E46" s="255" t="s">
        <v>687</v>
      </c>
      <c r="F46" s="255" t="s">
        <v>687</v>
      </c>
    </row>
    <row r="47" spans="5:6" ht="12.75">
      <c r="E47" s="255" t="s">
        <v>139</v>
      </c>
      <c r="F47" s="255" t="s">
        <v>190</v>
      </c>
    </row>
    <row r="48" spans="5:6" ht="12.75">
      <c r="E48" s="255" t="s">
        <v>688</v>
      </c>
      <c r="F48" s="255" t="s">
        <v>688</v>
      </c>
    </row>
    <row r="49" ht="12.75">
      <c r="B49" s="194" t="s">
        <v>355</v>
      </c>
    </row>
  </sheetData>
  <printOptions/>
  <pageMargins left="0.75" right="0.56" top="0.5" bottom="0.44" header="0.39" footer="0.38"/>
  <pageSetup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A1:K28"/>
  <sheetViews>
    <sheetView workbookViewId="0" topLeftCell="A1">
      <selection activeCell="F29" sqref="F29"/>
    </sheetView>
  </sheetViews>
  <sheetFormatPr defaultColWidth="9.140625" defaultRowHeight="12.75"/>
  <cols>
    <col min="1" max="1" width="3.140625" style="0" customWidth="1"/>
    <col min="2" max="2" width="35.7109375" style="0" customWidth="1"/>
    <col min="3" max="3" width="17.00390625" style="0" customWidth="1"/>
    <col min="4" max="4" width="14.28125" style="0" customWidth="1"/>
    <col min="5" max="5" width="13.8515625" style="0" customWidth="1"/>
    <col min="6" max="6" width="12.00390625" style="0" customWidth="1"/>
    <col min="7" max="7" width="12.57421875" style="0" customWidth="1"/>
    <col min="8" max="8" width="13.7109375" style="0" customWidth="1"/>
    <col min="9" max="9" width="14.00390625" style="0" bestFit="1" customWidth="1"/>
    <col min="10" max="10" width="12.421875" style="0" customWidth="1"/>
  </cols>
  <sheetData>
    <row r="1" spans="1:10" ht="12.75">
      <c r="A1" s="496" t="str">
        <f>+'EXH 10 TOT COMP REV'!A1:C1</f>
        <v>CARBON / EMERY TELCOM</v>
      </c>
      <c r="B1" s="497"/>
      <c r="D1" s="194"/>
      <c r="J1" s="206" t="s">
        <v>71</v>
      </c>
    </row>
    <row r="2" spans="1:4" ht="12.75">
      <c r="A2" s="194" t="s">
        <v>180</v>
      </c>
      <c r="D2" s="194"/>
    </row>
    <row r="3" spans="1:4" ht="12.75">
      <c r="A3" s="194" t="s">
        <v>181</v>
      </c>
      <c r="D3" s="194"/>
    </row>
    <row r="5" spans="1:2" ht="33.75" customHeight="1">
      <c r="A5" s="1"/>
      <c r="B5" s="1"/>
    </row>
    <row r="6" spans="1:10" ht="12.75">
      <c r="A6" s="1">
        <v>1</v>
      </c>
      <c r="B6" s="1" t="s">
        <v>356</v>
      </c>
      <c r="C6" s="1" t="s">
        <v>162</v>
      </c>
      <c r="D6" s="194"/>
      <c r="J6" s="196">
        <f>+'EXH 1 STATE'!O34</f>
        <v>1083281.9121783553</v>
      </c>
    </row>
    <row r="7" spans="1:10" ht="12.75">
      <c r="A7" s="1">
        <v>2</v>
      </c>
      <c r="B7" s="1" t="s">
        <v>339</v>
      </c>
      <c r="C7" s="1" t="s">
        <v>75</v>
      </c>
      <c r="D7" s="194"/>
      <c r="J7" s="196">
        <f>-'EXH 3 CAP'!E38</f>
        <v>-301359.8956144</v>
      </c>
    </row>
    <row r="8" spans="1:10" ht="12.75">
      <c r="A8" s="1">
        <v>3</v>
      </c>
      <c r="B8" s="1" t="s">
        <v>340</v>
      </c>
      <c r="C8" s="1" t="s">
        <v>235</v>
      </c>
      <c r="D8" s="194"/>
      <c r="G8" s="198" t="s">
        <v>357</v>
      </c>
      <c r="J8" s="196">
        <f>+J6+J7</f>
        <v>781922.0165639552</v>
      </c>
    </row>
    <row r="9" spans="1:10" ht="12.75">
      <c r="A9" s="1">
        <v>4</v>
      </c>
      <c r="B9" s="1" t="s">
        <v>345</v>
      </c>
      <c r="C9" s="1" t="s">
        <v>691</v>
      </c>
      <c r="D9" s="194"/>
      <c r="G9" s="197">
        <v>0.05</v>
      </c>
      <c r="J9" s="187">
        <f>ROUND(+J8*G9,0)</f>
        <v>39096</v>
      </c>
    </row>
    <row r="10" spans="1:10" ht="12.75">
      <c r="A10" s="1">
        <v>5</v>
      </c>
      <c r="B10" s="1" t="s">
        <v>346</v>
      </c>
      <c r="C10" s="1" t="s">
        <v>77</v>
      </c>
      <c r="D10" s="194"/>
      <c r="G10" s="197"/>
      <c r="J10" s="185">
        <f>+J8-J9</f>
        <v>742826.0165639552</v>
      </c>
    </row>
    <row r="11" spans="1:4" ht="22.5" customHeight="1">
      <c r="A11" s="1"/>
      <c r="B11" s="1" t="s">
        <v>347</v>
      </c>
      <c r="C11" s="194"/>
      <c r="D11" s="194"/>
    </row>
    <row r="12" spans="4:9" ht="25.5">
      <c r="D12" s="198" t="s">
        <v>348</v>
      </c>
      <c r="E12" s="198" t="s">
        <v>349</v>
      </c>
      <c r="F12" s="198" t="s">
        <v>350</v>
      </c>
      <c r="G12" s="198" t="s">
        <v>357</v>
      </c>
      <c r="H12" s="198" t="s">
        <v>351</v>
      </c>
      <c r="I12" s="198" t="s">
        <v>352</v>
      </c>
    </row>
    <row r="13" spans="1:9" ht="12.75">
      <c r="A13">
        <v>6</v>
      </c>
      <c r="B13" t="s">
        <v>72</v>
      </c>
      <c r="D13" s="196">
        <v>0</v>
      </c>
      <c r="E13" s="199">
        <v>50000</v>
      </c>
      <c r="F13" s="199">
        <f>+E13-D13</f>
        <v>50000</v>
      </c>
      <c r="G13" s="197">
        <v>0.15</v>
      </c>
      <c r="H13" s="199">
        <f>IF(J10&gt;F13,+F13,J10)</f>
        <v>50000</v>
      </c>
      <c r="I13" s="199">
        <f>ROUND(+H13*G13,0)</f>
        <v>7500</v>
      </c>
    </row>
    <row r="14" spans="1:9" ht="12.75">
      <c r="A14">
        <v>7</v>
      </c>
      <c r="B14" t="s">
        <v>73</v>
      </c>
      <c r="D14" s="200">
        <v>50000</v>
      </c>
      <c r="E14" s="201">
        <v>75000</v>
      </c>
      <c r="F14" s="201">
        <f>+E14-E13</f>
        <v>25000</v>
      </c>
      <c r="G14" s="197">
        <v>0.25</v>
      </c>
      <c r="H14" s="202">
        <v>25000</v>
      </c>
      <c r="I14" s="202">
        <f>ROUND(+H14*G14,0)</f>
        <v>6250</v>
      </c>
    </row>
    <row r="15" spans="1:9" ht="12.75">
      <c r="A15">
        <v>8</v>
      </c>
      <c r="B15" t="s">
        <v>73</v>
      </c>
      <c r="D15" s="200">
        <v>75000</v>
      </c>
      <c r="E15" s="201">
        <v>100000</v>
      </c>
      <c r="F15" s="201">
        <f>+E15-E14</f>
        <v>25000</v>
      </c>
      <c r="G15" s="197">
        <v>0.34</v>
      </c>
      <c r="H15" s="202">
        <v>25000</v>
      </c>
      <c r="I15" s="202">
        <f>ROUND(+H15*G15,0)</f>
        <v>8500</v>
      </c>
    </row>
    <row r="16" spans="1:9" ht="12.75">
      <c r="A16">
        <v>9</v>
      </c>
      <c r="B16" t="s">
        <v>73</v>
      </c>
      <c r="D16" s="200">
        <v>100000</v>
      </c>
      <c r="E16" s="201">
        <v>335000</v>
      </c>
      <c r="F16" s="201">
        <f>+E16-E15</f>
        <v>235000</v>
      </c>
      <c r="G16" s="249">
        <v>0.39</v>
      </c>
      <c r="H16" s="203">
        <v>235000</v>
      </c>
      <c r="I16" s="203">
        <f>ROUND(+H16*G16,0)</f>
        <v>91650</v>
      </c>
    </row>
    <row r="17" spans="1:9" ht="12.75">
      <c r="A17">
        <v>10</v>
      </c>
      <c r="B17" t="s">
        <v>74</v>
      </c>
      <c r="D17" s="200"/>
      <c r="E17" s="201"/>
      <c r="F17" s="201"/>
      <c r="G17" s="197">
        <f>+I17/H17</f>
        <v>0.34</v>
      </c>
      <c r="H17" s="202">
        <f>SUM(H13:H16)</f>
        <v>335000</v>
      </c>
      <c r="I17" s="202">
        <f>SUM(I13:I16)</f>
        <v>113900</v>
      </c>
    </row>
    <row r="18" spans="1:9" ht="12.75">
      <c r="A18">
        <v>11</v>
      </c>
      <c r="B18" t="s">
        <v>81</v>
      </c>
      <c r="C18" t="s">
        <v>692</v>
      </c>
      <c r="D18" s="200">
        <v>335000</v>
      </c>
      <c r="E18" s="201">
        <v>10000000</v>
      </c>
      <c r="F18" s="201">
        <f>+E18-E16</f>
        <v>9665000</v>
      </c>
      <c r="G18" s="250">
        <v>0.34</v>
      </c>
      <c r="H18" s="203">
        <f>+J10-H13-H14-H15-H16</f>
        <v>407826.0165639552</v>
      </c>
      <c r="I18" s="203">
        <f>ROUND(+H18*G18,0)</f>
        <v>138661</v>
      </c>
    </row>
    <row r="19" spans="1:10" ht="12.75">
      <c r="A19">
        <v>12</v>
      </c>
      <c r="B19" t="s">
        <v>78</v>
      </c>
      <c r="C19" t="s">
        <v>80</v>
      </c>
      <c r="D19" s="200"/>
      <c r="E19" s="201"/>
      <c r="F19" s="201"/>
      <c r="G19" s="250">
        <f>+J19/H19</f>
        <v>0.340000207812128</v>
      </c>
      <c r="H19" s="189">
        <f>+H17+H18</f>
        <v>742826.0165639552</v>
      </c>
      <c r="I19" s="266"/>
      <c r="J19" s="189">
        <f>+I17+I18</f>
        <v>252561</v>
      </c>
    </row>
    <row r="20" spans="1:11" ht="17.25" customHeight="1">
      <c r="A20">
        <v>13</v>
      </c>
      <c r="B20" t="s">
        <v>353</v>
      </c>
      <c r="C20" t="s">
        <v>83</v>
      </c>
      <c r="D20" s="186"/>
      <c r="J20" s="189">
        <f>+J6-J9-J19</f>
        <v>791624.9121783553</v>
      </c>
      <c r="K20" s="259"/>
    </row>
    <row r="21" spans="1:10" ht="12.75">
      <c r="A21">
        <v>14</v>
      </c>
      <c r="B21" t="s">
        <v>354</v>
      </c>
      <c r="C21" t="s">
        <v>693</v>
      </c>
      <c r="J21" s="189">
        <f>+'EXH 1 STATE'!M57</f>
        <v>7876865.418571792</v>
      </c>
    </row>
    <row r="22" spans="1:10" ht="12.75">
      <c r="A22">
        <v>15</v>
      </c>
      <c r="B22" t="s">
        <v>355</v>
      </c>
      <c r="C22" t="s">
        <v>84</v>
      </c>
      <c r="J22" s="243">
        <f>+J20/J21</f>
        <v>0.10049999207957652</v>
      </c>
    </row>
    <row r="23" spans="4:8" ht="25.5">
      <c r="D23" s="210" t="s">
        <v>112</v>
      </c>
      <c r="E23" s="270" t="s">
        <v>114</v>
      </c>
      <c r="F23" s="493" t="s">
        <v>119</v>
      </c>
      <c r="G23" s="493"/>
      <c r="H23" s="270" t="s">
        <v>115</v>
      </c>
    </row>
    <row r="24" spans="4:8" ht="12.75">
      <c r="D24" s="260" t="s">
        <v>451</v>
      </c>
      <c r="E24" s="263" t="s">
        <v>276</v>
      </c>
      <c r="F24" s="494" t="s">
        <v>452</v>
      </c>
      <c r="G24" s="494"/>
      <c r="H24" s="260" t="s">
        <v>453</v>
      </c>
    </row>
    <row r="25" spans="1:10" ht="12.75">
      <c r="A25">
        <v>16</v>
      </c>
      <c r="B25" t="s">
        <v>110</v>
      </c>
      <c r="D25" s="260" t="s">
        <v>113</v>
      </c>
      <c r="E25" s="260" t="s">
        <v>118</v>
      </c>
      <c r="F25" s="495"/>
      <c r="G25" s="495"/>
      <c r="H25" s="271"/>
      <c r="J25" s="204"/>
    </row>
    <row r="26" spans="1:9" ht="12.75">
      <c r="A26">
        <v>17</v>
      </c>
      <c r="B26" s="28" t="s">
        <v>410</v>
      </c>
      <c r="D26" s="196">
        <f>+'EXH 1 STATE'!E36</f>
        <v>-54292.182</v>
      </c>
      <c r="E26" s="196">
        <f>ROUND(+H26-D26,0)</f>
        <v>93388</v>
      </c>
      <c r="F26" s="256" t="s">
        <v>689</v>
      </c>
      <c r="H26" s="196">
        <f>+J9</f>
        <v>39096</v>
      </c>
      <c r="I26" t="s">
        <v>116</v>
      </c>
    </row>
    <row r="27" spans="1:9" ht="12.75">
      <c r="A27">
        <v>18</v>
      </c>
      <c r="B27" s="25" t="s">
        <v>411</v>
      </c>
      <c r="D27" s="85">
        <f>+'EXH 1 STATE'!E37</f>
        <v>-765441.5055</v>
      </c>
      <c r="E27" s="85">
        <f>+H27-D27</f>
        <v>1018002.5055</v>
      </c>
      <c r="F27" s="256" t="s">
        <v>690</v>
      </c>
      <c r="H27" s="85">
        <f>+J19</f>
        <v>252561</v>
      </c>
      <c r="I27" t="s">
        <v>117</v>
      </c>
    </row>
    <row r="28" spans="1:8" ht="13.5" thickBot="1">
      <c r="A28">
        <v>19</v>
      </c>
      <c r="B28" t="s">
        <v>111</v>
      </c>
      <c r="D28" s="258">
        <f>+D26+D27</f>
        <v>-819733.6875</v>
      </c>
      <c r="E28" s="258">
        <f>+E26+E27</f>
        <v>1111390.5055</v>
      </c>
      <c r="H28" s="258">
        <f>+H26+H27</f>
        <v>291657</v>
      </c>
    </row>
    <row r="29" ht="13.5" thickTop="1"/>
  </sheetData>
  <mergeCells count="4">
    <mergeCell ref="F23:G23"/>
    <mergeCell ref="F24:G24"/>
    <mergeCell ref="F25:G25"/>
    <mergeCell ref="A1:B1"/>
  </mergeCells>
  <printOptions/>
  <pageMargins left="0.75" right="0.75" top="0.61" bottom="1" header="0.5" footer="0.5"/>
  <pageSetup horizontalDpi="600" verticalDpi="600" orientation="landscape" scale="80" r:id="rId1"/>
</worksheet>
</file>

<file path=xl/worksheets/sheet9.xml><?xml version="1.0" encoding="utf-8"?>
<worksheet xmlns="http://schemas.openxmlformats.org/spreadsheetml/2006/main" xmlns:r="http://schemas.openxmlformats.org/officeDocument/2006/relationships">
  <dimension ref="A1:S60"/>
  <sheetViews>
    <sheetView workbookViewId="0" topLeftCell="A1">
      <selection activeCell="C12" sqref="C12"/>
    </sheetView>
  </sheetViews>
  <sheetFormatPr defaultColWidth="9.140625" defaultRowHeight="12.75"/>
  <cols>
    <col min="1" max="1" width="5.421875" style="0" bestFit="1" customWidth="1"/>
    <col min="2" max="2" width="47.8515625" style="0" customWidth="1"/>
    <col min="3" max="3" width="10.57421875" style="0" customWidth="1"/>
    <col min="4" max="4" width="17.28125" style="0" customWidth="1"/>
    <col min="5" max="5" width="14.140625" style="176" bestFit="1" customWidth="1"/>
    <col min="6" max="6" width="11.28125" style="0" bestFit="1" customWidth="1"/>
    <col min="7" max="7" width="15.00390625" style="0" customWidth="1"/>
    <col min="8" max="8" width="14.140625" style="0" customWidth="1"/>
    <col min="9" max="9" width="13.8515625" style="0" customWidth="1"/>
    <col min="10" max="10" width="12.28125" style="0" bestFit="1" customWidth="1"/>
    <col min="11" max="11" width="11.8515625" style="0" bestFit="1" customWidth="1"/>
    <col min="12" max="12" width="13.7109375" style="0" customWidth="1"/>
    <col min="13" max="13" width="4.57421875" style="0" customWidth="1"/>
    <col min="14" max="14" width="14.7109375" style="0" customWidth="1"/>
  </cols>
  <sheetData>
    <row r="1" spans="2:14" ht="15.75">
      <c r="B1" s="175" t="s">
        <v>244</v>
      </c>
      <c r="C1" s="175"/>
      <c r="N1" s="481" t="s">
        <v>719</v>
      </c>
    </row>
    <row r="2" spans="2:3" ht="15.75">
      <c r="B2" s="175" t="s">
        <v>718</v>
      </c>
      <c r="C2" s="175"/>
    </row>
    <row r="3" spans="1:3" ht="15.75">
      <c r="A3" s="119"/>
      <c r="B3" s="175" t="s">
        <v>245</v>
      </c>
      <c r="C3" s="175"/>
    </row>
    <row r="4" spans="2:3" ht="12.75">
      <c r="B4" s="1" t="s">
        <v>246</v>
      </c>
      <c r="C4" s="1"/>
    </row>
    <row r="5" spans="2:14" ht="45" customHeight="1">
      <c r="B5" s="178" t="s">
        <v>433</v>
      </c>
      <c r="C5" s="178"/>
      <c r="D5" s="179"/>
      <c r="E5" s="180" t="s">
        <v>435</v>
      </c>
      <c r="F5" s="181" t="s">
        <v>247</v>
      </c>
      <c r="G5" s="181" t="s">
        <v>729</v>
      </c>
      <c r="H5" s="181" t="s">
        <v>248</v>
      </c>
      <c r="I5" s="181" t="s">
        <v>249</v>
      </c>
      <c r="J5" s="181" t="s">
        <v>250</v>
      </c>
      <c r="K5" s="181" t="s">
        <v>251</v>
      </c>
      <c r="L5" s="181" t="s">
        <v>252</v>
      </c>
      <c r="N5" s="181" t="s">
        <v>253</v>
      </c>
    </row>
    <row r="6" spans="2:14" ht="25.5" customHeight="1">
      <c r="B6" s="182"/>
      <c r="C6" s="182"/>
      <c r="D6" s="167"/>
      <c r="E6" s="168" t="s">
        <v>414</v>
      </c>
      <c r="F6" s="171" t="s">
        <v>415</v>
      </c>
      <c r="G6" s="171" t="s">
        <v>416</v>
      </c>
      <c r="H6" s="171" t="s">
        <v>396</v>
      </c>
      <c r="I6" s="169" t="s">
        <v>397</v>
      </c>
      <c r="J6" s="169" t="s">
        <v>398</v>
      </c>
      <c r="K6" s="169" t="s">
        <v>399</v>
      </c>
      <c r="L6" s="169" t="s">
        <v>380</v>
      </c>
      <c r="N6" s="169" t="s">
        <v>363</v>
      </c>
    </row>
    <row r="7" spans="1:12" ht="15" customHeight="1">
      <c r="A7">
        <v>1</v>
      </c>
      <c r="B7" t="s">
        <v>254</v>
      </c>
      <c r="D7" s="183"/>
      <c r="E7" s="401">
        <v>330678</v>
      </c>
      <c r="F7" s="400">
        <f>ROUND(+F8*$E7,0)</f>
        <v>165339</v>
      </c>
      <c r="G7" s="401">
        <f>ROUND(+G8*$E7,0)</f>
        <v>99203</v>
      </c>
      <c r="H7" s="401">
        <f>ROUND(+H8*$E7,0)</f>
        <v>49602</v>
      </c>
      <c r="I7" s="401">
        <f>ROUND(+I8*$E7,0)</f>
        <v>16534</v>
      </c>
      <c r="J7" s="184"/>
      <c r="K7" s="184"/>
      <c r="L7" s="184"/>
    </row>
    <row r="8" spans="4:12" ht="15" customHeight="1">
      <c r="D8" s="183"/>
      <c r="E8" s="402">
        <f>SUM(F8:I8)</f>
        <v>1</v>
      </c>
      <c r="F8" s="405">
        <v>0.5</v>
      </c>
      <c r="G8" s="405">
        <v>0.3</v>
      </c>
      <c r="H8" s="405">
        <v>0.15</v>
      </c>
      <c r="I8" s="405">
        <v>0.05</v>
      </c>
      <c r="J8" s="184"/>
      <c r="K8" s="184"/>
      <c r="L8" s="184"/>
    </row>
    <row r="9" spans="1:12" ht="15" customHeight="1">
      <c r="A9">
        <v>2</v>
      </c>
      <c r="B9" t="s">
        <v>255</v>
      </c>
      <c r="D9" s="183"/>
      <c r="E9" s="400">
        <v>409292</v>
      </c>
      <c r="F9" s="400">
        <f>ROUND(+F10*$E9,0)</f>
        <v>204646</v>
      </c>
      <c r="G9" s="400">
        <f>ROUND(+G10*$E9,0)</f>
        <v>122788</v>
      </c>
      <c r="H9" s="400">
        <f>ROUND(+H10*$E9,0)</f>
        <v>61394</v>
      </c>
      <c r="I9" s="400">
        <f>ROUND(+I10*$E9,0)</f>
        <v>20465</v>
      </c>
      <c r="J9" s="184"/>
      <c r="K9" s="184"/>
      <c r="L9" s="184"/>
    </row>
    <row r="10" spans="4:12" ht="15" customHeight="1">
      <c r="D10" s="183"/>
      <c r="E10" s="402">
        <f>SUM(F10:I10)</f>
        <v>1</v>
      </c>
      <c r="F10" s="405">
        <v>0.5</v>
      </c>
      <c r="G10" s="405">
        <v>0.3</v>
      </c>
      <c r="H10" s="405">
        <v>0.15</v>
      </c>
      <c r="I10" s="405">
        <v>0.05</v>
      </c>
      <c r="J10" s="184"/>
      <c r="K10" s="184"/>
      <c r="L10" s="184"/>
    </row>
    <row r="11" spans="1:12" ht="15" customHeight="1">
      <c r="A11">
        <v>3</v>
      </c>
      <c r="B11" t="s">
        <v>256</v>
      </c>
      <c r="D11" s="183"/>
      <c r="E11" s="400">
        <v>66505</v>
      </c>
      <c r="F11" s="400">
        <f>ROUND(+F12*$E11,0)</f>
        <v>33253</v>
      </c>
      <c r="G11" s="400">
        <f>ROUND(+G12*$E11,0)</f>
        <v>19952</v>
      </c>
      <c r="H11" s="400">
        <f>ROUND(+H12*$E11,0)</f>
        <v>9976</v>
      </c>
      <c r="I11" s="400">
        <f>ROUND(+I12*$E11,0)</f>
        <v>3325</v>
      </c>
      <c r="J11" s="184"/>
      <c r="K11" s="184"/>
      <c r="L11" s="184"/>
    </row>
    <row r="12" spans="4:12" ht="15" customHeight="1">
      <c r="D12" s="183"/>
      <c r="E12" s="402">
        <f>SUM(F12:I12)</f>
        <v>1</v>
      </c>
      <c r="F12" s="405">
        <v>0.5</v>
      </c>
      <c r="G12" s="405">
        <v>0.3</v>
      </c>
      <c r="H12" s="405">
        <v>0.15</v>
      </c>
      <c r="I12" s="405">
        <v>0.05</v>
      </c>
      <c r="J12" s="184"/>
      <c r="K12" s="184"/>
      <c r="L12" s="184"/>
    </row>
    <row r="13" spans="1:12" ht="15.75">
      <c r="A13">
        <v>4</v>
      </c>
      <c r="B13" t="s">
        <v>257</v>
      </c>
      <c r="D13" s="183"/>
      <c r="E13" s="400">
        <v>462623</v>
      </c>
      <c r="F13" s="400">
        <f>ROUND(+F14*$E13,0)</f>
        <v>231312</v>
      </c>
      <c r="G13" s="400">
        <f>ROUND(+G14*$E13,0)</f>
        <v>138787</v>
      </c>
      <c r="H13" s="400">
        <f>ROUND(+H14*$E13,0)</f>
        <v>69393</v>
      </c>
      <c r="I13" s="400">
        <f>ROUND(+I14*$E13,0)</f>
        <v>23131</v>
      </c>
      <c r="J13" s="184"/>
      <c r="K13" s="184"/>
      <c r="L13" s="184"/>
    </row>
    <row r="14" spans="4:12" ht="15.75">
      <c r="D14" s="183"/>
      <c r="E14" s="402">
        <f>SUM(F14:I14)</f>
        <v>1</v>
      </c>
      <c r="F14" s="405">
        <v>0.5</v>
      </c>
      <c r="G14" s="405">
        <v>0.3</v>
      </c>
      <c r="H14" s="405">
        <v>0.15</v>
      </c>
      <c r="I14" s="405">
        <v>0.05</v>
      </c>
      <c r="J14" s="184"/>
      <c r="K14" s="184"/>
      <c r="L14" s="184"/>
    </row>
    <row r="15" spans="1:12" ht="15.75">
      <c r="A15">
        <v>5</v>
      </c>
      <c r="B15" t="s">
        <v>258</v>
      </c>
      <c r="D15" s="183"/>
      <c r="E15" s="400">
        <v>106849</v>
      </c>
      <c r="F15" s="400">
        <f>ROUND(+F16*$E15,0)</f>
        <v>53425</v>
      </c>
      <c r="G15" s="400">
        <f>ROUND(+G16*$E15,0)</f>
        <v>32055</v>
      </c>
      <c r="H15" s="400">
        <f>ROUND(+H16*$E15,0)</f>
        <v>16027</v>
      </c>
      <c r="I15" s="400">
        <f>ROUND(+I16*$E15,0)</f>
        <v>5342</v>
      </c>
      <c r="J15" s="184"/>
      <c r="K15" s="184"/>
      <c r="L15" s="184"/>
    </row>
    <row r="16" spans="4:12" ht="15.75">
      <c r="D16" s="183"/>
      <c r="E16" s="402">
        <f>SUM(F16:I16)</f>
        <v>1</v>
      </c>
      <c r="F16" s="405">
        <v>0.5</v>
      </c>
      <c r="G16" s="405">
        <v>0.3</v>
      </c>
      <c r="H16" s="405">
        <v>0.15</v>
      </c>
      <c r="I16" s="405">
        <v>0.05</v>
      </c>
      <c r="J16" s="184"/>
      <c r="K16" s="184"/>
      <c r="L16" s="184"/>
    </row>
    <row r="17" spans="1:12" ht="15.75">
      <c r="A17">
        <v>6</v>
      </c>
      <c r="B17" t="s">
        <v>259</v>
      </c>
      <c r="D17" s="183"/>
      <c r="E17" s="400">
        <v>161576</v>
      </c>
      <c r="F17" s="400">
        <f>ROUND(+F18*$E17,0)</f>
        <v>80788</v>
      </c>
      <c r="G17" s="400">
        <f>ROUND(+G18*$E17,0)</f>
        <v>48473</v>
      </c>
      <c r="H17" s="400">
        <f>ROUND(+H18*$E17,0)</f>
        <v>24236</v>
      </c>
      <c r="I17" s="400">
        <f>ROUND(+I18*$E17,0)</f>
        <v>8079</v>
      </c>
      <c r="J17" s="184"/>
      <c r="K17" s="184"/>
      <c r="L17" s="184"/>
    </row>
    <row r="18" spans="4:12" ht="15.75">
      <c r="D18" s="183"/>
      <c r="E18" s="402">
        <f>SUM(F18:I18)</f>
        <v>1</v>
      </c>
      <c r="F18" s="405">
        <v>0.5</v>
      </c>
      <c r="G18" s="405">
        <v>0.3</v>
      </c>
      <c r="H18" s="405">
        <v>0.15</v>
      </c>
      <c r="I18" s="405">
        <v>0.05</v>
      </c>
      <c r="J18" s="184"/>
      <c r="K18" s="184"/>
      <c r="L18" s="184"/>
    </row>
    <row r="19" spans="1:12" ht="15.75">
      <c r="A19">
        <v>7</v>
      </c>
      <c r="B19" t="s">
        <v>260</v>
      </c>
      <c r="D19" s="183"/>
      <c r="E19" s="400">
        <v>76043</v>
      </c>
      <c r="F19" s="400"/>
      <c r="G19" s="401"/>
      <c r="H19" s="401"/>
      <c r="I19" s="401"/>
      <c r="J19" s="184"/>
      <c r="K19" s="184"/>
      <c r="L19" s="184">
        <f>+E19</f>
        <v>76043</v>
      </c>
    </row>
    <row r="20" spans="1:12" ht="15.75">
      <c r="A20">
        <v>8</v>
      </c>
      <c r="B20" t="s">
        <v>261</v>
      </c>
      <c r="D20" s="183"/>
      <c r="E20" s="400">
        <v>80000</v>
      </c>
      <c r="F20" s="400"/>
      <c r="G20" s="401"/>
      <c r="H20" s="401"/>
      <c r="I20" s="401"/>
      <c r="J20" s="184">
        <f>+E20</f>
        <v>80000</v>
      </c>
      <c r="K20" s="184"/>
      <c r="L20" s="184"/>
    </row>
    <row r="21" spans="1:12" ht="15.75">
      <c r="A21" s="186" t="s">
        <v>262</v>
      </c>
      <c r="B21" t="s">
        <v>263</v>
      </c>
      <c r="D21" s="183"/>
      <c r="E21" s="400">
        <v>336225</v>
      </c>
      <c r="F21" s="400"/>
      <c r="G21" s="401"/>
      <c r="H21" s="401"/>
      <c r="I21" s="401"/>
      <c r="J21" s="184"/>
      <c r="K21" s="184">
        <f>+E21</f>
        <v>336225</v>
      </c>
      <c r="L21" s="184"/>
    </row>
    <row r="22" spans="1:12" ht="15.75">
      <c r="A22" s="186" t="s">
        <v>264</v>
      </c>
      <c r="B22" t="s">
        <v>265</v>
      </c>
      <c r="D22" s="183"/>
      <c r="E22" s="400">
        <v>219956</v>
      </c>
      <c r="F22" s="403"/>
      <c r="G22" s="404"/>
      <c r="H22" s="404"/>
      <c r="I22" s="404"/>
      <c r="J22" s="188"/>
      <c r="K22" s="187">
        <f>+E22</f>
        <v>219956</v>
      </c>
      <c r="L22" s="188"/>
    </row>
    <row r="23" spans="1:14" ht="12.75">
      <c r="A23">
        <v>11</v>
      </c>
      <c r="B23" t="s">
        <v>266</v>
      </c>
      <c r="D23" t="s">
        <v>267</v>
      </c>
      <c r="E23" s="174">
        <f aca="true" t="shared" si="0" ref="E23:L23">+E7+E9+E11+E13+E15+E17+E19+E20+E21+E22</f>
        <v>2249747</v>
      </c>
      <c r="F23" s="174">
        <f t="shared" si="0"/>
        <v>768763</v>
      </c>
      <c r="G23" s="174">
        <f t="shared" si="0"/>
        <v>461258</v>
      </c>
      <c r="H23" s="174">
        <f t="shared" si="0"/>
        <v>230628</v>
      </c>
      <c r="I23" s="174">
        <f t="shared" si="0"/>
        <v>76876</v>
      </c>
      <c r="J23" s="174">
        <f t="shared" si="0"/>
        <v>80000</v>
      </c>
      <c r="K23" s="174">
        <f t="shared" si="0"/>
        <v>556181</v>
      </c>
      <c r="L23" s="174">
        <f t="shared" si="0"/>
        <v>76043</v>
      </c>
      <c r="N23" s="174">
        <f>+F23+G23+H23+I23</f>
        <v>1537525</v>
      </c>
    </row>
    <row r="24" ht="5.25" customHeight="1">
      <c r="E24"/>
    </row>
    <row r="25" spans="1:12" ht="15.75">
      <c r="A25">
        <v>12</v>
      </c>
      <c r="B25" t="s">
        <v>268</v>
      </c>
      <c r="D25" s="177"/>
      <c r="E25" s="190"/>
      <c r="F25" s="191">
        <v>0.1</v>
      </c>
      <c r="G25" s="191">
        <v>0.045</v>
      </c>
      <c r="H25" s="191">
        <v>0.04</v>
      </c>
      <c r="I25" s="191">
        <v>0.02</v>
      </c>
      <c r="J25" s="191">
        <v>0.0833</v>
      </c>
      <c r="K25" s="191">
        <v>0.125</v>
      </c>
      <c r="L25" s="191">
        <v>0.125</v>
      </c>
    </row>
    <row r="26" spans="4:12" ht="7.5" customHeight="1">
      <c r="D26" s="177"/>
      <c r="E26" s="190"/>
      <c r="F26" s="191"/>
      <c r="G26" s="191"/>
      <c r="H26" s="191"/>
      <c r="I26" s="191"/>
      <c r="J26" s="191"/>
      <c r="K26" s="191"/>
      <c r="L26" s="191"/>
    </row>
    <row r="27" spans="1:14" ht="12.75">
      <c r="A27">
        <v>13</v>
      </c>
      <c r="B27" t="s">
        <v>122</v>
      </c>
      <c r="D27" t="s">
        <v>151</v>
      </c>
      <c r="E27" s="192">
        <f>SUM(F27:L27)</f>
        <v>97044</v>
      </c>
      <c r="F27" s="192">
        <f>ROUND(+F25*F23*0.5,0)</f>
        <v>38438</v>
      </c>
      <c r="G27" s="192">
        <f aca="true" t="shared" si="1" ref="G27:L27">ROUND(+G25*G23*0.5,0)</f>
        <v>10378</v>
      </c>
      <c r="H27" s="192">
        <f t="shared" si="1"/>
        <v>4613</v>
      </c>
      <c r="I27" s="192">
        <f t="shared" si="1"/>
        <v>769</v>
      </c>
      <c r="J27" s="192">
        <f t="shared" si="1"/>
        <v>3332</v>
      </c>
      <c r="K27" s="192">
        <f t="shared" si="1"/>
        <v>34761</v>
      </c>
      <c r="L27" s="192">
        <f t="shared" si="1"/>
        <v>4753</v>
      </c>
      <c r="N27" s="192">
        <f>+F27+G27+H27+I27</f>
        <v>54198</v>
      </c>
    </row>
    <row r="28" ht="8.25" customHeight="1"/>
    <row r="29" spans="1:14" ht="12.75">
      <c r="A29">
        <v>14</v>
      </c>
      <c r="B29" t="s">
        <v>123</v>
      </c>
      <c r="D29" t="s">
        <v>152</v>
      </c>
      <c r="E29" s="192">
        <f>SUM(F29:L29)</f>
        <v>48524</v>
      </c>
      <c r="F29" s="192">
        <f>ROUND(+F27/2,0)</f>
        <v>19219</v>
      </c>
      <c r="G29" s="192">
        <f aca="true" t="shared" si="2" ref="G29:L29">ROUND(+G27/2,0)</f>
        <v>5189</v>
      </c>
      <c r="H29" s="192">
        <f t="shared" si="2"/>
        <v>2307</v>
      </c>
      <c r="I29" s="192">
        <f t="shared" si="2"/>
        <v>385</v>
      </c>
      <c r="J29" s="192">
        <f t="shared" si="2"/>
        <v>1666</v>
      </c>
      <c r="K29" s="192">
        <f t="shared" si="2"/>
        <v>17381</v>
      </c>
      <c r="L29" s="192">
        <f t="shared" si="2"/>
        <v>2377</v>
      </c>
      <c r="N29" s="192">
        <f>+F29+G29+H29+I29</f>
        <v>27100</v>
      </c>
    </row>
    <row r="30" ht="6.75" customHeight="1"/>
    <row r="31" spans="1:12" ht="12.75">
      <c r="A31">
        <v>15</v>
      </c>
      <c r="B31" t="s">
        <v>270</v>
      </c>
      <c r="F31" s="191">
        <v>0.1</v>
      </c>
      <c r="G31" s="191">
        <v>0.05</v>
      </c>
      <c r="H31" s="191">
        <v>0.05</v>
      </c>
      <c r="I31" s="191">
        <v>0.0333</v>
      </c>
      <c r="J31" s="191">
        <v>0.0833</v>
      </c>
      <c r="K31" s="191">
        <v>0.125</v>
      </c>
      <c r="L31" s="191">
        <v>0.125</v>
      </c>
    </row>
    <row r="33" spans="1:14" ht="12" customHeight="1">
      <c r="A33">
        <v>16</v>
      </c>
      <c r="B33" t="s">
        <v>150</v>
      </c>
      <c r="D33" t="s">
        <v>153</v>
      </c>
      <c r="E33" s="193">
        <f>SUM(F33:L33)</f>
        <v>99861</v>
      </c>
      <c r="F33" s="193">
        <f>ROUND(+F23*F31*0.5,0)</f>
        <v>38438</v>
      </c>
      <c r="G33" s="193">
        <f aca="true" t="shared" si="3" ref="G33:L33">ROUND(+G23*G31*0.5,0)</f>
        <v>11531</v>
      </c>
      <c r="H33" s="193">
        <f t="shared" si="3"/>
        <v>5766</v>
      </c>
      <c r="I33" s="193">
        <f t="shared" si="3"/>
        <v>1280</v>
      </c>
      <c r="J33" s="193">
        <f t="shared" si="3"/>
        <v>3332</v>
      </c>
      <c r="K33" s="193">
        <f t="shared" si="3"/>
        <v>34761</v>
      </c>
      <c r="L33" s="193">
        <f t="shared" si="3"/>
        <v>4753</v>
      </c>
      <c r="N33" s="193">
        <f>+F33+G33+H33+I33</f>
        <v>57015</v>
      </c>
    </row>
    <row r="34" ht="6.75" customHeight="1"/>
    <row r="35" spans="1:12" ht="12" customHeight="1">
      <c r="A35">
        <v>17</v>
      </c>
      <c r="B35" t="s">
        <v>271</v>
      </c>
      <c r="D35" t="s">
        <v>154</v>
      </c>
      <c r="E35" s="185">
        <f aca="true" t="shared" si="4" ref="E35:L35">+E33-E27</f>
        <v>2817</v>
      </c>
      <c r="F35" s="185">
        <f t="shared" si="4"/>
        <v>0</v>
      </c>
      <c r="G35" s="185">
        <f t="shared" si="4"/>
        <v>1153</v>
      </c>
      <c r="H35" s="185">
        <f t="shared" si="4"/>
        <v>1153</v>
      </c>
      <c r="I35" s="185">
        <f t="shared" si="4"/>
        <v>511</v>
      </c>
      <c r="J35" s="185">
        <f t="shared" si="4"/>
        <v>0</v>
      </c>
      <c r="K35" s="185">
        <f t="shared" si="4"/>
        <v>0</v>
      </c>
      <c r="L35" s="185">
        <f t="shared" si="4"/>
        <v>0</v>
      </c>
    </row>
    <row r="36" spans="1:14" ht="12" customHeight="1">
      <c r="A36">
        <v>18</v>
      </c>
      <c r="B36" t="s">
        <v>124</v>
      </c>
      <c r="D36" t="s">
        <v>155</v>
      </c>
      <c r="E36" s="193">
        <f>+E33/2</f>
        <v>49930.5</v>
      </c>
      <c r="F36" s="193">
        <f>+F33/2</f>
        <v>19219</v>
      </c>
      <c r="G36" s="193">
        <f aca="true" t="shared" si="5" ref="G36:L36">+G33/2</f>
        <v>5765.5</v>
      </c>
      <c r="H36" s="193">
        <f t="shared" si="5"/>
        <v>2883</v>
      </c>
      <c r="I36" s="193">
        <f t="shared" si="5"/>
        <v>640</v>
      </c>
      <c r="J36" s="193">
        <f t="shared" si="5"/>
        <v>1666</v>
      </c>
      <c r="K36" s="193">
        <f t="shared" si="5"/>
        <v>17380.5</v>
      </c>
      <c r="L36" s="193">
        <f t="shared" si="5"/>
        <v>2376.5</v>
      </c>
      <c r="N36" s="193">
        <f>+F36+G36+H36+I36</f>
        <v>28507.5</v>
      </c>
    </row>
    <row r="37" spans="2:12" ht="23.25" customHeight="1">
      <c r="B37" s="194" t="s">
        <v>358</v>
      </c>
      <c r="E37" s="185"/>
      <c r="F37" s="191"/>
      <c r="G37" s="191"/>
      <c r="H37" s="191"/>
      <c r="I37" s="191"/>
      <c r="J37" s="191"/>
      <c r="K37" s="191"/>
      <c r="L37" s="191"/>
    </row>
    <row r="38" spans="2:11" ht="33" customHeight="1">
      <c r="B38" t="s">
        <v>147</v>
      </c>
      <c r="E38" s="263" t="s">
        <v>125</v>
      </c>
      <c r="H38" s="208" t="s">
        <v>306</v>
      </c>
      <c r="K38" s="207" t="s">
        <v>314</v>
      </c>
    </row>
    <row r="39" spans="1:19" s="158" customFormat="1" ht="12.75">
      <c r="A39" s="159">
        <v>19</v>
      </c>
      <c r="B39" s="155" t="s">
        <v>359</v>
      </c>
      <c r="C39"/>
      <c r="E39" s="184">
        <f>+J23*0.5</f>
        <v>40000</v>
      </c>
      <c r="F39" t="s">
        <v>126</v>
      </c>
      <c r="H39" s="184">
        <f>+J36</f>
        <v>1666</v>
      </c>
      <c r="I39" t="s">
        <v>365</v>
      </c>
      <c r="K39" s="184">
        <f>+J33</f>
        <v>3332</v>
      </c>
      <c r="L39" t="s">
        <v>366</v>
      </c>
      <c r="M39" s="159"/>
      <c r="N39"/>
      <c r="O39" s="159"/>
      <c r="P39" s="159"/>
      <c r="Q39"/>
      <c r="R39"/>
      <c r="S39"/>
    </row>
    <row r="40" spans="1:19" s="158" customFormat="1" ht="12.75">
      <c r="A40" s="159">
        <v>20</v>
      </c>
      <c r="B40" s="155" t="s">
        <v>360</v>
      </c>
      <c r="C40"/>
      <c r="E40" s="185">
        <f>(+K23+L23)*0.5</f>
        <v>316112</v>
      </c>
      <c r="F40" t="s">
        <v>127</v>
      </c>
      <c r="H40" s="189">
        <f>+K36+L36</f>
        <v>19757</v>
      </c>
      <c r="I40" t="s">
        <v>364</v>
      </c>
      <c r="K40" s="185">
        <f>+K33+L33</f>
        <v>39514</v>
      </c>
      <c r="L40" t="s">
        <v>367</v>
      </c>
      <c r="M40" s="159"/>
      <c r="N40"/>
      <c r="O40" s="159"/>
      <c r="P40" s="159"/>
      <c r="Q40"/>
      <c r="R40"/>
      <c r="S40"/>
    </row>
    <row r="41" spans="1:19" s="158" customFormat="1" ht="12.75">
      <c r="A41" s="159">
        <v>21</v>
      </c>
      <c r="B41" s="155" t="s">
        <v>361</v>
      </c>
      <c r="C41"/>
      <c r="E41" s="185">
        <f>+N23*0.5</f>
        <v>768762.5</v>
      </c>
      <c r="F41" t="s">
        <v>128</v>
      </c>
      <c r="H41" s="189">
        <f>+N36</f>
        <v>28507.5</v>
      </c>
      <c r="I41" t="s">
        <v>368</v>
      </c>
      <c r="K41" s="185">
        <f>+N33</f>
        <v>57015</v>
      </c>
      <c r="L41" t="s">
        <v>369</v>
      </c>
      <c r="M41" s="159"/>
      <c r="N41"/>
      <c r="O41" s="159"/>
      <c r="P41" s="159"/>
      <c r="Q41"/>
      <c r="R41"/>
      <c r="S41"/>
    </row>
    <row r="42" spans="1:19" s="158" customFormat="1" ht="13.5" thickBot="1">
      <c r="A42" s="159">
        <v>22</v>
      </c>
      <c r="B42" s="170" t="s">
        <v>362</v>
      </c>
      <c r="C42"/>
      <c r="E42" s="205">
        <f>+E39+E40+E41</f>
        <v>1124874.5</v>
      </c>
      <c r="F42"/>
      <c r="H42" s="205">
        <f>+H39+H40+H41</f>
        <v>49930.5</v>
      </c>
      <c r="I42" s="164"/>
      <c r="J42" s="165"/>
      <c r="K42" s="205">
        <f>+K39+K40+K41</f>
        <v>99861</v>
      </c>
      <c r="L42" s="159"/>
      <c r="M42" s="159"/>
      <c r="N42"/>
      <c r="O42" s="159"/>
      <c r="P42" s="159"/>
      <c r="Q42"/>
      <c r="R42"/>
      <c r="S42"/>
    </row>
    <row r="43" spans="1:19" s="158" customFormat="1" ht="13.5" thickTop="1">
      <c r="A43" s="159"/>
      <c r="B43" s="170"/>
      <c r="C43"/>
      <c r="E43" s="275"/>
      <c r="F43"/>
      <c r="H43" s="275"/>
      <c r="I43" s="164"/>
      <c r="J43" s="165"/>
      <c r="K43" s="275"/>
      <c r="L43" s="159"/>
      <c r="M43" s="159"/>
      <c r="N43"/>
      <c r="O43" s="159"/>
      <c r="P43" s="159"/>
      <c r="Q43"/>
      <c r="R43"/>
      <c r="S43"/>
    </row>
    <row r="45" spans="1:5" ht="12.75">
      <c r="A45" s="159">
        <v>23</v>
      </c>
      <c r="B45" s="155" t="s">
        <v>370</v>
      </c>
      <c r="E45" s="176">
        <v>3001350</v>
      </c>
    </row>
    <row r="46" spans="1:5" ht="12.75">
      <c r="A46" s="159">
        <v>24</v>
      </c>
      <c r="B46" s="155" t="s">
        <v>371</v>
      </c>
      <c r="E46" s="176">
        <v>3136044</v>
      </c>
    </row>
    <row r="47" spans="1:5" ht="13.5" thickBot="1">
      <c r="A47" s="159">
        <v>25</v>
      </c>
      <c r="B47" s="155" t="s">
        <v>372</v>
      </c>
      <c r="E47" s="289">
        <f>ROUND(+E46-E45,0)</f>
        <v>134694</v>
      </c>
    </row>
    <row r="48" ht="13.5" thickTop="1"/>
    <row r="49" spans="1:10" ht="12.75">
      <c r="A49" s="159"/>
      <c r="B49" s="155" t="s">
        <v>149</v>
      </c>
      <c r="D49" s="260" t="s">
        <v>148</v>
      </c>
      <c r="G49" s="260" t="s">
        <v>148</v>
      </c>
      <c r="J49" s="260" t="s">
        <v>148</v>
      </c>
    </row>
    <row r="50" spans="1:11" ht="12.75">
      <c r="A50" s="159">
        <v>26</v>
      </c>
      <c r="B50" s="155" t="s">
        <v>359</v>
      </c>
      <c r="D50" s="195">
        <f>+'EXH 8 TB Apport.'!E11</f>
        <v>0.5643</v>
      </c>
      <c r="E50" s="184">
        <f>ROUND(+E39*D50,0)</f>
        <v>22572</v>
      </c>
      <c r="G50" s="195">
        <f>+'EXH 8 TB Apport.'!E28</f>
        <v>0.6306</v>
      </c>
      <c r="H50" s="184">
        <f>ROUND(+H39*G50,0)</f>
        <v>1051</v>
      </c>
      <c r="J50" s="195">
        <f>+'EXH 8 TB Apport.'!E83</f>
        <v>0.6143</v>
      </c>
      <c r="K50" s="184">
        <f>ROUND(+K39*J50,0)</f>
        <v>2047</v>
      </c>
    </row>
    <row r="51" spans="1:11" ht="12.75">
      <c r="A51" s="159">
        <v>27</v>
      </c>
      <c r="B51" s="155" t="s">
        <v>360</v>
      </c>
      <c r="D51" s="195">
        <f>+'EXH 8 TB Apport.'!E13</f>
        <v>0.527</v>
      </c>
      <c r="E51" s="185">
        <f>ROUND(+E40*D51,0)</f>
        <v>166591</v>
      </c>
      <c r="G51" s="195">
        <f>+G50</f>
        <v>0.6306</v>
      </c>
      <c r="H51" s="185">
        <f>ROUND(+H40*G51,0)</f>
        <v>12459</v>
      </c>
      <c r="J51" s="195">
        <f>+J50</f>
        <v>0.6143</v>
      </c>
      <c r="K51" s="185">
        <f>ROUND(+K40*J51,0)</f>
        <v>24273</v>
      </c>
    </row>
    <row r="52" spans="1:11" ht="12.75">
      <c r="A52" s="159">
        <v>28</v>
      </c>
      <c r="B52" s="155" t="s">
        <v>361</v>
      </c>
      <c r="D52" s="195">
        <f>+'EXH 8 TB Apport.'!E15</f>
        <v>0.7372</v>
      </c>
      <c r="E52" s="185">
        <f>ROUND(+E41*D52,0)</f>
        <v>566732</v>
      </c>
      <c r="G52" s="195">
        <f>+G51</f>
        <v>0.6306</v>
      </c>
      <c r="H52" s="185">
        <f>ROUND(+H41*G52,0)</f>
        <v>17977</v>
      </c>
      <c r="J52" s="195">
        <f>+J51</f>
        <v>0.6143</v>
      </c>
      <c r="K52" s="185">
        <f>ROUND(+K41*J52,0)</f>
        <v>35024</v>
      </c>
    </row>
    <row r="53" spans="1:11" ht="13.5" thickBot="1">
      <c r="A53" s="159">
        <v>29</v>
      </c>
      <c r="B53" s="170" t="s">
        <v>362</v>
      </c>
      <c r="D53" s="195">
        <f>ROUND(+E53/E42,4)</f>
        <v>0.672</v>
      </c>
      <c r="E53" s="205">
        <f>+E50+E51+E52</f>
        <v>755895</v>
      </c>
      <c r="G53" s="195">
        <f>ROUND(+H53/H42,4)</f>
        <v>0.6306</v>
      </c>
      <c r="H53" s="205">
        <f>+H50+H51+H52</f>
        <v>31487</v>
      </c>
      <c r="J53" s="195">
        <f>ROUND(+K53/K42,4)</f>
        <v>0.6143</v>
      </c>
      <c r="K53" s="205">
        <f>+K50+K51+K52</f>
        <v>61344</v>
      </c>
    </row>
    <row r="54" ht="13.5" thickTop="1"/>
    <row r="55" spans="1:5" ht="12.75">
      <c r="A55" s="159">
        <v>30</v>
      </c>
      <c r="B55" s="155" t="s">
        <v>645</v>
      </c>
      <c r="D55" t="s">
        <v>648</v>
      </c>
      <c r="E55" s="189">
        <v>178180</v>
      </c>
    </row>
    <row r="56" spans="1:5" ht="12.75">
      <c r="A56" s="159">
        <v>31</v>
      </c>
      <c r="B56" s="155" t="s">
        <v>646</v>
      </c>
      <c r="D56" t="s">
        <v>649</v>
      </c>
      <c r="E56" s="309">
        <f>+'[3]SUP B JUR FACS'!Q57</f>
        <v>0.2628</v>
      </c>
    </row>
    <row r="57" spans="1:5" ht="12.75">
      <c r="A57" s="159">
        <v>32</v>
      </c>
      <c r="B57" s="155" t="s">
        <v>647</v>
      </c>
      <c r="D57" t="s">
        <v>650</v>
      </c>
      <c r="E57" s="310">
        <f>ROUND(+E55*E56,0)</f>
        <v>46826</v>
      </c>
    </row>
    <row r="59" spans="1:5" ht="12.75">
      <c r="A59" s="159">
        <v>33</v>
      </c>
      <c r="B59" s="155" t="s">
        <v>730</v>
      </c>
      <c r="D59" t="s">
        <v>651</v>
      </c>
      <c r="E59" s="310">
        <f>+E57+E47</f>
        <v>181520</v>
      </c>
    </row>
    <row r="60" ht="12.75">
      <c r="E60" s="311"/>
    </row>
  </sheetData>
  <printOptions/>
  <pageMargins left="0.58" right="0.53" top="0.56" bottom="0.66" header="0.4" footer="0.5"/>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Staurulakis,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Carbont / Emery 2004 Test Year Rate Case</dc:title>
  <dc:subject/>
  <dc:creator>Scott Duncan</dc:creator>
  <cp:keywords/>
  <dc:description>Based on Template Originally created by Krystal Fishlock of Department of Commerce.</dc:description>
  <cp:lastModifiedBy>lm</cp:lastModifiedBy>
  <cp:lastPrinted>2005-06-17T14:06:40Z</cp:lastPrinted>
  <dcterms:created xsi:type="dcterms:W3CDTF">1999-08-26T18:57:34Z</dcterms:created>
  <dcterms:modified xsi:type="dcterms:W3CDTF">2005-06-20T20:15:22Z</dcterms:modified>
  <cp:category/>
  <cp:version/>
  <cp:contentType/>
  <cp:contentStatus/>
</cp:coreProperties>
</file>