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45" yWindow="0" windowWidth="10215" windowHeight="9105"/>
  </bookViews>
  <sheets>
    <sheet name="DPU 1.3 DCF" sheetId="10" r:id="rId1"/>
  </sheets>
  <definedNames>
    <definedName name="_PN1">#REF!</definedName>
    <definedName name="_PN10">#REF!</definedName>
    <definedName name="_PN11">#REF!</definedName>
    <definedName name="_PN12">#REF!</definedName>
    <definedName name="_PN13">#REF!</definedName>
    <definedName name="_PN14">#REF!</definedName>
    <definedName name="_PN15">#REF!</definedName>
    <definedName name="_PN2">#REF!</definedName>
    <definedName name="_PN3">#REF!</definedName>
    <definedName name="_PN4">#REF!</definedName>
    <definedName name="_PN5">#REF!</definedName>
    <definedName name="_PN6">#REF!</definedName>
    <definedName name="_PN7">#REF!</definedName>
    <definedName name="_PN8">'DPU 1.3 DCF'!#REF!</definedName>
    <definedName name="_PN9">#REF!</definedName>
    <definedName name="Adjustments">#REF!</definedName>
    <definedName name="AMORT">'DPU 1.3 DCF'!$F$14</definedName>
    <definedName name="Appraiser">#REF!</definedName>
    <definedName name="APXEI1" localSheetId="0">#REF!</definedName>
    <definedName name="APXEI1">#REF!</definedName>
    <definedName name="APXEI2" localSheetId="0">#REF!</definedName>
    <definedName name="APXEI2">#REF!</definedName>
    <definedName name="APXEI3" localSheetId="0">#REF!</definedName>
    <definedName name="APXEI3">#REF!</definedName>
    <definedName name="APXEI4" localSheetId="0">#REF!</definedName>
    <definedName name="APXEI4">#REF!</definedName>
    <definedName name="APXEI5" localSheetId="0">#REF!</definedName>
    <definedName name="APXEI5">#REF!</definedName>
    <definedName name="APXEI6" localSheetId="0">#REF!</definedName>
    <definedName name="APXEI6">#REF!</definedName>
    <definedName name="APXOE1" localSheetId="0">#REF!</definedName>
    <definedName name="APXOE1">#REF!</definedName>
    <definedName name="APXOE2" localSheetId="0">#REF!</definedName>
    <definedName name="APXOE2">#REF!</definedName>
    <definedName name="APXOE3" localSheetId="0">#REF!</definedName>
    <definedName name="APXOE3">#REF!</definedName>
    <definedName name="APXOE4" localSheetId="0">#REF!</definedName>
    <definedName name="APXOE4">#REF!</definedName>
    <definedName name="APXOE5" localSheetId="0">#REF!</definedName>
    <definedName name="APXOE5">#REF!</definedName>
    <definedName name="APXOE6" localSheetId="0">#REF!</definedName>
    <definedName name="APXOE6">#REF!</definedName>
    <definedName name="APXOR1" localSheetId="0">#REF!</definedName>
    <definedName name="APXOR1">#REF!</definedName>
    <definedName name="APXOR2" localSheetId="0">#REF!</definedName>
    <definedName name="APXOR2">#REF!</definedName>
    <definedName name="APXOR3" localSheetId="0">#REF!</definedName>
    <definedName name="APXOR3">#REF!</definedName>
    <definedName name="APXOR4" localSheetId="0">#REF!</definedName>
    <definedName name="APXOR4">#REF!</definedName>
    <definedName name="APXOR5" localSheetId="0">#REF!</definedName>
    <definedName name="APXOR5">#REF!</definedName>
    <definedName name="APXOR6" localSheetId="0">#REF!</definedName>
    <definedName name="APXOR6">#REF!</definedName>
    <definedName name="CapRate">#REF!</definedName>
    <definedName name="CDate">#REF!</definedName>
    <definedName name="CIW">#REF!</definedName>
    <definedName name="CIWI">#REF!</definedName>
    <definedName name="CName">#REF!</definedName>
    <definedName name="Cost">#REF!</definedName>
    <definedName name="COSTI">#REF!</definedName>
    <definedName name="CPX">'DPU 1.3 DCF'!$F$20</definedName>
    <definedName name="CPXR">'DPU 1.3 DCF'!#REF!</definedName>
    <definedName name="CWIP">#REF!</definedName>
    <definedName name="CWIPPV">#REF!</definedName>
    <definedName name="CYear">#REF!</definedName>
    <definedName name="CYNOI">#REF!</definedName>
    <definedName name="CYREV" localSheetId="0">'DPU 1.3 DCF'!#REF!</definedName>
    <definedName name="DCF">'DPU 1.3 DCF'!$I$59</definedName>
    <definedName name="DebtRate">#REF!</definedName>
    <definedName name="DebtRating">#REF!</definedName>
    <definedName name="DebtStruct">#REF!</definedName>
    <definedName name="DEP">'DPU 1.3 DCF'!$F$12</definedName>
    <definedName name="DFIT">'DPU 1.3 DCF'!$F$16</definedName>
    <definedName name="DiscRate">#REF!</definedName>
    <definedName name="DR">'DPU 1.3 DCF'!$F$43</definedName>
    <definedName name="EBITDA">'DPU 1.3 DCF'!$F$10</definedName>
    <definedName name="EquityRate">#REF!</definedName>
    <definedName name="FMVCR">#REF!</definedName>
    <definedName name="FMVFCC">#REF!</definedName>
    <definedName name="FMVTM">#REF!</definedName>
    <definedName name="GDP">#REF!</definedName>
    <definedName name="GR">'DPU 1.3 DCF'!$F$44</definedName>
    <definedName name="IIW">#REF!</definedName>
    <definedName name="Income" localSheetId="0">'DPU 1.3 DCF'!$I$59</definedName>
    <definedName name="Income">#REF!</definedName>
    <definedName name="Intan" localSheetId="0">#REF!</definedName>
    <definedName name="Intan">#REF!</definedName>
    <definedName name="INUT">#REF!</definedName>
    <definedName name="LDate">#REF!</definedName>
    <definedName name="MaterialsSupplies">#REF!</definedName>
    <definedName name="MBRatio">#REF!</definedName>
    <definedName name="NCASH">'DPU 1.3 DCF'!#REF!</definedName>
    <definedName name="NIE" localSheetId="0">'DPU 1.3 DCF'!#REF!</definedName>
    <definedName name="NIE">#REF!</definedName>
    <definedName name="NOI">#REF!</definedName>
    <definedName name="NOWC">'DPU 1.3 DCF'!$F$22</definedName>
    <definedName name="Payback">'DPU 1.3 DCF'!$F$42</definedName>
    <definedName name="PHFU">#REF!</definedName>
    <definedName name="Plant">#REF!</definedName>
    <definedName name="PlantD">#REF!</definedName>
    <definedName name="_xlnm.Print_Area" localSheetId="0">'DPU 1.3 DCF'!$A$1:$X$44</definedName>
    <definedName name="Reviewer">#REF!</definedName>
    <definedName name="RGR">#REF!</definedName>
    <definedName name="SDW">#REF!</definedName>
    <definedName name="Special">#REF!</definedName>
    <definedName name="System">#REF!</definedName>
    <definedName name="TAX">'DPU 1.3 DCF'!$F$18</definedName>
    <definedName name="TaxRate">#REF!</definedName>
    <definedName name="TPNum">#REF!</definedName>
    <definedName name="UTAlloc">#REF!</definedName>
    <definedName name="UTBA">#REF!</definedName>
    <definedName name="UTValue">#REF!</definedName>
  </definedNames>
  <calcPr calcId="124519"/>
</workbook>
</file>

<file path=xl/calcChain.xml><?xml version="1.0" encoding="utf-8"?>
<calcChain xmlns="http://schemas.openxmlformats.org/spreadsheetml/2006/main">
  <c r="R27" i="10"/>
  <c r="R8"/>
  <c r="R9" s="1"/>
  <c r="G6"/>
  <c r="G21"/>
  <c r="G9"/>
  <c r="S8"/>
  <c r="S9" s="1"/>
  <c r="T8"/>
  <c r="T9" s="1"/>
  <c r="U8"/>
  <c r="U9" s="1"/>
  <c r="M21"/>
  <c r="K21"/>
  <c r="I21"/>
  <c r="H21"/>
  <c r="S10" l="1"/>
  <c r="M9"/>
  <c r="K9"/>
  <c r="I9"/>
  <c r="P35"/>
  <c r="O35"/>
  <c r="N35"/>
  <c r="L35"/>
  <c r="J35"/>
  <c r="H9"/>
  <c r="M22" l="1"/>
  <c r="M12"/>
  <c r="M8"/>
  <c r="M18" s="1"/>
  <c r="K8"/>
  <c r="K18" s="1"/>
  <c r="I8"/>
  <c r="H8"/>
  <c r="H18" s="1"/>
  <c r="G8"/>
  <c r="M36"/>
  <c r="K38"/>
  <c r="I38"/>
  <c r="H38"/>
  <c r="G38"/>
  <c r="F38"/>
  <c r="M20" l="1"/>
  <c r="M16"/>
  <c r="M14"/>
  <c r="I12"/>
  <c r="I18"/>
  <c r="F25"/>
  <c r="G14"/>
  <c r="G18"/>
  <c r="K10"/>
  <c r="I10"/>
  <c r="K12"/>
  <c r="K14"/>
  <c r="K16"/>
  <c r="K20"/>
  <c r="K22"/>
  <c r="H10"/>
  <c r="H12"/>
  <c r="I14"/>
  <c r="I16"/>
  <c r="I20"/>
  <c r="I22"/>
  <c r="M10"/>
  <c r="H14"/>
  <c r="H16"/>
  <c r="H20"/>
  <c r="H22"/>
  <c r="G12"/>
  <c r="G20"/>
  <c r="G16"/>
  <c r="G22"/>
  <c r="G10"/>
  <c r="F10" l="1"/>
  <c r="F26" s="1"/>
  <c r="F12"/>
  <c r="F28" s="1"/>
  <c r="F18"/>
  <c r="F31" s="1"/>
  <c r="F27"/>
  <c r="F20"/>
  <c r="F33" s="1"/>
  <c r="F16"/>
  <c r="F32" s="1"/>
  <c r="F22"/>
  <c r="F34" s="1"/>
  <c r="G25"/>
  <c r="F14"/>
  <c r="F29" s="1"/>
  <c r="M38"/>
  <c r="H25" l="1"/>
  <c r="H33" s="1"/>
  <c r="G33"/>
  <c r="G26"/>
  <c r="G34"/>
  <c r="G28"/>
  <c r="G31"/>
  <c r="F30"/>
  <c r="F35" s="1"/>
  <c r="F39" s="1"/>
  <c r="G32"/>
  <c r="G29"/>
  <c r="G27"/>
  <c r="H28" l="1"/>
  <c r="H31"/>
  <c r="H26"/>
  <c r="I25"/>
  <c r="I34" s="1"/>
  <c r="H29"/>
  <c r="H27"/>
  <c r="H32"/>
  <c r="H34"/>
  <c r="G30"/>
  <c r="G35" s="1"/>
  <c r="G39" s="1"/>
  <c r="I27" l="1"/>
  <c r="I33"/>
  <c r="I28"/>
  <c r="K25"/>
  <c r="K33" s="1"/>
  <c r="I29"/>
  <c r="I26"/>
  <c r="I32"/>
  <c r="I31"/>
  <c r="H30"/>
  <c r="H35" s="1"/>
  <c r="H39" s="1"/>
  <c r="I30" l="1"/>
  <c r="I35" s="1"/>
  <c r="I39" s="1"/>
  <c r="K26"/>
  <c r="M25"/>
  <c r="K31"/>
  <c r="K29"/>
  <c r="K32"/>
  <c r="K27"/>
  <c r="K28"/>
  <c r="K34"/>
  <c r="K30" l="1"/>
  <c r="M27"/>
  <c r="M31"/>
  <c r="M34"/>
  <c r="M28"/>
  <c r="M33" s="1"/>
  <c r="K35"/>
  <c r="K39" s="1"/>
  <c r="M29"/>
  <c r="M26"/>
  <c r="M30" l="1"/>
  <c r="M35" s="1"/>
  <c r="M37" s="1"/>
  <c r="M39" s="1"/>
  <c r="F40" s="1"/>
</calcChain>
</file>

<file path=xl/sharedStrings.xml><?xml version="1.0" encoding="utf-8"?>
<sst xmlns="http://schemas.openxmlformats.org/spreadsheetml/2006/main" count="62" uniqueCount="49">
  <si>
    <t>[b]</t>
  </si>
  <si>
    <t>[c]</t>
  </si>
  <si>
    <t>[d]</t>
  </si>
  <si>
    <t>[e]</t>
  </si>
  <si>
    <t>Amortization</t>
  </si>
  <si>
    <t>[f]</t>
  </si>
  <si>
    <t>Year Ended</t>
  </si>
  <si>
    <t>Income &amp; Expense Items</t>
  </si>
  <si>
    <t>Depreciation Expense</t>
  </si>
  <si>
    <t>Deferred Income Taxes</t>
  </si>
  <si>
    <t>Capital Expenditures</t>
  </si>
  <si>
    <t>Revenues</t>
  </si>
  <si>
    <t>Amortization Expense (Intan)</t>
  </si>
  <si>
    <t>% of Revenues</t>
  </si>
  <si>
    <t>Cash Flow</t>
  </si>
  <si>
    <t>Depreciation</t>
  </si>
  <si>
    <t>Taxes</t>
  </si>
  <si>
    <t>EBITDA</t>
  </si>
  <si>
    <t xml:space="preserve">EBT </t>
  </si>
  <si>
    <t>NOWC</t>
  </si>
  <si>
    <t>Discount Rate</t>
  </si>
  <si>
    <t>Def Income Tax</t>
  </si>
  <si>
    <t>HISTORICAL CASH FLOW COMMON SIZE ANALYSIS</t>
  </si>
  <si>
    <t>Terminal</t>
  </si>
  <si>
    <t>Capitalized Terminal CF</t>
  </si>
  <si>
    <t>CF to Invested Capital</t>
  </si>
  <si>
    <t>Common Size Est.</t>
  </si>
  <si>
    <t>CALCULATION OF DISCOUNTED CASH FLOW</t>
  </si>
  <si>
    <r>
      <rPr>
        <sz val="10"/>
        <rFont val="Arial"/>
        <family val="2"/>
      </rPr>
      <t>CAPEX</t>
    </r>
    <r>
      <rPr>
        <sz val="8"/>
        <rFont val="Arial"/>
        <family val="2"/>
      </rPr>
      <t xml:space="preserve"> Total</t>
    </r>
  </si>
  <si>
    <t>Growth Rate</t>
  </si>
  <si>
    <t>Adjusted Revenues</t>
  </si>
  <si>
    <t>Less: UUSF</t>
  </si>
  <si>
    <t>Present Value of CF</t>
  </si>
  <si>
    <t>Total Present Value of CF's</t>
  </si>
  <si>
    <t>UUSF Payback</t>
  </si>
  <si>
    <r>
      <t>K</t>
    </r>
    <r>
      <rPr>
        <sz val="8"/>
        <rFont val="Arial"/>
        <family val="2"/>
      </rPr>
      <t>e</t>
    </r>
    <r>
      <rPr>
        <sz val="10"/>
        <rFont val="Arial"/>
        <family val="2"/>
      </rPr>
      <t xml:space="preserve">-g </t>
    </r>
  </si>
  <si>
    <t>Actual Taxes Paid</t>
  </si>
  <si>
    <t>Changes in NOWC</t>
  </si>
  <si>
    <t>Payback Rate as % of Revs</t>
  </si>
  <si>
    <t>Compound change in non UUSF revenues</t>
  </si>
  <si>
    <t>TV CAPEX set to depreciation under the assumption of going</t>
  </si>
  <si>
    <t xml:space="preserve">Calculated on average payment between 2013 and TV </t>
  </si>
  <si>
    <t>concern into infinitywithout growth</t>
  </si>
  <si>
    <r>
      <t>%</t>
    </r>
    <r>
      <rPr>
        <sz val="10"/>
        <rFont val="Calibri"/>
        <family val="2"/>
      </rPr>
      <t>Δ</t>
    </r>
  </si>
  <si>
    <t>Doesn't recognize potential expense reductions</t>
  </si>
  <si>
    <t>***FOR DEMONSTRATION PURPOSES ONLY***</t>
  </si>
  <si>
    <r>
      <t xml:space="preserve">Average </t>
    </r>
    <r>
      <rPr>
        <sz val="10"/>
        <color theme="0"/>
        <rFont val="Arial"/>
        <family val="2"/>
      </rPr>
      <t>6.18%</t>
    </r>
    <r>
      <rPr>
        <sz val="10"/>
        <rFont val="Arial"/>
        <family val="2"/>
      </rPr>
      <t xml:space="preserve"> Return on </t>
    </r>
    <r>
      <rPr>
        <sz val="10"/>
        <color theme="0"/>
        <rFont val="Arial"/>
        <family val="2"/>
      </rPr>
      <t>$4,463,963</t>
    </r>
    <r>
      <rPr>
        <sz val="10"/>
        <rFont val="Arial"/>
        <family val="2"/>
      </rPr>
      <t xml:space="preserve"> rate base</t>
    </r>
  </si>
  <si>
    <r>
      <t>((($</t>
    </r>
    <r>
      <rPr>
        <sz val="10"/>
        <color theme="0"/>
        <rFont val="Arial"/>
        <family val="2"/>
      </rPr>
      <t>449,207</t>
    </r>
    <r>
      <rPr>
        <sz val="10"/>
        <rFont val="Arial"/>
        <family val="2"/>
      </rPr>
      <t>+</t>
    </r>
    <r>
      <rPr>
        <sz val="10"/>
        <color theme="0"/>
        <rFont val="Arial"/>
        <family val="2"/>
      </rPr>
      <t>$366,271</t>
    </r>
    <r>
      <rPr>
        <sz val="10"/>
        <rFont val="Arial"/>
        <family val="2"/>
      </rPr>
      <t>)/2)-((</t>
    </r>
    <r>
      <rPr>
        <sz val="10"/>
        <color theme="0"/>
        <rFont val="Arial"/>
        <family val="2"/>
      </rPr>
      <t>$145,346</t>
    </r>
    <r>
      <rPr>
        <sz val="10"/>
        <rFont val="Arial"/>
        <family val="2"/>
      </rPr>
      <t>+</t>
    </r>
    <r>
      <rPr>
        <sz val="10"/>
        <color theme="0"/>
        <rFont val="Arial"/>
        <family val="2"/>
      </rPr>
      <t>$118,511</t>
    </r>
    <r>
      <rPr>
        <sz val="10"/>
        <rFont val="Arial"/>
        <family val="2"/>
      </rPr>
      <t>)/2))/</t>
    </r>
    <r>
      <rPr>
        <sz val="10"/>
        <color theme="0"/>
        <rFont val="Arial"/>
        <family val="2"/>
      </rPr>
      <t>$4,463,963</t>
    </r>
  </si>
  <si>
    <r>
      <t xml:space="preserve">Year Payback including </t>
    </r>
    <r>
      <rPr>
        <sz val="10"/>
        <color theme="0"/>
        <rFont val="Arial"/>
        <family val="2"/>
      </rPr>
      <t>$41,561</t>
    </r>
    <r>
      <rPr>
        <sz val="10"/>
        <rFont val="Arial"/>
        <family val="2"/>
      </rPr>
      <t xml:space="preserve"> per Commission Order</t>
    </r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</si>
</sst>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3" formatCode="_(* #,##0.00_);_(* \(#,##0.00\);_(* &quot;-&quot;??_);_(@_)"/>
    <numFmt numFmtId="164" formatCode="&quot;Dec 31, &quot;\ ####"/>
    <numFmt numFmtId="165" formatCode="&quot;Page &quot;#"/>
    <numFmt numFmtId="166" formatCode="#,##0.0000_);\(#,##0.0000\)"/>
  </numFmts>
  <fonts count="18">
    <font>
      <sz val="10"/>
      <name val="Times New Roman"/>
      <family val="1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Kartika"/>
      <family val="1"/>
    </font>
    <font>
      <sz val="12"/>
      <name val="Kartika"/>
      <family val="1"/>
    </font>
    <font>
      <sz val="10"/>
      <name val="Microsoft Sans Serif"/>
      <family val="2"/>
    </font>
    <font>
      <b/>
      <sz val="10"/>
      <color theme="0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9" fontId="2" fillId="0" borderId="0" applyFont="0" applyFill="0" applyBorder="0" applyAlignment="0" applyProtection="0"/>
    <xf numFmtId="0" fontId="4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56">
    <xf numFmtId="0" fontId="0" fillId="0" borderId="0" xfId="0"/>
    <xf numFmtId="0" fontId="3" fillId="0" borderId="0" xfId="1" applyFont="1"/>
    <xf numFmtId="0" fontId="3" fillId="0" borderId="0" xfId="1" applyFont="1" applyBorder="1"/>
    <xf numFmtId="10" fontId="3" fillId="0" borderId="0" xfId="1" applyNumberFormat="1" applyFont="1"/>
    <xf numFmtId="0" fontId="3" fillId="0" borderId="0" xfId="1" applyFont="1" applyAlignment="1"/>
    <xf numFmtId="37" fontId="3" fillId="0" borderId="23" xfId="1" applyNumberFormat="1" applyFont="1" applyFill="1" applyBorder="1" applyAlignment="1">
      <alignment vertical="center" shrinkToFit="1"/>
    </xf>
    <xf numFmtId="37" fontId="3" fillId="0" borderId="17" xfId="1" applyNumberFormat="1" applyFont="1" applyFill="1" applyBorder="1" applyAlignment="1">
      <alignment vertical="center"/>
    </xf>
    <xf numFmtId="37" fontId="3" fillId="0" borderId="6" xfId="1" applyNumberFormat="1" applyFont="1" applyFill="1" applyBorder="1" applyAlignment="1">
      <alignment shrinkToFit="1"/>
    </xf>
    <xf numFmtId="0" fontId="3" fillId="0" borderId="4" xfId="1" applyFont="1" applyBorder="1"/>
    <xf numFmtId="0" fontId="5" fillId="0" borderId="5" xfId="1" applyFont="1" applyBorder="1" applyAlignment="1">
      <alignment horizontal="center" vertical="center"/>
    </xf>
    <xf numFmtId="37" fontId="3" fillId="0" borderId="0" xfId="1" applyNumberFormat="1" applyFont="1"/>
    <xf numFmtId="37" fontId="3" fillId="4" borderId="0" xfId="1" applyNumberFormat="1" applyFont="1" applyFill="1" applyBorder="1" applyAlignment="1" applyProtection="1">
      <alignment shrinkToFit="1"/>
      <protection locked="0"/>
    </xf>
    <xf numFmtId="37" fontId="3" fillId="0" borderId="0" xfId="1" applyNumberFormat="1" applyFont="1" applyBorder="1"/>
    <xf numFmtId="10" fontId="3" fillId="0" borderId="21" xfId="1" applyNumberFormat="1" applyFont="1" applyFill="1" applyBorder="1" applyAlignment="1">
      <alignment vertical="center"/>
    </xf>
    <xf numFmtId="37" fontId="3" fillId="0" borderId="17" xfId="1" applyNumberFormat="1" applyFont="1" applyBorder="1" applyAlignment="1"/>
    <xf numFmtId="37" fontId="3" fillId="0" borderId="21" xfId="1" applyNumberFormat="1" applyFont="1" applyBorder="1" applyAlignment="1"/>
    <xf numFmtId="0" fontId="3" fillId="4" borderId="0" xfId="1" applyFont="1" applyFill="1" applyBorder="1"/>
    <xf numFmtId="37" fontId="6" fillId="0" borderId="17" xfId="1" applyNumberFormat="1" applyFont="1" applyFill="1" applyBorder="1" applyAlignment="1">
      <alignment vertical="center"/>
    </xf>
    <xf numFmtId="0" fontId="2" fillId="0" borderId="0" xfId="1" applyFont="1"/>
    <xf numFmtId="0" fontId="10" fillId="4" borderId="4" xfId="1" applyNumberFormat="1" applyFont="1" applyFill="1" applyBorder="1" applyAlignment="1"/>
    <xf numFmtId="0" fontId="3" fillId="0" borderId="0" xfId="1" applyFont="1" applyAlignment="1">
      <alignment horizontal="center"/>
    </xf>
    <xf numFmtId="37" fontId="2" fillId="0" borderId="0" xfId="1" applyNumberFormat="1" applyFont="1"/>
    <xf numFmtId="0" fontId="6" fillId="0" borderId="0" xfId="1" applyFont="1" applyAlignment="1">
      <alignment horizontal="center"/>
    </xf>
    <xf numFmtId="0" fontId="6" fillId="0" borderId="0" xfId="1" applyFont="1"/>
    <xf numFmtId="0" fontId="6" fillId="0" borderId="21" xfId="1" applyNumberFormat="1" applyFont="1" applyFill="1" applyBorder="1" applyAlignment="1">
      <alignment horizontal="right" vertical="center" indent="1"/>
    </xf>
    <xf numFmtId="0" fontId="2" fillId="0" borderId="0" xfId="1" applyFont="1" applyAlignment="1">
      <alignment horizontal="left" indent="2"/>
    </xf>
    <xf numFmtId="37" fontId="3" fillId="0" borderId="0" xfId="1" applyNumberFormat="1" applyFont="1" applyBorder="1" applyAlignment="1"/>
    <xf numFmtId="37" fontId="3" fillId="0" borderId="12" xfId="1" applyNumberFormat="1" applyFont="1" applyBorder="1" applyAlignment="1"/>
    <xf numFmtId="0" fontId="6" fillId="0" borderId="0" xfId="1" applyNumberFormat="1" applyFont="1" applyFill="1" applyBorder="1" applyAlignment="1">
      <alignment horizontal="center" vertical="center"/>
    </xf>
    <xf numFmtId="0" fontId="6" fillId="0" borderId="21" xfId="1" applyNumberFormat="1" applyFont="1" applyFill="1" applyBorder="1" applyAlignment="1">
      <alignment horizontal="center" vertical="center"/>
    </xf>
    <xf numFmtId="164" fontId="5" fillId="0" borderId="17" xfId="1" applyNumberFormat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/>
    </xf>
    <xf numFmtId="0" fontId="5" fillId="0" borderId="17" xfId="1" applyFont="1" applyBorder="1" applyAlignment="1">
      <alignment horizontal="center" vertical="center"/>
    </xf>
    <xf numFmtId="0" fontId="6" fillId="0" borderId="0" xfId="1" applyFont="1" applyAlignment="1">
      <alignment horizontal="left" indent="2"/>
    </xf>
    <xf numFmtId="0" fontId="6" fillId="4" borderId="0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3" fillId="0" borderId="31" xfId="1" applyNumberFormat="1" applyFont="1" applyFill="1" applyBorder="1" applyAlignment="1">
      <alignment horizontal="center" vertical="center"/>
    </xf>
    <xf numFmtId="0" fontId="3" fillId="0" borderId="31" xfId="1" applyNumberFormat="1" applyFont="1" applyFill="1" applyBorder="1" applyAlignment="1">
      <alignment horizontal="center" vertical="center" shrinkToFit="1"/>
    </xf>
    <xf numFmtId="0" fontId="3" fillId="0" borderId="32" xfId="1" applyNumberFormat="1" applyFont="1" applyFill="1" applyBorder="1" applyAlignment="1">
      <alignment horizontal="center" shrinkToFit="1"/>
    </xf>
    <xf numFmtId="0" fontId="6" fillId="3" borderId="3" xfId="1" applyFont="1" applyFill="1" applyBorder="1" applyAlignment="1">
      <alignment horizontal="center"/>
    </xf>
    <xf numFmtId="0" fontId="6" fillId="0" borderId="17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indent="1"/>
    </xf>
    <xf numFmtId="10" fontId="3" fillId="3" borderId="17" xfId="1" applyNumberFormat="1" applyFont="1" applyFill="1" applyBorder="1" applyAlignment="1">
      <alignment vertical="center"/>
    </xf>
    <xf numFmtId="10" fontId="3" fillId="3" borderId="23" xfId="1" applyNumberFormat="1" applyFont="1" applyFill="1" applyBorder="1" applyAlignment="1">
      <alignment vertical="center"/>
    </xf>
    <xf numFmtId="10" fontId="2" fillId="3" borderId="0" xfId="1" applyNumberFormat="1" applyFont="1" applyFill="1"/>
    <xf numFmtId="10" fontId="3" fillId="3" borderId="21" xfId="1" applyNumberFormat="1" applyFont="1" applyFill="1" applyBorder="1" applyAlignment="1">
      <alignment vertical="center"/>
    </xf>
    <xf numFmtId="10" fontId="3" fillId="3" borderId="11" xfId="1" applyNumberFormat="1" applyFont="1" applyFill="1" applyBorder="1" applyAlignment="1">
      <alignment vertical="center"/>
    </xf>
    <xf numFmtId="37" fontId="10" fillId="3" borderId="17" xfId="1" applyNumberFormat="1" applyFont="1" applyFill="1" applyBorder="1" applyAlignment="1"/>
    <xf numFmtId="37" fontId="10" fillId="3" borderId="18" xfId="1" applyNumberFormat="1" applyFont="1" applyFill="1" applyBorder="1" applyAlignment="1"/>
    <xf numFmtId="10" fontId="10" fillId="3" borderId="17" xfId="1" applyNumberFormat="1" applyFont="1" applyFill="1" applyBorder="1" applyAlignment="1"/>
    <xf numFmtId="37" fontId="3" fillId="3" borderId="17" xfId="1" applyNumberFormat="1" applyFont="1" applyFill="1" applyBorder="1" applyAlignment="1" applyProtection="1">
      <alignment shrinkToFit="1"/>
      <protection locked="0"/>
    </xf>
    <xf numFmtId="10" fontId="3" fillId="3" borderId="17" xfId="1" applyNumberFormat="1" applyFont="1" applyFill="1" applyBorder="1" applyAlignment="1" applyProtection="1">
      <alignment shrinkToFit="1"/>
      <protection locked="0"/>
    </xf>
    <xf numFmtId="37" fontId="3" fillId="3" borderId="17" xfId="1" applyNumberFormat="1" applyFont="1" applyFill="1" applyBorder="1" applyAlignment="1" applyProtection="1">
      <alignment vertical="center" shrinkToFit="1"/>
      <protection locked="0"/>
    </xf>
    <xf numFmtId="10" fontId="3" fillId="3" borderId="17" xfId="1" applyNumberFormat="1" applyFont="1" applyFill="1" applyBorder="1" applyAlignment="1" applyProtection="1">
      <alignment vertical="center" shrinkToFit="1"/>
      <protection locked="0"/>
    </xf>
    <xf numFmtId="37" fontId="2" fillId="3" borderId="17" xfId="1" applyNumberFormat="1" applyFont="1" applyFill="1" applyBorder="1" applyAlignment="1" applyProtection="1">
      <alignment vertical="center" shrinkToFit="1"/>
      <protection locked="0"/>
    </xf>
    <xf numFmtId="10" fontId="3" fillId="3" borderId="23" xfId="1" applyNumberFormat="1" applyFont="1" applyFill="1" applyBorder="1" applyAlignment="1" applyProtection="1">
      <alignment vertical="center" shrinkToFit="1"/>
      <protection locked="0"/>
    </xf>
    <xf numFmtId="37" fontId="3" fillId="3" borderId="19" xfId="1" applyNumberFormat="1" applyFont="1" applyFill="1" applyBorder="1" applyAlignment="1">
      <alignment vertical="center"/>
    </xf>
    <xf numFmtId="37" fontId="3" fillId="3" borderId="19" xfId="1" applyNumberFormat="1" applyFont="1" applyFill="1" applyBorder="1" applyAlignment="1">
      <alignment vertical="center" shrinkToFit="1"/>
    </xf>
    <xf numFmtId="37" fontId="3" fillId="3" borderId="14" xfId="1" applyNumberFormat="1" applyFont="1" applyFill="1" applyBorder="1" applyAlignment="1">
      <alignment shrinkToFit="1"/>
    </xf>
    <xf numFmtId="37" fontId="3" fillId="3" borderId="4" xfId="1" applyNumberFormat="1" applyFont="1" applyFill="1" applyBorder="1" applyAlignment="1">
      <alignment vertical="center"/>
    </xf>
    <xf numFmtId="37" fontId="3" fillId="3" borderId="17" xfId="1" applyNumberFormat="1" applyFont="1" applyFill="1" applyBorder="1" applyAlignment="1">
      <alignment vertical="center"/>
    </xf>
    <xf numFmtId="37" fontId="3" fillId="3" borderId="18" xfId="1" applyNumberFormat="1" applyFont="1" applyFill="1" applyBorder="1" applyAlignment="1">
      <alignment vertical="center"/>
    </xf>
    <xf numFmtId="37" fontId="2" fillId="3" borderId="17" xfId="1" applyNumberFormat="1" applyFont="1" applyFill="1" applyBorder="1" applyAlignment="1">
      <alignment vertical="center"/>
    </xf>
    <xf numFmtId="37" fontId="17" fillId="3" borderId="17" xfId="1" applyNumberFormat="1" applyFont="1" applyFill="1" applyBorder="1" applyAlignment="1">
      <alignment vertical="center"/>
    </xf>
    <xf numFmtId="166" fontId="3" fillId="3" borderId="17" xfId="1" applyNumberFormat="1" applyFont="1" applyFill="1" applyBorder="1" applyAlignment="1">
      <alignment vertical="center"/>
    </xf>
    <xf numFmtId="166" fontId="3" fillId="3" borderId="4" xfId="1" applyNumberFormat="1" applyFont="1" applyFill="1" applyBorder="1" applyAlignment="1">
      <alignment vertical="center"/>
    </xf>
    <xf numFmtId="37" fontId="6" fillId="3" borderId="17" xfId="1" applyNumberFormat="1" applyFont="1" applyFill="1" applyBorder="1" applyAlignment="1">
      <alignment vertical="center"/>
    </xf>
    <xf numFmtId="0" fontId="3" fillId="3" borderId="0" xfId="1" applyFont="1" applyFill="1"/>
    <xf numFmtId="0" fontId="16" fillId="0" borderId="0" xfId="1" applyFont="1"/>
    <xf numFmtId="0" fontId="15" fillId="0" borderId="0" xfId="1" applyFont="1" applyAlignment="1">
      <alignment horizontal="center"/>
    </xf>
    <xf numFmtId="0" fontId="5" fillId="0" borderId="1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37" fontId="10" fillId="3" borderId="18" xfId="1" applyNumberFormat="1" applyFont="1" applyFill="1" applyBorder="1" applyAlignment="1"/>
    <xf numFmtId="37" fontId="10" fillId="3" borderId="22" xfId="1" applyNumberFormat="1" applyFont="1" applyFill="1" applyBorder="1" applyAlignment="1"/>
    <xf numFmtId="37" fontId="10" fillId="3" borderId="17" xfId="1" applyNumberFormat="1" applyFont="1" applyFill="1" applyBorder="1" applyAlignment="1">
      <alignment horizontal="right"/>
    </xf>
    <xf numFmtId="37" fontId="10" fillId="3" borderId="21" xfId="1" applyNumberFormat="1" applyFont="1" applyFill="1" applyBorder="1" applyAlignment="1">
      <alignment horizontal="right"/>
    </xf>
    <xf numFmtId="37" fontId="10" fillId="3" borderId="17" xfId="1" applyNumberFormat="1" applyFont="1" applyFill="1" applyBorder="1" applyAlignment="1"/>
    <xf numFmtId="37" fontId="10" fillId="3" borderId="21" xfId="1" applyNumberFormat="1" applyFont="1" applyFill="1" applyBorder="1" applyAlignment="1"/>
    <xf numFmtId="37" fontId="10" fillId="3" borderId="1" xfId="1" applyNumberFormat="1" applyFont="1" applyFill="1" applyBorder="1" applyAlignment="1"/>
    <xf numFmtId="37" fontId="10" fillId="3" borderId="2" xfId="1" applyNumberFormat="1" applyFont="1" applyFill="1" applyBorder="1" applyAlignment="1"/>
    <xf numFmtId="37" fontId="10" fillId="3" borderId="0" xfId="1" applyNumberFormat="1" applyFont="1" applyFill="1" applyBorder="1" applyAlignment="1"/>
    <xf numFmtId="37" fontId="10" fillId="3" borderId="12" xfId="1" applyNumberFormat="1" applyFont="1" applyFill="1" applyBorder="1" applyAlignment="1"/>
    <xf numFmtId="0" fontId="10" fillId="0" borderId="17" xfId="1" applyNumberFormat="1" applyFont="1" applyFill="1" applyBorder="1" applyAlignment="1">
      <alignment horizontal="left" indent="4"/>
    </xf>
    <xf numFmtId="0" fontId="10" fillId="0" borderId="0" xfId="1" applyNumberFormat="1" applyFont="1" applyFill="1" applyBorder="1" applyAlignment="1">
      <alignment horizontal="left" indent="4"/>
    </xf>
    <xf numFmtId="0" fontId="10" fillId="0" borderId="21" xfId="1" applyNumberFormat="1" applyFont="1" applyFill="1" applyBorder="1" applyAlignment="1">
      <alignment horizontal="left" indent="4"/>
    </xf>
    <xf numFmtId="0" fontId="10" fillId="0" borderId="17" xfId="1" applyNumberFormat="1" applyFont="1" applyFill="1" applyBorder="1" applyAlignment="1">
      <alignment horizontal="left" indent="1"/>
    </xf>
    <xf numFmtId="0" fontId="10" fillId="0" borderId="0" xfId="1" applyNumberFormat="1" applyFont="1" applyFill="1" applyBorder="1" applyAlignment="1">
      <alignment horizontal="left" indent="1"/>
    </xf>
    <xf numFmtId="0" fontId="10" fillId="0" borderId="21" xfId="1" applyNumberFormat="1" applyFont="1" applyFill="1" applyBorder="1" applyAlignment="1">
      <alignment horizontal="left" indent="1"/>
    </xf>
    <xf numFmtId="0" fontId="10" fillId="0" borderId="19" xfId="1" applyNumberFormat="1" applyFont="1" applyFill="1" applyBorder="1" applyAlignment="1">
      <alignment horizontal="left" indent="3"/>
    </xf>
    <xf numFmtId="0" fontId="10" fillId="0" borderId="15" xfId="1" applyNumberFormat="1" applyFont="1" applyFill="1" applyBorder="1" applyAlignment="1">
      <alignment horizontal="left" indent="3"/>
    </xf>
    <xf numFmtId="0" fontId="10" fillId="0" borderId="20" xfId="1" applyNumberFormat="1" applyFont="1" applyFill="1" applyBorder="1" applyAlignment="1">
      <alignment horizontal="left" indent="3"/>
    </xf>
    <xf numFmtId="37" fontId="3" fillId="3" borderId="17" xfId="1" applyNumberFormat="1" applyFont="1" applyFill="1" applyBorder="1" applyAlignment="1" applyProtection="1">
      <alignment shrinkToFit="1"/>
      <protection locked="0"/>
    </xf>
    <xf numFmtId="37" fontId="3" fillId="3" borderId="21" xfId="1" applyNumberFormat="1" applyFont="1" applyFill="1" applyBorder="1" applyAlignment="1" applyProtection="1">
      <alignment shrinkToFit="1"/>
      <protection locked="0"/>
    </xf>
    <xf numFmtId="0" fontId="3" fillId="0" borderId="29" xfId="1" applyNumberFormat="1" applyFont="1" applyFill="1" applyBorder="1" applyAlignment="1">
      <alignment horizontal="center" vertical="center"/>
    </xf>
    <xf numFmtId="0" fontId="3" fillId="0" borderId="30" xfId="1" applyNumberFormat="1" applyFont="1" applyFill="1" applyBorder="1" applyAlignment="1">
      <alignment horizontal="center" vertical="center"/>
    </xf>
    <xf numFmtId="10" fontId="10" fillId="3" borderId="17" xfId="1" applyNumberFormat="1" applyFont="1" applyFill="1" applyBorder="1" applyAlignment="1"/>
    <xf numFmtId="10" fontId="10" fillId="3" borderId="21" xfId="1" applyNumberFormat="1" applyFont="1" applyFill="1" applyBorder="1" applyAlignment="1"/>
    <xf numFmtId="37" fontId="3" fillId="3" borderId="0" xfId="1" applyNumberFormat="1" applyFont="1" applyFill="1" applyBorder="1" applyAlignment="1" applyProtection="1">
      <alignment shrinkToFit="1"/>
      <protection locked="0"/>
    </xf>
    <xf numFmtId="37" fontId="3" fillId="3" borderId="12" xfId="1" applyNumberFormat="1" applyFont="1" applyFill="1" applyBorder="1" applyAlignment="1" applyProtection="1">
      <alignment shrinkToFit="1"/>
      <protection locked="0"/>
    </xf>
    <xf numFmtId="10" fontId="3" fillId="3" borderId="23" xfId="1" applyNumberFormat="1" applyFont="1" applyFill="1" applyBorder="1" applyAlignment="1" applyProtection="1">
      <alignment shrinkToFit="1"/>
      <protection locked="0"/>
    </xf>
    <xf numFmtId="10" fontId="3" fillId="3" borderId="11" xfId="1" applyNumberFormat="1" applyFont="1" applyFill="1" applyBorder="1" applyAlignment="1" applyProtection="1">
      <alignment shrinkToFit="1"/>
      <protection locked="0"/>
    </xf>
    <xf numFmtId="10" fontId="3" fillId="3" borderId="17" xfId="1" applyNumberFormat="1" applyFont="1" applyFill="1" applyBorder="1" applyAlignment="1" applyProtection="1">
      <alignment vertical="center" shrinkToFit="1"/>
      <protection locked="0"/>
    </xf>
    <xf numFmtId="10" fontId="3" fillId="3" borderId="0" xfId="1" applyNumberFormat="1" applyFont="1" applyFill="1" applyBorder="1" applyAlignment="1" applyProtection="1">
      <alignment vertical="center" shrinkToFit="1"/>
      <protection locked="0"/>
    </xf>
    <xf numFmtId="10" fontId="3" fillId="3" borderId="12" xfId="1" applyNumberFormat="1" applyFont="1" applyFill="1" applyBorder="1" applyAlignment="1" applyProtection="1">
      <alignment vertical="center" shrinkToFit="1"/>
      <protection locked="0"/>
    </xf>
    <xf numFmtId="0" fontId="7" fillId="2" borderId="8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top"/>
    </xf>
    <xf numFmtId="0" fontId="8" fillId="0" borderId="21" xfId="1" applyFont="1" applyBorder="1" applyAlignment="1">
      <alignment horizontal="center" vertical="top"/>
    </xf>
    <xf numFmtId="0" fontId="9" fillId="0" borderId="17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 vertical="center"/>
    </xf>
    <xf numFmtId="164" fontId="5" fillId="0" borderId="21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21" xfId="1" applyNumberFormat="1" applyFont="1" applyFill="1" applyBorder="1" applyAlignment="1">
      <alignment horizontal="center" vertical="center"/>
    </xf>
    <xf numFmtId="10" fontId="10" fillId="3" borderId="0" xfId="1" applyNumberFormat="1" applyFont="1" applyFill="1" applyBorder="1" applyAlignment="1"/>
    <xf numFmtId="10" fontId="10" fillId="3" borderId="12" xfId="1" applyNumberFormat="1" applyFont="1" applyFill="1" applyBorder="1" applyAlignment="1"/>
    <xf numFmtId="10" fontId="3" fillId="3" borderId="17" xfId="1" applyNumberFormat="1" applyFont="1" applyFill="1" applyBorder="1" applyAlignment="1" applyProtection="1">
      <alignment shrinkToFit="1"/>
      <protection locked="0"/>
    </xf>
    <xf numFmtId="10" fontId="3" fillId="3" borderId="0" xfId="1" applyNumberFormat="1" applyFont="1" applyFill="1" applyBorder="1" applyAlignment="1" applyProtection="1">
      <alignment shrinkToFit="1"/>
      <protection locked="0"/>
    </xf>
    <xf numFmtId="10" fontId="3" fillId="3" borderId="12" xfId="1" applyNumberFormat="1" applyFont="1" applyFill="1" applyBorder="1" applyAlignment="1" applyProtection="1">
      <alignment shrinkToFit="1"/>
      <protection locked="0"/>
    </xf>
    <xf numFmtId="10" fontId="3" fillId="3" borderId="10" xfId="1" applyNumberFormat="1" applyFont="1" applyFill="1" applyBorder="1" applyAlignment="1" applyProtection="1">
      <alignment shrinkToFit="1"/>
      <protection locked="0"/>
    </xf>
    <xf numFmtId="10" fontId="3" fillId="3" borderId="13" xfId="1" applyNumberFormat="1" applyFont="1" applyFill="1" applyBorder="1" applyAlignment="1" applyProtection="1">
      <alignment shrinkToFit="1"/>
      <protection locked="0"/>
    </xf>
    <xf numFmtId="10" fontId="3" fillId="3" borderId="21" xfId="1" applyNumberFormat="1" applyFont="1" applyFill="1" applyBorder="1" applyAlignment="1" applyProtection="1">
      <alignment shrinkToFit="1"/>
      <protection locked="0"/>
    </xf>
    <xf numFmtId="0" fontId="3" fillId="4" borderId="0" xfId="1" applyFont="1" applyFill="1" applyBorder="1" applyAlignment="1"/>
    <xf numFmtId="37" fontId="3" fillId="4" borderId="0" xfId="1" applyNumberFormat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top"/>
    </xf>
    <xf numFmtId="0" fontId="9" fillId="4" borderId="0" xfId="1" applyFont="1" applyFill="1" applyBorder="1" applyAlignment="1">
      <alignment horizontal="center"/>
    </xf>
    <xf numFmtId="166" fontId="3" fillId="3" borderId="17" xfId="1" applyNumberFormat="1" applyFont="1" applyFill="1" applyBorder="1" applyAlignment="1"/>
    <xf numFmtId="166" fontId="3" fillId="3" borderId="21" xfId="1" applyNumberFormat="1" applyFont="1" applyFill="1" applyBorder="1" applyAlignment="1"/>
    <xf numFmtId="0" fontId="6" fillId="0" borderId="23" xfId="1" applyNumberFormat="1" applyFont="1" applyFill="1" applyBorder="1" applyAlignment="1">
      <alignment horizontal="right" vertical="center" indent="1"/>
    </xf>
    <xf numFmtId="0" fontId="6" fillId="0" borderId="10" xfId="1" applyNumberFormat="1" applyFont="1" applyFill="1" applyBorder="1" applyAlignment="1">
      <alignment horizontal="right" vertical="center" indent="1"/>
    </xf>
    <xf numFmtId="0" fontId="6" fillId="0" borderId="11" xfId="1" applyNumberFormat="1" applyFont="1" applyFill="1" applyBorder="1" applyAlignment="1">
      <alignment horizontal="right" vertical="center" indent="1"/>
    </xf>
    <xf numFmtId="37" fontId="6" fillId="3" borderId="17" xfId="1" applyNumberFormat="1" applyFont="1" applyFill="1" applyBorder="1" applyAlignment="1"/>
    <xf numFmtId="37" fontId="6" fillId="3" borderId="21" xfId="1" applyNumberFormat="1" applyFont="1" applyFill="1" applyBorder="1" applyAlignment="1"/>
    <xf numFmtId="0" fontId="2" fillId="0" borderId="17" xfId="1" applyNumberFormat="1" applyFont="1" applyFill="1" applyBorder="1" applyAlignment="1">
      <alignment horizontal="left" vertical="center" indent="2"/>
    </xf>
    <xf numFmtId="0" fontId="3" fillId="0" borderId="0" xfId="1" applyNumberFormat="1" applyFont="1" applyFill="1" applyBorder="1" applyAlignment="1">
      <alignment horizontal="left" vertical="center" indent="2"/>
    </xf>
    <xf numFmtId="0" fontId="3" fillId="0" borderId="21" xfId="1" applyNumberFormat="1" applyFont="1" applyFill="1" applyBorder="1" applyAlignment="1">
      <alignment horizontal="left" vertical="center" indent="2"/>
    </xf>
    <xf numFmtId="37" fontId="3" fillId="4" borderId="0" xfId="2" applyNumberFormat="1" applyFont="1" applyFill="1" applyBorder="1" applyAlignment="1"/>
    <xf numFmtId="0" fontId="3" fillId="0" borderId="31" xfId="1" applyNumberFormat="1" applyFont="1" applyFill="1" applyBorder="1" applyAlignment="1">
      <alignment horizontal="center" shrinkToFit="1"/>
    </xf>
    <xf numFmtId="0" fontId="3" fillId="0" borderId="30" xfId="1" applyNumberFormat="1" applyFont="1" applyFill="1" applyBorder="1" applyAlignment="1">
      <alignment horizontal="center" shrinkToFit="1"/>
    </xf>
    <xf numFmtId="0" fontId="11" fillId="3" borderId="0" xfId="1" applyNumberFormat="1" applyFont="1" applyFill="1" applyBorder="1" applyAlignment="1">
      <alignment horizontal="center" vertical="center"/>
    </xf>
    <xf numFmtId="0" fontId="11" fillId="3" borderId="12" xfId="1" applyNumberFormat="1" applyFont="1" applyFill="1" applyBorder="1" applyAlignment="1">
      <alignment horizontal="center" vertical="center"/>
    </xf>
    <xf numFmtId="0" fontId="3" fillId="0" borderId="29" xfId="1" applyNumberFormat="1" applyFont="1" applyFill="1" applyBorder="1" applyAlignment="1">
      <alignment horizontal="center" shrinkToFit="1"/>
    </xf>
    <xf numFmtId="0" fontId="3" fillId="0" borderId="33" xfId="1" applyNumberFormat="1" applyFont="1" applyFill="1" applyBorder="1" applyAlignment="1">
      <alignment horizontal="center" shrinkToFit="1"/>
    </xf>
    <xf numFmtId="37" fontId="3" fillId="3" borderId="17" xfId="1" applyNumberFormat="1" applyFont="1" applyFill="1" applyBorder="1" applyAlignment="1">
      <alignment shrinkToFit="1"/>
    </xf>
    <xf numFmtId="37" fontId="3" fillId="3" borderId="21" xfId="1" applyNumberFormat="1" applyFont="1" applyFill="1" applyBorder="1" applyAlignment="1">
      <alignment shrinkToFit="1"/>
    </xf>
    <xf numFmtId="37" fontId="3" fillId="3" borderId="0" xfId="1" applyNumberFormat="1" applyFont="1" applyFill="1" applyBorder="1" applyAlignment="1">
      <alignment shrinkToFit="1"/>
    </xf>
    <xf numFmtId="37" fontId="3" fillId="3" borderId="12" xfId="1" applyNumberFormat="1" applyFont="1" applyFill="1" applyBorder="1" applyAlignment="1">
      <alignment shrinkToFit="1"/>
    </xf>
    <xf numFmtId="0" fontId="3" fillId="0" borderId="17" xfId="1" applyNumberFormat="1" applyFont="1" applyFill="1" applyBorder="1" applyAlignment="1">
      <alignment horizontal="left" vertical="center" indent="1"/>
    </xf>
    <xf numFmtId="0" fontId="3" fillId="0" borderId="0" xfId="1" applyNumberFormat="1" applyFont="1" applyFill="1" applyBorder="1" applyAlignment="1">
      <alignment horizontal="left" vertical="center" indent="1"/>
    </xf>
    <xf numFmtId="0" fontId="3" fillId="0" borderId="21" xfId="1" applyNumberFormat="1" applyFont="1" applyFill="1" applyBorder="1" applyAlignment="1">
      <alignment horizontal="left" vertical="center" indent="1"/>
    </xf>
    <xf numFmtId="37" fontId="3" fillId="3" borderId="1" xfId="1" applyNumberFormat="1" applyFont="1" applyFill="1" applyBorder="1" applyAlignment="1">
      <alignment shrinkToFit="1"/>
    </xf>
    <xf numFmtId="37" fontId="3" fillId="3" borderId="2" xfId="1" applyNumberFormat="1" applyFont="1" applyFill="1" applyBorder="1" applyAlignment="1">
      <alignment shrinkToFit="1"/>
    </xf>
    <xf numFmtId="37" fontId="3" fillId="3" borderId="19" xfId="1" applyNumberFormat="1" applyFont="1" applyFill="1" applyBorder="1" applyAlignment="1">
      <alignment shrinkToFit="1"/>
    </xf>
    <xf numFmtId="37" fontId="3" fillId="3" borderId="15" xfId="1" applyNumberFormat="1" applyFont="1" applyFill="1" applyBorder="1" applyAlignment="1">
      <alignment shrinkToFit="1"/>
    </xf>
    <xf numFmtId="37" fontId="3" fillId="3" borderId="16" xfId="1" applyNumberFormat="1" applyFont="1" applyFill="1" applyBorder="1" applyAlignment="1">
      <alignment shrinkToFit="1"/>
    </xf>
    <xf numFmtId="0" fontId="5" fillId="4" borderId="0" xfId="1" applyFont="1" applyFill="1" applyBorder="1" applyAlignment="1">
      <alignment horizontal="center" vertical="center"/>
    </xf>
    <xf numFmtId="165" fontId="3" fillId="4" borderId="0" xfId="1" applyNumberFormat="1" applyFont="1" applyFill="1" applyBorder="1" applyAlignment="1" applyProtection="1">
      <alignment horizontal="center"/>
      <protection locked="0"/>
    </xf>
    <xf numFmtId="0" fontId="6" fillId="4" borderId="0" xfId="1" applyFont="1" applyFill="1" applyBorder="1" applyAlignment="1">
      <alignment horizontal="left" indent="1"/>
    </xf>
    <xf numFmtId="37" fontId="3" fillId="4" borderId="0" xfId="1" applyNumberFormat="1" applyFont="1" applyFill="1" applyBorder="1" applyAlignment="1"/>
    <xf numFmtId="0" fontId="3" fillId="0" borderId="0" xfId="1" applyFont="1" applyBorder="1" applyAlignment="1"/>
    <xf numFmtId="0" fontId="2" fillId="0" borderId="17" xfId="1" applyFont="1" applyBorder="1" applyAlignment="1">
      <alignment horizontal="left" indent="3"/>
    </xf>
    <xf numFmtId="0" fontId="3" fillId="0" borderId="0" xfId="1" applyFont="1" applyBorder="1" applyAlignment="1">
      <alignment horizontal="left" indent="3"/>
    </xf>
    <xf numFmtId="0" fontId="3" fillId="0" borderId="21" xfId="1" applyFont="1" applyBorder="1" applyAlignment="1">
      <alignment horizontal="left" indent="3"/>
    </xf>
    <xf numFmtId="0" fontId="3" fillId="0" borderId="17" xfId="1" applyFont="1" applyBorder="1" applyAlignment="1">
      <alignment horizontal="left" indent="1"/>
    </xf>
    <xf numFmtId="0" fontId="3" fillId="0" borderId="0" xfId="1" applyFont="1" applyBorder="1" applyAlignment="1">
      <alignment horizontal="left" indent="1"/>
    </xf>
    <xf numFmtId="0" fontId="3" fillId="0" borderId="21" xfId="1" applyFont="1" applyBorder="1" applyAlignment="1">
      <alignment horizontal="left" indent="1"/>
    </xf>
    <xf numFmtId="37" fontId="3" fillId="3" borderId="20" xfId="1" applyNumberFormat="1" applyFont="1" applyFill="1" applyBorder="1" applyAlignment="1">
      <alignment shrinkToFit="1"/>
    </xf>
    <xf numFmtId="0" fontId="3" fillId="0" borderId="17" xfId="1" applyNumberFormat="1" applyFont="1" applyFill="1" applyBorder="1" applyAlignment="1">
      <alignment horizontal="left" vertical="center" indent="2"/>
    </xf>
    <xf numFmtId="0" fontId="2" fillId="0" borderId="17" xfId="1" applyNumberFormat="1" applyFont="1" applyFill="1" applyBorder="1" applyAlignment="1">
      <alignment horizontal="left" vertical="center" indent="1"/>
    </xf>
    <xf numFmtId="0" fontId="3" fillId="0" borderId="23" xfId="1" applyNumberFormat="1" applyFont="1" applyFill="1" applyBorder="1" applyAlignment="1">
      <alignment horizontal="left" vertical="center" indent="2"/>
    </xf>
    <xf numFmtId="0" fontId="3" fillId="0" borderId="10" xfId="1" applyNumberFormat="1" applyFont="1" applyFill="1" applyBorder="1" applyAlignment="1">
      <alignment horizontal="left" vertical="center" indent="2"/>
    </xf>
    <xf numFmtId="0" fontId="3" fillId="0" borderId="11" xfId="1" applyNumberFormat="1" applyFont="1" applyFill="1" applyBorder="1" applyAlignment="1">
      <alignment horizontal="left" vertical="center" indent="2"/>
    </xf>
    <xf numFmtId="0" fontId="3" fillId="0" borderId="19" xfId="1" applyNumberFormat="1" applyFont="1" applyFill="1" applyBorder="1" applyAlignment="1">
      <alignment horizontal="left" vertical="center" indent="1"/>
    </xf>
    <xf numFmtId="0" fontId="3" fillId="0" borderId="15" xfId="1" applyNumberFormat="1" applyFont="1" applyFill="1" applyBorder="1" applyAlignment="1">
      <alignment horizontal="left" vertical="center" indent="1"/>
    </xf>
    <xf numFmtId="0" fontId="3" fillId="0" borderId="20" xfId="1" applyNumberFormat="1" applyFont="1" applyFill="1" applyBorder="1" applyAlignment="1">
      <alignment horizontal="left" vertical="center" indent="1"/>
    </xf>
    <xf numFmtId="0" fontId="3" fillId="4" borderId="0" xfId="1" applyNumberFormat="1" applyFont="1" applyFill="1" applyBorder="1" applyAlignment="1">
      <alignment horizontal="left" vertical="center" indent="1"/>
    </xf>
    <xf numFmtId="37" fontId="3" fillId="4" borderId="0" xfId="1" applyNumberFormat="1" applyFont="1" applyFill="1" applyBorder="1" applyAlignment="1">
      <alignment vertical="center"/>
    </xf>
    <xf numFmtId="37" fontId="3" fillId="4" borderId="0" xfId="1" applyNumberFormat="1" applyFont="1" applyFill="1" applyBorder="1" applyAlignment="1">
      <alignment shrinkToFit="1"/>
    </xf>
    <xf numFmtId="37" fontId="17" fillId="3" borderId="17" xfId="1" applyNumberFormat="1" applyFont="1" applyFill="1" applyBorder="1" applyAlignment="1">
      <alignment shrinkToFit="1"/>
    </xf>
    <xf numFmtId="37" fontId="17" fillId="3" borderId="21" xfId="1" applyNumberFormat="1" applyFont="1" applyFill="1" applyBorder="1" applyAlignment="1">
      <alignment shrinkToFit="1"/>
    </xf>
    <xf numFmtId="37" fontId="17" fillId="3" borderId="0" xfId="1" applyNumberFormat="1" applyFont="1" applyFill="1" applyBorder="1" applyAlignment="1">
      <alignment shrinkToFit="1"/>
    </xf>
    <xf numFmtId="37" fontId="17" fillId="3" borderId="12" xfId="1" applyNumberFormat="1" applyFont="1" applyFill="1" applyBorder="1" applyAlignment="1">
      <alignment shrinkToFit="1"/>
    </xf>
    <xf numFmtId="37" fontId="3" fillId="3" borderId="18" xfId="1" applyNumberFormat="1" applyFont="1" applyFill="1" applyBorder="1" applyAlignment="1">
      <alignment shrinkToFit="1"/>
    </xf>
    <xf numFmtId="37" fontId="3" fillId="3" borderId="22" xfId="1" applyNumberFormat="1" applyFont="1" applyFill="1" applyBorder="1" applyAlignment="1">
      <alignment shrinkToFit="1"/>
    </xf>
    <xf numFmtId="0" fontId="0" fillId="0" borderId="0" xfId="0" applyBorder="1"/>
    <xf numFmtId="0" fontId="0" fillId="0" borderId="21" xfId="0" applyBorder="1"/>
    <xf numFmtId="0" fontId="3" fillId="0" borderId="0" xfId="1" applyFont="1" applyAlignment="1">
      <alignment horizontal="center"/>
    </xf>
    <xf numFmtId="0" fontId="3" fillId="0" borderId="0" xfId="1" applyFont="1" applyAlignment="1"/>
    <xf numFmtId="37" fontId="3" fillId="0" borderId="0" xfId="1" applyNumberFormat="1" applyFont="1" applyAlignment="1"/>
    <xf numFmtId="0" fontId="3" fillId="4" borderId="0" xfId="1" applyNumberFormat="1" applyFont="1" applyFill="1" applyBorder="1" applyAlignment="1" applyProtection="1">
      <alignment horizontal="center"/>
      <protection locked="0"/>
    </xf>
    <xf numFmtId="0" fontId="3" fillId="4" borderId="0" xfId="1" applyFont="1" applyFill="1" applyBorder="1" applyAlignment="1">
      <alignment horizontal="left" indent="1"/>
    </xf>
    <xf numFmtId="0" fontId="3" fillId="4" borderId="0" xfId="1" applyFont="1" applyFill="1" applyBorder="1" applyAlignment="1">
      <alignment horizontal="left" indent="2"/>
    </xf>
    <xf numFmtId="165" fontId="3" fillId="4" borderId="0" xfId="2" applyNumberFormat="1" applyFont="1" applyFill="1" applyBorder="1" applyAlignment="1" applyProtection="1">
      <alignment horizontal="center"/>
      <protection locked="0"/>
    </xf>
    <xf numFmtId="5" fontId="6" fillId="4" borderId="0" xfId="1" applyNumberFormat="1" applyFont="1" applyFill="1" applyBorder="1" applyAlignment="1"/>
    <xf numFmtId="37" fontId="6" fillId="4" borderId="0" xfId="1" applyNumberFormat="1" applyFont="1" applyFill="1" applyBorder="1" applyAlignment="1">
      <alignment horizontal="center"/>
    </xf>
    <xf numFmtId="0" fontId="3" fillId="4" borderId="0" xfId="1" applyFont="1" applyFill="1" applyBorder="1" applyAlignment="1">
      <alignment horizontal="center"/>
    </xf>
    <xf numFmtId="37" fontId="3" fillId="0" borderId="10" xfId="1" applyNumberFormat="1" applyFont="1" applyFill="1" applyBorder="1" applyAlignment="1">
      <alignment horizontal="center" shrinkToFit="1"/>
    </xf>
    <xf numFmtId="37" fontId="3" fillId="0" borderId="13" xfId="1" applyNumberFormat="1" applyFont="1" applyFill="1" applyBorder="1" applyAlignment="1">
      <alignment horizontal="center" shrinkToFit="1"/>
    </xf>
    <xf numFmtId="37" fontId="6" fillId="3" borderId="0" xfId="1" applyNumberFormat="1" applyFont="1" applyFill="1" applyBorder="1" applyAlignment="1"/>
    <xf numFmtId="37" fontId="6" fillId="3" borderId="12" xfId="1" applyNumberFormat="1" applyFont="1" applyFill="1" applyBorder="1" applyAlignment="1"/>
    <xf numFmtId="0" fontId="5" fillId="0" borderId="17" xfId="1" applyNumberFormat="1" applyFont="1" applyFill="1" applyBorder="1" applyAlignment="1">
      <alignment horizontal="left" vertical="center" indent="1"/>
    </xf>
    <xf numFmtId="166" fontId="3" fillId="3" borderId="0" xfId="1" applyNumberFormat="1" applyFont="1" applyFill="1" applyBorder="1" applyAlignment="1"/>
    <xf numFmtId="0" fontId="13" fillId="0" borderId="17" xfId="1" applyNumberFormat="1" applyFont="1" applyFill="1" applyBorder="1" applyAlignment="1">
      <alignment horizontal="left" vertical="center" indent="2"/>
    </xf>
    <xf numFmtId="0" fontId="13" fillId="0" borderId="0" xfId="1" applyNumberFormat="1" applyFont="1" applyFill="1" applyBorder="1" applyAlignment="1">
      <alignment horizontal="left" vertical="center" indent="2"/>
    </xf>
    <xf numFmtId="0" fontId="13" fillId="0" borderId="21" xfId="1" applyNumberFormat="1" applyFont="1" applyFill="1" applyBorder="1" applyAlignment="1">
      <alignment horizontal="left" vertical="center" indent="2"/>
    </xf>
    <xf numFmtId="0" fontId="5" fillId="4" borderId="0" xfId="1" applyFont="1" applyFill="1" applyBorder="1" applyAlignment="1">
      <alignment horizontal="center" vertical="center" wrapText="1"/>
    </xf>
    <xf numFmtId="0" fontId="3" fillId="4" borderId="0" xfId="1" applyNumberFormat="1" applyFont="1" applyFill="1" applyBorder="1" applyAlignment="1">
      <alignment horizontal="center" vertical="center"/>
    </xf>
    <xf numFmtId="37" fontId="2" fillId="4" borderId="0" xfId="2" applyNumberFormat="1" applyFont="1" applyFill="1" applyBorder="1" applyAlignment="1"/>
    <xf numFmtId="37" fontId="2" fillId="3" borderId="17" xfId="1" applyNumberFormat="1" applyFont="1" applyFill="1" applyBorder="1" applyAlignment="1">
      <alignment shrinkToFit="1"/>
    </xf>
    <xf numFmtId="37" fontId="2" fillId="3" borderId="21" xfId="1" applyNumberFormat="1" applyFont="1" applyFill="1" applyBorder="1" applyAlignment="1">
      <alignment shrinkToFit="1"/>
    </xf>
    <xf numFmtId="37" fontId="3" fillId="3" borderId="18" xfId="1" applyNumberFormat="1" applyFont="1" applyFill="1" applyBorder="1" applyAlignment="1"/>
    <xf numFmtId="37" fontId="3" fillId="3" borderId="22" xfId="1" applyNumberFormat="1" applyFont="1" applyFill="1" applyBorder="1" applyAlignment="1"/>
    <xf numFmtId="37" fontId="3" fillId="3" borderId="19" xfId="1" applyNumberFormat="1" applyFont="1" applyFill="1" applyBorder="1" applyAlignment="1"/>
    <xf numFmtId="37" fontId="3" fillId="3" borderId="20" xfId="1" applyNumberFormat="1" applyFont="1" applyFill="1" applyBorder="1" applyAlignment="1"/>
    <xf numFmtId="37" fontId="2" fillId="3" borderId="0" xfId="1" applyNumberFormat="1" applyFont="1" applyFill="1" applyBorder="1" applyAlignment="1">
      <alignment shrinkToFit="1"/>
    </xf>
    <xf numFmtId="37" fontId="2" fillId="3" borderId="12" xfId="1" applyNumberFormat="1" applyFont="1" applyFill="1" applyBorder="1" applyAlignment="1">
      <alignment shrinkToFit="1"/>
    </xf>
    <xf numFmtId="37" fontId="3" fillId="3" borderId="1" xfId="1" applyNumberFormat="1" applyFont="1" applyFill="1" applyBorder="1" applyAlignment="1"/>
    <xf numFmtId="37" fontId="3" fillId="3" borderId="2" xfId="1" applyNumberFormat="1" applyFont="1" applyFill="1" applyBorder="1" applyAlignment="1"/>
    <xf numFmtId="0" fontId="3" fillId="0" borderId="17" xfId="1" applyFont="1" applyBorder="1" applyAlignment="1"/>
    <xf numFmtId="0" fontId="3" fillId="0" borderId="21" xfId="1" applyFont="1" applyBorder="1" applyAlignment="1"/>
    <xf numFmtId="10" fontId="3" fillId="3" borderId="0" xfId="1" applyNumberFormat="1" applyFont="1" applyFill="1" applyBorder="1" applyAlignment="1"/>
    <xf numFmtId="10" fontId="3" fillId="3" borderId="12" xfId="1" applyNumberFormat="1" applyFont="1" applyFill="1" applyBorder="1" applyAlignment="1"/>
    <xf numFmtId="37" fontId="3" fillId="3" borderId="0" xfId="1" applyNumberFormat="1" applyFont="1" applyFill="1" applyBorder="1" applyAlignment="1"/>
    <xf numFmtId="37" fontId="3" fillId="3" borderId="12" xfId="1" applyNumberFormat="1" applyFont="1" applyFill="1" applyBorder="1" applyAlignment="1"/>
    <xf numFmtId="37" fontId="3" fillId="3" borderId="15" xfId="1" applyNumberFormat="1" applyFont="1" applyFill="1" applyBorder="1" applyAlignment="1"/>
    <xf numFmtId="37" fontId="3" fillId="3" borderId="16" xfId="1" applyNumberFormat="1" applyFont="1" applyFill="1" applyBorder="1" applyAlignment="1"/>
    <xf numFmtId="166" fontId="3" fillId="3" borderId="12" xfId="1" applyNumberFormat="1" applyFont="1" applyFill="1" applyBorder="1" applyAlignment="1"/>
    <xf numFmtId="37" fontId="3" fillId="0" borderId="23" xfId="1" applyNumberFormat="1" applyFont="1" applyFill="1" applyBorder="1" applyAlignment="1">
      <alignment horizontal="center" shrinkToFit="1"/>
    </xf>
    <xf numFmtId="37" fontId="3" fillId="0" borderId="11" xfId="1" applyNumberFormat="1" applyFont="1" applyFill="1" applyBorder="1" applyAlignment="1">
      <alignment horizontal="center" shrinkToFit="1"/>
    </xf>
    <xf numFmtId="10" fontId="3" fillId="3" borderId="21" xfId="1" applyNumberFormat="1" applyFont="1" applyFill="1" applyBorder="1" applyAlignment="1" applyProtection="1">
      <alignment vertical="center" shrinkToFit="1"/>
      <protection locked="0"/>
    </xf>
    <xf numFmtId="0" fontId="10" fillId="0" borderId="17" xfId="1" applyNumberFormat="1" applyFont="1" applyFill="1" applyBorder="1" applyAlignment="1">
      <alignment horizontal="left" indent="2"/>
    </xf>
    <xf numFmtId="0" fontId="10" fillId="0" borderId="0" xfId="1" applyNumberFormat="1" applyFont="1" applyFill="1" applyBorder="1" applyAlignment="1">
      <alignment horizontal="left" indent="2"/>
    </xf>
    <xf numFmtId="0" fontId="10" fillId="0" borderId="21" xfId="1" applyNumberFormat="1" applyFont="1" applyFill="1" applyBorder="1" applyAlignment="1">
      <alignment horizontal="left" indent="2"/>
    </xf>
  </cellXfs>
  <cellStyles count="12">
    <cellStyle name="Comma 2" xfId="11"/>
    <cellStyle name="Normal" xfId="0" builtinId="0"/>
    <cellStyle name="Normal 2" xfId="3"/>
    <cellStyle name="Normal 2 2" xfId="4"/>
    <cellStyle name="Normal 3" xfId="5"/>
    <cellStyle name="Normal 4" xfId="6"/>
    <cellStyle name="Normal 5" xfId="10"/>
    <cellStyle name="Normal_Appraisal Template Generator" xfId="1"/>
    <cellStyle name="Percent" xfId="2" builtinId="5"/>
    <cellStyle name="Percent 2" xfId="7"/>
    <cellStyle name="Percent 2 2" xfId="8"/>
    <cellStyle name="Percent 3" xfId="9"/>
  </cellStyles>
  <dxfs count="0"/>
  <tableStyles count="0" defaultTableStyle="TableStyleMedium9" defaultPivotStyle="PivotStyleLight16"/>
  <colors>
    <mruColors>
      <color rgb="FFFFFF99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64"/>
  <sheetViews>
    <sheetView showGridLines="0" tabSelected="1" workbookViewId="0">
      <selection activeCell="V25" sqref="V25"/>
    </sheetView>
  </sheetViews>
  <sheetFormatPr defaultRowHeight="12.75"/>
  <cols>
    <col min="1" max="1" width="3.33203125" style="22" customWidth="1"/>
    <col min="2" max="2" width="6.33203125" style="1" customWidth="1"/>
    <col min="3" max="3" width="3.33203125" style="1" customWidth="1"/>
    <col min="4" max="4" width="3.1640625" style="1" customWidth="1"/>
    <col min="5" max="5" width="17.6640625" style="1" customWidth="1"/>
    <col min="6" max="8" width="14.6640625" style="1" customWidth="1"/>
    <col min="9" max="9" width="3.83203125" style="1" customWidth="1"/>
    <col min="10" max="10" width="10.83203125" style="1" customWidth="1"/>
    <col min="11" max="12" width="7.33203125" style="1" customWidth="1"/>
    <col min="13" max="13" width="1.83203125" style="1" customWidth="1"/>
    <col min="14" max="14" width="2.83203125" style="1" customWidth="1"/>
    <col min="15" max="15" width="5.6640625" style="1" customWidth="1"/>
    <col min="16" max="16" width="4.5" style="1" customWidth="1"/>
    <col min="17" max="17" width="2.33203125" style="1" customWidth="1"/>
    <col min="18" max="18" width="17.1640625" style="1" bestFit="1" customWidth="1"/>
    <col min="19" max="19" width="9.5" style="1" bestFit="1" customWidth="1"/>
    <col min="20" max="20" width="9.33203125" style="1"/>
    <col min="21" max="21" width="9.33203125" style="1" customWidth="1"/>
    <col min="22" max="16384" width="9.33203125" style="1"/>
  </cols>
  <sheetData>
    <row r="1" spans="1:22" ht="13.5" customHeight="1">
      <c r="A1" s="36"/>
      <c r="B1" s="113" t="s">
        <v>22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</row>
    <row r="2" spans="1:22" ht="6" customHeight="1">
      <c r="A2" s="37"/>
      <c r="B2" s="115"/>
      <c r="C2" s="115"/>
      <c r="D2" s="115"/>
      <c r="E2" s="115"/>
      <c r="F2" s="116"/>
      <c r="G2" s="32"/>
      <c r="H2" s="32"/>
      <c r="I2" s="117"/>
      <c r="J2" s="118"/>
      <c r="K2" s="117"/>
      <c r="L2" s="119"/>
      <c r="M2" s="117"/>
      <c r="N2" s="119"/>
      <c r="O2" s="119"/>
      <c r="P2" s="120"/>
    </row>
    <row r="3" spans="1:22" ht="15" customHeight="1">
      <c r="A3" s="37"/>
      <c r="B3" s="121"/>
      <c r="C3" s="121"/>
      <c r="D3" s="121"/>
      <c r="E3" s="121"/>
      <c r="F3" s="122"/>
      <c r="G3" s="33" t="s">
        <v>6</v>
      </c>
      <c r="H3" s="33" t="s">
        <v>6</v>
      </c>
      <c r="I3" s="123" t="s">
        <v>6</v>
      </c>
      <c r="J3" s="122"/>
      <c r="K3" s="124" t="s">
        <v>6</v>
      </c>
      <c r="L3" s="125"/>
      <c r="M3" s="124" t="s">
        <v>6</v>
      </c>
      <c r="N3" s="125"/>
      <c r="O3" s="125"/>
      <c r="P3" s="126"/>
    </row>
    <row r="4" spans="1:22" ht="15" customHeight="1">
      <c r="A4" s="37"/>
      <c r="B4" s="121" t="s">
        <v>7</v>
      </c>
      <c r="C4" s="121"/>
      <c r="D4" s="121"/>
      <c r="E4" s="121"/>
      <c r="F4" s="122"/>
      <c r="G4" s="30">
        <v>2012</v>
      </c>
      <c r="H4" s="30">
        <v>2011</v>
      </c>
      <c r="I4" s="127">
        <v>2010</v>
      </c>
      <c r="J4" s="128"/>
      <c r="K4" s="127">
        <v>2009</v>
      </c>
      <c r="L4" s="129"/>
      <c r="M4" s="127">
        <v>2008</v>
      </c>
      <c r="N4" s="129"/>
      <c r="O4" s="129"/>
      <c r="P4" s="130"/>
      <c r="R4" s="20">
        <v>2012</v>
      </c>
      <c r="S4" s="20">
        <v>2011</v>
      </c>
      <c r="T4" s="20">
        <v>2010</v>
      </c>
      <c r="U4" s="20">
        <v>2009</v>
      </c>
      <c r="V4" s="20">
        <v>2008</v>
      </c>
    </row>
    <row r="5" spans="1:22" ht="15" customHeight="1">
      <c r="A5" s="38"/>
      <c r="B5" s="79"/>
      <c r="C5" s="79"/>
      <c r="D5" s="79"/>
      <c r="E5" s="80"/>
      <c r="F5" s="9" t="s">
        <v>26</v>
      </c>
      <c r="G5" s="31" t="s">
        <v>0</v>
      </c>
      <c r="H5" s="31" t="s">
        <v>1</v>
      </c>
      <c r="I5" s="131" t="s">
        <v>2</v>
      </c>
      <c r="J5" s="132"/>
      <c r="K5" s="76" t="s">
        <v>3</v>
      </c>
      <c r="L5" s="77"/>
      <c r="M5" s="76" t="s">
        <v>5</v>
      </c>
      <c r="N5" s="77"/>
      <c r="O5" s="77"/>
      <c r="P5" s="78"/>
    </row>
    <row r="6" spans="1:22" ht="12.75" customHeight="1">
      <c r="A6" s="37">
        <v>1</v>
      </c>
      <c r="B6" s="97" t="s">
        <v>11</v>
      </c>
      <c r="C6" s="98"/>
      <c r="D6" s="98"/>
      <c r="E6" s="99"/>
      <c r="F6" s="19"/>
      <c r="G6" s="53">
        <f>3224212+180000</f>
        <v>3404212</v>
      </c>
      <c r="H6" s="53">
        <v>3500543</v>
      </c>
      <c r="I6" s="85">
        <v>3766634</v>
      </c>
      <c r="J6" s="86"/>
      <c r="K6" s="85">
        <v>3841998</v>
      </c>
      <c r="L6" s="86"/>
      <c r="M6" s="85">
        <v>3257121</v>
      </c>
      <c r="N6" s="89"/>
      <c r="O6" s="89"/>
      <c r="P6" s="90"/>
      <c r="R6" s="10"/>
    </row>
    <row r="7" spans="1:22" ht="12.75" customHeight="1">
      <c r="A7" s="37">
        <v>2</v>
      </c>
      <c r="B7" s="91" t="s">
        <v>31</v>
      </c>
      <c r="C7" s="92"/>
      <c r="D7" s="92"/>
      <c r="E7" s="93"/>
      <c r="F7" s="19"/>
      <c r="G7" s="54">
        <v>-786857</v>
      </c>
      <c r="H7" s="54">
        <v>-926234</v>
      </c>
      <c r="I7" s="81">
        <v>-1204989</v>
      </c>
      <c r="J7" s="82"/>
      <c r="K7" s="81">
        <v>-1207892</v>
      </c>
      <c r="L7" s="82"/>
      <c r="M7" s="81">
        <v>-538988</v>
      </c>
      <c r="N7" s="87"/>
      <c r="O7" s="87"/>
      <c r="P7" s="88"/>
      <c r="R7" s="21" t="s">
        <v>39</v>
      </c>
    </row>
    <row r="8" spans="1:22" ht="12.75" customHeight="1">
      <c r="A8" s="37">
        <v>3</v>
      </c>
      <c r="B8" s="94" t="s">
        <v>30</v>
      </c>
      <c r="C8" s="95"/>
      <c r="D8" s="95"/>
      <c r="E8" s="96"/>
      <c r="F8" s="19"/>
      <c r="G8" s="53">
        <f>G6+G7</f>
        <v>2617355</v>
      </c>
      <c r="H8" s="53">
        <f>H6+H7</f>
        <v>2574309</v>
      </c>
      <c r="I8" s="83">
        <f>I6+I7</f>
        <v>2561645</v>
      </c>
      <c r="J8" s="84"/>
      <c r="K8" s="85">
        <f>K6+K7</f>
        <v>2634106</v>
      </c>
      <c r="L8" s="86"/>
      <c r="M8" s="85">
        <f>M6+M7</f>
        <v>2718133</v>
      </c>
      <c r="N8" s="89"/>
      <c r="O8" s="89"/>
      <c r="P8" s="90"/>
      <c r="R8" s="73">
        <f>(2617355-2574309)/2574309</f>
        <v>1.6721380378190806E-2</v>
      </c>
      <c r="S8" s="73">
        <f>(2574309-2561645)/2561645</f>
        <v>4.9436982876237727E-3</v>
      </c>
      <c r="T8" s="73">
        <f>(2561645-2634106)/2634106</f>
        <v>-2.7508763884217264E-2</v>
      </c>
      <c r="U8" s="73">
        <f>(2634106-2718133)/2718133</f>
        <v>-3.0913498346107422E-2</v>
      </c>
    </row>
    <row r="9" spans="1:22" ht="12.75" customHeight="1">
      <c r="A9" s="37">
        <v>4</v>
      </c>
      <c r="B9" s="94" t="s">
        <v>17</v>
      </c>
      <c r="C9" s="95"/>
      <c r="D9" s="95"/>
      <c r="E9" s="96"/>
      <c r="F9" s="19"/>
      <c r="G9" s="53">
        <f>-1985384+1925333+269826+85219+950641</f>
        <v>1245635</v>
      </c>
      <c r="H9" s="53">
        <f>171774+321809+195427+985367</f>
        <v>1674377</v>
      </c>
      <c r="I9" s="85">
        <f>249977+467835+260429+963897</f>
        <v>1942138</v>
      </c>
      <c r="J9" s="86"/>
      <c r="K9" s="85">
        <f>143713+503791+392081+945626</f>
        <v>1985211</v>
      </c>
      <c r="L9" s="86"/>
      <c r="M9" s="85">
        <f>357480+6838+281412+764932</f>
        <v>1410662</v>
      </c>
      <c r="N9" s="89"/>
      <c r="O9" s="89"/>
      <c r="P9" s="90"/>
      <c r="R9" s="73">
        <f>1+R8</f>
        <v>1.0167213803781907</v>
      </c>
      <c r="S9" s="73">
        <f t="shared" ref="S9:U9" si="0">1+S8</f>
        <v>1.0049436982876239</v>
      </c>
      <c r="T9" s="73">
        <f t="shared" si="0"/>
        <v>0.9724912361157827</v>
      </c>
      <c r="U9" s="73">
        <f t="shared" si="0"/>
        <v>0.96908650165389254</v>
      </c>
    </row>
    <row r="10" spans="1:22" ht="12.75" customHeight="1">
      <c r="A10" s="37">
        <v>5</v>
      </c>
      <c r="B10" s="253" t="s">
        <v>13</v>
      </c>
      <c r="C10" s="254"/>
      <c r="D10" s="254"/>
      <c r="E10" s="255"/>
      <c r="F10" s="51">
        <f>((G10*5)+(H10*4)+(I10*3)+(K10*2)+M10)/15</f>
        <v>0.61880111733019427</v>
      </c>
      <c r="G10" s="55">
        <f>G9/G8</f>
        <v>0.47591366092868564</v>
      </c>
      <c r="H10" s="55">
        <f>H9/H8</f>
        <v>0.65041803450945479</v>
      </c>
      <c r="I10" s="104">
        <f>I9/I8</f>
        <v>0.75816047891101224</v>
      </c>
      <c r="J10" s="105"/>
      <c r="K10" s="104">
        <f>K9/K8</f>
        <v>0.75365645877576681</v>
      </c>
      <c r="L10" s="105"/>
      <c r="M10" s="104">
        <f>M9/M8</f>
        <v>0.51898196298709443</v>
      </c>
      <c r="N10" s="136"/>
      <c r="O10" s="136"/>
      <c r="P10" s="137"/>
      <c r="R10" s="46" t="s">
        <v>43</v>
      </c>
      <c r="S10" s="50">
        <f>(R9*S9*T9*U9)-1</f>
        <v>-3.7076184277958557E-2</v>
      </c>
    </row>
    <row r="11" spans="1:22">
      <c r="A11" s="37">
        <v>6</v>
      </c>
      <c r="B11" s="170" t="s">
        <v>8</v>
      </c>
      <c r="C11" s="171"/>
      <c r="D11" s="171"/>
      <c r="E11" s="172"/>
      <c r="F11" s="13"/>
      <c r="G11" s="56">
        <v>950641</v>
      </c>
      <c r="H11" s="56">
        <v>985367</v>
      </c>
      <c r="I11" s="100">
        <v>963897</v>
      </c>
      <c r="J11" s="101"/>
      <c r="K11" s="100">
        <v>945626</v>
      </c>
      <c r="L11" s="106"/>
      <c r="M11" s="100">
        <v>764932</v>
      </c>
      <c r="N11" s="106"/>
      <c r="O11" s="106"/>
      <c r="P11" s="107"/>
    </row>
    <row r="12" spans="1:22">
      <c r="A12" s="37">
        <v>7</v>
      </c>
      <c r="B12" s="190" t="s">
        <v>13</v>
      </c>
      <c r="C12" s="157"/>
      <c r="D12" s="157"/>
      <c r="E12" s="158"/>
      <c r="F12" s="51">
        <f t="shared" ref="F12:F22" si="1">((G12*5)+(H12*4)+(I12*3)+(K12*2)+M12)/15</f>
        <v>0.36502384515315645</v>
      </c>
      <c r="G12" s="57">
        <f>G11/G8</f>
        <v>0.36320674879792769</v>
      </c>
      <c r="H12" s="57">
        <f>H11/H8</f>
        <v>0.38276951212927429</v>
      </c>
      <c r="I12" s="138">
        <f>I11/I8</f>
        <v>0.37628047602224352</v>
      </c>
      <c r="J12" s="143"/>
      <c r="K12" s="138">
        <f>K11/K8</f>
        <v>0.35899314606169985</v>
      </c>
      <c r="L12" s="143"/>
      <c r="M12" s="138">
        <f>M11/M8</f>
        <v>0.2814181646004813</v>
      </c>
      <c r="N12" s="139"/>
      <c r="O12" s="139"/>
      <c r="P12" s="140"/>
    </row>
    <row r="13" spans="1:22">
      <c r="A13" s="37">
        <v>8</v>
      </c>
      <c r="B13" s="170" t="s">
        <v>12</v>
      </c>
      <c r="C13" s="171"/>
      <c r="D13" s="171"/>
      <c r="E13" s="172"/>
      <c r="F13" s="13"/>
      <c r="G13" s="58">
        <v>0</v>
      </c>
      <c r="H13" s="56">
        <v>0</v>
      </c>
      <c r="I13" s="100">
        <v>0</v>
      </c>
      <c r="J13" s="101"/>
      <c r="K13" s="100">
        <v>0</v>
      </c>
      <c r="L13" s="106"/>
      <c r="M13" s="100">
        <v>0</v>
      </c>
      <c r="N13" s="106"/>
      <c r="O13" s="106"/>
      <c r="P13" s="107"/>
    </row>
    <row r="14" spans="1:22">
      <c r="A14" s="37">
        <v>9</v>
      </c>
      <c r="B14" s="190" t="s">
        <v>13</v>
      </c>
      <c r="C14" s="157"/>
      <c r="D14" s="157"/>
      <c r="E14" s="158"/>
      <c r="F14" s="51">
        <f t="shared" si="1"/>
        <v>0</v>
      </c>
      <c r="G14" s="59">
        <f>G13/G8</f>
        <v>0</v>
      </c>
      <c r="H14" s="59">
        <f>H13/H8</f>
        <v>0</v>
      </c>
      <c r="I14" s="138">
        <f>I13/I8</f>
        <v>0</v>
      </c>
      <c r="J14" s="143"/>
      <c r="K14" s="138">
        <f>K13/K8</f>
        <v>0</v>
      </c>
      <c r="L14" s="143"/>
      <c r="M14" s="138">
        <f>M13/M8</f>
        <v>0</v>
      </c>
      <c r="N14" s="139"/>
      <c r="O14" s="139"/>
      <c r="P14" s="140"/>
    </row>
    <row r="15" spans="1:22">
      <c r="A15" s="37">
        <v>10</v>
      </c>
      <c r="B15" s="170" t="s">
        <v>9</v>
      </c>
      <c r="C15" s="171"/>
      <c r="D15" s="171"/>
      <c r="E15" s="172"/>
      <c r="F15" s="13"/>
      <c r="G15" s="60">
        <v>1128</v>
      </c>
      <c r="H15" s="56">
        <v>112124</v>
      </c>
      <c r="I15" s="100">
        <v>0</v>
      </c>
      <c r="J15" s="101"/>
      <c r="K15" s="100">
        <v>308282</v>
      </c>
      <c r="L15" s="106"/>
      <c r="M15" s="100">
        <v>214120</v>
      </c>
      <c r="N15" s="106"/>
      <c r="O15" s="106"/>
      <c r="P15" s="107"/>
      <c r="T15" s="18"/>
    </row>
    <row r="16" spans="1:22">
      <c r="A16" s="37">
        <v>11</v>
      </c>
      <c r="B16" s="190" t="s">
        <v>13</v>
      </c>
      <c r="C16" s="157"/>
      <c r="D16" s="157"/>
      <c r="E16" s="158"/>
      <c r="F16" s="51">
        <f t="shared" si="1"/>
        <v>3.2614600634178807E-2</v>
      </c>
      <c r="G16" s="59">
        <f>G15/G8</f>
        <v>4.3096943288166873E-4</v>
      </c>
      <c r="H16" s="59">
        <f>H15/H8</f>
        <v>4.3554988931010223E-2</v>
      </c>
      <c r="I16" s="138">
        <f>I15/I8</f>
        <v>0</v>
      </c>
      <c r="J16" s="143"/>
      <c r="K16" s="138">
        <f>K15/K8</f>
        <v>0.11703477384736985</v>
      </c>
      <c r="L16" s="143"/>
      <c r="M16" s="138">
        <f>M15/M8</f>
        <v>7.8774658929493147E-2</v>
      </c>
      <c r="N16" s="139"/>
      <c r="O16" s="139"/>
      <c r="P16" s="140"/>
    </row>
    <row r="17" spans="1:28">
      <c r="A17" s="37">
        <v>12</v>
      </c>
      <c r="B17" s="191" t="s">
        <v>36</v>
      </c>
      <c r="C17" s="171"/>
      <c r="D17" s="171"/>
      <c r="E17" s="172"/>
      <c r="F17" s="13"/>
      <c r="G17" s="58">
        <v>85219</v>
      </c>
      <c r="H17" s="58">
        <v>195427</v>
      </c>
      <c r="I17" s="100">
        <v>260429</v>
      </c>
      <c r="J17" s="101"/>
      <c r="K17" s="100">
        <v>392081</v>
      </c>
      <c r="L17" s="101"/>
      <c r="M17" s="100">
        <v>281412</v>
      </c>
      <c r="N17" s="106"/>
      <c r="O17" s="106"/>
      <c r="P17" s="107"/>
    </row>
    <row r="18" spans="1:28">
      <c r="A18" s="37">
        <v>13</v>
      </c>
      <c r="B18" s="156" t="s">
        <v>13</v>
      </c>
      <c r="C18" s="157"/>
      <c r="D18" s="157"/>
      <c r="E18" s="158"/>
      <c r="F18" s="51">
        <f t="shared" si="1"/>
        <v>5.7845365598981298E-2</v>
      </c>
      <c r="G18" s="59">
        <f>G17/G8</f>
        <v>3.2559205763069969E-2</v>
      </c>
      <c r="H18" s="59">
        <f t="shared" ref="H18:K18" si="2">H17/H8</f>
        <v>7.5914352162075344E-2</v>
      </c>
      <c r="I18" s="110">
        <f>J17/I8</f>
        <v>0</v>
      </c>
      <c r="J18" s="252"/>
      <c r="K18" s="110">
        <f t="shared" si="2"/>
        <v>0.14884784439198726</v>
      </c>
      <c r="L18" s="252"/>
      <c r="M18" s="110">
        <f>M17/M8</f>
        <v>0.10353135773709381</v>
      </c>
      <c r="N18" s="111"/>
      <c r="O18" s="111"/>
      <c r="P18" s="112"/>
    </row>
    <row r="19" spans="1:28">
      <c r="A19" s="37">
        <v>14</v>
      </c>
      <c r="B19" s="170" t="s">
        <v>10</v>
      </c>
      <c r="C19" s="171"/>
      <c r="D19" s="171"/>
      <c r="E19" s="172"/>
      <c r="F19" s="13"/>
      <c r="G19" s="60">
        <v>599958</v>
      </c>
      <c r="H19" s="56">
        <v>696171</v>
      </c>
      <c r="I19" s="100">
        <v>394657</v>
      </c>
      <c r="J19" s="101"/>
      <c r="K19" s="100">
        <v>2044243</v>
      </c>
      <c r="L19" s="106"/>
      <c r="M19" s="100">
        <v>2496031</v>
      </c>
      <c r="N19" s="106"/>
      <c r="O19" s="106"/>
      <c r="P19" s="107"/>
    </row>
    <row r="20" spans="1:28">
      <c r="A20" s="37">
        <v>15</v>
      </c>
      <c r="B20" s="190" t="s">
        <v>13</v>
      </c>
      <c r="C20" s="157"/>
      <c r="D20" s="157"/>
      <c r="E20" s="158"/>
      <c r="F20" s="51">
        <f>((G20*5)+(H20*4)+(I20*3)+(K20*2)+M20)/15</f>
        <v>0.34403004441533797</v>
      </c>
      <c r="G20" s="59">
        <f>G19/G8</f>
        <v>0.22922301330923775</v>
      </c>
      <c r="H20" s="59">
        <f>H19/H8</f>
        <v>0.2704302397264664</v>
      </c>
      <c r="I20" s="138">
        <f>I19/I8</f>
        <v>0.15406389253780287</v>
      </c>
      <c r="J20" s="143"/>
      <c r="K20" s="138">
        <f>K19/K8</f>
        <v>0.77606709828685705</v>
      </c>
      <c r="L20" s="143"/>
      <c r="M20" s="138">
        <f>M19/M8</f>
        <v>0.91828876659089165</v>
      </c>
      <c r="N20" s="139"/>
      <c r="O20" s="139"/>
      <c r="P20" s="140"/>
      <c r="R20" s="3"/>
    </row>
    <row r="21" spans="1:28">
      <c r="A21" s="37">
        <v>16</v>
      </c>
      <c r="B21" s="191" t="s">
        <v>37</v>
      </c>
      <c r="C21" s="171"/>
      <c r="D21" s="171"/>
      <c r="E21" s="172"/>
      <c r="F21" s="13"/>
      <c r="G21" s="60">
        <f>(923875+30093-952437)-(9415707-5232747+885953-3216758-1515804)</f>
        <v>-334820</v>
      </c>
      <c r="H21" s="56">
        <f>(952436-922166)-(1515802-1568014)</f>
        <v>82482</v>
      </c>
      <c r="I21" s="100">
        <f>(922166-779429)-(1568014-1684395)</f>
        <v>259118</v>
      </c>
      <c r="J21" s="101"/>
      <c r="K21" s="100">
        <f>(779429-1213529)-(1684395-1906589)</f>
        <v>-211906</v>
      </c>
      <c r="L21" s="101"/>
      <c r="M21" s="100">
        <f>(1213529-896739)-(1906589-1823435)</f>
        <v>233636</v>
      </c>
      <c r="N21" s="106"/>
      <c r="O21" s="106"/>
      <c r="P21" s="107"/>
      <c r="R21" s="21"/>
      <c r="S21" s="12"/>
      <c r="T21" s="12"/>
      <c r="U21" s="12"/>
      <c r="V21" s="12"/>
      <c r="W21" s="12"/>
      <c r="X21" s="11"/>
      <c r="Y21" s="11"/>
      <c r="Z21" s="11"/>
      <c r="AA21" s="11"/>
      <c r="AB21" s="11"/>
    </row>
    <row r="22" spans="1:28" ht="13.5" thickBot="1">
      <c r="A22" s="39">
        <v>17</v>
      </c>
      <c r="B22" s="192" t="s">
        <v>13</v>
      </c>
      <c r="C22" s="193"/>
      <c r="D22" s="193"/>
      <c r="E22" s="194"/>
      <c r="F22" s="52">
        <f t="shared" si="1"/>
        <v>-1.8862264832873753E-2</v>
      </c>
      <c r="G22" s="61">
        <f>G21/G8</f>
        <v>-0.12792303680624142</v>
      </c>
      <c r="H22" s="61">
        <f>H21/H8</f>
        <v>3.2040442697438422E-2</v>
      </c>
      <c r="I22" s="108">
        <f>I21/I8</f>
        <v>0.10115297006415799</v>
      </c>
      <c r="J22" s="109"/>
      <c r="K22" s="108">
        <f>K21/K8</f>
        <v>-8.0447028327637532E-2</v>
      </c>
      <c r="L22" s="109"/>
      <c r="M22" s="108">
        <f>M21/M8</f>
        <v>8.5954587211148237E-2</v>
      </c>
      <c r="N22" s="141"/>
      <c r="O22" s="141"/>
      <c r="P22" s="142"/>
      <c r="R22" s="3"/>
      <c r="S22" s="3"/>
      <c r="X22" s="2"/>
      <c r="Y22" s="2"/>
      <c r="Z22" s="2"/>
      <c r="AA22" s="2"/>
      <c r="AB22" s="2"/>
    </row>
    <row r="23" spans="1:28" ht="12.75" customHeight="1" thickBot="1">
      <c r="A23" s="44"/>
      <c r="B23" s="162" t="s">
        <v>27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3"/>
      <c r="Q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>
      <c r="A24" s="40"/>
      <c r="B24" s="102" t="s">
        <v>14</v>
      </c>
      <c r="C24" s="102"/>
      <c r="D24" s="102"/>
      <c r="E24" s="103"/>
      <c r="F24" s="41">
        <v>2013</v>
      </c>
      <c r="G24" s="42">
        <v>2014</v>
      </c>
      <c r="H24" s="43">
        <v>2015</v>
      </c>
      <c r="I24" s="160">
        <v>2016</v>
      </c>
      <c r="J24" s="164"/>
      <c r="K24" s="160">
        <v>2017</v>
      </c>
      <c r="L24" s="161"/>
      <c r="M24" s="160" t="s">
        <v>23</v>
      </c>
      <c r="N24" s="164"/>
      <c r="O24" s="164"/>
      <c r="P24" s="165"/>
    </row>
    <row r="25" spans="1:28" ht="12.75" customHeight="1">
      <c r="A25" s="37">
        <v>18</v>
      </c>
      <c r="B25" s="195" t="s">
        <v>11</v>
      </c>
      <c r="C25" s="196"/>
      <c r="D25" s="196"/>
      <c r="E25" s="197"/>
      <c r="F25" s="62">
        <f>G8*(1+GR)</f>
        <v>2512660.7999999998</v>
      </c>
      <c r="G25" s="63">
        <f>F25*(1+GR)</f>
        <v>2412154.3679999998</v>
      </c>
      <c r="H25" s="64">
        <f>G25*(1+GR)</f>
        <v>2315668.1932799998</v>
      </c>
      <c r="I25" s="168">
        <f>H25*(1+GR)</f>
        <v>2223041.4655487998</v>
      </c>
      <c r="J25" s="168"/>
      <c r="K25" s="175">
        <f>I25*(1+GR)</f>
        <v>2134119.8069268479</v>
      </c>
      <c r="L25" s="189"/>
      <c r="M25" s="168">
        <f>K25*(1+GR)</f>
        <v>2048755.0146497739</v>
      </c>
      <c r="N25" s="168"/>
      <c r="O25" s="168"/>
      <c r="P25" s="169"/>
    </row>
    <row r="26" spans="1:28" ht="12.75" customHeight="1">
      <c r="A26" s="37">
        <v>19</v>
      </c>
      <c r="B26" s="170" t="s">
        <v>17</v>
      </c>
      <c r="C26" s="171"/>
      <c r="D26" s="171"/>
      <c r="E26" s="172"/>
      <c r="F26" s="65">
        <f>F25*EBITDA</f>
        <v>1554837.3105117797</v>
      </c>
      <c r="G26" s="65">
        <f>G25*EBITDA</f>
        <v>1492643.8180913085</v>
      </c>
      <c r="H26" s="65">
        <f>H25*EBITDA</f>
        <v>1432938.0653676561</v>
      </c>
      <c r="I26" s="166">
        <f>I25*EBITDA</f>
        <v>1375620.54275295</v>
      </c>
      <c r="J26" s="167"/>
      <c r="K26" s="166">
        <f>K25*EBITDA</f>
        <v>1320595.7210428319</v>
      </c>
      <c r="L26" s="167"/>
      <c r="M26" s="168">
        <f>M25*EBITDA</f>
        <v>1267771.8922011186</v>
      </c>
      <c r="N26" s="168"/>
      <c r="O26" s="168"/>
      <c r="P26" s="169"/>
    </row>
    <row r="27" spans="1:28" ht="12.75" customHeight="1">
      <c r="A27" s="37">
        <v>20</v>
      </c>
      <c r="B27" s="225" t="s">
        <v>34</v>
      </c>
      <c r="C27" s="226"/>
      <c r="D27" s="226"/>
      <c r="E27" s="227"/>
      <c r="F27" s="69">
        <f>F25*-Payback</f>
        <v>-188449.55999999997</v>
      </c>
      <c r="G27" s="69">
        <f>G25*-Payback</f>
        <v>-180911.57759999999</v>
      </c>
      <c r="H27" s="69">
        <f>H25*-Payback</f>
        <v>-173675.11449599997</v>
      </c>
      <c r="I27" s="201">
        <f>I25*-Payback</f>
        <v>-166728.10991615997</v>
      </c>
      <c r="J27" s="202"/>
      <c r="K27" s="201">
        <f>K25*-Payback</f>
        <v>-160058.98551951358</v>
      </c>
      <c r="L27" s="202"/>
      <c r="M27" s="201">
        <f>M25*-Payback</f>
        <v>-153656.62609873305</v>
      </c>
      <c r="N27" s="203"/>
      <c r="O27" s="203"/>
      <c r="P27" s="204"/>
      <c r="R27" s="74">
        <f>NPER(0.0065,-171054,3216758,0)</f>
        <v>20.123166894376009</v>
      </c>
      <c r="S27" s="47" t="s">
        <v>48</v>
      </c>
      <c r="T27" s="18"/>
      <c r="U27" s="18"/>
      <c r="V27" s="18"/>
      <c r="W27" s="18"/>
      <c r="X27" s="18"/>
      <c r="Y27" s="18"/>
    </row>
    <row r="28" spans="1:28">
      <c r="A28" s="37">
        <v>21</v>
      </c>
      <c r="B28" s="190" t="s">
        <v>15</v>
      </c>
      <c r="C28" s="207"/>
      <c r="D28" s="207"/>
      <c r="E28" s="208"/>
      <c r="F28" s="66">
        <f>-F25*DEP</f>
        <v>-917181.1067816061</v>
      </c>
      <c r="G28" s="66">
        <f>-G25*DEP</f>
        <v>-880493.86251034192</v>
      </c>
      <c r="H28" s="66">
        <f>-H25*DEP</f>
        <v>-845274.10800992814</v>
      </c>
      <c r="I28" s="166">
        <f>-I25*DEP</f>
        <v>-811463.14368953113</v>
      </c>
      <c r="J28" s="167"/>
      <c r="K28" s="166">
        <f>-K25*DEP</f>
        <v>-779004.61794194987</v>
      </c>
      <c r="L28" s="167"/>
      <c r="M28" s="168">
        <f>-M25*DEP</f>
        <v>-747844.43322427187</v>
      </c>
      <c r="N28" s="168"/>
      <c r="O28" s="168"/>
      <c r="P28" s="169"/>
      <c r="R28" s="25" t="s">
        <v>41</v>
      </c>
      <c r="T28" s="3"/>
    </row>
    <row r="29" spans="1:28">
      <c r="A29" s="37">
        <v>22</v>
      </c>
      <c r="B29" s="190" t="s">
        <v>4</v>
      </c>
      <c r="C29" s="157"/>
      <c r="D29" s="157"/>
      <c r="E29" s="158"/>
      <c r="F29" s="67">
        <f>-F25*AMORT</f>
        <v>0</v>
      </c>
      <c r="G29" s="67">
        <f>-G25*AMORT</f>
        <v>0</v>
      </c>
      <c r="H29" s="67">
        <f>-H25*AMORT</f>
        <v>0</v>
      </c>
      <c r="I29" s="205">
        <f>-I25*AMORT</f>
        <v>0</v>
      </c>
      <c r="J29" s="206"/>
      <c r="K29" s="205">
        <f>-K25*AMORT</f>
        <v>0</v>
      </c>
      <c r="L29" s="206"/>
      <c r="M29" s="173">
        <f>-M25*AMORT</f>
        <v>0</v>
      </c>
      <c r="N29" s="173"/>
      <c r="O29" s="173"/>
      <c r="P29" s="174"/>
    </row>
    <row r="30" spans="1:28" ht="12.75" customHeight="1">
      <c r="A30" s="37">
        <v>23</v>
      </c>
      <c r="B30" s="170" t="s">
        <v>18</v>
      </c>
      <c r="C30" s="171"/>
      <c r="D30" s="171"/>
      <c r="E30" s="172"/>
      <c r="F30" s="66">
        <f>SUM(F26:F29)</f>
        <v>449206.64373017359</v>
      </c>
      <c r="G30" s="66">
        <f t="shared" ref="G30:H30" si="3">SUM(G26:G29)</f>
        <v>431238.37798096659</v>
      </c>
      <c r="H30" s="66">
        <f t="shared" si="3"/>
        <v>413988.84286172804</v>
      </c>
      <c r="I30" s="175">
        <f>SUM(I26:J29)</f>
        <v>397429.28914725897</v>
      </c>
      <c r="J30" s="189"/>
      <c r="K30" s="175">
        <f>SUM(K26:L29)</f>
        <v>381532.11758136854</v>
      </c>
      <c r="L30" s="189"/>
      <c r="M30" s="175">
        <f>SUM(M26:P29)</f>
        <v>366270.83287811384</v>
      </c>
      <c r="N30" s="176"/>
      <c r="O30" s="176"/>
      <c r="P30" s="177"/>
      <c r="R30" s="18" t="s">
        <v>44</v>
      </c>
    </row>
    <row r="31" spans="1:28" ht="12.75" customHeight="1">
      <c r="A31" s="37">
        <v>24</v>
      </c>
      <c r="B31" s="170" t="s">
        <v>16</v>
      </c>
      <c r="C31" s="171"/>
      <c r="D31" s="171"/>
      <c r="E31" s="172"/>
      <c r="F31" s="66">
        <f>F25*-TAX</f>
        <v>-145345.78260222881</v>
      </c>
      <c r="G31" s="66">
        <f>G25*-TAX</f>
        <v>-139531.95129813967</v>
      </c>
      <c r="H31" s="66">
        <f>H25*-TAX</f>
        <v>-133950.67324621408</v>
      </c>
      <c r="I31" s="166">
        <f>I25*-TAX</f>
        <v>-128592.64631636551</v>
      </c>
      <c r="J31" s="167"/>
      <c r="K31" s="166">
        <f>K25*-TAX</f>
        <v>-123448.9404637109</v>
      </c>
      <c r="L31" s="167"/>
      <c r="M31" s="168">
        <f>M25*-TAX</f>
        <v>-118510.98284516246</v>
      </c>
      <c r="N31" s="168"/>
      <c r="O31" s="168"/>
      <c r="P31" s="169"/>
      <c r="R31" s="18"/>
    </row>
    <row r="32" spans="1:28" ht="12.75" customHeight="1">
      <c r="A32" s="37">
        <v>25</v>
      </c>
      <c r="B32" s="170" t="s">
        <v>21</v>
      </c>
      <c r="C32" s="171"/>
      <c r="D32" s="171"/>
      <c r="E32" s="172"/>
      <c r="F32" s="66">
        <f>F25*DFIT</f>
        <v>81949.428521156224</v>
      </c>
      <c r="G32" s="66">
        <f>G25*DFIT</f>
        <v>78671.451380309969</v>
      </c>
      <c r="H32" s="66">
        <f>H25*DFIT</f>
        <v>75524.59332509758</v>
      </c>
      <c r="I32" s="166">
        <f>I25*DFIT</f>
        <v>72503.609592093679</v>
      </c>
      <c r="J32" s="167"/>
      <c r="K32" s="166">
        <f>K25*DFIT</f>
        <v>69603.465208409922</v>
      </c>
      <c r="L32" s="167"/>
      <c r="M32" s="166">
        <v>0</v>
      </c>
      <c r="N32" s="168"/>
      <c r="O32" s="168"/>
      <c r="P32" s="169"/>
      <c r="R32" s="18"/>
    </row>
    <row r="33" spans="1:24">
      <c r="A33" s="37">
        <v>26</v>
      </c>
      <c r="B33" s="223" t="s">
        <v>28</v>
      </c>
      <c r="C33" s="171"/>
      <c r="D33" s="171"/>
      <c r="E33" s="172"/>
      <c r="F33" s="68">
        <f>F25*-CPX</f>
        <v>-864430.80662467855</v>
      </c>
      <c r="G33" s="68">
        <f>G25*-CPX</f>
        <v>-829853.57435969135</v>
      </c>
      <c r="H33" s="68">
        <f>H25*-CPX</f>
        <v>-796659.43138530373</v>
      </c>
      <c r="I33" s="231">
        <f>I25*-CPX</f>
        <v>-764793.05412989156</v>
      </c>
      <c r="J33" s="232"/>
      <c r="K33" s="231">
        <f>K25*-CPX</f>
        <v>-734201.33196469594</v>
      </c>
      <c r="L33" s="232"/>
      <c r="M33" s="237">
        <f>M28</f>
        <v>-747844.43322427187</v>
      </c>
      <c r="N33" s="237"/>
      <c r="O33" s="237"/>
      <c r="P33" s="238"/>
      <c r="R33" s="18" t="s">
        <v>40</v>
      </c>
      <c r="S33" s="18"/>
      <c r="T33" s="18"/>
      <c r="U33" s="18"/>
      <c r="V33" s="18"/>
      <c r="W33" s="18"/>
      <c r="X33" s="18"/>
    </row>
    <row r="34" spans="1:24">
      <c r="A34" s="37">
        <v>27</v>
      </c>
      <c r="B34" s="170" t="s">
        <v>19</v>
      </c>
      <c r="C34" s="171"/>
      <c r="D34" s="171"/>
      <c r="E34" s="172"/>
      <c r="F34" s="67">
        <f>F25*NOWC</f>
        <v>-47394.473444780429</v>
      </c>
      <c r="G34" s="67">
        <f>G25*NOWC</f>
        <v>-45498.69450698921</v>
      </c>
      <c r="H34" s="67">
        <f>H25*NOWC</f>
        <v>-43678.746726709636</v>
      </c>
      <c r="I34" s="233">
        <f>I25*NOWC</f>
        <v>-41931.596857641256</v>
      </c>
      <c r="J34" s="234"/>
      <c r="K34" s="233">
        <f>K25*NOWC</f>
        <v>-40254.332983335604</v>
      </c>
      <c r="L34" s="234"/>
      <c r="M34" s="239">
        <f>M25*NOWC</f>
        <v>-38644.159664002182</v>
      </c>
      <c r="N34" s="239"/>
      <c r="O34" s="239"/>
      <c r="P34" s="240"/>
      <c r="R34" s="25" t="s">
        <v>42</v>
      </c>
      <c r="S34" s="18"/>
      <c r="T34" s="18"/>
      <c r="U34" s="18"/>
      <c r="V34" s="18"/>
      <c r="W34" s="18"/>
      <c r="X34" s="18"/>
    </row>
    <row r="35" spans="1:24" ht="12.75" customHeight="1">
      <c r="A35" s="37">
        <v>28</v>
      </c>
      <c r="B35" s="170" t="s">
        <v>25</v>
      </c>
      <c r="C35" s="171"/>
      <c r="D35" s="171"/>
      <c r="E35" s="172"/>
      <c r="F35" s="66">
        <f>F30+F31-F28+F32+F33+F34</f>
        <v>391166.11636124807</v>
      </c>
      <c r="G35" s="66">
        <f t="shared" ref="G35:H35" si="4">G30+G31-G28+G32+G33+G34</f>
        <v>375519.47170679807</v>
      </c>
      <c r="H35" s="66">
        <f t="shared" si="4"/>
        <v>360498.69283852621</v>
      </c>
      <c r="I35" s="235">
        <f t="shared" ref="I35" si="5">I30+I31-I28+I32+I33+I34</f>
        <v>346078.74512498535</v>
      </c>
      <c r="J35" s="236">
        <f t="shared" ref="J35" si="6">J30+J31-J28+J32+J33+J34</f>
        <v>0</v>
      </c>
      <c r="K35" s="235">
        <f t="shared" ref="K35" si="7">K30+K31-K28+K32+K33+K34</f>
        <v>332235.59531998588</v>
      </c>
      <c r="L35" s="236">
        <f t="shared" ref="L35" si="8">L30+L31-L28+L32+L33+L34</f>
        <v>0</v>
      </c>
      <c r="M35" s="247">
        <f>M30+M31-M28+M32+M33+M34</f>
        <v>209115.69036894914</v>
      </c>
      <c r="N35" s="247">
        <f t="shared" ref="N35" si="9">N30+N31-N28+N32+N33+N34</f>
        <v>0</v>
      </c>
      <c r="O35" s="247">
        <f t="shared" ref="O35" si="10">O30+O31-O28+O32+O33+O34</f>
        <v>0</v>
      </c>
      <c r="P35" s="248">
        <f t="shared" ref="P35" si="11">P30+P31-P28+P32+P33+P34</f>
        <v>0</v>
      </c>
    </row>
    <row r="36" spans="1:24" ht="12.75" customHeight="1">
      <c r="A36" s="37">
        <v>29</v>
      </c>
      <c r="B36" s="183" t="s">
        <v>35</v>
      </c>
      <c r="C36" s="184"/>
      <c r="D36" s="184"/>
      <c r="E36" s="185"/>
      <c r="F36" s="8"/>
      <c r="G36" s="2"/>
      <c r="H36" s="8"/>
      <c r="I36" s="182"/>
      <c r="J36" s="182"/>
      <c r="K36" s="241"/>
      <c r="L36" s="242"/>
      <c r="M36" s="243">
        <f>DR-GR</f>
        <v>0.12160000000000001</v>
      </c>
      <c r="N36" s="243"/>
      <c r="O36" s="243"/>
      <c r="P36" s="244"/>
    </row>
    <row r="37" spans="1:24">
      <c r="A37" s="37">
        <v>30</v>
      </c>
      <c r="B37" s="186" t="s">
        <v>24</v>
      </c>
      <c r="C37" s="187"/>
      <c r="D37" s="187"/>
      <c r="E37" s="188"/>
      <c r="F37" s="8"/>
      <c r="G37" s="2"/>
      <c r="H37" s="8"/>
      <c r="I37" s="182"/>
      <c r="J37" s="182"/>
      <c r="K37" s="241"/>
      <c r="L37" s="242"/>
      <c r="M37" s="245">
        <f>M35/M36</f>
        <v>1719701.4010604369</v>
      </c>
      <c r="N37" s="245"/>
      <c r="O37" s="245"/>
      <c r="P37" s="246"/>
      <c r="R37" s="18" t="s">
        <v>46</v>
      </c>
    </row>
    <row r="38" spans="1:24">
      <c r="A38" s="37">
        <v>31</v>
      </c>
      <c r="B38" s="170" t="s">
        <v>20</v>
      </c>
      <c r="C38" s="171"/>
      <c r="D38" s="171"/>
      <c r="E38" s="172"/>
      <c r="F38" s="70">
        <f>1/(1+DR)^1</f>
        <v>0.92455621301775159</v>
      </c>
      <c r="G38" s="70">
        <f>1/(1+DR)^2</f>
        <v>0.85480419102972605</v>
      </c>
      <c r="H38" s="71">
        <f>1/(1+DR)^3</f>
        <v>0.79031452573014616</v>
      </c>
      <c r="I38" s="224">
        <f>1/(1+DR)^4</f>
        <v>0.73069020500198434</v>
      </c>
      <c r="J38" s="150"/>
      <c r="K38" s="149">
        <f>1/(1+DR)^5</f>
        <v>0.67556416882579928</v>
      </c>
      <c r="L38" s="150"/>
      <c r="M38" s="224">
        <f>K38</f>
        <v>0.67556416882579928</v>
      </c>
      <c r="N38" s="224"/>
      <c r="O38" s="224"/>
      <c r="P38" s="249"/>
      <c r="R38" s="25" t="s">
        <v>47</v>
      </c>
    </row>
    <row r="39" spans="1:24">
      <c r="A39" s="37">
        <v>32</v>
      </c>
      <c r="B39" s="133" t="s">
        <v>32</v>
      </c>
      <c r="C39" s="134"/>
      <c r="D39" s="134"/>
      <c r="E39" s="135"/>
      <c r="F39" s="72">
        <f>F35*F38</f>
        <v>361655.06320381671</v>
      </c>
      <c r="G39" s="72">
        <f>G35*G38</f>
        <v>320995.61822823965</v>
      </c>
      <c r="H39" s="72">
        <f>H35*H38</f>
        <v>284907.35345701751</v>
      </c>
      <c r="I39" s="154">
        <f>I35*I38</f>
        <v>252876.34922220503</v>
      </c>
      <c r="J39" s="155"/>
      <c r="K39" s="154">
        <f>K35*K38</f>
        <v>224446.46380669088</v>
      </c>
      <c r="L39" s="155"/>
      <c r="M39" s="221">
        <f>M37*M38</f>
        <v>1161768.6476359565</v>
      </c>
      <c r="N39" s="221"/>
      <c r="O39" s="221"/>
      <c r="P39" s="222"/>
    </row>
    <row r="40" spans="1:24">
      <c r="A40" s="37">
        <v>33</v>
      </c>
      <c r="B40" s="133" t="s">
        <v>33</v>
      </c>
      <c r="C40" s="134"/>
      <c r="D40" s="134"/>
      <c r="E40" s="135"/>
      <c r="F40" s="72">
        <f>SUM(F39:P39)</f>
        <v>2606649.4955539266</v>
      </c>
      <c r="G40" s="6"/>
      <c r="H40" s="6"/>
      <c r="I40" s="14"/>
      <c r="J40" s="26"/>
      <c r="K40" s="14"/>
      <c r="L40" s="15"/>
      <c r="M40" s="26"/>
      <c r="N40" s="26"/>
      <c r="O40" s="26"/>
      <c r="P40" s="27"/>
    </row>
    <row r="41" spans="1:24">
      <c r="A41" s="37"/>
      <c r="B41" s="45"/>
      <c r="C41" s="28"/>
      <c r="D41" s="28"/>
      <c r="E41" s="24"/>
      <c r="F41" s="17"/>
      <c r="G41" s="6"/>
      <c r="H41" s="6"/>
      <c r="I41" s="14"/>
      <c r="J41" s="26"/>
      <c r="K41" s="14"/>
      <c r="L41" s="15"/>
      <c r="M41" s="26"/>
      <c r="N41" s="26"/>
      <c r="O41" s="26"/>
      <c r="P41" s="27"/>
    </row>
    <row r="42" spans="1:24">
      <c r="A42" s="37">
        <v>34</v>
      </c>
      <c r="B42" s="45"/>
      <c r="C42" s="28"/>
      <c r="D42" s="28"/>
      <c r="E42" s="24" t="s">
        <v>38</v>
      </c>
      <c r="F42" s="48">
        <v>7.4999999999999997E-2</v>
      </c>
      <c r="G42" s="6"/>
      <c r="H42" s="6"/>
      <c r="I42" s="14"/>
      <c r="J42" s="26"/>
      <c r="K42" s="14"/>
      <c r="L42" s="15"/>
      <c r="M42" s="26"/>
      <c r="N42" s="26"/>
      <c r="O42" s="26"/>
      <c r="P42" s="27"/>
      <c r="R42" s="75" t="s">
        <v>45</v>
      </c>
      <c r="S42" s="75"/>
      <c r="T42" s="75"/>
      <c r="U42" s="75"/>
      <c r="V42" s="75"/>
      <c r="W42" s="75"/>
      <c r="X42" s="75"/>
    </row>
    <row r="43" spans="1:24">
      <c r="A43" s="37">
        <v>35</v>
      </c>
      <c r="B43" s="45"/>
      <c r="C43" s="28"/>
      <c r="D43" s="28"/>
      <c r="E43" s="29" t="s">
        <v>20</v>
      </c>
      <c r="F43" s="48">
        <v>8.1600000000000006E-2</v>
      </c>
      <c r="G43" s="6"/>
      <c r="H43" s="6"/>
      <c r="I43" s="14"/>
      <c r="J43" s="26"/>
      <c r="K43" s="14"/>
      <c r="L43" s="15"/>
      <c r="M43" s="26"/>
      <c r="N43" s="26"/>
      <c r="O43" s="26"/>
      <c r="P43" s="27"/>
      <c r="R43" s="23"/>
    </row>
    <row r="44" spans="1:24" ht="15" customHeight="1" thickBot="1">
      <c r="A44" s="39">
        <v>36</v>
      </c>
      <c r="B44" s="151" t="s">
        <v>29</v>
      </c>
      <c r="C44" s="152"/>
      <c r="D44" s="152"/>
      <c r="E44" s="153"/>
      <c r="F44" s="49">
        <v>-0.04</v>
      </c>
      <c r="G44" s="5"/>
      <c r="H44" s="7"/>
      <c r="I44" s="219"/>
      <c r="J44" s="219"/>
      <c r="K44" s="250"/>
      <c r="L44" s="251"/>
      <c r="M44" s="219"/>
      <c r="N44" s="219"/>
      <c r="O44" s="219"/>
      <c r="P44" s="220"/>
      <c r="R44" s="34"/>
    </row>
    <row r="45" spans="1:24" s="16" customFormat="1" ht="15" customHeight="1">
      <c r="A45" s="35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</row>
    <row r="46" spans="1:24" s="16" customFormat="1" ht="13.5" customHeight="1">
      <c r="A46" s="35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24" s="16" customFormat="1" ht="6" customHeight="1">
      <c r="A47" s="3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8"/>
      <c r="M47" s="148"/>
      <c r="N47" s="148"/>
      <c r="O47" s="148"/>
      <c r="P47" s="148"/>
    </row>
    <row r="48" spans="1:24" s="16" customFormat="1" ht="15" customHeight="1">
      <c r="A48" s="35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</row>
    <row r="49" spans="1:21" s="16" customFormat="1" ht="15" customHeight="1">
      <c r="A49" s="35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228"/>
      <c r="M49" s="228"/>
      <c r="N49" s="228"/>
      <c r="O49" s="228"/>
      <c r="P49" s="228"/>
    </row>
    <row r="50" spans="1:21" s="16" customFormat="1" ht="6" customHeight="1">
      <c r="A50" s="35"/>
      <c r="B50" s="198"/>
      <c r="C50" s="198"/>
      <c r="D50" s="198"/>
      <c r="E50" s="198"/>
      <c r="F50" s="198"/>
      <c r="G50" s="198"/>
      <c r="H50" s="198"/>
      <c r="I50" s="199"/>
      <c r="J50" s="199"/>
      <c r="K50" s="199"/>
      <c r="L50" s="200"/>
      <c r="M50" s="200"/>
      <c r="N50" s="200"/>
      <c r="O50" s="200"/>
      <c r="P50" s="200"/>
    </row>
    <row r="51" spans="1:21" s="16" customFormat="1">
      <c r="A51" s="35"/>
      <c r="B51" s="180"/>
      <c r="C51" s="180"/>
      <c r="D51" s="180"/>
      <c r="E51" s="180"/>
      <c r="F51" s="180"/>
      <c r="G51" s="180"/>
      <c r="H51" s="180"/>
      <c r="I51" s="181"/>
      <c r="J51" s="181"/>
      <c r="K51" s="181"/>
      <c r="L51" s="212"/>
      <c r="M51" s="212"/>
      <c r="N51" s="212"/>
      <c r="O51" s="212"/>
      <c r="P51" s="212"/>
    </row>
    <row r="52" spans="1:21" s="16" customFormat="1" ht="6" customHeight="1">
      <c r="A52" s="35"/>
      <c r="B52" s="213"/>
      <c r="C52" s="213"/>
      <c r="D52" s="213"/>
      <c r="E52" s="213"/>
      <c r="F52" s="213"/>
      <c r="G52" s="213"/>
      <c r="H52" s="213"/>
      <c r="I52" s="144"/>
      <c r="J52" s="144"/>
      <c r="K52" s="144"/>
      <c r="L52" s="212"/>
      <c r="M52" s="212"/>
      <c r="N52" s="212"/>
      <c r="O52" s="212"/>
      <c r="P52" s="212"/>
    </row>
    <row r="53" spans="1:21" s="16" customFormat="1" ht="12.75" customHeight="1">
      <c r="A53" s="35"/>
      <c r="B53" s="214"/>
      <c r="C53" s="214"/>
      <c r="D53" s="214"/>
      <c r="E53" s="214"/>
      <c r="F53" s="214"/>
      <c r="G53" s="214"/>
      <c r="H53" s="214"/>
      <c r="I53" s="181"/>
      <c r="J53" s="181"/>
      <c r="K53" s="181"/>
      <c r="L53" s="179"/>
      <c r="M53" s="179"/>
      <c r="N53" s="179"/>
      <c r="O53" s="179"/>
      <c r="P53" s="179"/>
    </row>
    <row r="54" spans="1:21" s="16" customFormat="1" ht="12.75" customHeight="1">
      <c r="A54" s="35"/>
      <c r="B54" s="214"/>
      <c r="C54" s="214"/>
      <c r="D54" s="214"/>
      <c r="E54" s="214"/>
      <c r="F54" s="214"/>
      <c r="G54" s="214"/>
      <c r="H54" s="214"/>
      <c r="I54" s="181"/>
      <c r="J54" s="181"/>
      <c r="K54" s="181"/>
      <c r="L54" s="179"/>
      <c r="M54" s="179"/>
      <c r="N54" s="179"/>
      <c r="O54" s="179"/>
      <c r="P54" s="179"/>
    </row>
    <row r="55" spans="1:21" s="16" customFormat="1">
      <c r="A55" s="35"/>
      <c r="B55" s="214"/>
      <c r="C55" s="214"/>
      <c r="D55" s="214"/>
      <c r="E55" s="214"/>
      <c r="F55" s="214"/>
      <c r="G55" s="214"/>
      <c r="H55" s="214"/>
      <c r="I55" s="159"/>
      <c r="J55" s="159"/>
      <c r="K55" s="159"/>
      <c r="L55" s="179"/>
      <c r="M55" s="179"/>
      <c r="N55" s="179"/>
      <c r="O55" s="179"/>
      <c r="P55" s="179"/>
      <c r="T55" s="145"/>
      <c r="U55" s="218"/>
    </row>
    <row r="56" spans="1:21" s="16" customFormat="1">
      <c r="A56" s="35"/>
      <c r="B56" s="214"/>
      <c r="C56" s="214"/>
      <c r="D56" s="214"/>
      <c r="E56" s="214"/>
      <c r="F56" s="214"/>
      <c r="G56" s="214"/>
      <c r="H56" s="214"/>
      <c r="I56" s="230"/>
      <c r="J56" s="230"/>
      <c r="K56" s="230"/>
      <c r="L56" s="215"/>
      <c r="M56" s="215"/>
      <c r="N56" s="215"/>
      <c r="O56" s="215"/>
      <c r="P56" s="215"/>
    </row>
    <row r="57" spans="1:21" s="16" customFormat="1" ht="6" customHeight="1">
      <c r="A57" s="35"/>
      <c r="B57" s="213"/>
      <c r="C57" s="213"/>
      <c r="D57" s="213"/>
      <c r="E57" s="213"/>
      <c r="F57" s="213"/>
      <c r="G57" s="213"/>
      <c r="H57" s="213"/>
      <c r="I57" s="144"/>
      <c r="J57" s="144"/>
      <c r="K57" s="144"/>
      <c r="L57" s="212"/>
      <c r="M57" s="212"/>
      <c r="N57" s="212"/>
      <c r="O57" s="212"/>
      <c r="P57" s="212"/>
    </row>
    <row r="58" spans="1:21" s="16" customFormat="1" ht="6" customHeight="1">
      <c r="A58" s="35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5"/>
      <c r="M58" s="145"/>
      <c r="N58" s="145"/>
      <c r="O58" s="145"/>
      <c r="P58" s="145"/>
    </row>
    <row r="59" spans="1:21" s="16" customFormat="1">
      <c r="A59" s="35"/>
      <c r="B59" s="180"/>
      <c r="C59" s="180"/>
      <c r="D59" s="180"/>
      <c r="E59" s="180"/>
      <c r="F59" s="180"/>
      <c r="G59" s="180"/>
      <c r="H59" s="180"/>
      <c r="I59" s="216"/>
      <c r="J59" s="216"/>
      <c r="K59" s="216"/>
      <c r="L59" s="217"/>
      <c r="M59" s="217"/>
      <c r="N59" s="217"/>
      <c r="O59" s="217"/>
      <c r="P59" s="217"/>
    </row>
    <row r="60" spans="1:21" s="16" customFormat="1" ht="6" customHeight="1">
      <c r="A60" s="35"/>
      <c r="B60" s="144"/>
      <c r="C60" s="144"/>
      <c r="D60" s="144"/>
      <c r="E60" s="144"/>
      <c r="F60" s="144"/>
      <c r="G60" s="144"/>
      <c r="H60" s="144"/>
      <c r="I60" s="218"/>
      <c r="J60" s="218"/>
      <c r="K60" s="218"/>
      <c r="L60" s="145"/>
      <c r="M60" s="145"/>
      <c r="N60" s="145"/>
      <c r="O60" s="145"/>
      <c r="P60" s="145"/>
    </row>
    <row r="61" spans="1:21">
      <c r="B61" s="209"/>
      <c r="C61" s="209"/>
      <c r="D61" s="209"/>
      <c r="E61" s="209"/>
      <c r="F61" s="210"/>
      <c r="G61" s="210"/>
      <c r="H61" s="210"/>
      <c r="I61" s="210"/>
      <c r="J61" s="4"/>
      <c r="K61" s="211"/>
      <c r="L61" s="211"/>
      <c r="M61" s="211"/>
      <c r="N61" s="211"/>
      <c r="O61" s="211"/>
    </row>
    <row r="64" spans="1:21">
      <c r="I64" s="211"/>
      <c r="J64" s="210"/>
      <c r="K64" s="210"/>
    </row>
  </sheetData>
  <mergeCells count="205">
    <mergeCell ref="I18:J18"/>
    <mergeCell ref="I12:J12"/>
    <mergeCell ref="K12:L12"/>
    <mergeCell ref="M12:P12"/>
    <mergeCell ref="I14:J14"/>
    <mergeCell ref="K14:L14"/>
    <mergeCell ref="M14:P14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K13:L13"/>
    <mergeCell ref="M13:P13"/>
    <mergeCell ref="I15:J15"/>
    <mergeCell ref="K15:L15"/>
    <mergeCell ref="M15:P15"/>
    <mergeCell ref="M16:P16"/>
    <mergeCell ref="K18:L18"/>
    <mergeCell ref="M17:P17"/>
    <mergeCell ref="I64:K64"/>
    <mergeCell ref="B55:H55"/>
    <mergeCell ref="B56:H56"/>
    <mergeCell ref="I56:K56"/>
    <mergeCell ref="I31:J31"/>
    <mergeCell ref="I33:J33"/>
    <mergeCell ref="I34:J34"/>
    <mergeCell ref="I35:J35"/>
    <mergeCell ref="M32:P32"/>
    <mergeCell ref="M31:P31"/>
    <mergeCell ref="M33:P33"/>
    <mergeCell ref="M34:P34"/>
    <mergeCell ref="K36:L36"/>
    <mergeCell ref="K37:L37"/>
    <mergeCell ref="M36:P36"/>
    <mergeCell ref="M37:P37"/>
    <mergeCell ref="M35:P35"/>
    <mergeCell ref="K31:L31"/>
    <mergeCell ref="K33:L33"/>
    <mergeCell ref="K34:L34"/>
    <mergeCell ref="K35:L35"/>
    <mergeCell ref="M38:P38"/>
    <mergeCell ref="I44:J44"/>
    <mergeCell ref="K44:L44"/>
    <mergeCell ref="T55:U55"/>
    <mergeCell ref="M44:P44"/>
    <mergeCell ref="B38:E38"/>
    <mergeCell ref="B26:E26"/>
    <mergeCell ref="M28:P28"/>
    <mergeCell ref="I26:J26"/>
    <mergeCell ref="I28:J28"/>
    <mergeCell ref="K26:L26"/>
    <mergeCell ref="M26:P26"/>
    <mergeCell ref="M39:P39"/>
    <mergeCell ref="B31:E31"/>
    <mergeCell ref="B33:E33"/>
    <mergeCell ref="B32:E32"/>
    <mergeCell ref="I32:J32"/>
    <mergeCell ref="I38:J38"/>
    <mergeCell ref="I36:J36"/>
    <mergeCell ref="I27:J27"/>
    <mergeCell ref="B27:E27"/>
    <mergeCell ref="I48:K48"/>
    <mergeCell ref="L48:P48"/>
    <mergeCell ref="B49:H49"/>
    <mergeCell ref="I49:K49"/>
    <mergeCell ref="L49:P49"/>
    <mergeCell ref="B45:P45"/>
    <mergeCell ref="B61:E61"/>
    <mergeCell ref="F61:I61"/>
    <mergeCell ref="K61:O61"/>
    <mergeCell ref="L51:P51"/>
    <mergeCell ref="B52:H52"/>
    <mergeCell ref="I52:K52"/>
    <mergeCell ref="L52:P52"/>
    <mergeCell ref="B53:H53"/>
    <mergeCell ref="B54:H54"/>
    <mergeCell ref="I53:K53"/>
    <mergeCell ref="I54:K54"/>
    <mergeCell ref="L53:P53"/>
    <mergeCell ref="L54:P54"/>
    <mergeCell ref="L56:P56"/>
    <mergeCell ref="B59:H59"/>
    <mergeCell ref="I59:K59"/>
    <mergeCell ref="L59:P59"/>
    <mergeCell ref="B60:H60"/>
    <mergeCell ref="I60:K60"/>
    <mergeCell ref="L60:P60"/>
    <mergeCell ref="B57:H57"/>
    <mergeCell ref="I57:K57"/>
    <mergeCell ref="L57:P57"/>
    <mergeCell ref="B58:H58"/>
    <mergeCell ref="B22:E22"/>
    <mergeCell ref="I24:J24"/>
    <mergeCell ref="B25:E25"/>
    <mergeCell ref="I25:J25"/>
    <mergeCell ref="I21:J21"/>
    <mergeCell ref="B50:H50"/>
    <mergeCell ref="I50:K50"/>
    <mergeCell ref="L50:P50"/>
    <mergeCell ref="B29:E29"/>
    <mergeCell ref="K27:L27"/>
    <mergeCell ref="M27:P27"/>
    <mergeCell ref="K29:L29"/>
    <mergeCell ref="K30:L30"/>
    <mergeCell ref="I29:J29"/>
    <mergeCell ref="I30:J30"/>
    <mergeCell ref="K28:L28"/>
    <mergeCell ref="B28:E28"/>
    <mergeCell ref="B18:E18"/>
    <mergeCell ref="I55:K55"/>
    <mergeCell ref="K24:L24"/>
    <mergeCell ref="B23:P23"/>
    <mergeCell ref="M24:P24"/>
    <mergeCell ref="K32:L32"/>
    <mergeCell ref="M25:P25"/>
    <mergeCell ref="B30:E30"/>
    <mergeCell ref="M29:P29"/>
    <mergeCell ref="M30:P30"/>
    <mergeCell ref="B48:H48"/>
    <mergeCell ref="L55:P55"/>
    <mergeCell ref="B51:H51"/>
    <mergeCell ref="I51:K51"/>
    <mergeCell ref="B34:E34"/>
    <mergeCell ref="B35:E35"/>
    <mergeCell ref="I37:J37"/>
    <mergeCell ref="B36:E36"/>
    <mergeCell ref="B37:E37"/>
    <mergeCell ref="K25:L25"/>
    <mergeCell ref="B19:E19"/>
    <mergeCell ref="B20:E20"/>
    <mergeCell ref="I19:J19"/>
    <mergeCell ref="B21:E21"/>
    <mergeCell ref="I58:K58"/>
    <mergeCell ref="L58:P58"/>
    <mergeCell ref="B46:P46"/>
    <mergeCell ref="B47:H47"/>
    <mergeCell ref="I47:K47"/>
    <mergeCell ref="L47:P47"/>
    <mergeCell ref="K38:L38"/>
    <mergeCell ref="B44:E44"/>
    <mergeCell ref="I39:J39"/>
    <mergeCell ref="B39:E39"/>
    <mergeCell ref="K39:L39"/>
    <mergeCell ref="B4:F4"/>
    <mergeCell ref="I4:J4"/>
    <mergeCell ref="K4:L4"/>
    <mergeCell ref="M4:P4"/>
    <mergeCell ref="I5:J5"/>
    <mergeCell ref="K5:L5"/>
    <mergeCell ref="B40:E40"/>
    <mergeCell ref="I11:J11"/>
    <mergeCell ref="K11:L11"/>
    <mergeCell ref="M11:P11"/>
    <mergeCell ref="I9:J9"/>
    <mergeCell ref="K10:L10"/>
    <mergeCell ref="M10:P10"/>
    <mergeCell ref="K9:L9"/>
    <mergeCell ref="M9:P9"/>
    <mergeCell ref="M20:P20"/>
    <mergeCell ref="M22:P22"/>
    <mergeCell ref="I16:J16"/>
    <mergeCell ref="I20:J20"/>
    <mergeCell ref="K16:L16"/>
    <mergeCell ref="K20:L20"/>
    <mergeCell ref="K19:L19"/>
    <mergeCell ref="M19:P19"/>
    <mergeCell ref="I13:J13"/>
    <mergeCell ref="B1:P1"/>
    <mergeCell ref="B2:F2"/>
    <mergeCell ref="I2:J2"/>
    <mergeCell ref="K2:L2"/>
    <mergeCell ref="M2:P2"/>
    <mergeCell ref="B3:F3"/>
    <mergeCell ref="I3:J3"/>
    <mergeCell ref="K3:L3"/>
    <mergeCell ref="M3:P3"/>
    <mergeCell ref="R42:X42"/>
    <mergeCell ref="M5:P5"/>
    <mergeCell ref="B5:E5"/>
    <mergeCell ref="I7:J7"/>
    <mergeCell ref="I8:J8"/>
    <mergeCell ref="K7:L7"/>
    <mergeCell ref="K8:L8"/>
    <mergeCell ref="M7:P7"/>
    <mergeCell ref="M8:P8"/>
    <mergeCell ref="B7:E7"/>
    <mergeCell ref="B8:E8"/>
    <mergeCell ref="B6:E6"/>
    <mergeCell ref="I6:J6"/>
    <mergeCell ref="K6:L6"/>
    <mergeCell ref="M6:P6"/>
    <mergeCell ref="K21:L21"/>
    <mergeCell ref="B24:E24"/>
    <mergeCell ref="I10:J10"/>
    <mergeCell ref="M21:P21"/>
    <mergeCell ref="I22:J22"/>
    <mergeCell ref="K22:L22"/>
    <mergeCell ref="M18:P18"/>
    <mergeCell ref="I17:J17"/>
    <mergeCell ref="K17:L17"/>
  </mergeCells>
  <printOptions horizontalCentered="1"/>
  <pageMargins left="0.25" right="0.25" top="1.25" bottom="0.25" header="0" footer="0.5"/>
  <pageSetup scale="75" orientation="landscape" r:id="rId1"/>
  <headerFooter scaleWithDoc="0">
    <oddHeader>&amp;RDocket No. 08-046-01
Limited Review
DPU Exhibit 1.3
Robert A. Davis
May 24, 2013</oddHeader>
    <oddFooter>&amp;C&amp;"+,Bold"&amp;11CONFIDENTIAL
"Confidential-Subject To Utah Administrative Code Rule 746-100-16"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DPU 1.3 DCF</vt:lpstr>
      <vt:lpstr>AMORT</vt:lpstr>
      <vt:lpstr>CPX</vt:lpstr>
      <vt:lpstr>DCF</vt:lpstr>
      <vt:lpstr>DEP</vt:lpstr>
      <vt:lpstr>DFIT</vt:lpstr>
      <vt:lpstr>DR</vt:lpstr>
      <vt:lpstr>EBITDA</vt:lpstr>
      <vt:lpstr>GR</vt:lpstr>
      <vt:lpstr>'DPU 1.3 DCF'!Income</vt:lpstr>
      <vt:lpstr>NOWC</vt:lpstr>
      <vt:lpstr>Payback</vt:lpstr>
      <vt:lpstr>'DPU 1.3 DCF'!Print_Area</vt:lpstr>
      <vt:lpstr>TAX</vt:lpstr>
    </vt:vector>
  </TitlesOfParts>
  <Company>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Txrad</dc:creator>
  <cp:lastModifiedBy>mpaschal</cp:lastModifiedBy>
  <cp:lastPrinted>2013-05-22T23:42:54Z</cp:lastPrinted>
  <dcterms:created xsi:type="dcterms:W3CDTF">2009-03-11T16:46:42Z</dcterms:created>
  <dcterms:modified xsi:type="dcterms:W3CDTF">2013-05-31T18:18:31Z</dcterms:modified>
</cp:coreProperties>
</file>