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5"/>
  </bookViews>
  <sheets>
    <sheet name="RateDesign" sheetId="1" r:id="rId1"/>
    <sheet name="RevReq" sheetId="2" r:id="rId2"/>
    <sheet name="RateBase" sheetId="3" r:id="rId3"/>
    <sheet name="Income" sheetId="4" r:id="rId4"/>
    <sheet name="Projection" sheetId="5" r:id="rId5"/>
    <sheet name="Depr &amp; Amort" sheetId="6" r:id="rId6"/>
  </sheets>
  <definedNames/>
  <calcPr fullCalcOnLoad="1"/>
</workbook>
</file>

<file path=xl/sharedStrings.xml><?xml version="1.0" encoding="utf-8"?>
<sst xmlns="http://schemas.openxmlformats.org/spreadsheetml/2006/main" count="388" uniqueCount="228">
  <si>
    <t>Operating Expenses</t>
  </si>
  <si>
    <t>INCOME STATEMENT ANALYSIS</t>
  </si>
  <si>
    <t>Total Water Sales Revenues</t>
  </si>
  <si>
    <t>Other Water Revenues</t>
  </si>
  <si>
    <t>Connection Fees</t>
  </si>
  <si>
    <t>Total Water Revenues</t>
  </si>
  <si>
    <t>Net Operating Income/(Loss)</t>
  </si>
  <si>
    <t>DIVISION</t>
  </si>
  <si>
    <t>PROPOSED</t>
  </si>
  <si>
    <t>DESCRIPTION</t>
  </si>
  <si>
    <t>RATEBASE</t>
  </si>
  <si>
    <t>ADJUSTMENTS</t>
  </si>
  <si>
    <t>REVENUE REQUIREMENT</t>
  </si>
  <si>
    <t>Rate Design Using Minimum Bill Methodology</t>
  </si>
  <si>
    <t>Annual Revenue Requirement</t>
  </si>
  <si>
    <t>Less Revenue Generated by:</t>
  </si>
  <si>
    <t>Revenues to be Collected Through Water Rates</t>
  </si>
  <si>
    <t>Water Revenues</t>
  </si>
  <si>
    <t>Metered Sales - Res Customers</t>
  </si>
  <si>
    <t>Unmetererd Water Revenues</t>
  </si>
  <si>
    <t>Turn On Fees</t>
  </si>
  <si>
    <t>Turn Off Fees</t>
  </si>
  <si>
    <t>Total Other Water Revenues</t>
  </si>
  <si>
    <t>Salaries &amp; Wages - Employees</t>
  </si>
  <si>
    <t>Salaries &amp; Wages - Officers</t>
  </si>
  <si>
    <t>Purchased Water</t>
  </si>
  <si>
    <t>Purchased Power</t>
  </si>
  <si>
    <t>Materials and Supplies</t>
  </si>
  <si>
    <t>Transportation Expense</t>
  </si>
  <si>
    <t>Reg. Comm. Expense</t>
  </si>
  <si>
    <t>Equipment Expense</t>
  </si>
  <si>
    <t>Water Testing</t>
  </si>
  <si>
    <t>Other Expense</t>
  </si>
  <si>
    <t>Depreciation Expense</t>
  </si>
  <si>
    <t>Regulatory Assessments</t>
  </si>
  <si>
    <t>Taxes Other Than Income</t>
  </si>
  <si>
    <t>Property Taxes</t>
  </si>
  <si>
    <t>Other Taxes and Licenses</t>
  </si>
  <si>
    <t>Total Other Expense</t>
  </si>
  <si>
    <t>Total Operating &amp; Other Expense</t>
  </si>
  <si>
    <t>Fed Income Tax-Opr Income</t>
  </si>
  <si>
    <t>State Income Tax-Opr Income</t>
  </si>
  <si>
    <t>Total Income Tax Expense</t>
  </si>
  <si>
    <t>Other Income &amp; Deductions</t>
  </si>
  <si>
    <t>Interest &amp; Dividend Income</t>
  </si>
  <si>
    <t>Interest Expense</t>
  </si>
  <si>
    <t>Total Other Income &amp; Deduct</t>
  </si>
  <si>
    <t>Net Profit/(Loss)</t>
  </si>
  <si>
    <t>Interest</t>
  </si>
  <si>
    <t>Service Charge</t>
  </si>
  <si>
    <t>Contractual Services - Repairs &amp; Maint. - meter read</t>
  </si>
  <si>
    <t>Other Miscellaneous Expense - postage</t>
  </si>
  <si>
    <t>Operating Expenses - Water</t>
  </si>
  <si>
    <t>Other Miscellaneous Expense - office supplies</t>
  </si>
  <si>
    <t>Other Miscellaneous Expense - utilities</t>
  </si>
  <si>
    <t>Operating Income/(Loss) Before Income Taxes</t>
  </si>
  <si>
    <t>Utility Plant in Service</t>
  </si>
  <si>
    <t>Accumulated Depreciation</t>
  </si>
  <si>
    <t>Net Utility Plant in Service</t>
  </si>
  <si>
    <t>Cash Working Capital</t>
  </si>
  <si>
    <t>Total Ratebase</t>
  </si>
  <si>
    <t>Rate Base</t>
  </si>
  <si>
    <t>Rate of Return on Rate Base</t>
  </si>
  <si>
    <t>Return Required</t>
  </si>
  <si>
    <t>Total Return Required</t>
  </si>
  <si>
    <t>Revenue Requirement</t>
  </si>
  <si>
    <t>COMPANY</t>
  </si>
  <si>
    <t>Water &amp; Sewer Revenues:</t>
  </si>
  <si>
    <t>Revenue to be Collected Through Usage Charges</t>
  </si>
  <si>
    <t>(a)</t>
  </si>
  <si>
    <t>(b)</t>
  </si>
  <si>
    <t>(c )</t>
  </si>
  <si>
    <t>Stand By/RTS Fees</t>
  </si>
  <si>
    <t>(d)</t>
  </si>
  <si>
    <t>REQUESTED</t>
  </si>
  <si>
    <t xml:space="preserve">Utility Plant  </t>
  </si>
  <si>
    <t>Taxes</t>
  </si>
  <si>
    <t>Line 4 was calculated with the following formula:</t>
  </si>
  <si>
    <t xml:space="preserve">Revenue Overage/(Shortfall) From Proposed Rates </t>
  </si>
  <si>
    <t>Docket No. 07-2477-01</t>
  </si>
  <si>
    <t>Paul Hicken</t>
  </si>
  <si>
    <t>EAGLES LANDING WATER COMPANY</t>
  </si>
  <si>
    <t>water rights</t>
  </si>
  <si>
    <t>ESTIMATED</t>
  </si>
  <si>
    <t>RATEBASE ANALYSIS</t>
  </si>
  <si>
    <t>cash working cap = 45 days of O&amp;M</t>
  </si>
  <si>
    <t>CIAC</t>
  </si>
  <si>
    <t>water tank</t>
  </si>
  <si>
    <t>Revenue from Usage Billings Over 10,000 Minimum:</t>
  </si>
  <si>
    <t xml:space="preserve">     T1 - 10,001 - 20,000 gal</t>
  </si>
  <si>
    <t xml:space="preserve">     T2 - 20,001 - 40,000 gal</t>
  </si>
  <si>
    <t xml:space="preserve">     T3 - 40,001 - 60,000 gal</t>
  </si>
  <si>
    <t xml:space="preserve">     T4 - 60,001 - 80,000 gal</t>
  </si>
  <si>
    <t xml:space="preserve">     T5 - over 80,000 gal</t>
  </si>
  <si>
    <t>Minimum</t>
  </si>
  <si>
    <t xml:space="preserve">     Line 3 x .33 = </t>
  </si>
  <si>
    <t xml:space="preserve">     Total Tax Rate</t>
  </si>
  <si>
    <t xml:space="preserve">     Federal Tax Rate</t>
  </si>
  <si>
    <t xml:space="preserve">     State Tax Rate</t>
  </si>
  <si>
    <t>Total O &amp; M Expense - Water</t>
  </si>
  <si>
    <t>PROJECTED YEAR ENDED DECEMBER 31, 2008</t>
  </si>
  <si>
    <t>less CIAC adjustment</t>
  </si>
  <si>
    <t>Contractual Services - Legal &amp; Engineering</t>
  </si>
  <si>
    <t>Contractual Services - Repairs &amp; Maint. - backhoe &amp; labor</t>
  </si>
  <si>
    <t>Other Miscellaneous Expense - insurance</t>
  </si>
  <si>
    <t>ACTUAL</t>
  </si>
  <si>
    <t>PROJECTED YEAR END DECEMBER 31, 2008</t>
  </si>
  <si>
    <t>Total</t>
  </si>
  <si>
    <t>EST</t>
  </si>
  <si>
    <t>Customers</t>
  </si>
  <si>
    <t>New Connections</t>
  </si>
  <si>
    <t>Total Customers</t>
  </si>
  <si>
    <t>Rate Schedule</t>
  </si>
  <si>
    <t>Base Rate (&lt;/= 10,000 gal.)</t>
  </si>
  <si>
    <t>T1*   (10,001 to 20,000 gal.)</t>
  </si>
  <si>
    <t>T2*   (20,001 to 40,000 gal.)</t>
  </si>
  <si>
    <t>T3*   (40,001 to 60,000 gal.)</t>
  </si>
  <si>
    <t>T4*   (60,001 to 80,000 gal.)</t>
  </si>
  <si>
    <t>T5*   (&gt;/= 80,001 gal.)</t>
  </si>
  <si>
    <t>Stand By Fees</t>
  </si>
  <si>
    <t>*tiered rate charged per 1,000 gal.</t>
  </si>
  <si>
    <t>Revenue Projections</t>
  </si>
  <si>
    <t>Base Rate</t>
  </si>
  <si>
    <t>Estimated Tiered Usage Charges</t>
  </si>
  <si>
    <t>New Connection Fees</t>
  </si>
  <si>
    <t xml:space="preserve">Less CIAC Adjustment </t>
  </si>
  <si>
    <t>Net Connection Fee Revenue</t>
  </si>
  <si>
    <t>TOTAL</t>
  </si>
  <si>
    <t>Expense Projections</t>
  </si>
  <si>
    <t>Oper &amp; Maint</t>
  </si>
  <si>
    <t xml:space="preserve">   Office Expense</t>
  </si>
  <si>
    <t xml:space="preserve">   Meter reading/Billing &amp; Collection</t>
  </si>
  <si>
    <t xml:space="preserve">   Testing</t>
  </si>
  <si>
    <t xml:space="preserve">   Utilities</t>
  </si>
  <si>
    <t xml:space="preserve">   Supplies</t>
  </si>
  <si>
    <t xml:space="preserve">   Maint &amp; Repair</t>
  </si>
  <si>
    <t xml:space="preserve">   Professional/Engineering &amp; Other</t>
  </si>
  <si>
    <t xml:space="preserve">   Insurance</t>
  </si>
  <si>
    <t xml:space="preserve">  Depreciation/Amortization</t>
  </si>
  <si>
    <t>Regulatory Rate Base</t>
  </si>
  <si>
    <t>Total Company Assets</t>
  </si>
  <si>
    <t>Additions and Improvements</t>
  </si>
  <si>
    <t>Intangibles (water rights)</t>
  </si>
  <si>
    <t>CIAC Amortization</t>
  </si>
  <si>
    <t>NOTES</t>
  </si>
  <si>
    <t>Company estimated annual average based on similar development area sales</t>
  </si>
  <si>
    <t>Connection fee is broken out as follows:</t>
  </si>
  <si>
    <t>Revenue</t>
  </si>
  <si>
    <t>DEPRECIATION</t>
  </si>
  <si>
    <t>ACCUM</t>
  </si>
  <si>
    <t>INITIAL</t>
  </si>
  <si>
    <t>SLVG</t>
  </si>
  <si>
    <t>DEPR</t>
  </si>
  <si>
    <t>LIFE</t>
  </si>
  <si>
    <t>SERVICE</t>
  </si>
  <si>
    <t>COST</t>
  </si>
  <si>
    <t>VALUE</t>
  </si>
  <si>
    <t>YRS</t>
  </si>
  <si>
    <t>DATE</t>
  </si>
  <si>
    <t>well pump</t>
  </si>
  <si>
    <t>pump house</t>
  </si>
  <si>
    <t>well</t>
  </si>
  <si>
    <t>fencing</t>
  </si>
  <si>
    <t>additions 2008</t>
  </si>
  <si>
    <t>additions 2009</t>
  </si>
  <si>
    <t>additions 2010</t>
  </si>
  <si>
    <t>additions 2011</t>
  </si>
  <si>
    <t>additions 2012</t>
  </si>
  <si>
    <t>additions 2013</t>
  </si>
  <si>
    <t>additions 2014</t>
  </si>
  <si>
    <t>additions 2015</t>
  </si>
  <si>
    <t>additions 2016</t>
  </si>
  <si>
    <t>AMORTIZATION</t>
  </si>
  <si>
    <t>AMORT</t>
  </si>
  <si>
    <t>RECEIPTS</t>
  </si>
  <si>
    <t>(c)</t>
  </si>
  <si>
    <t>CIAC 2007</t>
  </si>
  <si>
    <t>CIAC 2008</t>
  </si>
  <si>
    <t>CIAC 2009</t>
  </si>
  <si>
    <t>CIAC 2010</t>
  </si>
  <si>
    <t>CIAC 2011</t>
  </si>
  <si>
    <t>CIAC 2012</t>
  </si>
  <si>
    <t>CIAC 2013</t>
  </si>
  <si>
    <t>CIAC 2014</t>
  </si>
  <si>
    <t>CIAC 2015</t>
  </si>
  <si>
    <t>CIAC 2016</t>
  </si>
  <si>
    <t>NOTES:</t>
  </si>
  <si>
    <t>Estimated based on increasing connections to system over time.</t>
  </si>
  <si>
    <t>The estimated life of CIAC was set at 30 years to reflect the years of service of the water tank which is the</t>
  </si>
  <si>
    <t>highest cost asset at the time the connection fee will be established.</t>
  </si>
  <si>
    <t>Additions and improvements</t>
  </si>
  <si>
    <t>(e)</t>
  </si>
  <si>
    <t>estimated average annual improvements</t>
  </si>
  <si>
    <t>CIAC amortization over 30 yrs</t>
  </si>
  <si>
    <t>(f)</t>
  </si>
  <si>
    <t>Projected Year End December 31, 2008</t>
  </si>
  <si>
    <t xml:space="preserve">     Net Connection Fees</t>
  </si>
  <si>
    <t xml:space="preserve">     Annual Revenue From Minimum Water Bill  </t>
  </si>
  <si>
    <t>less amortized CIAC recovery</t>
  </si>
  <si>
    <t>Net connection fee revenues</t>
  </si>
  <si>
    <t xml:space="preserve">Basic water service revenues </t>
  </si>
  <si>
    <t>DPU Exhibit No. 1.1</t>
  </si>
  <si>
    <t>DPU Exhibit No. 1.2</t>
  </si>
  <si>
    <t>DPU Exhibit No. 1.3</t>
  </si>
  <si>
    <t>DPU Exhibit No. 1.4</t>
  </si>
  <si>
    <t>DPU Exhibit No. 1.5</t>
  </si>
  <si>
    <t>DPU Exhibit No. 1.6</t>
  </si>
  <si>
    <t>The estimated life of additions for 2008 through 2016 was set at 35 years , as additions will be primarily meters and distribution lines.</t>
  </si>
  <si>
    <t>DEPRECIATION AND AMORTIZATION</t>
  </si>
  <si>
    <t>PROJECTED YEARS 2007-2016</t>
  </si>
  <si>
    <t>Company Data provided at DPU request</t>
  </si>
  <si>
    <t>REVENUE AND EXPENSES</t>
  </si>
  <si>
    <t>PROJECTED YEARS 2007-2013</t>
  </si>
  <si>
    <t>Rate per</t>
  </si>
  <si>
    <t>1,000 gal</t>
  </si>
  <si>
    <t>PROJ</t>
  </si>
  <si>
    <t>Water rights</t>
  </si>
  <si>
    <t>CIAC for new additions estimated at</t>
  </si>
  <si>
    <t>water rights (non depreciable)</t>
  </si>
  <si>
    <t>(g)</t>
  </si>
  <si>
    <t>Total Assets</t>
  </si>
  <si>
    <t xml:space="preserve">TOTAL </t>
  </si>
  <si>
    <t>Gals over</t>
  </si>
  <si>
    <t xml:space="preserve">     Tax gross up factor  [.20/(1-.20)]</t>
  </si>
  <si>
    <t>projected plant in service assets</t>
  </si>
  <si>
    <t>accumulated depreciation EOY</t>
  </si>
  <si>
    <t xml:space="preserve">Projected Revenues from Usage Over Minimum </t>
  </si>
  <si>
    <t>Total Projected Revenues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</si>
</sst>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&quot;$&quot;#,##0"/>
    <numFmt numFmtId="167" formatCode="0.00_);\(0.00\)"/>
    <numFmt numFmtId="168" formatCode="&quot;$&quot;#,##0.00"/>
    <numFmt numFmtId="169" formatCode="&quot;$&quot;#,##0.000_);\(&quot;$&quot;#,##0.000\)"/>
    <numFmt numFmtId="170" formatCode="&quot;$&quot;#,##0\ ;\(&quot;$&quot;#,##0\)"/>
    <numFmt numFmtId="171" formatCode="0.000000"/>
    <numFmt numFmtId="172" formatCode="m/d/yy;@"/>
    <numFmt numFmtId="173" formatCode="&quot;$&quot;#,##0.00;[Red]&quot;$&quot;#,##0.00"/>
    <numFmt numFmtId="174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25" applyFont="1" applyBorder="1" applyAlignment="1">
      <alignment horizontal="left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25" applyFont="1">
      <alignment horizontal="right"/>
      <protection/>
    </xf>
    <xf numFmtId="0" fontId="0" fillId="0" borderId="0" xfId="25" applyFont="1">
      <alignment horizontal="right"/>
      <protection/>
    </xf>
    <xf numFmtId="0" fontId="0" fillId="0" borderId="0" xfId="25" applyFont="1">
      <alignment/>
      <protection/>
    </xf>
    <xf numFmtId="5" fontId="0" fillId="0" borderId="0" xfId="0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5" fontId="0" fillId="0" borderId="2" xfId="18" applyNumberFormat="1" applyBorder="1" applyAlignment="1">
      <alignment/>
    </xf>
    <xf numFmtId="5" fontId="0" fillId="0" borderId="1" xfId="18" applyNumberFormat="1" applyBorder="1" applyAlignment="1">
      <alignment/>
    </xf>
    <xf numFmtId="5" fontId="0" fillId="0" borderId="0" xfId="18" applyNumberForma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25" applyNumberFormat="1">
      <alignment/>
      <protection/>
    </xf>
    <xf numFmtId="5" fontId="0" fillId="0" borderId="0" xfId="25" applyNumberFormat="1" applyFont="1">
      <alignment horizontal="centerContinuous"/>
      <protection/>
    </xf>
    <xf numFmtId="5" fontId="0" fillId="0" borderId="0" xfId="25" applyNumberFormat="1" applyFont="1">
      <alignment horizontal="centerContinuous"/>
      <protection/>
    </xf>
    <xf numFmtId="5" fontId="0" fillId="0" borderId="0" xfId="18" applyNumberFormat="1" applyFont="1" applyAlignment="1">
      <alignment/>
    </xf>
    <xf numFmtId="5" fontId="0" fillId="0" borderId="1" xfId="18" applyNumberFormat="1" applyFont="1" applyBorder="1" applyAlignment="1">
      <alignment/>
    </xf>
    <xf numFmtId="5" fontId="0" fillId="0" borderId="0" xfId="25" applyNumberFormat="1" applyFont="1">
      <alignment/>
      <protection/>
    </xf>
    <xf numFmtId="5" fontId="0" fillId="0" borderId="0" xfId="0" applyNumberFormat="1" applyAlignment="1">
      <alignment/>
    </xf>
    <xf numFmtId="5" fontId="0" fillId="0" borderId="0" xfId="25" applyNumberFormat="1" applyFont="1" applyAlignment="1">
      <alignment horizontal="left"/>
      <protection/>
    </xf>
    <xf numFmtId="5" fontId="0" fillId="0" borderId="0" xfId="25" applyNumberFormat="1" applyFont="1">
      <alignment horizontal="centerContinuous"/>
      <protection/>
    </xf>
    <xf numFmtId="5" fontId="0" fillId="0" borderId="0" xfId="25" applyNumberFormat="1" applyFont="1">
      <alignment horizontal="centerContinuous"/>
      <protection/>
    </xf>
    <xf numFmtId="5" fontId="4" fillId="0" borderId="0" xfId="0" applyNumberFormat="1" applyFont="1" applyBorder="1" applyAlignment="1">
      <alignment horizontal="left"/>
    </xf>
    <xf numFmtId="5" fontId="0" fillId="0" borderId="0" xfId="25" applyNumberFormat="1" applyFont="1" applyAlignment="1">
      <alignment horizontal="center"/>
      <protection/>
    </xf>
    <xf numFmtId="5" fontId="0" fillId="0" borderId="0" xfId="18" applyNumberFormat="1" applyFont="1" applyBorder="1" applyAlignment="1">
      <alignment/>
    </xf>
    <xf numFmtId="5" fontId="0" fillId="0" borderId="0" xfId="21" applyNumberFormat="1" applyFont="1" applyBorder="1" applyAlignment="1">
      <alignment/>
    </xf>
    <xf numFmtId="5" fontId="0" fillId="0" borderId="0" xfId="21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9" fontId="0" fillId="0" borderId="0" xfId="26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0" fontId="4" fillId="0" borderId="0" xfId="25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25" applyFont="1" applyAlignment="1">
      <alignment horizontal="left"/>
      <protection/>
    </xf>
    <xf numFmtId="5" fontId="0" fillId="0" borderId="0" xfId="0" applyNumberFormat="1" applyFill="1" applyAlignment="1">
      <alignment/>
    </xf>
    <xf numFmtId="3" fontId="0" fillId="0" borderId="1" xfId="1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0" fillId="0" borderId="0" xfId="0" applyFill="1" applyAlignment="1">
      <alignment/>
    </xf>
    <xf numFmtId="5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5" fontId="0" fillId="0" borderId="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66" fontId="0" fillId="0" borderId="0" xfId="15" applyNumberFormat="1" applyFont="1" applyBorder="1" applyAlignment="1">
      <alignment horizontal="right"/>
    </xf>
    <xf numFmtId="174" fontId="0" fillId="0" borderId="0" xfId="15" applyNumberFormat="1" applyFont="1" applyBorder="1" applyAlignment="1">
      <alignment/>
    </xf>
    <xf numFmtId="174" fontId="0" fillId="0" borderId="1" xfId="15" applyNumberFormat="1" applyFont="1" applyBorder="1" applyAlignment="1">
      <alignment horizontal="right"/>
    </xf>
    <xf numFmtId="166" fontId="0" fillId="0" borderId="1" xfId="15" applyNumberFormat="1" applyFont="1" applyBorder="1" applyAlignment="1">
      <alignment horizontal="right"/>
    </xf>
    <xf numFmtId="166" fontId="0" fillId="0" borderId="0" xfId="18" applyNumberFormat="1" applyFont="1" applyBorder="1" applyAlignment="1">
      <alignment horizontal="right"/>
    </xf>
    <xf numFmtId="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5" fontId="0" fillId="0" borderId="0" xfId="15" applyNumberFormat="1" applyFont="1" applyAlignment="1">
      <alignment/>
    </xf>
    <xf numFmtId="9" fontId="0" fillId="0" borderId="0" xfId="26" applyFont="1" applyAlignment="1">
      <alignment/>
    </xf>
    <xf numFmtId="5" fontId="0" fillId="0" borderId="1" xfId="15" applyNumberFormat="1" applyFont="1" applyBorder="1" applyAlignment="1">
      <alignment/>
    </xf>
    <xf numFmtId="9" fontId="0" fillId="0" borderId="1" xfId="26" applyFont="1" applyBorder="1" applyAlignment="1">
      <alignment/>
    </xf>
    <xf numFmtId="0" fontId="0" fillId="0" borderId="0" xfId="25" applyAlignment="1">
      <alignment/>
      <protection/>
    </xf>
    <xf numFmtId="0" fontId="0" fillId="0" borderId="0" xfId="24">
      <alignment/>
      <protection/>
    </xf>
    <xf numFmtId="10" fontId="4" fillId="0" borderId="0" xfId="24" applyNumberFormat="1" applyFont="1" applyBorder="1" applyAlignment="1">
      <alignment horizontal="left"/>
      <protection/>
    </xf>
    <xf numFmtId="0" fontId="0" fillId="0" borderId="0" xfId="24" applyBorder="1">
      <alignment/>
      <protection/>
    </xf>
    <xf numFmtId="0" fontId="4" fillId="0" borderId="0" xfId="24" applyFont="1" applyBorder="1" applyAlignment="1">
      <alignment horizontal="left"/>
      <protection/>
    </xf>
    <xf numFmtId="0" fontId="4" fillId="0" borderId="0" xfId="24" applyFont="1">
      <alignment/>
      <protection/>
    </xf>
    <xf numFmtId="0" fontId="0" fillId="0" borderId="1" xfId="24" applyBorder="1">
      <alignment/>
      <protection/>
    </xf>
    <xf numFmtId="5" fontId="0" fillId="0" borderId="0" xfId="24" applyNumberFormat="1">
      <alignment/>
      <protection/>
    </xf>
    <xf numFmtId="166" fontId="0" fillId="0" borderId="0" xfId="24" applyNumberFormat="1">
      <alignment/>
      <protection/>
    </xf>
    <xf numFmtId="5" fontId="0" fillId="0" borderId="1" xfId="24" applyNumberFormat="1" applyBorder="1">
      <alignment/>
      <protection/>
    </xf>
    <xf numFmtId="166" fontId="0" fillId="0" borderId="1" xfId="24" applyNumberFormat="1" applyBorder="1">
      <alignment/>
      <protection/>
    </xf>
    <xf numFmtId="5" fontId="0" fillId="0" borderId="0" xfId="24" applyNumberFormat="1" applyBorder="1">
      <alignment/>
      <protection/>
    </xf>
    <xf numFmtId="0" fontId="0" fillId="0" borderId="0" xfId="0" applyNumberFormat="1" applyFill="1" applyAlignment="1">
      <alignment/>
    </xf>
    <xf numFmtId="42" fontId="0" fillId="0" borderId="0" xfId="18" applyNumberFormat="1" applyFont="1" applyAlignment="1">
      <alignment/>
    </xf>
    <xf numFmtId="5" fontId="0" fillId="0" borderId="1" xfId="0" applyNumberFormat="1" applyBorder="1" applyAlignment="1">
      <alignment/>
    </xf>
    <xf numFmtId="0" fontId="0" fillId="0" borderId="0" xfId="24" applyFont="1">
      <alignment/>
      <protection/>
    </xf>
    <xf numFmtId="166" fontId="0" fillId="0" borderId="0" xfId="24" applyNumberFormat="1" applyBorder="1">
      <alignment/>
      <protection/>
    </xf>
    <xf numFmtId="0" fontId="0" fillId="0" borderId="3" xfId="24" applyBorder="1">
      <alignment/>
      <protection/>
    </xf>
    <xf numFmtId="9" fontId="0" fillId="0" borderId="0" xfId="0" applyNumberFormat="1" applyFont="1" applyAlignment="1">
      <alignment horizontal="left"/>
    </xf>
    <xf numFmtId="5" fontId="0" fillId="0" borderId="0" xfId="18" applyNumberFormat="1" applyFont="1" applyBorder="1" applyAlignment="1">
      <alignment/>
    </xf>
    <xf numFmtId="5" fontId="0" fillId="0" borderId="4" xfId="0" applyNumberFormat="1" applyFont="1" applyBorder="1" applyAlignment="1">
      <alignment/>
    </xf>
    <xf numFmtId="5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5" fontId="0" fillId="0" borderId="4" xfId="0" applyNumberFormat="1" applyBorder="1" applyAlignment="1">
      <alignment/>
    </xf>
    <xf numFmtId="5" fontId="0" fillId="0" borderId="4" xfId="18" applyNumberFormat="1" applyFont="1" applyBorder="1" applyAlignment="1">
      <alignment/>
    </xf>
    <xf numFmtId="5" fontId="0" fillId="0" borderId="6" xfId="18" applyNumberFormat="1" applyFont="1" applyBorder="1" applyAlignment="1">
      <alignment/>
    </xf>
    <xf numFmtId="5" fontId="0" fillId="0" borderId="7" xfId="18" applyNumberFormat="1" applyFont="1" applyBorder="1" applyAlignment="1">
      <alignment/>
    </xf>
    <xf numFmtId="5" fontId="0" fillId="0" borderId="4" xfId="0" applyNumberFormat="1" applyFont="1" applyBorder="1" applyAlignment="1">
      <alignment/>
    </xf>
    <xf numFmtId="9" fontId="0" fillId="0" borderId="4" xfId="26" applyFont="1" applyBorder="1" applyAlignment="1">
      <alignment/>
    </xf>
    <xf numFmtId="0" fontId="0" fillId="0" borderId="4" xfId="0" applyFont="1" applyBorder="1" applyAlignment="1">
      <alignment/>
    </xf>
    <xf numFmtId="5" fontId="0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5" fontId="0" fillId="0" borderId="6" xfId="0" applyNumberFormat="1" applyFont="1" applyBorder="1" applyAlignment="1">
      <alignment/>
    </xf>
    <xf numFmtId="5" fontId="0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5" fontId="0" fillId="0" borderId="8" xfId="25" applyNumberFormat="1" applyFont="1" applyBorder="1" applyAlignment="1">
      <alignment horizontal="center"/>
      <protection/>
    </xf>
    <xf numFmtId="5" fontId="0" fillId="0" borderId="4" xfId="18" applyNumberFormat="1" applyFont="1" applyBorder="1" applyAlignment="1">
      <alignment/>
    </xf>
    <xf numFmtId="5" fontId="0" fillId="0" borderId="3" xfId="18" applyNumberFormat="1" applyFont="1" applyBorder="1" applyAlignment="1">
      <alignment/>
    </xf>
    <xf numFmtId="5" fontId="0" fillId="0" borderId="8" xfId="25" applyNumberFormat="1" applyFont="1" applyBorder="1">
      <alignment horizontal="centerContinuous"/>
      <protection/>
    </xf>
    <xf numFmtId="5" fontId="0" fillId="0" borderId="8" xfId="25" applyNumberFormat="1" applyFont="1" applyBorder="1">
      <alignment horizontal="centerContinuous"/>
      <protection/>
    </xf>
    <xf numFmtId="0" fontId="0" fillId="0" borderId="5" xfId="25" applyFont="1" applyBorder="1">
      <alignment/>
      <protection/>
    </xf>
    <xf numFmtId="5" fontId="0" fillId="0" borderId="0" xfId="25" applyNumberFormat="1" applyFont="1" applyBorder="1">
      <alignment/>
      <protection/>
    </xf>
    <xf numFmtId="0" fontId="4" fillId="0" borderId="5" xfId="25" applyFont="1" applyBorder="1">
      <alignment/>
      <protection/>
    </xf>
    <xf numFmtId="0" fontId="5" fillId="0" borderId="5" xfId="25" applyFont="1" applyBorder="1">
      <alignment/>
      <protection/>
    </xf>
    <xf numFmtId="0" fontId="0" fillId="0" borderId="5" xfId="25" applyFont="1" applyBorder="1">
      <alignment/>
      <protection/>
    </xf>
    <xf numFmtId="5" fontId="0" fillId="0" borderId="0" xfId="18" applyNumberFormat="1" applyFont="1" applyBorder="1" applyAlignment="1">
      <alignment horizontal="center"/>
    </xf>
    <xf numFmtId="0" fontId="4" fillId="0" borderId="5" xfId="25" applyFont="1" applyBorder="1" applyAlignment="1">
      <alignment horizontal="left"/>
      <protection/>
    </xf>
    <xf numFmtId="5" fontId="0" fillId="0" borderId="0" xfId="0" applyNumberFormat="1" applyBorder="1" applyAlignment="1">
      <alignment horizontal="center"/>
    </xf>
    <xf numFmtId="7" fontId="0" fillId="0" borderId="0" xfId="18" applyNumberFormat="1" applyFont="1" applyBorder="1" applyAlignment="1">
      <alignment/>
    </xf>
    <xf numFmtId="3" fontId="0" fillId="0" borderId="0" xfId="18" applyNumberFormat="1" applyFont="1" applyBorder="1" applyAlignment="1">
      <alignment/>
    </xf>
    <xf numFmtId="0" fontId="4" fillId="0" borderId="10" xfId="25" applyFont="1" applyBorder="1">
      <alignment/>
      <protection/>
    </xf>
    <xf numFmtId="0" fontId="0" fillId="0" borderId="4" xfId="25" applyFont="1" applyFill="1" applyBorder="1">
      <alignment horizontal="right"/>
      <protection/>
    </xf>
    <xf numFmtId="0" fontId="0" fillId="0" borderId="4" xfId="0" applyFont="1" applyBorder="1" applyAlignment="1">
      <alignment/>
    </xf>
    <xf numFmtId="0" fontId="0" fillId="0" borderId="4" xfId="25" applyFont="1" applyBorder="1">
      <alignment horizontal="right"/>
      <protection/>
    </xf>
    <xf numFmtId="0" fontId="0" fillId="0" borderId="4" xfId="25" applyFont="1" applyBorder="1">
      <alignment horizontal="right"/>
      <protection/>
    </xf>
    <xf numFmtId="0" fontId="0" fillId="0" borderId="9" xfId="25" applyFont="1" applyBorder="1" applyAlignment="1">
      <alignment horizontal="left"/>
      <protection/>
    </xf>
    <xf numFmtId="5" fontId="0" fillId="0" borderId="1" xfId="18" applyNumberFormat="1" applyFont="1" applyBorder="1" applyAlignment="1">
      <alignment/>
    </xf>
    <xf numFmtId="5" fontId="0" fillId="0" borderId="6" xfId="18" applyNumberFormat="1" applyFont="1" applyBorder="1" applyAlignment="1">
      <alignment/>
    </xf>
    <xf numFmtId="0" fontId="0" fillId="0" borderId="9" xfId="25" applyFont="1" applyBorder="1">
      <alignment/>
      <protection/>
    </xf>
    <xf numFmtId="0" fontId="0" fillId="0" borderId="11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5" fontId="0" fillId="0" borderId="6" xfId="0" applyNumberFormat="1" applyBorder="1" applyAlignment="1">
      <alignment/>
    </xf>
    <xf numFmtId="166" fontId="0" fillId="0" borderId="6" xfId="0" applyNumberFormat="1" applyFont="1" applyBorder="1" applyAlignment="1">
      <alignment/>
    </xf>
    <xf numFmtId="0" fontId="0" fillId="0" borderId="11" xfId="0" applyFont="1" applyBorder="1" applyAlignment="1">
      <alignment/>
    </xf>
    <xf numFmtId="5" fontId="0" fillId="0" borderId="4" xfId="0" applyNumberFormat="1" applyFont="1" applyBorder="1" applyAlignment="1">
      <alignment/>
    </xf>
    <xf numFmtId="5" fontId="0" fillId="0" borderId="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4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 horizontal="right"/>
    </xf>
    <xf numFmtId="173" fontId="0" fillId="0" borderId="4" xfId="0" applyNumberFormat="1" applyFill="1" applyBorder="1" applyAlignment="1">
      <alignment/>
    </xf>
    <xf numFmtId="173" fontId="0" fillId="0" borderId="4" xfId="0" applyNumberFormat="1" applyBorder="1" applyAlignment="1">
      <alignment/>
    </xf>
    <xf numFmtId="5" fontId="0" fillId="0" borderId="6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5" fontId="0" fillId="0" borderId="13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166" fontId="0" fillId="0" borderId="4" xfId="15" applyNumberFormat="1" applyFont="1" applyBorder="1" applyAlignment="1">
      <alignment horizontal="right"/>
    </xf>
    <xf numFmtId="174" fontId="0" fillId="0" borderId="9" xfId="15" applyNumberFormat="1" applyFont="1" applyBorder="1" applyAlignment="1">
      <alignment/>
    </xf>
    <xf numFmtId="166" fontId="0" fillId="0" borderId="6" xfId="15" applyNumberFormat="1" applyFont="1" applyBorder="1" applyAlignment="1">
      <alignment horizontal="right"/>
    </xf>
    <xf numFmtId="166" fontId="0" fillId="0" borderId="4" xfId="18" applyNumberFormat="1" applyFont="1" applyBorder="1" applyAlignment="1">
      <alignment horizontal="right"/>
    </xf>
    <xf numFmtId="5" fontId="0" fillId="0" borderId="4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" xfId="0" applyBorder="1" applyAlignment="1">
      <alignment horizontal="right"/>
    </xf>
    <xf numFmtId="5" fontId="0" fillId="0" borderId="3" xfId="0" applyNumberFormat="1" applyBorder="1" applyAlignment="1">
      <alignment/>
    </xf>
    <xf numFmtId="5" fontId="0" fillId="0" borderId="7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24" applyBorder="1">
      <alignment/>
      <protection/>
    </xf>
    <xf numFmtId="0" fontId="0" fillId="0" borderId="5" xfId="24" applyBorder="1">
      <alignment/>
      <protection/>
    </xf>
    <xf numFmtId="5" fontId="0" fillId="0" borderId="4" xfId="24" applyNumberFormat="1" applyBorder="1">
      <alignment/>
      <protection/>
    </xf>
    <xf numFmtId="0" fontId="0" fillId="0" borderId="9" xfId="24" applyBorder="1">
      <alignment/>
      <protection/>
    </xf>
    <xf numFmtId="5" fontId="0" fillId="0" borderId="6" xfId="24" applyNumberFormat="1" applyBorder="1">
      <alignment/>
      <protection/>
    </xf>
    <xf numFmtId="0" fontId="0" fillId="0" borderId="4" xfId="24" applyBorder="1">
      <alignment/>
      <protection/>
    </xf>
    <xf numFmtId="0" fontId="0" fillId="0" borderId="0" xfId="24" applyBorder="1" applyAlignment="1">
      <alignment horizontal="center"/>
      <protection/>
    </xf>
    <xf numFmtId="0" fontId="0" fillId="0" borderId="4" xfId="24" applyBorder="1" applyAlignment="1">
      <alignment horizontal="center"/>
      <protection/>
    </xf>
    <xf numFmtId="0" fontId="0" fillId="0" borderId="10" xfId="24" applyBorder="1">
      <alignment/>
      <protection/>
    </xf>
    <xf numFmtId="5" fontId="0" fillId="0" borderId="3" xfId="24" applyNumberFormat="1" applyBorder="1">
      <alignment/>
      <protection/>
    </xf>
    <xf numFmtId="5" fontId="0" fillId="0" borderId="7" xfId="24" applyNumberFormat="1" applyBorder="1">
      <alignment/>
      <protection/>
    </xf>
    <xf numFmtId="5" fontId="0" fillId="0" borderId="4" xfId="18" applyNumberFormat="1" applyBorder="1" applyAlignment="1">
      <alignment/>
    </xf>
    <xf numFmtId="0" fontId="0" fillId="0" borderId="5" xfId="0" applyFont="1" applyFill="1" applyBorder="1" applyAlignment="1">
      <alignment/>
    </xf>
    <xf numFmtId="5" fontId="0" fillId="0" borderId="13" xfId="18" applyNumberFormat="1" applyBorder="1" applyAlignment="1">
      <alignment/>
    </xf>
    <xf numFmtId="5" fontId="0" fillId="0" borderId="6" xfId="18" applyNumberFormat="1" applyBorder="1" applyAlignment="1">
      <alignment/>
    </xf>
    <xf numFmtId="0" fontId="0" fillId="0" borderId="10" xfId="0" applyBorder="1" applyAlignment="1">
      <alignment/>
    </xf>
    <xf numFmtId="5" fontId="0" fillId="0" borderId="14" xfId="18" applyNumberFormat="1" applyBorder="1" applyAlignment="1">
      <alignment/>
    </xf>
    <xf numFmtId="5" fontId="0" fillId="0" borderId="15" xfId="18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24" applyBorder="1" applyAlignment="1">
      <alignment horizontal="center"/>
      <protection/>
    </xf>
    <xf numFmtId="0" fontId="0" fillId="0" borderId="1" xfId="24" applyFill="1" applyBorder="1" applyAlignment="1">
      <alignment horizontal="center"/>
      <protection/>
    </xf>
    <xf numFmtId="14" fontId="0" fillId="0" borderId="1" xfId="24" applyNumberFormat="1" applyBorder="1" applyAlignment="1">
      <alignment horizontal="center"/>
      <protection/>
    </xf>
    <xf numFmtId="14" fontId="0" fillId="0" borderId="6" xfId="24" applyNumberFormat="1" applyBorder="1" applyAlignment="1">
      <alignment horizontal="center"/>
      <protection/>
    </xf>
    <xf numFmtId="0" fontId="4" fillId="0" borderId="12" xfId="24" applyFont="1" applyBorder="1">
      <alignment/>
      <protection/>
    </xf>
    <xf numFmtId="0" fontId="0" fillId="0" borderId="8" xfId="24" applyBorder="1" applyAlignment="1">
      <alignment horizontal="center"/>
      <protection/>
    </xf>
    <xf numFmtId="0" fontId="0" fillId="0" borderId="11" xfId="24" applyBorder="1">
      <alignment/>
      <protection/>
    </xf>
    <xf numFmtId="0" fontId="0" fillId="0" borderId="16" xfId="24" applyBorder="1">
      <alignment/>
      <protection/>
    </xf>
    <xf numFmtId="0" fontId="0" fillId="0" borderId="16" xfId="24" applyBorder="1" applyAlignment="1">
      <alignment horizontal="center"/>
      <protection/>
    </xf>
    <xf numFmtId="0" fontId="0" fillId="0" borderId="17" xfId="24" applyBorder="1">
      <alignment/>
      <protection/>
    </xf>
    <xf numFmtId="0" fontId="0" fillId="0" borderId="18" xfId="24" applyBorder="1" applyAlignment="1">
      <alignment horizontal="center"/>
      <protection/>
    </xf>
    <xf numFmtId="0" fontId="4" fillId="0" borderId="19" xfId="24" applyFont="1" applyBorder="1">
      <alignment/>
      <protection/>
    </xf>
    <xf numFmtId="0" fontId="0" fillId="0" borderId="20" xfId="24" applyBorder="1">
      <alignment/>
      <protection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/>
    </xf>
    <xf numFmtId="5" fontId="0" fillId="0" borderId="22" xfId="18" applyNumberFormat="1" applyBorder="1" applyAlignment="1">
      <alignment/>
    </xf>
    <xf numFmtId="0" fontId="4" fillId="0" borderId="21" xfId="0" applyFont="1" applyBorder="1" applyAlignment="1">
      <alignment/>
    </xf>
    <xf numFmtId="5" fontId="0" fillId="0" borderId="21" xfId="18" applyNumberFormat="1" applyBorder="1" applyAlignment="1">
      <alignment/>
    </xf>
    <xf numFmtId="5" fontId="0" fillId="0" borderId="23" xfId="18" applyNumberFormat="1" applyBorder="1" applyAlignment="1">
      <alignment/>
    </xf>
    <xf numFmtId="5" fontId="0" fillId="0" borderId="24" xfId="18" applyNumberForma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44" fontId="0" fillId="0" borderId="0" xfId="18" applyBorder="1" applyAlignment="1">
      <alignment/>
    </xf>
    <xf numFmtId="44" fontId="0" fillId="0" borderId="4" xfId="18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centerContinuous"/>
    </xf>
    <xf numFmtId="0" fontId="4" fillId="0" borderId="8" xfId="0" applyFont="1" applyBorder="1" applyAlignment="1">
      <alignment/>
    </xf>
    <xf numFmtId="5" fontId="0" fillId="0" borderId="18" xfId="18" applyNumberFormat="1" applyFont="1" applyBorder="1" applyAlignment="1">
      <alignment/>
    </xf>
    <xf numFmtId="5" fontId="0" fillId="0" borderId="26" xfId="18" applyNumberFormat="1" applyFont="1" applyBorder="1" applyAlignment="1">
      <alignment/>
    </xf>
    <xf numFmtId="5" fontId="0" fillId="0" borderId="21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26" xfId="18" applyNumberFormat="1" applyFont="1" applyBorder="1" applyAlignment="1">
      <alignment/>
    </xf>
    <xf numFmtId="5" fontId="0" fillId="0" borderId="18" xfId="18" applyNumberFormat="1" applyFont="1" applyBorder="1" applyAlignment="1">
      <alignment/>
    </xf>
    <xf numFmtId="3" fontId="0" fillId="0" borderId="21" xfId="0" applyNumberFormat="1" applyBorder="1" applyAlignment="1">
      <alignment/>
    </xf>
    <xf numFmtId="5" fontId="0" fillId="0" borderId="27" xfId="18" applyNumberFormat="1" applyFont="1" applyBorder="1" applyAlignment="1">
      <alignment/>
    </xf>
    <xf numFmtId="5" fontId="0" fillId="0" borderId="28" xfId="25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9" xfId="25" applyFont="1" applyFill="1" applyBorder="1">
      <alignment/>
      <protection/>
    </xf>
    <xf numFmtId="5" fontId="4" fillId="0" borderId="1" xfId="25" applyNumberFormat="1" applyFont="1" applyFill="1" applyBorder="1">
      <alignment/>
      <protection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8" xfId="0" applyFont="1" applyBorder="1" applyAlignment="1">
      <alignment/>
    </xf>
    <xf numFmtId="3" fontId="0" fillId="0" borderId="21" xfId="0" applyNumberFormat="1" applyFont="1" applyBorder="1" applyAlignment="1">
      <alignment/>
    </xf>
    <xf numFmtId="5" fontId="0" fillId="0" borderId="21" xfId="0" applyNumberFormat="1" applyFont="1" applyBorder="1" applyAlignment="1">
      <alignment/>
    </xf>
    <xf numFmtId="9" fontId="0" fillId="0" borderId="21" xfId="26" applyFont="1" applyBorder="1" applyAlignment="1">
      <alignment/>
    </xf>
    <xf numFmtId="5" fontId="0" fillId="0" borderId="21" xfId="0" applyNumberFormat="1" applyFont="1" applyBorder="1" applyAlignment="1">
      <alignment/>
    </xf>
    <xf numFmtId="5" fontId="0" fillId="0" borderId="23" xfId="0" applyNumberFormat="1" applyFont="1" applyBorder="1" applyAlignment="1">
      <alignment/>
    </xf>
    <xf numFmtId="5" fontId="0" fillId="0" borderId="29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/>
    </xf>
    <xf numFmtId="0" fontId="4" fillId="0" borderId="9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5" fontId="0" fillId="0" borderId="21" xfId="0" applyNumberFormat="1" applyFont="1" applyBorder="1" applyAlignment="1">
      <alignment/>
    </xf>
    <xf numFmtId="5" fontId="0" fillId="0" borderId="23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30" xfId="0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0" fontId="0" fillId="0" borderId="28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1" xfId="0" applyNumberFormat="1" applyFill="1" applyBorder="1" applyAlignment="1">
      <alignment/>
    </xf>
    <xf numFmtId="0" fontId="0" fillId="0" borderId="2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 horizontal="right"/>
    </xf>
    <xf numFmtId="173" fontId="0" fillId="0" borderId="21" xfId="0" applyNumberFormat="1" applyFill="1" applyBorder="1" applyAlignment="1">
      <alignment/>
    </xf>
    <xf numFmtId="173" fontId="0" fillId="0" borderId="21" xfId="0" applyNumberFormat="1" applyBorder="1" applyAlignment="1">
      <alignment/>
    </xf>
    <xf numFmtId="5" fontId="0" fillId="0" borderId="23" xfId="0" applyNumberFormat="1" applyFill="1" applyBorder="1" applyAlignment="1">
      <alignment/>
    </xf>
    <xf numFmtId="5" fontId="0" fillId="0" borderId="22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166" fontId="0" fillId="0" borderId="21" xfId="15" applyNumberFormat="1" applyFont="1" applyBorder="1" applyAlignment="1">
      <alignment horizontal="right"/>
    </xf>
    <xf numFmtId="166" fontId="0" fillId="0" borderId="23" xfId="15" applyNumberFormat="1" applyFont="1" applyBorder="1" applyAlignment="1">
      <alignment horizontal="right"/>
    </xf>
    <xf numFmtId="166" fontId="0" fillId="0" borderId="21" xfId="18" applyNumberFormat="1" applyFont="1" applyBorder="1" applyAlignment="1">
      <alignment horizontal="right"/>
    </xf>
    <xf numFmtId="5" fontId="0" fillId="0" borderId="21" xfId="0" applyNumberFormat="1" applyFill="1" applyBorder="1" applyAlignment="1">
      <alignment/>
    </xf>
    <xf numFmtId="5" fontId="0" fillId="0" borderId="29" xfId="0" applyNumberFormat="1" applyBorder="1" applyAlignment="1">
      <alignment/>
    </xf>
    <xf numFmtId="0" fontId="0" fillId="0" borderId="28" xfId="24" applyBorder="1">
      <alignment/>
      <protection/>
    </xf>
    <xf numFmtId="0" fontId="0" fillId="0" borderId="31" xfId="24" applyBorder="1">
      <alignment/>
      <protection/>
    </xf>
    <xf numFmtId="0" fontId="0" fillId="0" borderId="21" xfId="24" applyBorder="1" applyAlignment="1">
      <alignment horizontal="center"/>
      <protection/>
    </xf>
    <xf numFmtId="0" fontId="0" fillId="0" borderId="23" xfId="24" applyBorder="1" applyAlignment="1">
      <alignment horizontal="center"/>
      <protection/>
    </xf>
    <xf numFmtId="0" fontId="0" fillId="0" borderId="26" xfId="24" applyBorder="1" applyAlignment="1">
      <alignment horizontal="center"/>
      <protection/>
    </xf>
    <xf numFmtId="5" fontId="0" fillId="0" borderId="21" xfId="24" applyNumberFormat="1" applyBorder="1">
      <alignment/>
      <protection/>
    </xf>
    <xf numFmtId="14" fontId="0" fillId="0" borderId="18" xfId="24" applyNumberFormat="1" applyBorder="1">
      <alignment/>
      <protection/>
    </xf>
    <xf numFmtId="5" fontId="0" fillId="0" borderId="23" xfId="24" applyNumberFormat="1" applyBorder="1">
      <alignment/>
      <protection/>
    </xf>
    <xf numFmtId="14" fontId="0" fillId="0" borderId="26" xfId="24" applyNumberFormat="1" applyBorder="1">
      <alignment/>
      <protection/>
    </xf>
    <xf numFmtId="0" fontId="0" fillId="0" borderId="18" xfId="24" applyBorder="1">
      <alignment/>
      <protection/>
    </xf>
    <xf numFmtId="5" fontId="0" fillId="0" borderId="32" xfId="24" applyNumberFormat="1" applyBorder="1">
      <alignment/>
      <protection/>
    </xf>
    <xf numFmtId="5" fontId="0" fillId="0" borderId="29" xfId="24" applyNumberFormat="1" applyBorder="1">
      <alignment/>
      <protection/>
    </xf>
    <xf numFmtId="0" fontId="0" fillId="0" borderId="27" xfId="24" applyBorder="1">
      <alignment/>
      <protection/>
    </xf>
    <xf numFmtId="5" fontId="0" fillId="0" borderId="23" xfId="0" applyNumberFormat="1" applyBorder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Currency0_WaterCoRATEBASE2" xfId="21"/>
    <cellStyle name="Followed Hyperlink" xfId="22"/>
    <cellStyle name="Hyperlink" xfId="23"/>
    <cellStyle name="Normal 2" xfId="24"/>
    <cellStyle name="Normal_WaterCoRATEBASE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L1" sqref="L1"/>
    </sheetView>
  </sheetViews>
  <sheetFormatPr defaultColWidth="9.140625" defaultRowHeight="12.75"/>
  <cols>
    <col min="1" max="1" width="4.00390625" style="0" customWidth="1"/>
    <col min="2" max="2" width="49.421875" style="0" bestFit="1" customWidth="1"/>
    <col min="3" max="4" width="10.7109375" style="40" customWidth="1"/>
    <col min="5" max="5" width="3.140625" style="40" customWidth="1"/>
    <col min="6" max="11" width="10.7109375" style="40" customWidth="1"/>
    <col min="12" max="12" width="10.7109375" style="0" customWidth="1"/>
  </cols>
  <sheetData>
    <row r="1" spans="2:11" ht="12.75">
      <c r="B1" s="11" t="s">
        <v>81</v>
      </c>
      <c r="C1" s="34"/>
      <c r="D1" s="41"/>
      <c r="E1" s="41"/>
      <c r="G1" s="10"/>
      <c r="H1" s="10"/>
      <c r="J1" s="10"/>
      <c r="K1" s="10" t="s">
        <v>79</v>
      </c>
    </row>
    <row r="2" spans="2:11" ht="12.75">
      <c r="B2" s="13" t="s">
        <v>13</v>
      </c>
      <c r="C2" s="34"/>
      <c r="D2" s="41"/>
      <c r="E2" s="41"/>
      <c r="G2" s="11"/>
      <c r="H2" s="11"/>
      <c r="J2" s="11"/>
      <c r="K2" s="11" t="s">
        <v>80</v>
      </c>
    </row>
    <row r="3" spans="2:11" ht="12.75">
      <c r="B3" s="13" t="s">
        <v>195</v>
      </c>
      <c r="C3" s="35"/>
      <c r="D3" s="42"/>
      <c r="E3" s="42"/>
      <c r="G3" s="44"/>
      <c r="H3" s="44"/>
      <c r="J3" s="44"/>
      <c r="K3" s="44" t="s">
        <v>201</v>
      </c>
    </row>
    <row r="4" spans="1:11" ht="13.5" thickBot="1">
      <c r="A4" s="3"/>
      <c r="B4" s="3"/>
      <c r="C4" s="36"/>
      <c r="D4" s="43"/>
      <c r="E4" s="43"/>
      <c r="F4" s="45"/>
      <c r="G4" s="45"/>
      <c r="H4" s="45"/>
      <c r="I4" s="45"/>
      <c r="J4" s="45"/>
      <c r="K4" s="45"/>
    </row>
    <row r="5" spans="1:12" ht="12.75">
      <c r="A5" s="3"/>
      <c r="B5" s="175" t="s">
        <v>9</v>
      </c>
      <c r="C5" s="146"/>
      <c r="D5" s="147"/>
      <c r="E5" s="147"/>
      <c r="F5" s="270"/>
      <c r="G5" s="143"/>
      <c r="H5" s="143"/>
      <c r="I5" s="143"/>
      <c r="J5" s="143"/>
      <c r="K5" s="143"/>
      <c r="L5" s="167"/>
    </row>
    <row r="6" spans="1:12" ht="12.75">
      <c r="A6" s="23"/>
      <c r="B6" s="148"/>
      <c r="C6" s="149"/>
      <c r="D6" s="149"/>
      <c r="E6" s="149"/>
      <c r="F6" s="271" t="s">
        <v>108</v>
      </c>
      <c r="G6" s="54" t="s">
        <v>215</v>
      </c>
      <c r="H6" s="54" t="s">
        <v>215</v>
      </c>
      <c r="I6" s="54" t="s">
        <v>215</v>
      </c>
      <c r="J6" s="54" t="s">
        <v>215</v>
      </c>
      <c r="K6" s="54" t="s">
        <v>215</v>
      </c>
      <c r="L6" s="168" t="s">
        <v>215</v>
      </c>
    </row>
    <row r="7" spans="1:12" ht="12.75">
      <c r="A7" s="159"/>
      <c r="B7" s="272"/>
      <c r="C7" s="273"/>
      <c r="D7" s="273"/>
      <c r="E7" s="273"/>
      <c r="F7" s="274">
        <v>2008</v>
      </c>
      <c r="G7" s="275">
        <v>2009</v>
      </c>
      <c r="H7" s="275">
        <v>2010</v>
      </c>
      <c r="I7" s="275">
        <v>2011</v>
      </c>
      <c r="J7" s="275">
        <v>2012</v>
      </c>
      <c r="K7" s="275">
        <v>2013</v>
      </c>
      <c r="L7" s="249">
        <v>2014</v>
      </c>
    </row>
    <row r="8" spans="1:12" ht="12.75">
      <c r="A8" s="160"/>
      <c r="B8" s="135"/>
      <c r="C8" s="119"/>
      <c r="D8" s="119"/>
      <c r="E8" s="262"/>
      <c r="F8" s="119"/>
      <c r="G8" s="119"/>
      <c r="H8" s="119"/>
      <c r="I8" s="119"/>
      <c r="J8" s="119"/>
      <c r="K8" s="119"/>
      <c r="L8" s="169"/>
    </row>
    <row r="9" spans="1:12" ht="12.75">
      <c r="A9" s="161">
        <v>1</v>
      </c>
      <c r="B9" s="150" t="s">
        <v>14</v>
      </c>
      <c r="C9" s="119"/>
      <c r="D9" s="119"/>
      <c r="E9" s="262"/>
      <c r="F9" s="119">
        <f>+RevReq!D19</f>
        <v>85557.85380500651</v>
      </c>
      <c r="G9" s="119">
        <f>+RevReq!E19</f>
        <v>78274.40727428325</v>
      </c>
      <c r="H9" s="119">
        <f>+RevReq!F19</f>
        <v>74934.85348325182</v>
      </c>
      <c r="I9" s="119">
        <f>+RevReq!G19</f>
        <v>69508.62610271983</v>
      </c>
      <c r="J9" s="119">
        <f>+RevReq!H19</f>
        <v>62769.439233972116</v>
      </c>
      <c r="K9" s="119">
        <f>+RevReq!I19</f>
        <v>56902.220136046824</v>
      </c>
      <c r="L9" s="123">
        <f>RevReq!J19</f>
        <v>53386.034941968646</v>
      </c>
    </row>
    <row r="10" spans="1:12" ht="12.75">
      <c r="A10" s="161"/>
      <c r="B10" s="151" t="s">
        <v>15</v>
      </c>
      <c r="C10" s="119"/>
      <c r="D10" s="119"/>
      <c r="E10" s="262"/>
      <c r="F10" s="119"/>
      <c r="G10" s="119"/>
      <c r="H10" s="119"/>
      <c r="I10" s="119"/>
      <c r="J10" s="119"/>
      <c r="K10" s="119"/>
      <c r="L10" s="169"/>
    </row>
    <row r="11" spans="1:12" ht="12.75">
      <c r="A11" s="162">
        <v>2</v>
      </c>
      <c r="B11" s="166" t="s">
        <v>196</v>
      </c>
      <c r="C11" s="38"/>
      <c r="D11" s="114"/>
      <c r="E11" s="263" t="s">
        <v>69</v>
      </c>
      <c r="F11" s="38">
        <f>Projection!E29</f>
        <v>16500</v>
      </c>
      <c r="G11" s="38">
        <f>Projection!F29</f>
        <v>19500</v>
      </c>
      <c r="H11" s="38">
        <f>Projection!G29</f>
        <v>22500</v>
      </c>
      <c r="I11" s="38">
        <f>Projection!H29</f>
        <v>22500</v>
      </c>
      <c r="J11" s="38">
        <f>Projection!I29</f>
        <v>19500</v>
      </c>
      <c r="K11" s="38">
        <f>Projection!J29</f>
        <v>16500</v>
      </c>
      <c r="L11" s="170">
        <f>Projection!K29</f>
        <v>16500</v>
      </c>
    </row>
    <row r="12" spans="1:12" ht="12.75">
      <c r="A12" s="161">
        <v>3</v>
      </c>
      <c r="B12" s="148" t="s">
        <v>16</v>
      </c>
      <c r="C12" s="119"/>
      <c r="D12" s="119"/>
      <c r="E12" s="262"/>
      <c r="F12" s="119">
        <f aca="true" t="shared" si="0" ref="F12:L12">F9-F11</f>
        <v>69057.85380500651</v>
      </c>
      <c r="G12" s="119">
        <f t="shared" si="0"/>
        <v>58774.40727428325</v>
      </c>
      <c r="H12" s="119">
        <f t="shared" si="0"/>
        <v>52434.85348325182</v>
      </c>
      <c r="I12" s="119">
        <f t="shared" si="0"/>
        <v>47008.626102719834</v>
      </c>
      <c r="J12" s="119">
        <f t="shared" si="0"/>
        <v>43269.439233972116</v>
      </c>
      <c r="K12" s="119">
        <f t="shared" si="0"/>
        <v>40402.220136046824</v>
      </c>
      <c r="L12" s="124">
        <f t="shared" si="0"/>
        <v>36886.034941968646</v>
      </c>
    </row>
    <row r="13" spans="1:12" ht="12.75">
      <c r="A13" s="161"/>
      <c r="B13" s="122"/>
      <c r="C13" s="79"/>
      <c r="D13" s="79"/>
      <c r="E13" s="265"/>
      <c r="F13" s="79"/>
      <c r="G13" s="79"/>
      <c r="H13" s="79"/>
      <c r="I13" s="79"/>
      <c r="J13" s="79"/>
      <c r="K13" s="79"/>
      <c r="L13" s="169"/>
    </row>
    <row r="14" spans="1:12" ht="12.75">
      <c r="A14" s="161"/>
      <c r="B14" s="150" t="s">
        <v>67</v>
      </c>
      <c r="C14" s="119"/>
      <c r="D14" s="119"/>
      <c r="E14" s="262"/>
      <c r="F14" s="119"/>
      <c r="G14" s="119"/>
      <c r="H14" s="119"/>
      <c r="I14" s="119"/>
      <c r="J14" s="119"/>
      <c r="K14" s="119"/>
      <c r="L14" s="169"/>
    </row>
    <row r="15" spans="1:12" ht="12.75">
      <c r="A15" s="161">
        <v>4</v>
      </c>
      <c r="B15" s="148" t="s">
        <v>197</v>
      </c>
      <c r="C15" s="119"/>
      <c r="D15" s="79"/>
      <c r="E15" s="262" t="s">
        <v>70</v>
      </c>
      <c r="F15" s="119">
        <f>Projection!E25</f>
        <v>7140</v>
      </c>
      <c r="G15" s="119">
        <f>Projection!F25</f>
        <v>12600</v>
      </c>
      <c r="H15" s="119">
        <f>Projection!G25</f>
        <v>18900</v>
      </c>
      <c r="I15" s="119">
        <f>Projection!H25</f>
        <v>25200</v>
      </c>
      <c r="J15" s="119">
        <f>Projection!I25</f>
        <v>30660</v>
      </c>
      <c r="K15" s="119">
        <f>Projection!J25</f>
        <v>35280</v>
      </c>
      <c r="L15" s="123">
        <f>Projection!K25</f>
        <v>39900</v>
      </c>
    </row>
    <row r="16" spans="1:12" ht="12.75">
      <c r="A16" s="161">
        <v>5</v>
      </c>
      <c r="B16" s="163" t="s">
        <v>68</v>
      </c>
      <c r="C16" s="164"/>
      <c r="D16" s="164"/>
      <c r="E16" s="266"/>
      <c r="F16" s="164">
        <f aca="true" t="shared" si="1" ref="F16:L16">F12-F15</f>
        <v>61917.85380500651</v>
      </c>
      <c r="G16" s="164">
        <f t="shared" si="1"/>
        <v>46174.40727428325</v>
      </c>
      <c r="H16" s="164">
        <f t="shared" si="1"/>
        <v>33534.85348325182</v>
      </c>
      <c r="I16" s="164">
        <f t="shared" si="1"/>
        <v>21808.626102719834</v>
      </c>
      <c r="J16" s="164">
        <f t="shared" si="1"/>
        <v>12609.439233972116</v>
      </c>
      <c r="K16" s="164">
        <f t="shared" si="1"/>
        <v>5122.220136046824</v>
      </c>
      <c r="L16" s="165">
        <f t="shared" si="1"/>
        <v>-3013.9650580313537</v>
      </c>
    </row>
    <row r="17" spans="1:12" ht="12.75">
      <c r="A17" s="161"/>
      <c r="B17" s="152"/>
      <c r="C17" s="153"/>
      <c r="D17" s="153"/>
      <c r="E17" s="267"/>
      <c r="F17" s="119"/>
      <c r="G17" s="119"/>
      <c r="H17" s="119"/>
      <c r="I17" s="119"/>
      <c r="J17" s="119"/>
      <c r="K17" s="119"/>
      <c r="L17" s="169"/>
    </row>
    <row r="18" spans="1:12" ht="12.75">
      <c r="A18" s="162"/>
      <c r="B18" s="152"/>
      <c r="C18" s="153" t="s">
        <v>222</v>
      </c>
      <c r="D18" s="153" t="s">
        <v>213</v>
      </c>
      <c r="E18" s="267"/>
      <c r="F18" s="46"/>
      <c r="G18" s="46"/>
      <c r="H18" s="46"/>
      <c r="I18" s="46"/>
      <c r="J18" s="46"/>
      <c r="K18" s="46"/>
      <c r="L18" s="169"/>
    </row>
    <row r="19" spans="1:12" ht="12.75">
      <c r="A19" s="162"/>
      <c r="B19" s="154" t="s">
        <v>88</v>
      </c>
      <c r="C19" s="155" t="s">
        <v>94</v>
      </c>
      <c r="D19" s="153" t="s">
        <v>214</v>
      </c>
      <c r="E19" s="267"/>
      <c r="F19" s="46"/>
      <c r="G19" s="46"/>
      <c r="H19" s="46"/>
      <c r="I19" s="46"/>
      <c r="J19" s="46"/>
      <c r="K19" s="46"/>
      <c r="L19" s="169"/>
    </row>
    <row r="20" spans="1:12" ht="12.75">
      <c r="A20" s="162">
        <v>6</v>
      </c>
      <c r="B20" s="152" t="s">
        <v>89</v>
      </c>
      <c r="C20" s="84">
        <v>0</v>
      </c>
      <c r="D20" s="156">
        <v>2.5</v>
      </c>
      <c r="E20" s="267"/>
      <c r="F20" s="46">
        <f aca="true" t="shared" si="2" ref="F20:L20">$C20/1000*$D20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144">
        <f t="shared" si="2"/>
        <v>0</v>
      </c>
    </row>
    <row r="21" spans="1:12" ht="12.75">
      <c r="A21" s="162">
        <v>7</v>
      </c>
      <c r="B21" s="152" t="s">
        <v>90</v>
      </c>
      <c r="C21" s="84">
        <v>0</v>
      </c>
      <c r="D21" s="156">
        <v>3</v>
      </c>
      <c r="E21" s="267"/>
      <c r="F21" s="46">
        <f aca="true" t="shared" si="3" ref="F21:L24">$C21/1000*$D21</f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144">
        <f t="shared" si="3"/>
        <v>0</v>
      </c>
    </row>
    <row r="22" spans="1:12" ht="12.75">
      <c r="A22" s="162">
        <v>8</v>
      </c>
      <c r="B22" s="152" t="s">
        <v>91</v>
      </c>
      <c r="C22" s="84">
        <v>0</v>
      </c>
      <c r="D22" s="156">
        <v>3.5</v>
      </c>
      <c r="E22" s="267"/>
      <c r="F22" s="46">
        <f t="shared" si="3"/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144">
        <f t="shared" si="3"/>
        <v>0</v>
      </c>
    </row>
    <row r="23" spans="1:12" ht="12.75">
      <c r="A23" s="162">
        <v>9</v>
      </c>
      <c r="B23" s="152" t="s">
        <v>92</v>
      </c>
      <c r="C23" s="84">
        <v>0</v>
      </c>
      <c r="D23" s="156">
        <v>4</v>
      </c>
      <c r="E23" s="267"/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>
        <f t="shared" si="3"/>
        <v>0</v>
      </c>
      <c r="K23" s="46">
        <f t="shared" si="3"/>
        <v>0</v>
      </c>
      <c r="L23" s="144">
        <f t="shared" si="3"/>
        <v>0</v>
      </c>
    </row>
    <row r="24" spans="1:12" ht="12.75">
      <c r="A24" s="162">
        <v>10</v>
      </c>
      <c r="B24" s="152" t="s">
        <v>93</v>
      </c>
      <c r="C24" s="84">
        <v>0</v>
      </c>
      <c r="D24" s="156">
        <v>5</v>
      </c>
      <c r="E24" s="267"/>
      <c r="F24" s="46">
        <f t="shared" si="3"/>
        <v>0</v>
      </c>
      <c r="G24" s="46">
        <f t="shared" si="3"/>
        <v>0</v>
      </c>
      <c r="H24" s="46">
        <f t="shared" si="3"/>
        <v>0</v>
      </c>
      <c r="I24" s="46">
        <f t="shared" si="3"/>
        <v>0</v>
      </c>
      <c r="J24" s="46">
        <f t="shared" si="3"/>
        <v>0</v>
      </c>
      <c r="K24" s="46">
        <f t="shared" si="3"/>
        <v>0</v>
      </c>
      <c r="L24" s="144">
        <f t="shared" si="3"/>
        <v>0</v>
      </c>
    </row>
    <row r="25" spans="1:12" ht="12.75">
      <c r="A25" s="162"/>
      <c r="B25" s="152"/>
      <c r="C25" s="157"/>
      <c r="D25" s="46"/>
      <c r="E25" s="267"/>
      <c r="F25" s="46"/>
      <c r="G25" s="46"/>
      <c r="H25" s="46"/>
      <c r="I25" s="46"/>
      <c r="J25" s="46"/>
      <c r="K25" s="46"/>
      <c r="L25" s="169"/>
    </row>
    <row r="26" spans="1:12" ht="12.75">
      <c r="A26" s="162">
        <v>11</v>
      </c>
      <c r="B26" s="166" t="s">
        <v>226</v>
      </c>
      <c r="C26" s="66">
        <f>SUM(C20:C24)</f>
        <v>0</v>
      </c>
      <c r="D26" s="38"/>
      <c r="E26" s="263"/>
      <c r="F26" s="38">
        <f>SUM(F20:F25)</f>
        <v>0</v>
      </c>
      <c r="G26" s="38">
        <f aca="true" t="shared" si="4" ref="G26:L26">SUM(G20:G25)</f>
        <v>0</v>
      </c>
      <c r="H26" s="38">
        <f t="shared" si="4"/>
        <v>0</v>
      </c>
      <c r="I26" s="38">
        <f t="shared" si="4"/>
        <v>0</v>
      </c>
      <c r="J26" s="38">
        <f t="shared" si="4"/>
        <v>0</v>
      </c>
      <c r="K26" s="38">
        <f t="shared" si="4"/>
        <v>0</v>
      </c>
      <c r="L26" s="125">
        <f t="shared" si="4"/>
        <v>0</v>
      </c>
    </row>
    <row r="27" spans="1:12" ht="12.75">
      <c r="A27" s="162"/>
      <c r="B27" s="152"/>
      <c r="C27" s="46"/>
      <c r="D27" s="46"/>
      <c r="E27" s="267"/>
      <c r="F27" s="46"/>
      <c r="G27" s="46"/>
      <c r="H27" s="46"/>
      <c r="I27" s="46"/>
      <c r="J27" s="46"/>
      <c r="K27" s="46"/>
      <c r="L27" s="169"/>
    </row>
    <row r="28" spans="1:12" ht="12.75">
      <c r="A28" s="162">
        <v>12</v>
      </c>
      <c r="B28" s="166" t="s">
        <v>227</v>
      </c>
      <c r="C28" s="38"/>
      <c r="D28" s="38"/>
      <c r="E28" s="263"/>
      <c r="F28" s="344">
        <f>F11+F15+F26</f>
        <v>23640</v>
      </c>
      <c r="G28" s="114">
        <f aca="true" t="shared" si="5" ref="G28:L28">G11+G15+G26</f>
        <v>32100</v>
      </c>
      <c r="H28" s="114">
        <f t="shared" si="5"/>
        <v>41400</v>
      </c>
      <c r="I28" s="114">
        <f t="shared" si="5"/>
        <v>47700</v>
      </c>
      <c r="J28" s="114">
        <f t="shared" si="5"/>
        <v>50160</v>
      </c>
      <c r="K28" s="114">
        <f t="shared" si="5"/>
        <v>51780</v>
      </c>
      <c r="L28" s="170">
        <f t="shared" si="5"/>
        <v>56400</v>
      </c>
    </row>
    <row r="29" spans="1:12" ht="12.75">
      <c r="A29" s="162"/>
      <c r="B29" s="152"/>
      <c r="C29" s="46"/>
      <c r="D29" s="46"/>
      <c r="E29" s="267"/>
      <c r="F29" s="46"/>
      <c r="G29" s="46"/>
      <c r="H29" s="46"/>
      <c r="I29" s="46"/>
      <c r="J29" s="46"/>
      <c r="K29" s="46"/>
      <c r="L29" s="169"/>
    </row>
    <row r="30" spans="1:12" ht="13.5" thickBot="1">
      <c r="A30" s="162">
        <v>13</v>
      </c>
      <c r="B30" s="158" t="s">
        <v>78</v>
      </c>
      <c r="C30" s="145"/>
      <c r="D30" s="145"/>
      <c r="E30" s="269"/>
      <c r="F30" s="145">
        <f>-(F9-F28)</f>
        <v>-61917.85380500651</v>
      </c>
      <c r="G30" s="145">
        <f aca="true" t="shared" si="6" ref="G30:L30">-(G9-G28)</f>
        <v>-46174.40727428325</v>
      </c>
      <c r="H30" s="145">
        <f t="shared" si="6"/>
        <v>-33534.85348325182</v>
      </c>
      <c r="I30" s="145">
        <f t="shared" si="6"/>
        <v>-21808.626102719834</v>
      </c>
      <c r="J30" s="145">
        <f t="shared" si="6"/>
        <v>-12609.439233972116</v>
      </c>
      <c r="K30" s="145">
        <f t="shared" si="6"/>
        <v>-5122.220136046824</v>
      </c>
      <c r="L30" s="126">
        <f t="shared" si="6"/>
        <v>3013.9650580313537</v>
      </c>
    </row>
    <row r="31" spans="1:11" ht="12.75">
      <c r="A31" s="24"/>
      <c r="B31" s="25"/>
      <c r="C31" s="37"/>
      <c r="D31" s="37"/>
      <c r="E31" s="37"/>
      <c r="F31" s="46"/>
      <c r="G31" s="46"/>
      <c r="H31" s="46"/>
      <c r="I31" s="46"/>
      <c r="J31" s="46"/>
      <c r="K31" s="46"/>
    </row>
    <row r="32" spans="1:12" ht="12.75">
      <c r="A32" s="24"/>
      <c r="B32" s="25"/>
      <c r="C32" s="39"/>
      <c r="D32" s="39"/>
      <c r="E32" s="39"/>
      <c r="F32" s="47"/>
      <c r="G32" s="47"/>
      <c r="H32" s="47"/>
      <c r="I32" s="47"/>
      <c r="J32" s="47"/>
      <c r="K32" s="47"/>
      <c r="L32" s="47"/>
    </row>
    <row r="33" spans="1:11" ht="12.75">
      <c r="A33" s="60"/>
      <c r="B33" s="25"/>
      <c r="C33" s="39"/>
      <c r="D33" s="39"/>
      <c r="E33" s="39"/>
      <c r="F33" s="48"/>
      <c r="G33" s="48"/>
      <c r="H33" s="48"/>
      <c r="I33" s="48"/>
      <c r="J33" s="48"/>
      <c r="K33" s="48"/>
    </row>
    <row r="34" spans="1:11" ht="12.75">
      <c r="A34" s="60" t="s">
        <v>186</v>
      </c>
      <c r="B34" s="25"/>
      <c r="C34" s="39"/>
      <c r="D34" s="39"/>
      <c r="E34" s="39"/>
      <c r="F34" s="48"/>
      <c r="G34" s="48"/>
      <c r="H34" s="48"/>
      <c r="I34" s="48"/>
      <c r="J34" s="48"/>
      <c r="K34" s="48"/>
    </row>
    <row r="35" spans="1:11" ht="12.75">
      <c r="A35" s="64" t="s">
        <v>69</v>
      </c>
      <c r="B35" t="s">
        <v>199</v>
      </c>
      <c r="D35" s="39"/>
      <c r="E35" s="39"/>
      <c r="F35" s="48"/>
      <c r="G35" s="48"/>
      <c r="H35" s="48"/>
      <c r="I35" s="48"/>
      <c r="J35" s="48"/>
      <c r="K35" s="48"/>
    </row>
    <row r="36" spans="1:3" ht="12.75">
      <c r="A36" t="s">
        <v>70</v>
      </c>
      <c r="B36" s="25" t="s">
        <v>200</v>
      </c>
      <c r="C36" s="112"/>
    </row>
    <row r="37" ht="12.75">
      <c r="C37" s="65"/>
    </row>
    <row r="38" ht="12.75">
      <c r="C38" s="39"/>
    </row>
    <row r="39" ht="12.75">
      <c r="C39" s="112"/>
    </row>
    <row r="40" ht="12.75">
      <c r="C40" s="65"/>
    </row>
  </sheetData>
  <printOptions/>
  <pageMargins left="0.44" right="0.5" top="0.74" bottom="1" header="0.5" footer="0.5"/>
  <pageSetup fitToHeight="1" fitToWidth="1" horizontalDpi="600" verticalDpi="600" orientation="landscape" scale="85" r:id="rId1"/>
  <headerFooter alignWithMargins="0">
    <oddFooter>&amp;L&amp;Z&amp;F&amp;D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D13" sqref="D13"/>
    </sheetView>
  </sheetViews>
  <sheetFormatPr defaultColWidth="9.140625" defaultRowHeight="12.75"/>
  <cols>
    <col min="1" max="1" width="4.7109375" style="3" customWidth="1"/>
    <col min="2" max="2" width="33.00390625" style="3" customWidth="1"/>
    <col min="3" max="3" width="8.7109375" style="3" bestFit="1" customWidth="1"/>
    <col min="4" max="10" width="10.7109375" style="3" customWidth="1"/>
    <col min="11" max="16384" width="9.140625" style="3" customWidth="1"/>
  </cols>
  <sheetData>
    <row r="1" spans="2:9" ht="12.75">
      <c r="B1" s="11" t="s">
        <v>81</v>
      </c>
      <c r="C1" s="9"/>
      <c r="H1" s="10"/>
      <c r="I1" s="10" t="s">
        <v>79</v>
      </c>
    </row>
    <row r="2" spans="2:9" ht="12.75">
      <c r="B2" s="12" t="s">
        <v>12</v>
      </c>
      <c r="C2" s="9"/>
      <c r="H2" s="11"/>
      <c r="I2" s="11" t="s">
        <v>80</v>
      </c>
    </row>
    <row r="3" spans="2:9" ht="12.75">
      <c r="B3" s="12" t="s">
        <v>106</v>
      </c>
      <c r="C3" s="9"/>
      <c r="H3" s="11"/>
      <c r="I3" s="11" t="s">
        <v>202</v>
      </c>
    </row>
    <row r="4" spans="1:3" ht="13.5" thickBot="1">
      <c r="A4" s="21"/>
      <c r="B4" s="22"/>
      <c r="C4" s="9"/>
    </row>
    <row r="5" spans="1:10" ht="12.75">
      <c r="A5" s="15"/>
      <c r="B5" s="175" t="s">
        <v>9</v>
      </c>
      <c r="C5" s="260"/>
      <c r="D5" s="279"/>
      <c r="E5" s="261"/>
      <c r="F5" s="261"/>
      <c r="G5" s="261"/>
      <c r="H5" s="261"/>
      <c r="I5" s="261"/>
      <c r="J5" s="172"/>
    </row>
    <row r="6" spans="2:10" ht="12.75">
      <c r="B6" s="176"/>
      <c r="C6" s="19"/>
      <c r="D6" s="271" t="s">
        <v>108</v>
      </c>
      <c r="E6" s="54" t="s">
        <v>215</v>
      </c>
      <c r="F6" s="54" t="s">
        <v>215</v>
      </c>
      <c r="G6" s="54" t="s">
        <v>215</v>
      </c>
      <c r="H6" s="54" t="s">
        <v>215</v>
      </c>
      <c r="I6" s="54" t="s">
        <v>215</v>
      </c>
      <c r="J6" s="168" t="s">
        <v>215</v>
      </c>
    </row>
    <row r="7" spans="1:10" ht="12.75">
      <c r="A7" s="139"/>
      <c r="B7" s="286"/>
      <c r="C7" s="287"/>
      <c r="D7" s="274">
        <v>2008</v>
      </c>
      <c r="E7" s="275">
        <v>2009</v>
      </c>
      <c r="F7" s="275">
        <v>2010</v>
      </c>
      <c r="G7" s="275">
        <v>2011</v>
      </c>
      <c r="H7" s="275">
        <v>2012</v>
      </c>
      <c r="I7" s="275">
        <v>2013</v>
      </c>
      <c r="J7" s="249">
        <v>2014</v>
      </c>
    </row>
    <row r="8" spans="1:10" ht="12.75">
      <c r="A8" s="140"/>
      <c r="B8" s="135"/>
      <c r="C8" s="70"/>
      <c r="D8" s="280"/>
      <c r="E8" s="9"/>
      <c r="F8" s="9"/>
      <c r="G8" s="9"/>
      <c r="H8" s="9"/>
      <c r="I8" s="9"/>
      <c r="J8" s="129"/>
    </row>
    <row r="9" spans="1:10" ht="12.75">
      <c r="A9" s="140">
        <v>1</v>
      </c>
      <c r="B9" s="135" t="s">
        <v>61</v>
      </c>
      <c r="C9" s="70"/>
      <c r="D9" s="281">
        <f>RateBase!E18</f>
        <v>286112.6436206784</v>
      </c>
      <c r="E9" s="33">
        <f>RateBase!F18</f>
        <v>251565.71132855501</v>
      </c>
      <c r="F9" s="33">
        <f>RateBase!G18</f>
        <v>213604.4180538216</v>
      </c>
      <c r="G9" s="33">
        <f>RateBase!H18</f>
        <v>176387.80754950125</v>
      </c>
      <c r="H9" s="33">
        <f>RateBase!I18</f>
        <v>144734.9350979732</v>
      </c>
      <c r="I9" s="33">
        <f>RateBase!J18</f>
        <v>118746.64372095464</v>
      </c>
      <c r="J9" s="127">
        <f>RateBase!K18</f>
        <v>93712.93469883864</v>
      </c>
    </row>
    <row r="10" spans="1:10" ht="12.75">
      <c r="A10" s="141">
        <v>2</v>
      </c>
      <c r="B10" s="135" t="s">
        <v>62</v>
      </c>
      <c r="C10" s="70"/>
      <c r="D10" s="282">
        <v>0.12</v>
      </c>
      <c r="E10" s="52">
        <v>0.12</v>
      </c>
      <c r="F10" s="52">
        <v>0.12</v>
      </c>
      <c r="G10" s="52">
        <v>0.12</v>
      </c>
      <c r="H10" s="52">
        <v>0.12</v>
      </c>
      <c r="I10" s="52">
        <v>0.12</v>
      </c>
      <c r="J10" s="128">
        <v>0.12</v>
      </c>
    </row>
    <row r="11" spans="1:10" ht="12.75">
      <c r="A11" s="141"/>
      <c r="B11" s="135"/>
      <c r="C11" s="70"/>
      <c r="D11" s="281"/>
      <c r="E11" s="33"/>
      <c r="F11" s="33"/>
      <c r="G11" s="33"/>
      <c r="H11" s="33"/>
      <c r="I11" s="33"/>
      <c r="J11" s="129"/>
    </row>
    <row r="12" spans="1:10" ht="12.75">
      <c r="A12" s="140">
        <v>3</v>
      </c>
      <c r="B12" s="135" t="s">
        <v>63</v>
      </c>
      <c r="C12" s="70"/>
      <c r="D12" s="283">
        <f aca="true" t="shared" si="0" ref="D12:J12">D9*D10</f>
        <v>34333.517234481405</v>
      </c>
      <c r="E12" s="28">
        <f t="shared" si="0"/>
        <v>30187.8853594266</v>
      </c>
      <c r="F12" s="28">
        <f t="shared" si="0"/>
        <v>25632.53016645859</v>
      </c>
      <c r="G12" s="28">
        <f t="shared" si="0"/>
        <v>21166.53690594015</v>
      </c>
      <c r="H12" s="28">
        <f t="shared" si="0"/>
        <v>17368.192211756785</v>
      </c>
      <c r="I12" s="28">
        <f t="shared" si="0"/>
        <v>14249.597246514557</v>
      </c>
      <c r="J12" s="121">
        <f t="shared" si="0"/>
        <v>11245.552163860637</v>
      </c>
    </row>
    <row r="13" spans="1:10" ht="12.75">
      <c r="A13" s="142">
        <v>4</v>
      </c>
      <c r="B13" s="136" t="s">
        <v>76</v>
      </c>
      <c r="C13" s="276" t="s">
        <v>69</v>
      </c>
      <c r="D13" s="283">
        <f aca="true" t="shared" si="1" ref="D13:J13">D12*$C28</f>
        <v>8583.379308620351</v>
      </c>
      <c r="E13" s="28">
        <f t="shared" si="1"/>
        <v>7546.97133985665</v>
      </c>
      <c r="F13" s="28">
        <f t="shared" si="1"/>
        <v>6408.132541614647</v>
      </c>
      <c r="G13" s="28">
        <f t="shared" si="1"/>
        <v>5291.634226485037</v>
      </c>
      <c r="H13" s="28">
        <f t="shared" si="1"/>
        <v>4342.048052939196</v>
      </c>
      <c r="I13" s="28">
        <f t="shared" si="1"/>
        <v>3562.399311628639</v>
      </c>
      <c r="J13" s="121">
        <f t="shared" si="1"/>
        <v>2811.3880409651592</v>
      </c>
    </row>
    <row r="14" spans="1:10" ht="12.75">
      <c r="A14" s="141"/>
      <c r="B14" s="135"/>
      <c r="C14" s="70"/>
      <c r="D14" s="281"/>
      <c r="E14" s="33"/>
      <c r="F14" s="33"/>
      <c r="G14" s="33"/>
      <c r="H14" s="33"/>
      <c r="I14" s="33"/>
      <c r="J14" s="129"/>
    </row>
    <row r="15" spans="1:10" ht="12.75">
      <c r="A15" s="141">
        <v>5</v>
      </c>
      <c r="B15" s="135" t="s">
        <v>64</v>
      </c>
      <c r="C15" s="70"/>
      <c r="D15" s="281">
        <f aca="true" t="shared" si="2" ref="D15:J15">SUM(D12:D14)</f>
        <v>42916.89654310176</v>
      </c>
      <c r="E15" s="33">
        <f t="shared" si="2"/>
        <v>37734.85669928325</v>
      </c>
      <c r="F15" s="33">
        <f t="shared" si="2"/>
        <v>32040.662708073236</v>
      </c>
      <c r="G15" s="33">
        <f t="shared" si="2"/>
        <v>26458.17113242519</v>
      </c>
      <c r="H15" s="33">
        <f t="shared" si="2"/>
        <v>21710.24026469598</v>
      </c>
      <c r="I15" s="33">
        <f t="shared" si="2"/>
        <v>17811.996558143197</v>
      </c>
      <c r="J15" s="127">
        <f t="shared" si="2"/>
        <v>14056.940204825796</v>
      </c>
    </row>
    <row r="16" spans="1:10" ht="12.75">
      <c r="A16" s="141"/>
      <c r="B16" s="135"/>
      <c r="C16" s="70"/>
      <c r="D16" s="281"/>
      <c r="E16" s="33"/>
      <c r="F16" s="33"/>
      <c r="G16" s="33"/>
      <c r="H16" s="33"/>
      <c r="I16" s="33"/>
      <c r="J16" s="129"/>
    </row>
    <row r="17" spans="1:10" ht="12.75">
      <c r="A17" s="140">
        <v>6</v>
      </c>
      <c r="B17" s="137" t="s">
        <v>0</v>
      </c>
      <c r="C17" s="277"/>
      <c r="D17" s="284">
        <f>Projection!E43</f>
        <v>42640.95726190476</v>
      </c>
      <c r="E17" s="29">
        <f>Projection!F43</f>
        <v>40539.550575</v>
      </c>
      <c r="F17" s="29">
        <f>Projection!G43</f>
        <v>42894.19077517858</v>
      </c>
      <c r="G17" s="29">
        <f>Projection!H43</f>
        <v>43050.45497029464</v>
      </c>
      <c r="H17" s="29">
        <f>Projection!I43</f>
        <v>41059.198969276134</v>
      </c>
      <c r="I17" s="29">
        <f>Projection!J43</f>
        <v>39090.22357790363</v>
      </c>
      <c r="J17" s="171">
        <f>Projection!K43</f>
        <v>39329.09473714285</v>
      </c>
    </row>
    <row r="18" spans="1:10" ht="12.75">
      <c r="A18" s="140"/>
      <c r="B18" s="135"/>
      <c r="C18" s="70"/>
      <c r="D18" s="283"/>
      <c r="E18" s="28"/>
      <c r="F18" s="28"/>
      <c r="G18" s="28"/>
      <c r="H18" s="28"/>
      <c r="I18" s="28"/>
      <c r="J18" s="129"/>
    </row>
    <row r="19" spans="1:10" ht="13.5" thickBot="1">
      <c r="A19" s="140">
        <v>7</v>
      </c>
      <c r="B19" s="138" t="s">
        <v>65</v>
      </c>
      <c r="C19" s="278"/>
      <c r="D19" s="285">
        <f aca="true" t="shared" si="3" ref="D19:J19">SUM(D15:D17)</f>
        <v>85557.85380500651</v>
      </c>
      <c r="E19" s="133">
        <f t="shared" si="3"/>
        <v>78274.40727428325</v>
      </c>
      <c r="F19" s="133">
        <f t="shared" si="3"/>
        <v>74934.85348325182</v>
      </c>
      <c r="G19" s="133">
        <f t="shared" si="3"/>
        <v>69508.62610271983</v>
      </c>
      <c r="H19" s="133">
        <f t="shared" si="3"/>
        <v>62769.439233972116</v>
      </c>
      <c r="I19" s="133">
        <f t="shared" si="3"/>
        <v>56902.220136046824</v>
      </c>
      <c r="J19" s="130">
        <f t="shared" si="3"/>
        <v>53386.034941968646</v>
      </c>
    </row>
    <row r="20" spans="1:9" ht="12.75">
      <c r="A20" s="1"/>
      <c r="B20" s="2"/>
      <c r="C20" s="9"/>
      <c r="D20" s="2"/>
      <c r="E20" s="2"/>
      <c r="F20" s="2"/>
      <c r="G20" s="2"/>
      <c r="H20" s="2"/>
      <c r="I20" s="2"/>
    </row>
    <row r="22" ht="12.75">
      <c r="A22" s="51"/>
    </row>
    <row r="23" ht="12.75">
      <c r="A23" s="51" t="s">
        <v>186</v>
      </c>
    </row>
    <row r="24" spans="1:2" ht="12.75">
      <c r="A24" s="3" t="s">
        <v>69</v>
      </c>
      <c r="B24" s="3" t="s">
        <v>77</v>
      </c>
    </row>
    <row r="25" spans="2:3" ht="12.75">
      <c r="B25" s="3" t="s">
        <v>97</v>
      </c>
      <c r="C25" s="59">
        <v>0.15</v>
      </c>
    </row>
    <row r="26" spans="2:3" ht="12.75">
      <c r="B26" s="3" t="s">
        <v>98</v>
      </c>
      <c r="C26" s="59">
        <v>0.05</v>
      </c>
    </row>
    <row r="27" spans="2:3" ht="12.75">
      <c r="B27" s="3" t="s">
        <v>96</v>
      </c>
      <c r="C27" s="59">
        <f>C26+C25</f>
        <v>0.2</v>
      </c>
    </row>
    <row r="28" spans="2:3" ht="12.75">
      <c r="B28" s="3" t="s">
        <v>223</v>
      </c>
      <c r="C28" s="59">
        <f>C27/(1-C27)</f>
        <v>0.25</v>
      </c>
    </row>
    <row r="29" spans="2:3" ht="12.75">
      <c r="B29" s="3" t="s">
        <v>95</v>
      </c>
      <c r="C29" s="113">
        <f>D12*C28</f>
        <v>8583.379308620351</v>
      </c>
    </row>
  </sheetData>
  <printOptions/>
  <pageMargins left="0.49" right="0.75" top="0.6" bottom="0.77" header="0.41" footer="0.5"/>
  <pageSetup fitToHeight="1" fitToWidth="1" horizontalDpi="600" verticalDpi="600" orientation="landscape" r:id="rId1"/>
  <headerFooter alignWithMargins="0">
    <oddFooter>&amp;L&amp;Z&amp;F&amp;D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D23" sqref="D23"/>
    </sheetView>
  </sheetViews>
  <sheetFormatPr defaultColWidth="9.140625" defaultRowHeight="12.75"/>
  <cols>
    <col min="1" max="1" width="6.00390625" style="3" bestFit="1" customWidth="1"/>
    <col min="2" max="2" width="42.7109375" style="3" bestFit="1" customWidth="1"/>
    <col min="3" max="3" width="3.28125" style="3" customWidth="1"/>
    <col min="4" max="4" width="12.7109375" style="3" customWidth="1"/>
    <col min="5" max="11" width="10.7109375" style="3" customWidth="1"/>
    <col min="12" max="16384" width="9.140625" style="3" customWidth="1"/>
  </cols>
  <sheetData>
    <row r="1" spans="2:10" ht="12.75">
      <c r="B1" s="11" t="s">
        <v>81</v>
      </c>
      <c r="C1" s="10"/>
      <c r="F1" s="10"/>
      <c r="G1" s="10"/>
      <c r="I1" s="10"/>
      <c r="J1" s="10" t="s">
        <v>79</v>
      </c>
    </row>
    <row r="2" spans="2:10" ht="12.75">
      <c r="B2" s="12" t="s">
        <v>84</v>
      </c>
      <c r="C2" s="11"/>
      <c r="F2" s="11"/>
      <c r="G2" s="11"/>
      <c r="I2" s="11"/>
      <c r="J2" s="11" t="s">
        <v>80</v>
      </c>
    </row>
    <row r="3" spans="2:10" ht="12.75">
      <c r="B3" s="12" t="s">
        <v>106</v>
      </c>
      <c r="C3" s="11"/>
      <c r="F3" s="11"/>
      <c r="G3" s="11"/>
      <c r="I3" s="11"/>
      <c r="J3" s="11" t="s">
        <v>203</v>
      </c>
    </row>
    <row r="4" spans="1:10" ht="13.5" thickBot="1">
      <c r="A4" s="4"/>
      <c r="B4" s="6"/>
      <c r="D4" s="5"/>
      <c r="E4" s="5"/>
      <c r="F4" s="5"/>
      <c r="G4" s="5"/>
      <c r="H4" s="5"/>
      <c r="I4" s="5"/>
      <c r="J4" s="5"/>
    </row>
    <row r="5" spans="1:11" ht="12.75">
      <c r="A5" s="18"/>
      <c r="B5" s="311" t="s">
        <v>9</v>
      </c>
      <c r="C5" s="309"/>
      <c r="D5" s="312"/>
      <c r="E5" s="310"/>
      <c r="F5" s="310"/>
      <c r="G5" s="310"/>
      <c r="H5" s="310"/>
      <c r="I5" s="310"/>
      <c r="J5" s="310"/>
      <c r="K5" s="172"/>
    </row>
    <row r="6" spans="1:11" ht="12.75">
      <c r="A6" s="1"/>
      <c r="B6" s="291"/>
      <c r="C6" s="49"/>
      <c r="D6" s="304" t="s">
        <v>10</v>
      </c>
      <c r="E6" s="53"/>
      <c r="F6" s="53"/>
      <c r="G6" s="53"/>
      <c r="H6" s="53"/>
      <c r="I6" s="53"/>
      <c r="J6" s="53"/>
      <c r="K6" s="129"/>
    </row>
    <row r="7" spans="1:11" ht="12.75">
      <c r="A7" s="1"/>
      <c r="B7" s="291"/>
      <c r="C7" s="49"/>
      <c r="D7" s="271" t="s">
        <v>105</v>
      </c>
      <c r="E7" s="54" t="s">
        <v>108</v>
      </c>
      <c r="F7" s="54" t="s">
        <v>215</v>
      </c>
      <c r="G7" s="54" t="s">
        <v>215</v>
      </c>
      <c r="H7" s="54" t="s">
        <v>215</v>
      </c>
      <c r="I7" s="54" t="s">
        <v>215</v>
      </c>
      <c r="J7" s="54" t="s">
        <v>215</v>
      </c>
      <c r="K7" s="168" t="s">
        <v>215</v>
      </c>
    </row>
    <row r="8" spans="1:11" ht="12.75">
      <c r="A8" s="134"/>
      <c r="B8" s="292"/>
      <c r="C8" s="288"/>
      <c r="D8" s="300">
        <v>2007</v>
      </c>
      <c r="E8" s="289">
        <v>2008</v>
      </c>
      <c r="F8" s="289">
        <v>2009</v>
      </c>
      <c r="G8" s="289">
        <v>2010</v>
      </c>
      <c r="H8" s="289">
        <v>2011</v>
      </c>
      <c r="I8" s="289">
        <v>2012</v>
      </c>
      <c r="J8" s="289">
        <v>2013</v>
      </c>
      <c r="K8" s="290">
        <v>2014</v>
      </c>
    </row>
    <row r="9" spans="1:11" ht="12.75">
      <c r="A9" s="1"/>
      <c r="B9" s="291" t="s">
        <v>75</v>
      </c>
      <c r="C9" s="7"/>
      <c r="D9" s="301"/>
      <c r="E9" s="8"/>
      <c r="F9" s="8"/>
      <c r="G9" s="8"/>
      <c r="H9" s="8"/>
      <c r="I9" s="8"/>
      <c r="J9" s="8"/>
      <c r="K9" s="129"/>
    </row>
    <row r="10" spans="1:11" ht="12.75">
      <c r="A10" s="1">
        <v>1</v>
      </c>
      <c r="B10" s="293" t="s">
        <v>56</v>
      </c>
      <c r="C10" s="26" t="s">
        <v>69</v>
      </c>
      <c r="D10" s="302">
        <f>Projection!D46</f>
        <v>759070</v>
      </c>
      <c r="E10" s="26">
        <f aca="true" t="shared" si="0" ref="E10:J10">D10+D11</f>
        <v>759070</v>
      </c>
      <c r="F10" s="26">
        <f t="shared" si="0"/>
        <v>767269.96</v>
      </c>
      <c r="G10" s="26">
        <f t="shared" si="0"/>
        <v>775469.9199999999</v>
      </c>
      <c r="H10" s="26">
        <f t="shared" si="0"/>
        <v>783669.8799999999</v>
      </c>
      <c r="I10" s="26">
        <f t="shared" si="0"/>
        <v>791869.8399999999</v>
      </c>
      <c r="J10" s="26">
        <f t="shared" si="0"/>
        <v>800069.7999999998</v>
      </c>
      <c r="K10" s="120">
        <f>Projection!K46</f>
        <v>808269.7599999998</v>
      </c>
    </row>
    <row r="11" spans="1:11" ht="12.75">
      <c r="A11" s="1">
        <v>2</v>
      </c>
      <c r="B11" s="294" t="s">
        <v>190</v>
      </c>
      <c r="C11" s="26" t="s">
        <v>70</v>
      </c>
      <c r="D11" s="302">
        <f>Projection!D47</f>
        <v>0</v>
      </c>
      <c r="E11" s="26">
        <f>Projection!E47</f>
        <v>8199.960000000001</v>
      </c>
      <c r="F11" s="26">
        <f>Projection!F47</f>
        <v>8199.960000000001</v>
      </c>
      <c r="G11" s="26">
        <f>Projection!G47</f>
        <v>8199.960000000001</v>
      </c>
      <c r="H11" s="26">
        <f>Projection!H47</f>
        <v>8199.960000000001</v>
      </c>
      <c r="I11" s="26">
        <f>Projection!I47</f>
        <v>8199.960000000001</v>
      </c>
      <c r="J11" s="26">
        <f>Projection!J47</f>
        <v>8199.960000000001</v>
      </c>
      <c r="K11" s="120">
        <f>Projection!K47</f>
        <v>8199.960000000001</v>
      </c>
    </row>
    <row r="12" spans="1:11" ht="12.75">
      <c r="A12" s="1">
        <v>3</v>
      </c>
      <c r="B12" s="295" t="s">
        <v>216</v>
      </c>
      <c r="C12" s="26" t="s">
        <v>71</v>
      </c>
      <c r="D12" s="302">
        <f>Projection!D48</f>
        <v>-420000</v>
      </c>
      <c r="E12" s="26">
        <f>Projection!E48</f>
        <v>-420000</v>
      </c>
      <c r="F12" s="26">
        <f>Projection!F48</f>
        <v>-420000</v>
      </c>
      <c r="G12" s="26">
        <f>Projection!G48</f>
        <v>-420000</v>
      </c>
      <c r="H12" s="26">
        <f>Projection!H48</f>
        <v>-420000</v>
      </c>
      <c r="I12" s="26">
        <f>Projection!I48</f>
        <v>-420000</v>
      </c>
      <c r="J12" s="26">
        <f>Projection!J48</f>
        <v>-420000</v>
      </c>
      <c r="K12" s="120">
        <f>Projection!K48</f>
        <v>-420000</v>
      </c>
    </row>
    <row r="13" spans="1:11" ht="12.75">
      <c r="A13" s="1">
        <v>4</v>
      </c>
      <c r="B13" s="293" t="s">
        <v>57</v>
      </c>
      <c r="C13" s="26" t="s">
        <v>73</v>
      </c>
      <c r="D13" s="302">
        <f>Projection!D49</f>
        <v>-12123.922857142858</v>
      </c>
      <c r="E13" s="26">
        <f>Projection!E49</f>
        <v>-24482.130285714287</v>
      </c>
      <c r="F13" s="26">
        <f>Projection!F49</f>
        <v>-37074.62228571429</v>
      </c>
      <c r="G13" s="26">
        <f>Projection!G49</f>
        <v>-49901.39885714286</v>
      </c>
      <c r="H13" s="26">
        <f>Projection!H49</f>
        <v>-62962.46000000001</v>
      </c>
      <c r="I13" s="26">
        <f>Projection!I49</f>
        <v>-76257.8057142857</v>
      </c>
      <c r="J13" s="26">
        <f>Projection!J49</f>
        <v>-89787.43599999999</v>
      </c>
      <c r="K13" s="120">
        <f>Projection!K49</f>
        <v>-103551.35085714285</v>
      </c>
    </row>
    <row r="14" spans="1:11" ht="12.75">
      <c r="A14" s="1">
        <v>5</v>
      </c>
      <c r="B14" s="293" t="s">
        <v>86</v>
      </c>
      <c r="C14" s="26" t="s">
        <v>191</v>
      </c>
      <c r="D14" s="302">
        <f>Projection!D50</f>
        <v>-15000</v>
      </c>
      <c r="E14" s="26">
        <f>Projection!E50</f>
        <v>-42500</v>
      </c>
      <c r="F14" s="26">
        <f>Projection!F50</f>
        <v>-75000</v>
      </c>
      <c r="G14" s="26">
        <f>Projection!G50</f>
        <v>-112500</v>
      </c>
      <c r="H14" s="26">
        <f>Projection!H50</f>
        <v>-150000</v>
      </c>
      <c r="I14" s="26">
        <f>Projection!I50</f>
        <v>-182500</v>
      </c>
      <c r="J14" s="26">
        <f>Projection!J50</f>
        <v>-210000</v>
      </c>
      <c r="K14" s="173">
        <f>Projection!K50</f>
        <v>-237500</v>
      </c>
    </row>
    <row r="15" spans="1:11" ht="12.75">
      <c r="A15" s="1">
        <v>6</v>
      </c>
      <c r="B15" s="296" t="s">
        <v>143</v>
      </c>
      <c r="C15" s="27" t="s">
        <v>194</v>
      </c>
      <c r="D15" s="303">
        <f>Projection!D51</f>
        <v>500</v>
      </c>
      <c r="E15" s="27">
        <f>Projection!E51</f>
        <v>1916.6666666666665</v>
      </c>
      <c r="F15" s="27">
        <f>Projection!F51</f>
        <v>4416.666666666666</v>
      </c>
      <c r="G15" s="27">
        <f>Projection!G51</f>
        <v>8166.666666666666</v>
      </c>
      <c r="H15" s="27">
        <f>Projection!H51</f>
        <v>13166.666666666666</v>
      </c>
      <c r="I15" s="27">
        <f>Projection!I51</f>
        <v>19249.999999999996</v>
      </c>
      <c r="J15" s="27">
        <f>Projection!J51</f>
        <v>26250</v>
      </c>
      <c r="K15" s="174">
        <f>Projection!K51</f>
        <v>34166.666666666664</v>
      </c>
    </row>
    <row r="16" spans="1:11" ht="12.75">
      <c r="A16" s="1">
        <v>7</v>
      </c>
      <c r="B16" s="293" t="s">
        <v>58</v>
      </c>
      <c r="C16" s="28"/>
      <c r="D16" s="283">
        <f aca="true" t="shared" si="1" ref="D16:K16">SUM(D10:D15)</f>
        <v>312446.07714285713</v>
      </c>
      <c r="E16" s="28">
        <f t="shared" si="1"/>
        <v>282204.49638095236</v>
      </c>
      <c r="F16" s="28">
        <f t="shared" si="1"/>
        <v>247811.96438095227</v>
      </c>
      <c r="G16" s="28">
        <f t="shared" si="1"/>
        <v>209435.14780952365</v>
      </c>
      <c r="H16" s="28">
        <f t="shared" si="1"/>
        <v>172074.0466666665</v>
      </c>
      <c r="I16" s="28">
        <f t="shared" si="1"/>
        <v>140561.9942857141</v>
      </c>
      <c r="J16" s="28">
        <f t="shared" si="1"/>
        <v>114732.32399999979</v>
      </c>
      <c r="K16" s="121">
        <f t="shared" si="1"/>
        <v>89585.03580952357</v>
      </c>
    </row>
    <row r="17" spans="1:11" ht="12.75">
      <c r="A17" s="1">
        <v>8</v>
      </c>
      <c r="B17" s="297" t="s">
        <v>59</v>
      </c>
      <c r="C17" s="27" t="s">
        <v>219</v>
      </c>
      <c r="D17" s="303">
        <f>Projection!D53</f>
        <v>2037.7676712328769</v>
      </c>
      <c r="E17" s="27">
        <f>Projection!E53</f>
        <v>3908.1472397260272</v>
      </c>
      <c r="F17" s="27">
        <f>Projection!F53</f>
        <v>3753.7469476027395</v>
      </c>
      <c r="G17" s="27">
        <f>Projection!G53</f>
        <v>4169.270244297945</v>
      </c>
      <c r="H17" s="27">
        <f>Projection!H53</f>
        <v>4313.760882834759</v>
      </c>
      <c r="I17" s="27">
        <f>Projection!I53</f>
        <v>4172.940812259092</v>
      </c>
      <c r="J17" s="27">
        <f>Projection!J53</f>
        <v>4014.31972095485</v>
      </c>
      <c r="K17" s="132">
        <f>Projection!K53</f>
        <v>4127.898889315067</v>
      </c>
    </row>
    <row r="18" spans="1:11" ht="13.5" thickBot="1">
      <c r="A18" s="58">
        <v>9</v>
      </c>
      <c r="B18" s="298" t="s">
        <v>60</v>
      </c>
      <c r="C18" s="133"/>
      <c r="D18" s="285">
        <f aca="true" t="shared" si="2" ref="D18:K18">D17+D16</f>
        <v>314483.84481409</v>
      </c>
      <c r="E18" s="133">
        <f t="shared" si="2"/>
        <v>286112.6436206784</v>
      </c>
      <c r="F18" s="133">
        <f t="shared" si="2"/>
        <v>251565.71132855501</v>
      </c>
      <c r="G18" s="133">
        <f t="shared" si="2"/>
        <v>213604.4180538216</v>
      </c>
      <c r="H18" s="133">
        <f t="shared" si="2"/>
        <v>176387.80754950125</v>
      </c>
      <c r="I18" s="133">
        <f t="shared" si="2"/>
        <v>144734.9350979732</v>
      </c>
      <c r="J18" s="133">
        <f t="shared" si="2"/>
        <v>118746.64372095464</v>
      </c>
      <c r="K18" s="130">
        <f t="shared" si="2"/>
        <v>93712.93469883864</v>
      </c>
    </row>
    <row r="19" spans="1:10" ht="12.75">
      <c r="A19" s="1"/>
      <c r="B19" s="55"/>
      <c r="C19" s="28"/>
      <c r="D19" s="28"/>
      <c r="E19" s="28"/>
      <c r="F19" s="28"/>
      <c r="G19" s="28"/>
      <c r="H19" s="28"/>
      <c r="I19" s="28"/>
      <c r="J19" s="28"/>
    </row>
    <row r="20" spans="1:10" ht="12.75">
      <c r="A20" s="1"/>
      <c r="B20" s="20"/>
      <c r="C20" s="28"/>
      <c r="D20" s="28"/>
      <c r="E20" s="28"/>
      <c r="F20" s="28"/>
      <c r="G20" s="28"/>
      <c r="H20" s="28"/>
      <c r="I20" s="28"/>
      <c r="J20" s="28"/>
    </row>
    <row r="21" spans="1:10" ht="12.75">
      <c r="A21" s="12"/>
      <c r="B21" s="20"/>
      <c r="C21" s="28"/>
      <c r="D21" s="28"/>
      <c r="E21" s="28"/>
      <c r="F21" s="28"/>
      <c r="G21" s="28"/>
      <c r="H21" s="28"/>
      <c r="I21" s="28"/>
      <c r="J21" s="28"/>
    </row>
    <row r="22" ht="12.75">
      <c r="A22" s="51" t="s">
        <v>186</v>
      </c>
    </row>
    <row r="23" spans="1:2" ht="12.75">
      <c r="A23" s="3" t="s">
        <v>69</v>
      </c>
      <c r="B23" t="s">
        <v>224</v>
      </c>
    </row>
    <row r="24" spans="1:2" ht="12.75">
      <c r="A24" s="3" t="s">
        <v>70</v>
      </c>
      <c r="B24" t="s">
        <v>192</v>
      </c>
    </row>
    <row r="25" spans="1:2" ht="12.75">
      <c r="A25" s="3" t="s">
        <v>71</v>
      </c>
      <c r="B25" t="s">
        <v>218</v>
      </c>
    </row>
    <row r="26" spans="1:2" ht="12.75">
      <c r="A26" s="3" t="s">
        <v>73</v>
      </c>
      <c r="B26" s="3" t="s">
        <v>225</v>
      </c>
    </row>
    <row r="27" spans="1:4" ht="12.75">
      <c r="A27" s="3" t="s">
        <v>191</v>
      </c>
      <c r="B27" s="3" t="s">
        <v>217</v>
      </c>
      <c r="D27" s="118">
        <f>Projection!G60</f>
        <v>0.625</v>
      </c>
    </row>
    <row r="28" spans="1:4" ht="12.75">
      <c r="A28" s="3" t="s">
        <v>194</v>
      </c>
      <c r="B28" s="3" t="s">
        <v>193</v>
      </c>
      <c r="D28" s="63"/>
    </row>
    <row r="29" spans="1:2" ht="12.75">
      <c r="A29" s="3" t="s">
        <v>219</v>
      </c>
      <c r="B29" s="3" t="s">
        <v>85</v>
      </c>
    </row>
  </sheetData>
  <printOptions/>
  <pageMargins left="0.51" right="0.5" top="1" bottom="1" header="0.5" footer="0.5"/>
  <pageSetup fitToHeight="1" fitToWidth="1" horizontalDpi="600" verticalDpi="600" orientation="landscape" scale="93" r:id="rId1"/>
  <headerFooter alignWithMargins="0">
    <oddFooter>&amp;L&amp;Z&amp;F&amp;D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6">
      <selection activeCell="A61" sqref="A61"/>
    </sheetView>
  </sheetViews>
  <sheetFormatPr defaultColWidth="9.140625" defaultRowHeight="12.75"/>
  <cols>
    <col min="1" max="1" width="4.28125" style="0" customWidth="1"/>
    <col min="2" max="2" width="50.00390625" style="0" bestFit="1" customWidth="1"/>
    <col min="3" max="6" width="14.7109375" style="0" customWidth="1"/>
    <col min="7" max="7" width="3.7109375" style="0" customWidth="1"/>
    <col min="8" max="8" width="14.7109375" style="0" customWidth="1"/>
    <col min="9" max="9" width="15.57421875" style="0" customWidth="1"/>
  </cols>
  <sheetData>
    <row r="1" spans="2:8" ht="12.75">
      <c r="B1" s="11" t="s">
        <v>81</v>
      </c>
      <c r="C1" s="11"/>
      <c r="D1" s="2"/>
      <c r="E1" s="17"/>
      <c r="F1" s="9"/>
      <c r="G1" s="9"/>
      <c r="H1" s="10" t="s">
        <v>79</v>
      </c>
    </row>
    <row r="2" spans="2:8" ht="12.75">
      <c r="B2" s="11" t="s">
        <v>1</v>
      </c>
      <c r="C2" s="11"/>
      <c r="D2" s="14"/>
      <c r="E2" s="15"/>
      <c r="F2" s="16"/>
      <c r="G2" s="16"/>
      <c r="H2" s="11" t="s">
        <v>80</v>
      </c>
    </row>
    <row r="3" spans="2:8" ht="12.75">
      <c r="B3" s="12" t="s">
        <v>100</v>
      </c>
      <c r="C3" s="12"/>
      <c r="D3" s="14"/>
      <c r="E3" s="15"/>
      <c r="F3" s="16"/>
      <c r="G3" s="16"/>
      <c r="H3" s="11" t="s">
        <v>204</v>
      </c>
    </row>
    <row r="4" ht="13.5" thickBot="1"/>
    <row r="5" spans="1:9" ht="12.75">
      <c r="A5" s="1"/>
      <c r="B5" s="242" t="s">
        <v>9</v>
      </c>
      <c r="C5" s="299"/>
      <c r="D5" s="307"/>
      <c r="E5" s="131"/>
      <c r="F5" s="307"/>
      <c r="G5" s="307"/>
      <c r="H5" s="131"/>
      <c r="I5" s="308"/>
    </row>
    <row r="6" spans="1:9" ht="12.75">
      <c r="A6" s="1"/>
      <c r="B6" s="243"/>
      <c r="C6" s="304" t="s">
        <v>105</v>
      </c>
      <c r="D6" s="49" t="s">
        <v>83</v>
      </c>
      <c r="E6" s="49" t="s">
        <v>74</v>
      </c>
      <c r="F6" s="50" t="s">
        <v>66</v>
      </c>
      <c r="G6" s="50"/>
      <c r="H6" s="49" t="s">
        <v>7</v>
      </c>
      <c r="I6" s="244" t="s">
        <v>7</v>
      </c>
    </row>
    <row r="7" spans="1:9" ht="12.75">
      <c r="A7" s="219"/>
      <c r="B7" s="247"/>
      <c r="C7" s="305">
        <v>2007</v>
      </c>
      <c r="D7" s="248">
        <v>2008</v>
      </c>
      <c r="E7" s="248" t="s">
        <v>11</v>
      </c>
      <c r="F7" s="248" t="s">
        <v>8</v>
      </c>
      <c r="G7" s="248"/>
      <c r="H7" s="248" t="s">
        <v>11</v>
      </c>
      <c r="I7" s="249" t="s">
        <v>8</v>
      </c>
    </row>
    <row r="8" spans="2:9" ht="12.75">
      <c r="B8" s="179" t="s">
        <v>17</v>
      </c>
      <c r="C8" s="236"/>
      <c r="D8" s="245"/>
      <c r="E8" s="245"/>
      <c r="F8" s="245"/>
      <c r="G8" s="245"/>
      <c r="H8" s="245"/>
      <c r="I8" s="246"/>
    </row>
    <row r="9" spans="1:9" ht="12.75">
      <c r="A9">
        <v>1</v>
      </c>
      <c r="B9" s="122" t="s">
        <v>18</v>
      </c>
      <c r="C9" s="233">
        <v>0</v>
      </c>
      <c r="D9" s="32">
        <f>Projection!E25</f>
        <v>7140</v>
      </c>
      <c r="E9" s="32">
        <v>0</v>
      </c>
      <c r="F9" s="32">
        <f>D9+E9</f>
        <v>7140</v>
      </c>
      <c r="G9" s="32"/>
      <c r="H9" s="32">
        <v>0</v>
      </c>
      <c r="I9" s="212">
        <f>F9+H9</f>
        <v>7140</v>
      </c>
    </row>
    <row r="10" spans="1:9" ht="12.75">
      <c r="A10">
        <v>2</v>
      </c>
      <c r="B10" s="213" t="s">
        <v>19</v>
      </c>
      <c r="C10" s="234">
        <v>0</v>
      </c>
      <c r="D10" s="32">
        <v>0</v>
      </c>
      <c r="E10" s="32">
        <v>0</v>
      </c>
      <c r="F10" s="32">
        <f>D10+E10</f>
        <v>0</v>
      </c>
      <c r="G10" s="32"/>
      <c r="H10" s="32">
        <v>0</v>
      </c>
      <c r="I10" s="212">
        <f>F10+H10</f>
        <v>0</v>
      </c>
    </row>
    <row r="11" spans="1:9" ht="12.75">
      <c r="A11">
        <v>3</v>
      </c>
      <c r="B11" s="240" t="s">
        <v>2</v>
      </c>
      <c r="C11" s="235">
        <f>SUM(C9:C10)</f>
        <v>0</v>
      </c>
      <c r="D11" s="30">
        <f>SUM(D9:D10)</f>
        <v>7140</v>
      </c>
      <c r="E11" s="30">
        <f>SUM(E9:E10)</f>
        <v>0</v>
      </c>
      <c r="F11" s="30">
        <f>SUM(F9:F10)</f>
        <v>7140</v>
      </c>
      <c r="G11" s="30"/>
      <c r="H11" s="30">
        <f>SUM(H9:H10)</f>
        <v>0</v>
      </c>
      <c r="I11" s="214">
        <f>SUM(I9:I10)</f>
        <v>7140</v>
      </c>
    </row>
    <row r="12" spans="2:9" ht="12.75">
      <c r="B12" s="122"/>
      <c r="C12" s="233"/>
      <c r="D12" s="32"/>
      <c r="E12" s="32"/>
      <c r="F12" s="32"/>
      <c r="G12" s="32"/>
      <c r="H12" s="32"/>
      <c r="I12" s="212"/>
    </row>
    <row r="13" spans="2:9" ht="12.75">
      <c r="B13" s="179" t="s">
        <v>3</v>
      </c>
      <c r="C13" s="236"/>
      <c r="D13" s="32"/>
      <c r="E13" s="32"/>
      <c r="F13" s="32"/>
      <c r="G13" s="32"/>
      <c r="H13" s="32"/>
      <c r="I13" s="212"/>
    </row>
    <row r="14" spans="1:9" ht="12.75">
      <c r="A14">
        <v>4</v>
      </c>
      <c r="B14" s="122" t="s">
        <v>20</v>
      </c>
      <c r="C14" s="233"/>
      <c r="D14" s="32">
        <v>0</v>
      </c>
      <c r="E14" s="32"/>
      <c r="F14" s="32">
        <f aca="true" t="shared" si="0" ref="F14:F20">D14+E14</f>
        <v>0</v>
      </c>
      <c r="G14" s="32"/>
      <c r="H14" s="32">
        <v>0</v>
      </c>
      <c r="I14" s="212">
        <f aca="true" t="shared" si="1" ref="I14:I20">F14+H14</f>
        <v>0</v>
      </c>
    </row>
    <row r="15" spans="1:9" ht="12.75">
      <c r="A15">
        <v>5</v>
      </c>
      <c r="B15" s="122" t="s">
        <v>21</v>
      </c>
      <c r="C15" s="233"/>
      <c r="D15" s="32">
        <v>0</v>
      </c>
      <c r="E15" s="32"/>
      <c r="F15" s="32">
        <f t="shared" si="0"/>
        <v>0</v>
      </c>
      <c r="G15" s="32"/>
      <c r="H15" s="32">
        <v>0</v>
      </c>
      <c r="I15" s="212">
        <f t="shared" si="1"/>
        <v>0</v>
      </c>
    </row>
    <row r="16" spans="1:9" ht="12.75">
      <c r="A16">
        <v>6</v>
      </c>
      <c r="B16" s="122" t="s">
        <v>72</v>
      </c>
      <c r="C16" s="233"/>
      <c r="D16" s="32">
        <v>0</v>
      </c>
      <c r="E16" s="32"/>
      <c r="F16" s="32">
        <f t="shared" si="0"/>
        <v>0</v>
      </c>
      <c r="G16" s="32"/>
      <c r="H16" s="32">
        <v>0</v>
      </c>
      <c r="I16" s="212">
        <f t="shared" si="1"/>
        <v>0</v>
      </c>
    </row>
    <row r="17" spans="1:9" ht="12.75">
      <c r="A17">
        <v>7</v>
      </c>
      <c r="B17" s="122" t="s">
        <v>4</v>
      </c>
      <c r="C17" s="237">
        <f>Projection!D27</f>
        <v>24000</v>
      </c>
      <c r="D17" s="32">
        <f>Projection!E27</f>
        <v>44000</v>
      </c>
      <c r="E17" s="32"/>
      <c r="F17" s="32">
        <f t="shared" si="0"/>
        <v>44000</v>
      </c>
      <c r="G17" s="32"/>
      <c r="H17" s="32">
        <v>0</v>
      </c>
      <c r="I17" s="212">
        <f t="shared" si="1"/>
        <v>44000</v>
      </c>
    </row>
    <row r="18" spans="1:9" ht="12.75">
      <c r="A18">
        <v>8</v>
      </c>
      <c r="B18" s="122" t="s">
        <v>101</v>
      </c>
      <c r="C18" s="237">
        <f>-Projection!D28</f>
        <v>-15000</v>
      </c>
      <c r="D18" s="32">
        <f>-Projection!E28</f>
        <v>-27500</v>
      </c>
      <c r="E18" s="32"/>
      <c r="F18" s="32">
        <f t="shared" si="0"/>
        <v>-27500</v>
      </c>
      <c r="G18" s="32"/>
      <c r="H18" s="32">
        <v>0</v>
      </c>
      <c r="I18" s="212">
        <f t="shared" si="1"/>
        <v>-27500</v>
      </c>
    </row>
    <row r="19" spans="1:9" ht="12.75">
      <c r="A19">
        <v>9</v>
      </c>
      <c r="B19" s="122" t="s">
        <v>49</v>
      </c>
      <c r="C19" s="233"/>
      <c r="D19" s="32">
        <v>0</v>
      </c>
      <c r="E19" s="32"/>
      <c r="F19" s="32">
        <f t="shared" si="0"/>
        <v>0</v>
      </c>
      <c r="G19" s="32"/>
      <c r="H19" s="32">
        <v>0</v>
      </c>
      <c r="I19" s="212">
        <f t="shared" si="1"/>
        <v>0</v>
      </c>
    </row>
    <row r="20" spans="1:9" ht="12.75">
      <c r="A20">
        <v>10</v>
      </c>
      <c r="B20" s="122" t="s">
        <v>48</v>
      </c>
      <c r="C20" s="233"/>
      <c r="D20" s="32">
        <v>0</v>
      </c>
      <c r="E20" s="32"/>
      <c r="F20" s="32">
        <f t="shared" si="0"/>
        <v>0</v>
      </c>
      <c r="G20" s="32"/>
      <c r="H20" s="32">
        <v>0</v>
      </c>
      <c r="I20" s="212">
        <f t="shared" si="1"/>
        <v>0</v>
      </c>
    </row>
    <row r="21" spans="1:9" ht="12.75">
      <c r="A21">
        <v>11</v>
      </c>
      <c r="B21" s="241" t="s">
        <v>22</v>
      </c>
      <c r="C21" s="235">
        <f>SUM(C14:C20)</f>
        <v>9000</v>
      </c>
      <c r="D21" s="30">
        <f>SUM(D14:D20)</f>
        <v>16500</v>
      </c>
      <c r="E21" s="30">
        <f>SUM(E14:E20)</f>
        <v>0</v>
      </c>
      <c r="F21" s="30">
        <f>SUM(F14:F20)</f>
        <v>16500</v>
      </c>
      <c r="G21" s="30"/>
      <c r="H21" s="30">
        <f>SUM(H14:H20)</f>
        <v>0</v>
      </c>
      <c r="I21" s="214">
        <f>SUM(I14:I20)</f>
        <v>16500</v>
      </c>
    </row>
    <row r="22" spans="1:9" ht="12.75">
      <c r="A22">
        <v>12</v>
      </c>
      <c r="B22" s="241" t="s">
        <v>5</v>
      </c>
      <c r="C22" s="238">
        <f>C11+C21</f>
        <v>9000</v>
      </c>
      <c r="D22" s="31">
        <f>D11+D21</f>
        <v>23640</v>
      </c>
      <c r="E22" s="31">
        <f>E11+E21</f>
        <v>0</v>
      </c>
      <c r="F22" s="31">
        <f>F11+F21</f>
        <v>23640</v>
      </c>
      <c r="G22" s="31"/>
      <c r="H22" s="31">
        <f>H11+H21</f>
        <v>0</v>
      </c>
      <c r="I22" s="215">
        <f>I11+I21</f>
        <v>23640</v>
      </c>
    </row>
    <row r="23" spans="2:9" ht="12.75">
      <c r="B23" s="122"/>
      <c r="C23" s="233"/>
      <c r="D23" s="32"/>
      <c r="E23" s="32"/>
      <c r="F23" s="32"/>
      <c r="G23" s="32"/>
      <c r="H23" s="32"/>
      <c r="I23" s="212"/>
    </row>
    <row r="24" spans="2:9" ht="12.75">
      <c r="B24" s="179" t="s">
        <v>52</v>
      </c>
      <c r="C24" s="236"/>
      <c r="D24" s="32"/>
      <c r="E24" s="32"/>
      <c r="F24" s="32"/>
      <c r="G24" s="32"/>
      <c r="H24" s="32"/>
      <c r="I24" s="212"/>
    </row>
    <row r="25" spans="1:9" ht="12.75">
      <c r="A25">
        <v>13</v>
      </c>
      <c r="B25" s="122" t="s">
        <v>23</v>
      </c>
      <c r="C25" s="237"/>
      <c r="D25" s="32"/>
      <c r="E25" s="32"/>
      <c r="F25" s="32">
        <f aca="true" t="shared" si="2" ref="F25:F40">D25+E25</f>
        <v>0</v>
      </c>
      <c r="G25" s="32"/>
      <c r="H25" s="32">
        <v>0</v>
      </c>
      <c r="I25" s="212">
        <f aca="true" t="shared" si="3" ref="I25:I40">F25+H25</f>
        <v>0</v>
      </c>
    </row>
    <row r="26" spans="1:9" ht="12.75">
      <c r="A26">
        <v>14</v>
      </c>
      <c r="B26" s="122" t="s">
        <v>24</v>
      </c>
      <c r="C26" s="237"/>
      <c r="D26" s="32"/>
      <c r="E26" s="32"/>
      <c r="F26" s="32">
        <f t="shared" si="2"/>
        <v>0</v>
      </c>
      <c r="G26" s="32"/>
      <c r="H26" s="32">
        <v>0</v>
      </c>
      <c r="I26" s="212">
        <f t="shared" si="3"/>
        <v>0</v>
      </c>
    </row>
    <row r="27" spans="1:9" ht="12.75">
      <c r="A27">
        <v>15</v>
      </c>
      <c r="B27" s="122" t="s">
        <v>25</v>
      </c>
      <c r="C27" s="237"/>
      <c r="D27" s="32"/>
      <c r="E27" s="32"/>
      <c r="F27" s="32">
        <f t="shared" si="2"/>
        <v>0</v>
      </c>
      <c r="G27" s="32"/>
      <c r="H27" s="32">
        <v>0</v>
      </c>
      <c r="I27" s="212">
        <f t="shared" si="3"/>
        <v>0</v>
      </c>
    </row>
    <row r="28" spans="1:9" ht="12.75">
      <c r="A28">
        <v>16</v>
      </c>
      <c r="B28" s="122" t="s">
        <v>26</v>
      </c>
      <c r="C28" s="237"/>
      <c r="D28" s="32"/>
      <c r="E28" s="32"/>
      <c r="F28" s="32">
        <f t="shared" si="2"/>
        <v>0</v>
      </c>
      <c r="G28" s="32"/>
      <c r="H28" s="32">
        <v>0</v>
      </c>
      <c r="I28" s="212">
        <f t="shared" si="3"/>
        <v>0</v>
      </c>
    </row>
    <row r="29" spans="1:9" ht="12.75">
      <c r="A29">
        <v>17</v>
      </c>
      <c r="B29" s="122" t="s">
        <v>27</v>
      </c>
      <c r="C29" s="237">
        <f>Projection!D38</f>
        <v>3741.77</v>
      </c>
      <c r="D29" s="32">
        <f>Projection!E38</f>
        <v>7150</v>
      </c>
      <c r="E29" s="32"/>
      <c r="F29" s="32">
        <f t="shared" si="2"/>
        <v>7150</v>
      </c>
      <c r="G29" s="32"/>
      <c r="H29" s="32">
        <v>0</v>
      </c>
      <c r="I29" s="212">
        <f t="shared" si="3"/>
        <v>7150</v>
      </c>
    </row>
    <row r="30" spans="1:9" ht="12.75">
      <c r="A30">
        <v>18</v>
      </c>
      <c r="B30" s="122" t="s">
        <v>28</v>
      </c>
      <c r="C30" s="237"/>
      <c r="D30" s="32"/>
      <c r="E30" s="32"/>
      <c r="F30" s="32">
        <f t="shared" si="2"/>
        <v>0</v>
      </c>
      <c r="G30" s="32"/>
      <c r="H30" s="32">
        <v>0</v>
      </c>
      <c r="I30" s="212">
        <f t="shared" si="3"/>
        <v>0</v>
      </c>
    </row>
    <row r="31" spans="1:9" ht="12.75">
      <c r="A31">
        <v>19</v>
      </c>
      <c r="B31" s="122" t="s">
        <v>29</v>
      </c>
      <c r="C31" s="237"/>
      <c r="D31" s="32"/>
      <c r="E31" s="32"/>
      <c r="F31" s="32">
        <f t="shared" si="2"/>
        <v>0</v>
      </c>
      <c r="G31" s="32"/>
      <c r="H31" s="32">
        <v>0</v>
      </c>
      <c r="I31" s="212">
        <f t="shared" si="3"/>
        <v>0</v>
      </c>
    </row>
    <row r="32" spans="1:9" ht="12.75">
      <c r="A32">
        <v>20</v>
      </c>
      <c r="B32" s="122" t="s">
        <v>30</v>
      </c>
      <c r="C32" s="237"/>
      <c r="D32" s="32"/>
      <c r="E32" s="32"/>
      <c r="F32" s="32">
        <f t="shared" si="2"/>
        <v>0</v>
      </c>
      <c r="G32" s="32"/>
      <c r="H32" s="32">
        <v>0</v>
      </c>
      <c r="I32" s="212">
        <f t="shared" si="3"/>
        <v>0</v>
      </c>
    </row>
    <row r="33" spans="1:9" ht="12.75">
      <c r="A33">
        <v>21</v>
      </c>
      <c r="B33" s="122" t="s">
        <v>53</v>
      </c>
      <c r="C33" s="237">
        <f>Projection!D34</f>
        <v>163.97</v>
      </c>
      <c r="D33" s="32">
        <f>Projection!E34</f>
        <v>245.95499999999998</v>
      </c>
      <c r="E33" s="32"/>
      <c r="F33" s="32">
        <f t="shared" si="2"/>
        <v>245.95499999999998</v>
      </c>
      <c r="G33" s="32"/>
      <c r="H33" s="32">
        <v>0</v>
      </c>
      <c r="I33" s="212">
        <f t="shared" si="3"/>
        <v>245.95499999999998</v>
      </c>
    </row>
    <row r="34" spans="1:9" ht="12.75">
      <c r="A34">
        <v>22</v>
      </c>
      <c r="B34" s="122" t="s">
        <v>51</v>
      </c>
      <c r="C34" s="237"/>
      <c r="D34" s="32"/>
      <c r="E34" s="32"/>
      <c r="F34" s="32">
        <f t="shared" si="2"/>
        <v>0</v>
      </c>
      <c r="G34" s="32"/>
      <c r="H34" s="32">
        <v>0</v>
      </c>
      <c r="I34" s="212">
        <f t="shared" si="3"/>
        <v>0</v>
      </c>
    </row>
    <row r="35" spans="1:9" ht="12.75">
      <c r="A35">
        <v>23</v>
      </c>
      <c r="B35" s="122" t="s">
        <v>54</v>
      </c>
      <c r="C35" s="237">
        <f>Projection!D37</f>
        <v>586.23</v>
      </c>
      <c r="D35" s="32">
        <f>Projection!E37</f>
        <v>615.5415</v>
      </c>
      <c r="E35" s="32"/>
      <c r="F35" s="32">
        <f t="shared" si="2"/>
        <v>615.5415</v>
      </c>
      <c r="G35" s="32"/>
      <c r="H35" s="32">
        <v>0</v>
      </c>
      <c r="I35" s="212">
        <f t="shared" si="3"/>
        <v>615.5415</v>
      </c>
    </row>
    <row r="36" spans="1:9" ht="12.75">
      <c r="A36">
        <v>24</v>
      </c>
      <c r="B36" s="122" t="s">
        <v>104</v>
      </c>
      <c r="C36" s="237">
        <v>0</v>
      </c>
      <c r="D36" s="32">
        <f>Projection!E41</f>
        <v>3000</v>
      </c>
      <c r="E36" s="32"/>
      <c r="F36" s="32">
        <f t="shared" si="2"/>
        <v>3000</v>
      </c>
      <c r="G36" s="32"/>
      <c r="H36" s="32">
        <v>0</v>
      </c>
      <c r="I36" s="212">
        <f t="shared" si="3"/>
        <v>3000</v>
      </c>
    </row>
    <row r="37" spans="1:9" ht="12.75">
      <c r="A37">
        <v>25</v>
      </c>
      <c r="B37" s="122" t="s">
        <v>102</v>
      </c>
      <c r="C37" s="237">
        <f>Projection!D40</f>
        <v>7236.59</v>
      </c>
      <c r="D37" s="32">
        <f>Projection!E40</f>
        <v>9500</v>
      </c>
      <c r="E37" s="32"/>
      <c r="F37" s="32">
        <f t="shared" si="2"/>
        <v>9500</v>
      </c>
      <c r="G37" s="32"/>
      <c r="H37" s="32">
        <v>0</v>
      </c>
      <c r="I37" s="212">
        <f t="shared" si="3"/>
        <v>9500</v>
      </c>
    </row>
    <row r="38" spans="1:9" ht="12.75">
      <c r="A38">
        <v>26</v>
      </c>
      <c r="B38" s="122" t="s">
        <v>103</v>
      </c>
      <c r="C38" s="237">
        <v>0</v>
      </c>
      <c r="D38" s="32">
        <f>Projection!E39</f>
        <v>5100</v>
      </c>
      <c r="E38" s="32"/>
      <c r="F38" s="32">
        <f t="shared" si="2"/>
        <v>5100</v>
      </c>
      <c r="G38" s="32"/>
      <c r="H38" s="32">
        <v>0</v>
      </c>
      <c r="I38" s="212">
        <f t="shared" si="3"/>
        <v>5100</v>
      </c>
    </row>
    <row r="39" spans="1:9" ht="12.75">
      <c r="A39">
        <v>27</v>
      </c>
      <c r="B39" s="122" t="s">
        <v>50</v>
      </c>
      <c r="C39" s="237">
        <v>0</v>
      </c>
      <c r="D39" s="32">
        <f>Projection!E35</f>
        <v>1287.92</v>
      </c>
      <c r="E39" s="32"/>
      <c r="F39" s="32">
        <f t="shared" si="2"/>
        <v>1287.92</v>
      </c>
      <c r="G39" s="32"/>
      <c r="H39" s="32">
        <v>0</v>
      </c>
      <c r="I39" s="212">
        <f t="shared" si="3"/>
        <v>1287.92</v>
      </c>
    </row>
    <row r="40" spans="1:9" ht="12.75">
      <c r="A40">
        <v>28</v>
      </c>
      <c r="B40" s="122" t="s">
        <v>31</v>
      </c>
      <c r="C40" s="237">
        <f>Projection!D36</f>
        <v>4800</v>
      </c>
      <c r="D40" s="32">
        <f>Projection!E36</f>
        <v>4800</v>
      </c>
      <c r="E40" s="32"/>
      <c r="F40" s="32">
        <f t="shared" si="2"/>
        <v>4800</v>
      </c>
      <c r="G40" s="32"/>
      <c r="H40" s="32">
        <v>0</v>
      </c>
      <c r="I40" s="212">
        <f t="shared" si="3"/>
        <v>4800</v>
      </c>
    </row>
    <row r="41" spans="1:9" ht="12.75">
      <c r="A41">
        <v>29</v>
      </c>
      <c r="B41" s="241" t="s">
        <v>99</v>
      </c>
      <c r="C41" s="235">
        <f>SUM(C25:C40)</f>
        <v>16528.559999999998</v>
      </c>
      <c r="D41" s="30">
        <f>SUM(D25:D40)</f>
        <v>31699.4165</v>
      </c>
      <c r="E41" s="30">
        <f>SUM(E25:E40)</f>
        <v>0</v>
      </c>
      <c r="F41" s="30">
        <f>SUM(F25:F40)</f>
        <v>31699.4165</v>
      </c>
      <c r="G41" s="30"/>
      <c r="H41" s="30">
        <f>SUM(H25:H40)</f>
        <v>0</v>
      </c>
      <c r="I41" s="214">
        <f>SUM(I25:I40)</f>
        <v>31699.4165</v>
      </c>
    </row>
    <row r="42" spans="2:9" ht="12.75">
      <c r="B42" s="122"/>
      <c r="C42" s="233"/>
      <c r="D42" s="32"/>
      <c r="E42" s="32"/>
      <c r="F42" s="32"/>
      <c r="G42" s="32"/>
      <c r="H42" s="32"/>
      <c r="I42" s="212"/>
    </row>
    <row r="43" spans="2:9" ht="12.75">
      <c r="B43" s="179" t="s">
        <v>32</v>
      </c>
      <c r="C43" s="236"/>
      <c r="D43" s="32"/>
      <c r="E43" s="32"/>
      <c r="F43" s="32"/>
      <c r="G43" s="32"/>
      <c r="H43" s="32"/>
      <c r="I43" s="212"/>
    </row>
    <row r="44" spans="1:9" ht="12.75">
      <c r="A44">
        <v>30</v>
      </c>
      <c r="B44" s="122" t="s">
        <v>33</v>
      </c>
      <c r="C44" s="237">
        <f>'Depr &amp; Amort'!I25</f>
        <v>12123.922857142858</v>
      </c>
      <c r="D44" s="32">
        <f>'Depr &amp; Amort'!J25</f>
        <v>12358.20742857143</v>
      </c>
      <c r="E44" s="32"/>
      <c r="F44" s="32">
        <f aca="true" t="shared" si="4" ref="F44:F49">D44+E44</f>
        <v>12358.20742857143</v>
      </c>
      <c r="G44" s="32"/>
      <c r="H44" s="32"/>
      <c r="I44" s="212">
        <f aca="true" t="shared" si="5" ref="I44:I49">F44+H44</f>
        <v>12358.20742857143</v>
      </c>
    </row>
    <row r="45" spans="1:9" ht="12.75">
      <c r="A45">
        <v>31</v>
      </c>
      <c r="B45" s="122" t="s">
        <v>198</v>
      </c>
      <c r="C45" s="237">
        <f>-'Depr &amp; Amort'!H41</f>
        <v>-500</v>
      </c>
      <c r="D45" s="32">
        <f>-'Depr &amp; Amort'!J41</f>
        <v>-1416.6666666666665</v>
      </c>
      <c r="E45" s="32"/>
      <c r="F45" s="32">
        <f t="shared" si="4"/>
        <v>-1416.6666666666665</v>
      </c>
      <c r="G45" s="32"/>
      <c r="H45" s="32"/>
      <c r="I45" s="212">
        <f t="shared" si="5"/>
        <v>-1416.6666666666665</v>
      </c>
    </row>
    <row r="46" spans="1:9" ht="12.75">
      <c r="A46">
        <v>32</v>
      </c>
      <c r="B46" s="122" t="s">
        <v>34</v>
      </c>
      <c r="C46" s="233"/>
      <c r="D46" s="32"/>
      <c r="E46" s="32"/>
      <c r="F46" s="32">
        <f t="shared" si="4"/>
        <v>0</v>
      </c>
      <c r="G46" s="32"/>
      <c r="H46" s="32">
        <v>0</v>
      </c>
      <c r="I46" s="212">
        <f t="shared" si="5"/>
        <v>0</v>
      </c>
    </row>
    <row r="47" spans="1:9" ht="12.75">
      <c r="A47">
        <v>33</v>
      </c>
      <c r="B47" s="122" t="s">
        <v>35</v>
      </c>
      <c r="C47" s="233"/>
      <c r="D47" s="32"/>
      <c r="E47" s="32"/>
      <c r="F47" s="32">
        <f t="shared" si="4"/>
        <v>0</v>
      </c>
      <c r="G47" s="32"/>
      <c r="H47" s="32">
        <v>0</v>
      </c>
      <c r="I47" s="212">
        <f t="shared" si="5"/>
        <v>0</v>
      </c>
    </row>
    <row r="48" spans="1:9" ht="12.75">
      <c r="A48">
        <v>34</v>
      </c>
      <c r="B48" s="122" t="s">
        <v>36</v>
      </c>
      <c r="C48" s="233"/>
      <c r="D48" s="32"/>
      <c r="E48" s="32"/>
      <c r="F48" s="32">
        <f t="shared" si="4"/>
        <v>0</v>
      </c>
      <c r="G48" s="32"/>
      <c r="H48" s="32">
        <v>0</v>
      </c>
      <c r="I48" s="212">
        <f t="shared" si="5"/>
        <v>0</v>
      </c>
    </row>
    <row r="49" spans="1:9" ht="12.75">
      <c r="A49">
        <v>35</v>
      </c>
      <c r="B49" s="122" t="s">
        <v>37</v>
      </c>
      <c r="C49" s="233"/>
      <c r="D49" s="32"/>
      <c r="E49" s="32"/>
      <c r="F49" s="32">
        <f t="shared" si="4"/>
        <v>0</v>
      </c>
      <c r="G49" s="32"/>
      <c r="H49" s="32">
        <v>0</v>
      </c>
      <c r="I49" s="212">
        <f t="shared" si="5"/>
        <v>0</v>
      </c>
    </row>
    <row r="50" spans="1:9" ht="12.75">
      <c r="A50">
        <v>36</v>
      </c>
      <c r="B50" s="241" t="s">
        <v>38</v>
      </c>
      <c r="C50" s="235">
        <f>SUM(C44:C49)</f>
        <v>11623.922857142858</v>
      </c>
      <c r="D50" s="30">
        <f>SUM(D44:D49)</f>
        <v>10941.540761904764</v>
      </c>
      <c r="E50" s="30">
        <f>SUM(E44:E49)</f>
        <v>0</v>
      </c>
      <c r="F50" s="30">
        <f>SUM(F44:F49)</f>
        <v>10941.540761904764</v>
      </c>
      <c r="G50" s="30"/>
      <c r="H50" s="30">
        <f>SUM(H44:H49)</f>
        <v>0</v>
      </c>
      <c r="I50" s="214">
        <f>SUM(I44:I49)</f>
        <v>10941.540761904764</v>
      </c>
    </row>
    <row r="51" spans="1:9" ht="12.75">
      <c r="A51">
        <v>37</v>
      </c>
      <c r="B51" s="241" t="s">
        <v>39</v>
      </c>
      <c r="C51" s="235">
        <f>C41+C50</f>
        <v>28152.482857142855</v>
      </c>
      <c r="D51" s="30">
        <f>D41+D50</f>
        <v>42640.95726190476</v>
      </c>
      <c r="E51" s="30">
        <f>E41+E50</f>
        <v>0</v>
      </c>
      <c r="F51" s="30">
        <f>F41+F50</f>
        <v>42640.95726190476</v>
      </c>
      <c r="G51" s="30"/>
      <c r="H51" s="30">
        <f>H41+H50</f>
        <v>0</v>
      </c>
      <c r="I51" s="214">
        <f>I41+I50</f>
        <v>42640.95726190476</v>
      </c>
    </row>
    <row r="52" spans="1:9" ht="12.75">
      <c r="A52">
        <v>38</v>
      </c>
      <c r="B52" s="241" t="s">
        <v>55</v>
      </c>
      <c r="C52" s="235">
        <f>C22-C51</f>
        <v>-19152.482857142855</v>
      </c>
      <c r="D52" s="30">
        <f>D22-D51</f>
        <v>-19000.95726190476</v>
      </c>
      <c r="E52" s="30">
        <f>E22-E51</f>
        <v>0</v>
      </c>
      <c r="F52" s="30">
        <f>F22-F51</f>
        <v>-19000.95726190476</v>
      </c>
      <c r="G52" s="30"/>
      <c r="H52" s="30">
        <f>H22-H51</f>
        <v>0</v>
      </c>
      <c r="I52" s="214">
        <f>I22-I51</f>
        <v>-19000.95726190476</v>
      </c>
    </row>
    <row r="53" spans="2:9" ht="12.75">
      <c r="B53" s="122"/>
      <c r="C53" s="233"/>
      <c r="D53" s="32"/>
      <c r="E53" s="32"/>
      <c r="F53" s="32"/>
      <c r="G53" s="32"/>
      <c r="H53" s="32"/>
      <c r="I53" s="212"/>
    </row>
    <row r="54" spans="1:9" ht="12.75">
      <c r="A54">
        <v>39</v>
      </c>
      <c r="B54" s="306" t="s">
        <v>40</v>
      </c>
      <c r="C54" s="233"/>
      <c r="D54" s="32"/>
      <c r="E54" s="32"/>
      <c r="F54" s="32">
        <f>D54+E54</f>
        <v>0</v>
      </c>
      <c r="G54" s="32"/>
      <c r="H54" s="32">
        <v>0</v>
      </c>
      <c r="I54" s="212">
        <f>F54+H54</f>
        <v>0</v>
      </c>
    </row>
    <row r="55" spans="1:9" ht="12.75">
      <c r="A55">
        <v>40</v>
      </c>
      <c r="B55" s="306" t="s">
        <v>41</v>
      </c>
      <c r="C55" s="233"/>
      <c r="D55" s="32"/>
      <c r="E55" s="32"/>
      <c r="F55" s="32">
        <f>D55+E55</f>
        <v>0</v>
      </c>
      <c r="G55" s="32"/>
      <c r="H55" s="32">
        <v>0</v>
      </c>
      <c r="I55" s="212">
        <f>F55+H55</f>
        <v>0</v>
      </c>
    </row>
    <row r="56" spans="1:9" ht="12.75">
      <c r="A56">
        <v>41</v>
      </c>
      <c r="B56" s="241" t="s">
        <v>42</v>
      </c>
      <c r="C56" s="235">
        <f>C54+C55</f>
        <v>0</v>
      </c>
      <c r="D56" s="30">
        <f>D54+D55</f>
        <v>0</v>
      </c>
      <c r="E56" s="30">
        <f>E54+E55</f>
        <v>0</v>
      </c>
      <c r="F56" s="30">
        <f>F54+F55</f>
        <v>0</v>
      </c>
      <c r="G56" s="30"/>
      <c r="H56" s="30">
        <f>H54+H55</f>
        <v>0</v>
      </c>
      <c r="I56" s="214">
        <f>I54+I55</f>
        <v>0</v>
      </c>
    </row>
    <row r="57" spans="1:9" ht="12.75">
      <c r="A57">
        <v>42</v>
      </c>
      <c r="B57" s="241" t="s">
        <v>6</v>
      </c>
      <c r="C57" s="235">
        <f>C52-C56</f>
        <v>-19152.482857142855</v>
      </c>
      <c r="D57" s="30">
        <f>D52-D56</f>
        <v>-19000.95726190476</v>
      </c>
      <c r="E57" s="30">
        <f>E52-E56</f>
        <v>0</v>
      </c>
      <c r="F57" s="30">
        <f>F52-F56</f>
        <v>-19000.95726190476</v>
      </c>
      <c r="G57" s="30"/>
      <c r="H57" s="30">
        <f>H52-H56</f>
        <v>0</v>
      </c>
      <c r="I57" s="214">
        <f>I52-I56</f>
        <v>-19000.95726190476</v>
      </c>
    </row>
    <row r="58" spans="2:9" ht="12.75">
      <c r="B58" s="122"/>
      <c r="C58" s="233"/>
      <c r="D58" s="32"/>
      <c r="E58" s="32"/>
      <c r="F58" s="32"/>
      <c r="G58" s="32"/>
      <c r="H58" s="32"/>
      <c r="I58" s="212"/>
    </row>
    <row r="59" spans="2:9" ht="12.75">
      <c r="B59" s="179" t="s">
        <v>43</v>
      </c>
      <c r="C59" s="236"/>
      <c r="D59" s="32"/>
      <c r="E59" s="32"/>
      <c r="F59" s="32"/>
      <c r="G59" s="32"/>
      <c r="H59" s="32"/>
      <c r="I59" s="212"/>
    </row>
    <row r="60" spans="1:9" ht="12.75">
      <c r="A60">
        <v>43</v>
      </c>
      <c r="B60" s="122" t="s">
        <v>44</v>
      </c>
      <c r="C60" s="233"/>
      <c r="D60" s="32"/>
      <c r="E60" s="32"/>
      <c r="F60" s="32">
        <f>D60+E60</f>
        <v>0</v>
      </c>
      <c r="G60" s="32"/>
      <c r="H60" s="32">
        <v>0</v>
      </c>
      <c r="I60" s="212">
        <f>F60+H60</f>
        <v>0</v>
      </c>
    </row>
    <row r="61" spans="1:9" ht="12.75">
      <c r="A61">
        <v>44</v>
      </c>
      <c r="B61" s="122" t="s">
        <v>45</v>
      </c>
      <c r="C61" s="233"/>
      <c r="D61" s="32"/>
      <c r="E61" s="32"/>
      <c r="F61" s="32">
        <f>D61+E61</f>
        <v>0</v>
      </c>
      <c r="G61" s="32"/>
      <c r="H61" s="32">
        <v>0</v>
      </c>
      <c r="I61" s="212">
        <f>F61+H61</f>
        <v>0</v>
      </c>
    </row>
    <row r="62" spans="1:9" ht="12.75">
      <c r="A62">
        <v>45</v>
      </c>
      <c r="B62" s="241" t="s">
        <v>46</v>
      </c>
      <c r="C62" s="235">
        <f>C61+C60</f>
        <v>0</v>
      </c>
      <c r="D62" s="30">
        <f>D61+D60</f>
        <v>0</v>
      </c>
      <c r="E62" s="30">
        <f>E61+E60</f>
        <v>0</v>
      </c>
      <c r="F62" s="30">
        <f>F61+F60</f>
        <v>0</v>
      </c>
      <c r="G62" s="30"/>
      <c r="H62" s="30">
        <f>H61+H60</f>
        <v>0</v>
      </c>
      <c r="I62" s="214">
        <f>I61+I60</f>
        <v>0</v>
      </c>
    </row>
    <row r="63" spans="1:9" ht="13.5" thickBot="1">
      <c r="A63">
        <v>46</v>
      </c>
      <c r="B63" s="216" t="s">
        <v>47</v>
      </c>
      <c r="C63" s="239">
        <f>C57+C62</f>
        <v>-19152.482857142855</v>
      </c>
      <c r="D63" s="217">
        <f>D57+D62</f>
        <v>-19000.95726190476</v>
      </c>
      <c r="E63" s="217">
        <f>E57+E62</f>
        <v>0</v>
      </c>
      <c r="F63" s="217">
        <f>F57+F62</f>
        <v>-19000.95726190476</v>
      </c>
      <c r="G63" s="217"/>
      <c r="H63" s="217">
        <f>H57+H62</f>
        <v>0</v>
      </c>
      <c r="I63" s="218">
        <f>I57+I62</f>
        <v>-19000.95726190476</v>
      </c>
    </row>
    <row r="66" ht="12.75">
      <c r="A66" s="51" t="s">
        <v>186</v>
      </c>
    </row>
    <row r="67" ht="12.75">
      <c r="A67" s="51"/>
    </row>
  </sheetData>
  <printOptions/>
  <pageMargins left="0.49" right="0.5" top="0.36" bottom="0.54" header="0.26" footer="0.37"/>
  <pageSetup fitToHeight="1" fitToWidth="1" horizontalDpi="600" verticalDpi="600" orientation="landscape" scale="66" r:id="rId1"/>
  <headerFooter alignWithMargins="0">
    <oddFooter>&amp;L&amp;Z&amp;F&amp;D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 topLeftCell="A19">
      <selection activeCell="O5" sqref="O5"/>
    </sheetView>
  </sheetViews>
  <sheetFormatPr defaultColWidth="9.140625" defaultRowHeight="12.75"/>
  <cols>
    <col min="1" max="1" width="2.7109375" style="0" customWidth="1"/>
    <col min="2" max="2" width="30.00390625" style="0" customWidth="1"/>
    <col min="3" max="3" width="3.8515625" style="71" customWidth="1"/>
    <col min="4" max="13" width="10.7109375" style="0" customWidth="1"/>
  </cols>
  <sheetData>
    <row r="1" spans="1:11" s="3" customFormat="1" ht="12.75">
      <c r="A1" s="67" t="s">
        <v>81</v>
      </c>
      <c r="C1" s="68"/>
      <c r="D1" s="68"/>
      <c r="E1" s="69"/>
      <c r="F1" s="70"/>
      <c r="G1" s="70"/>
      <c r="H1" s="69"/>
      <c r="K1" s="10" t="s">
        <v>79</v>
      </c>
    </row>
    <row r="2" spans="1:11" s="3" customFormat="1" ht="12.75">
      <c r="A2" s="67" t="s">
        <v>211</v>
      </c>
      <c r="C2" s="68"/>
      <c r="D2" s="68"/>
      <c r="E2" s="69"/>
      <c r="F2" s="70"/>
      <c r="G2" s="70"/>
      <c r="H2" s="69"/>
      <c r="K2" s="11" t="s">
        <v>80</v>
      </c>
    </row>
    <row r="3" spans="1:11" s="3" customFormat="1" ht="12.75">
      <c r="A3" s="67" t="s">
        <v>212</v>
      </c>
      <c r="C3" s="68"/>
      <c r="D3" s="68"/>
      <c r="E3" s="69"/>
      <c r="F3" s="70"/>
      <c r="G3" s="70"/>
      <c r="H3" s="69"/>
      <c r="K3" s="11" t="s">
        <v>205</v>
      </c>
    </row>
    <row r="4" ht="12.75">
      <c r="A4" s="51" t="s">
        <v>210</v>
      </c>
    </row>
    <row r="5" ht="13.5" thickBot="1">
      <c r="A5" s="51"/>
    </row>
    <row r="6" spans="1:13" ht="12.75">
      <c r="A6" s="51"/>
      <c r="B6" s="175" t="s">
        <v>9</v>
      </c>
      <c r="C6" s="258"/>
      <c r="D6" s="313"/>
      <c r="E6" s="259"/>
      <c r="F6" s="259"/>
      <c r="G6" s="259"/>
      <c r="H6" s="259"/>
      <c r="I6" s="259"/>
      <c r="J6" s="259"/>
      <c r="K6" s="259"/>
      <c r="L6" s="259"/>
      <c r="M6" s="167"/>
    </row>
    <row r="7" spans="2:13" ht="12.75">
      <c r="B7" s="255"/>
      <c r="C7" s="72"/>
      <c r="D7" s="314" t="s">
        <v>105</v>
      </c>
      <c r="E7" s="256" t="s">
        <v>108</v>
      </c>
      <c r="F7" s="256" t="s">
        <v>108</v>
      </c>
      <c r="G7" s="256" t="s">
        <v>108</v>
      </c>
      <c r="H7" s="256" t="s">
        <v>108</v>
      </c>
      <c r="I7" s="256" t="s">
        <v>108</v>
      </c>
      <c r="J7" s="256" t="s">
        <v>108</v>
      </c>
      <c r="K7" s="256" t="s">
        <v>108</v>
      </c>
      <c r="L7" s="256" t="s">
        <v>108</v>
      </c>
      <c r="M7" s="257" t="s">
        <v>108</v>
      </c>
    </row>
    <row r="8" spans="2:13" ht="12.75">
      <c r="B8" s="251"/>
      <c r="C8" s="252"/>
      <c r="D8" s="315">
        <v>2007</v>
      </c>
      <c r="E8" s="253">
        <v>2008</v>
      </c>
      <c r="F8" s="253">
        <v>2009</v>
      </c>
      <c r="G8" s="253">
        <v>2010</v>
      </c>
      <c r="H8" s="253">
        <v>2011</v>
      </c>
      <c r="I8" s="253">
        <v>2012</v>
      </c>
      <c r="J8" s="253">
        <v>2013</v>
      </c>
      <c r="K8" s="253">
        <v>2014</v>
      </c>
      <c r="L8" s="253">
        <v>2015</v>
      </c>
      <c r="M8" s="254">
        <v>2016</v>
      </c>
    </row>
    <row r="9" spans="2:13" ht="12.75">
      <c r="B9" s="179" t="s">
        <v>109</v>
      </c>
      <c r="C9" s="72"/>
      <c r="D9" s="316"/>
      <c r="E9" s="73"/>
      <c r="F9" s="73"/>
      <c r="G9" s="73"/>
      <c r="H9" s="73"/>
      <c r="I9" s="73"/>
      <c r="J9" s="73"/>
      <c r="K9" s="73"/>
      <c r="L9" s="73"/>
      <c r="M9" s="250"/>
    </row>
    <row r="10" spans="1:13" ht="12.75">
      <c r="A10">
        <v>1</v>
      </c>
      <c r="B10" s="176" t="s">
        <v>110</v>
      </c>
      <c r="C10" s="74" t="s">
        <v>69</v>
      </c>
      <c r="D10" s="317">
        <v>6</v>
      </c>
      <c r="E10" s="75">
        <v>11</v>
      </c>
      <c r="F10" s="75">
        <v>13</v>
      </c>
      <c r="G10" s="75">
        <v>15</v>
      </c>
      <c r="H10" s="75">
        <v>15</v>
      </c>
      <c r="I10" s="75">
        <v>13</v>
      </c>
      <c r="J10" s="75">
        <v>11</v>
      </c>
      <c r="K10" s="75">
        <v>11</v>
      </c>
      <c r="L10" s="75">
        <v>0</v>
      </c>
      <c r="M10" s="177">
        <v>0</v>
      </c>
    </row>
    <row r="11" spans="1:13" ht="12.75">
      <c r="A11">
        <v>2</v>
      </c>
      <c r="B11" s="197" t="s">
        <v>111</v>
      </c>
      <c r="C11" s="198"/>
      <c r="D11" s="318">
        <f>D10</f>
        <v>6</v>
      </c>
      <c r="E11" s="199">
        <f aca="true" t="shared" si="0" ref="E11:M11">E10+D11</f>
        <v>17</v>
      </c>
      <c r="F11" s="199">
        <f t="shared" si="0"/>
        <v>30</v>
      </c>
      <c r="G11" s="199">
        <f t="shared" si="0"/>
        <v>45</v>
      </c>
      <c r="H11" s="199">
        <f t="shared" si="0"/>
        <v>60</v>
      </c>
      <c r="I11" s="199">
        <f t="shared" si="0"/>
        <v>73</v>
      </c>
      <c r="J11" s="199">
        <f t="shared" si="0"/>
        <v>84</v>
      </c>
      <c r="K11" s="199">
        <f t="shared" si="0"/>
        <v>95</v>
      </c>
      <c r="L11" s="199">
        <f t="shared" si="0"/>
        <v>95</v>
      </c>
      <c r="M11" s="200">
        <f t="shared" si="0"/>
        <v>95</v>
      </c>
    </row>
    <row r="12" spans="2:13" ht="10.5" customHeight="1">
      <c r="B12" s="176"/>
      <c r="C12" s="74"/>
      <c r="D12" s="319"/>
      <c r="E12" s="76"/>
      <c r="F12" s="76"/>
      <c r="G12" s="76"/>
      <c r="H12" s="76"/>
      <c r="I12" s="76"/>
      <c r="J12" s="76"/>
      <c r="K12" s="76"/>
      <c r="L12" s="76"/>
      <c r="M12" s="178"/>
    </row>
    <row r="13" spans="2:13" ht="12.75">
      <c r="B13" s="179" t="s">
        <v>112</v>
      </c>
      <c r="C13" s="74"/>
      <c r="D13" s="320"/>
      <c r="E13" s="74"/>
      <c r="F13" s="74"/>
      <c r="G13" s="74"/>
      <c r="H13" s="74"/>
      <c r="I13" s="74"/>
      <c r="J13" s="74"/>
      <c r="K13" s="74"/>
      <c r="L13" s="74"/>
      <c r="M13" s="180"/>
    </row>
    <row r="14" spans="1:13" ht="12.75">
      <c r="A14">
        <v>3</v>
      </c>
      <c r="B14" s="176" t="s">
        <v>113</v>
      </c>
      <c r="C14" s="74"/>
      <c r="D14" s="321">
        <v>0</v>
      </c>
      <c r="E14" s="77">
        <v>35</v>
      </c>
      <c r="F14" s="77">
        <v>35</v>
      </c>
      <c r="G14" s="77">
        <v>35</v>
      </c>
      <c r="H14" s="77">
        <v>35</v>
      </c>
      <c r="I14" s="77">
        <v>35</v>
      </c>
      <c r="J14" s="77">
        <v>35</v>
      </c>
      <c r="K14" s="77">
        <v>35</v>
      </c>
      <c r="L14" s="77">
        <v>35</v>
      </c>
      <c r="M14" s="181">
        <v>35</v>
      </c>
    </row>
    <row r="15" spans="1:13" ht="12.75">
      <c r="A15">
        <v>4</v>
      </c>
      <c r="B15" s="176" t="s">
        <v>114</v>
      </c>
      <c r="C15" s="73"/>
      <c r="D15" s="322">
        <v>0</v>
      </c>
      <c r="E15" s="78">
        <v>2.5</v>
      </c>
      <c r="F15" s="78">
        <v>2.5</v>
      </c>
      <c r="G15" s="78">
        <v>2.5</v>
      </c>
      <c r="H15" s="78">
        <v>2.5</v>
      </c>
      <c r="I15" s="78">
        <v>2.5</v>
      </c>
      <c r="J15" s="78">
        <v>2.5</v>
      </c>
      <c r="K15" s="78">
        <v>2.5</v>
      </c>
      <c r="L15" s="78">
        <v>2.5</v>
      </c>
      <c r="M15" s="182">
        <v>2.5</v>
      </c>
    </row>
    <row r="16" spans="1:13" ht="12.75">
      <c r="A16">
        <v>5</v>
      </c>
      <c r="B16" s="176" t="s">
        <v>115</v>
      </c>
      <c r="C16" s="73"/>
      <c r="D16" s="322">
        <v>0</v>
      </c>
      <c r="E16" s="78">
        <v>3</v>
      </c>
      <c r="F16" s="78">
        <v>3</v>
      </c>
      <c r="G16" s="78">
        <v>3</v>
      </c>
      <c r="H16" s="78">
        <v>3</v>
      </c>
      <c r="I16" s="78">
        <v>3</v>
      </c>
      <c r="J16" s="78">
        <v>3</v>
      </c>
      <c r="K16" s="78">
        <v>3</v>
      </c>
      <c r="L16" s="78">
        <v>3</v>
      </c>
      <c r="M16" s="182">
        <v>3</v>
      </c>
    </row>
    <row r="17" spans="1:13" ht="12.75">
      <c r="A17">
        <v>6</v>
      </c>
      <c r="B17" s="176" t="s">
        <v>116</v>
      </c>
      <c r="C17" s="73"/>
      <c r="D17" s="322">
        <v>0</v>
      </c>
      <c r="E17" s="78">
        <v>3.5</v>
      </c>
      <c r="F17" s="78">
        <v>3.5</v>
      </c>
      <c r="G17" s="78">
        <v>3.5</v>
      </c>
      <c r="H17" s="78">
        <v>3.5</v>
      </c>
      <c r="I17" s="78">
        <v>3.5</v>
      </c>
      <c r="J17" s="78">
        <v>3.5</v>
      </c>
      <c r="K17" s="78">
        <v>3.5</v>
      </c>
      <c r="L17" s="78">
        <v>3.5</v>
      </c>
      <c r="M17" s="182">
        <v>3.5</v>
      </c>
    </row>
    <row r="18" spans="1:13" ht="12.75">
      <c r="A18">
        <v>7</v>
      </c>
      <c r="B18" s="176" t="s">
        <v>117</v>
      </c>
      <c r="C18" s="73"/>
      <c r="D18" s="322">
        <v>0</v>
      </c>
      <c r="E18" s="78">
        <v>4</v>
      </c>
      <c r="F18" s="78">
        <v>4</v>
      </c>
      <c r="G18" s="78">
        <v>4</v>
      </c>
      <c r="H18" s="78">
        <v>4</v>
      </c>
      <c r="I18" s="78">
        <v>4</v>
      </c>
      <c r="J18" s="78">
        <v>4</v>
      </c>
      <c r="K18" s="78">
        <v>4</v>
      </c>
      <c r="L18" s="78">
        <v>4</v>
      </c>
      <c r="M18" s="182">
        <v>4</v>
      </c>
    </row>
    <row r="19" spans="1:13" ht="12.75">
      <c r="A19">
        <v>8</v>
      </c>
      <c r="B19" s="136" t="s">
        <v>118</v>
      </c>
      <c r="C19" s="73"/>
      <c r="D19" s="321">
        <v>0</v>
      </c>
      <c r="E19" s="77">
        <v>5</v>
      </c>
      <c r="F19" s="77">
        <v>5</v>
      </c>
      <c r="G19" s="77">
        <v>5</v>
      </c>
      <c r="H19" s="77">
        <v>5</v>
      </c>
      <c r="I19" s="77">
        <v>5</v>
      </c>
      <c r="J19" s="77">
        <v>5</v>
      </c>
      <c r="K19" s="77">
        <v>5</v>
      </c>
      <c r="L19" s="77">
        <v>5</v>
      </c>
      <c r="M19" s="181">
        <v>5</v>
      </c>
    </row>
    <row r="20" spans="1:13" ht="12" customHeight="1">
      <c r="A20">
        <v>9</v>
      </c>
      <c r="B20" s="122" t="s">
        <v>119</v>
      </c>
      <c r="C20" s="74"/>
      <c r="D20" s="322">
        <v>5</v>
      </c>
      <c r="E20" s="78">
        <v>5</v>
      </c>
      <c r="F20" s="78">
        <v>10</v>
      </c>
      <c r="G20" s="78">
        <v>10</v>
      </c>
      <c r="H20" s="78">
        <v>10</v>
      </c>
      <c r="I20" s="78">
        <v>10</v>
      </c>
      <c r="J20" s="78"/>
      <c r="K20" s="78"/>
      <c r="L20" s="78"/>
      <c r="M20" s="182"/>
    </row>
    <row r="21" spans="1:13" ht="12.75">
      <c r="A21">
        <v>10</v>
      </c>
      <c r="B21" s="136" t="s">
        <v>4</v>
      </c>
      <c r="C21" s="74"/>
      <c r="D21" s="321">
        <v>4000</v>
      </c>
      <c r="E21" s="78">
        <v>4000</v>
      </c>
      <c r="F21" s="78">
        <v>4000</v>
      </c>
      <c r="G21" s="78">
        <v>4000</v>
      </c>
      <c r="H21" s="78">
        <v>4000</v>
      </c>
      <c r="I21" s="78">
        <v>4000</v>
      </c>
      <c r="J21" s="78">
        <v>4000</v>
      </c>
      <c r="K21" s="78">
        <v>4000</v>
      </c>
      <c r="L21" s="78">
        <v>4000</v>
      </c>
      <c r="M21" s="182">
        <v>4000</v>
      </c>
    </row>
    <row r="22" spans="2:13" ht="12.75">
      <c r="B22" s="136" t="s">
        <v>120</v>
      </c>
      <c r="C22" s="74"/>
      <c r="D22" s="233"/>
      <c r="E22" s="78"/>
      <c r="F22" s="78"/>
      <c r="G22" s="78"/>
      <c r="H22" s="78"/>
      <c r="I22" s="78"/>
      <c r="J22" s="78"/>
      <c r="K22" s="78"/>
      <c r="L22" s="78"/>
      <c r="M22" s="182"/>
    </row>
    <row r="23" spans="2:13" ht="10.5" customHeight="1">
      <c r="B23" s="122"/>
      <c r="C23" s="74"/>
      <c r="D23" s="233"/>
      <c r="E23" s="78"/>
      <c r="F23" s="78"/>
      <c r="G23" s="78"/>
      <c r="H23" s="78"/>
      <c r="I23" s="78"/>
      <c r="J23" s="78"/>
      <c r="K23" s="78"/>
      <c r="L23" s="78"/>
      <c r="M23" s="182"/>
    </row>
    <row r="24" spans="2:13" ht="12.75">
      <c r="B24" s="179" t="s">
        <v>121</v>
      </c>
      <c r="C24" s="74"/>
      <c r="D24" s="233"/>
      <c r="E24" s="61"/>
      <c r="F24" s="61"/>
      <c r="G24" s="61"/>
      <c r="H24" s="61"/>
      <c r="I24" s="61"/>
      <c r="J24" s="61"/>
      <c r="K24" s="61"/>
      <c r="L24" s="61"/>
      <c r="M24" s="169"/>
    </row>
    <row r="25" spans="1:13" ht="12.75">
      <c r="A25">
        <v>11</v>
      </c>
      <c r="B25" s="122" t="s">
        <v>122</v>
      </c>
      <c r="C25" s="74"/>
      <c r="D25" s="264">
        <f>D11*D14*12</f>
        <v>0</v>
      </c>
      <c r="E25" s="79">
        <f aca="true" t="shared" si="1" ref="E25:M25">E11*E14*12</f>
        <v>7140</v>
      </c>
      <c r="F25" s="79">
        <f t="shared" si="1"/>
        <v>12600</v>
      </c>
      <c r="G25" s="79">
        <f t="shared" si="1"/>
        <v>18900</v>
      </c>
      <c r="H25" s="79">
        <f t="shared" si="1"/>
        <v>25200</v>
      </c>
      <c r="I25" s="79">
        <f t="shared" si="1"/>
        <v>30660</v>
      </c>
      <c r="J25" s="79">
        <f t="shared" si="1"/>
        <v>35280</v>
      </c>
      <c r="K25" s="79">
        <f t="shared" si="1"/>
        <v>39900</v>
      </c>
      <c r="L25" s="79">
        <f t="shared" si="1"/>
        <v>39900</v>
      </c>
      <c r="M25" s="123">
        <f t="shared" si="1"/>
        <v>39900</v>
      </c>
    </row>
    <row r="26" spans="1:13" ht="12.75">
      <c r="A26">
        <v>12</v>
      </c>
      <c r="B26" s="176" t="s">
        <v>123</v>
      </c>
      <c r="C26" s="74"/>
      <c r="D26" s="264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123">
        <v>0</v>
      </c>
    </row>
    <row r="27" spans="1:13" ht="12.75">
      <c r="A27">
        <v>13</v>
      </c>
      <c r="B27" s="176" t="s">
        <v>124</v>
      </c>
      <c r="C27" s="74"/>
      <c r="D27" s="264">
        <f aca="true" t="shared" si="2" ref="D27:M27">D10*D21</f>
        <v>24000</v>
      </c>
      <c r="E27" s="79">
        <f t="shared" si="2"/>
        <v>44000</v>
      </c>
      <c r="F27" s="79">
        <f t="shared" si="2"/>
        <v>52000</v>
      </c>
      <c r="G27" s="79">
        <f t="shared" si="2"/>
        <v>60000</v>
      </c>
      <c r="H27" s="79">
        <f t="shared" si="2"/>
        <v>60000</v>
      </c>
      <c r="I27" s="79">
        <f t="shared" si="2"/>
        <v>52000</v>
      </c>
      <c r="J27" s="79">
        <f t="shared" si="2"/>
        <v>44000</v>
      </c>
      <c r="K27" s="79">
        <f t="shared" si="2"/>
        <v>44000</v>
      </c>
      <c r="L27" s="79">
        <f t="shared" si="2"/>
        <v>0</v>
      </c>
      <c r="M27" s="123">
        <f t="shared" si="2"/>
        <v>0</v>
      </c>
    </row>
    <row r="28" spans="1:13" s="80" customFormat="1" ht="12.75">
      <c r="A28" s="80">
        <v>14</v>
      </c>
      <c r="B28" s="184" t="s">
        <v>125</v>
      </c>
      <c r="C28" s="82" t="s">
        <v>70</v>
      </c>
      <c r="D28" s="323">
        <f aca="true" t="shared" si="3" ref="D28:M28">D10*$F60</f>
        <v>15000</v>
      </c>
      <c r="E28" s="81">
        <f t="shared" si="3"/>
        <v>27500</v>
      </c>
      <c r="F28" s="81">
        <f t="shared" si="3"/>
        <v>32500</v>
      </c>
      <c r="G28" s="81">
        <f t="shared" si="3"/>
        <v>37500</v>
      </c>
      <c r="H28" s="81">
        <f t="shared" si="3"/>
        <v>37500</v>
      </c>
      <c r="I28" s="81">
        <f t="shared" si="3"/>
        <v>32500</v>
      </c>
      <c r="J28" s="81">
        <f t="shared" si="3"/>
        <v>27500</v>
      </c>
      <c r="K28" s="81">
        <f t="shared" si="3"/>
        <v>27500</v>
      </c>
      <c r="L28" s="81">
        <f t="shared" si="3"/>
        <v>0</v>
      </c>
      <c r="M28" s="183">
        <f t="shared" si="3"/>
        <v>0</v>
      </c>
    </row>
    <row r="29" spans="1:13" s="80" customFormat="1" ht="12.75">
      <c r="A29" s="80">
        <v>15</v>
      </c>
      <c r="B29" s="184" t="s">
        <v>126</v>
      </c>
      <c r="C29" s="82"/>
      <c r="D29" s="324">
        <f>D27-D28</f>
        <v>9000</v>
      </c>
      <c r="E29" s="83">
        <f aca="true" t="shared" si="4" ref="E29:M29">E27-E28</f>
        <v>16500</v>
      </c>
      <c r="F29" s="83">
        <f t="shared" si="4"/>
        <v>19500</v>
      </c>
      <c r="G29" s="83">
        <f t="shared" si="4"/>
        <v>22500</v>
      </c>
      <c r="H29" s="83">
        <f t="shared" si="4"/>
        <v>22500</v>
      </c>
      <c r="I29" s="83">
        <f t="shared" si="4"/>
        <v>19500</v>
      </c>
      <c r="J29" s="83">
        <f t="shared" si="4"/>
        <v>16500</v>
      </c>
      <c r="K29" s="83">
        <f t="shared" si="4"/>
        <v>16500</v>
      </c>
      <c r="L29" s="83">
        <f t="shared" si="4"/>
        <v>0</v>
      </c>
      <c r="M29" s="185">
        <f t="shared" si="4"/>
        <v>0</v>
      </c>
    </row>
    <row r="30" spans="1:13" ht="12.75">
      <c r="A30" s="80">
        <v>16</v>
      </c>
      <c r="B30" s="122" t="s">
        <v>127</v>
      </c>
      <c r="C30" s="74"/>
      <c r="D30" s="264">
        <f>D25+D26+D29</f>
        <v>9000</v>
      </c>
      <c r="E30" s="79">
        <f aca="true" t="shared" si="5" ref="E30:M30">E25+E26+E29</f>
        <v>23640</v>
      </c>
      <c r="F30" s="79">
        <f t="shared" si="5"/>
        <v>32100</v>
      </c>
      <c r="G30" s="79">
        <f t="shared" si="5"/>
        <v>41400</v>
      </c>
      <c r="H30" s="79">
        <f t="shared" si="5"/>
        <v>47700</v>
      </c>
      <c r="I30" s="79">
        <f t="shared" si="5"/>
        <v>50160</v>
      </c>
      <c r="J30" s="79">
        <f t="shared" si="5"/>
        <v>51780</v>
      </c>
      <c r="K30" s="79">
        <f t="shared" si="5"/>
        <v>56400</v>
      </c>
      <c r="L30" s="79">
        <f t="shared" si="5"/>
        <v>39900</v>
      </c>
      <c r="M30" s="123">
        <f t="shared" si="5"/>
        <v>39900</v>
      </c>
    </row>
    <row r="31" spans="2:13" ht="11.25" customHeight="1">
      <c r="B31" s="122"/>
      <c r="C31" s="74"/>
      <c r="D31" s="233"/>
      <c r="E31" s="79"/>
      <c r="F31" s="79"/>
      <c r="G31" s="79"/>
      <c r="H31" s="79"/>
      <c r="I31" s="79"/>
      <c r="J31" s="79"/>
      <c r="K31" s="79"/>
      <c r="L31" s="79"/>
      <c r="M31" s="123"/>
    </row>
    <row r="32" spans="2:13" ht="12.75">
      <c r="B32" s="179" t="s">
        <v>128</v>
      </c>
      <c r="C32" s="74"/>
      <c r="D32" s="268"/>
      <c r="E32" s="84"/>
      <c r="F32" s="84"/>
      <c r="G32" s="84"/>
      <c r="H32" s="84"/>
      <c r="I32" s="84"/>
      <c r="J32" s="84"/>
      <c r="K32" s="84"/>
      <c r="L32" s="84"/>
      <c r="M32" s="186"/>
    </row>
    <row r="33" spans="1:13" ht="12.75">
      <c r="A33">
        <v>17</v>
      </c>
      <c r="B33" s="176" t="s">
        <v>129</v>
      </c>
      <c r="C33" s="74"/>
      <c r="D33" s="325"/>
      <c r="E33" s="85"/>
      <c r="F33" s="85"/>
      <c r="G33" s="85"/>
      <c r="H33" s="85"/>
      <c r="I33" s="85"/>
      <c r="J33" s="85"/>
      <c r="K33" s="85"/>
      <c r="L33" s="85"/>
      <c r="M33" s="187"/>
    </row>
    <row r="34" spans="1:13" ht="12.75">
      <c r="A34">
        <v>18</v>
      </c>
      <c r="B34" s="136" t="s">
        <v>130</v>
      </c>
      <c r="C34" s="74"/>
      <c r="D34" s="326">
        <v>163.97</v>
      </c>
      <c r="E34" s="86">
        <f>D34*1.5</f>
        <v>245.95499999999998</v>
      </c>
      <c r="F34" s="86">
        <f>D34*2</f>
        <v>327.94</v>
      </c>
      <c r="G34" s="86">
        <f>F34*1.005</f>
        <v>329.57969999999995</v>
      </c>
      <c r="H34" s="86">
        <f>G34*1.005</f>
        <v>331.2275984999999</v>
      </c>
      <c r="I34" s="86">
        <f>H34*1.005</f>
        <v>332.88373649249985</v>
      </c>
      <c r="J34" s="86">
        <f>I34*1.005</f>
        <v>334.5481551749623</v>
      </c>
      <c r="K34" s="86">
        <f>J34*1.005</f>
        <v>336.2208959508371</v>
      </c>
      <c r="L34" s="86">
        <v>336</v>
      </c>
      <c r="M34" s="188">
        <v>336</v>
      </c>
    </row>
    <row r="35" spans="1:13" ht="12.75">
      <c r="A35">
        <v>19</v>
      </c>
      <c r="B35" s="136" t="s">
        <v>131</v>
      </c>
      <c r="C35" s="74"/>
      <c r="D35" s="326">
        <v>0</v>
      </c>
      <c r="E35" s="86">
        <f aca="true" t="shared" si="6" ref="E35:K35">75.76*E11</f>
        <v>1287.92</v>
      </c>
      <c r="F35" s="86">
        <f t="shared" si="6"/>
        <v>2272.8</v>
      </c>
      <c r="G35" s="86">
        <f t="shared" si="6"/>
        <v>3409.2000000000003</v>
      </c>
      <c r="H35" s="86">
        <f t="shared" si="6"/>
        <v>4545.6</v>
      </c>
      <c r="I35" s="86">
        <f t="shared" si="6"/>
        <v>5530.4800000000005</v>
      </c>
      <c r="J35" s="86">
        <f t="shared" si="6"/>
        <v>6363.84</v>
      </c>
      <c r="K35" s="86">
        <f t="shared" si="6"/>
        <v>7197.200000000001</v>
      </c>
      <c r="L35" s="86">
        <v>7200</v>
      </c>
      <c r="M35" s="188">
        <v>7200</v>
      </c>
    </row>
    <row r="36" spans="1:13" ht="12.75">
      <c r="A36">
        <v>20</v>
      </c>
      <c r="B36" s="136" t="s">
        <v>132</v>
      </c>
      <c r="C36" s="74"/>
      <c r="D36" s="326">
        <v>4800</v>
      </c>
      <c r="E36" s="86">
        <v>4800</v>
      </c>
      <c r="F36" s="86">
        <v>4800</v>
      </c>
      <c r="G36" s="86">
        <v>4800</v>
      </c>
      <c r="H36" s="86">
        <v>4800</v>
      </c>
      <c r="I36" s="86">
        <v>4800</v>
      </c>
      <c r="J36" s="86">
        <v>4800</v>
      </c>
      <c r="K36" s="86">
        <v>4800</v>
      </c>
      <c r="L36" s="86">
        <v>4800</v>
      </c>
      <c r="M36" s="188">
        <v>4800</v>
      </c>
    </row>
    <row r="37" spans="1:13" ht="12.75">
      <c r="A37">
        <v>21</v>
      </c>
      <c r="B37" s="136" t="s">
        <v>133</v>
      </c>
      <c r="C37" s="74"/>
      <c r="D37" s="326">
        <v>586.23</v>
      </c>
      <c r="E37" s="86">
        <f>D37*1.05</f>
        <v>615.5415</v>
      </c>
      <c r="F37" s="86">
        <f>E37*1.05</f>
        <v>646.3185750000001</v>
      </c>
      <c r="G37" s="86">
        <f>F37*1.05</f>
        <v>678.6345037500001</v>
      </c>
      <c r="H37" s="86">
        <f>G37*1.05</f>
        <v>712.5662289375002</v>
      </c>
      <c r="I37" s="86">
        <f>H37*1.1</f>
        <v>783.8228518312503</v>
      </c>
      <c r="J37" s="86">
        <f>I37*1.1</f>
        <v>862.2051370143754</v>
      </c>
      <c r="K37" s="86">
        <f>J37*1.1</f>
        <v>948.425650715813</v>
      </c>
      <c r="L37" s="86">
        <f>K37</f>
        <v>948.425650715813</v>
      </c>
      <c r="M37" s="188">
        <f>L37</f>
        <v>948.425650715813</v>
      </c>
    </row>
    <row r="38" spans="1:13" ht="12.75">
      <c r="A38">
        <v>22</v>
      </c>
      <c r="B38" s="136" t="s">
        <v>134</v>
      </c>
      <c r="C38" s="74"/>
      <c r="D38" s="326">
        <v>3741.77</v>
      </c>
      <c r="E38" s="86">
        <f aca="true" t="shared" si="7" ref="E38:K38">650*E10</f>
        <v>7150</v>
      </c>
      <c r="F38" s="86">
        <f t="shared" si="7"/>
        <v>8450</v>
      </c>
      <c r="G38" s="86">
        <f t="shared" si="7"/>
        <v>9750</v>
      </c>
      <c r="H38" s="86">
        <f t="shared" si="7"/>
        <v>9750</v>
      </c>
      <c r="I38" s="86">
        <f t="shared" si="7"/>
        <v>8450</v>
      </c>
      <c r="J38" s="86">
        <f t="shared" si="7"/>
        <v>7150</v>
      </c>
      <c r="K38" s="86">
        <f t="shared" si="7"/>
        <v>7150</v>
      </c>
      <c r="L38" s="86">
        <v>4500</v>
      </c>
      <c r="M38" s="188">
        <v>4500</v>
      </c>
    </row>
    <row r="39" spans="1:13" ht="12.75">
      <c r="A39">
        <v>23</v>
      </c>
      <c r="B39" s="136" t="s">
        <v>135</v>
      </c>
      <c r="C39" s="74"/>
      <c r="D39" s="326">
        <v>0</v>
      </c>
      <c r="E39" s="86">
        <v>5100</v>
      </c>
      <c r="F39" s="86">
        <v>5100</v>
      </c>
      <c r="G39" s="86">
        <v>5100</v>
      </c>
      <c r="H39" s="86">
        <v>5100</v>
      </c>
      <c r="I39" s="86">
        <v>5100</v>
      </c>
      <c r="J39" s="86">
        <v>5100</v>
      </c>
      <c r="K39" s="86">
        <v>5100</v>
      </c>
      <c r="L39" s="86">
        <v>5100</v>
      </c>
      <c r="M39" s="188">
        <v>5100</v>
      </c>
    </row>
    <row r="40" spans="1:13" s="61" customFormat="1" ht="12.75">
      <c r="A40" s="61">
        <v>24</v>
      </c>
      <c r="B40" s="136" t="s">
        <v>136</v>
      </c>
      <c r="C40" s="74"/>
      <c r="D40" s="326">
        <v>7236.59</v>
      </c>
      <c r="E40" s="86">
        <v>9500</v>
      </c>
      <c r="F40" s="86">
        <f aca="true" t="shared" si="8" ref="F40:K40">450*F10</f>
        <v>5850</v>
      </c>
      <c r="G40" s="86">
        <f t="shared" si="8"/>
        <v>6750</v>
      </c>
      <c r="H40" s="86">
        <f t="shared" si="8"/>
        <v>6750</v>
      </c>
      <c r="I40" s="86">
        <f t="shared" si="8"/>
        <v>5850</v>
      </c>
      <c r="J40" s="86">
        <f t="shared" si="8"/>
        <v>4950</v>
      </c>
      <c r="K40" s="86">
        <f t="shared" si="8"/>
        <v>4950</v>
      </c>
      <c r="L40" s="86">
        <v>4500</v>
      </c>
      <c r="M40" s="188">
        <v>4500</v>
      </c>
    </row>
    <row r="41" spans="1:13" ht="12.75">
      <c r="A41">
        <v>25</v>
      </c>
      <c r="B41" s="136" t="s">
        <v>137</v>
      </c>
      <c r="C41" s="74"/>
      <c r="D41" s="326">
        <v>0</v>
      </c>
      <c r="E41" s="86">
        <v>3000</v>
      </c>
      <c r="F41" s="86">
        <v>3000</v>
      </c>
      <c r="G41" s="86">
        <v>3000</v>
      </c>
      <c r="H41" s="86">
        <v>3000</v>
      </c>
      <c r="I41" s="86">
        <v>3000</v>
      </c>
      <c r="J41" s="86">
        <v>3000</v>
      </c>
      <c r="K41" s="86">
        <v>3000</v>
      </c>
      <c r="L41" s="86">
        <v>3000</v>
      </c>
      <c r="M41" s="188">
        <v>3000</v>
      </c>
    </row>
    <row r="42" spans="1:13" s="87" customFormat="1" ht="12.75">
      <c r="A42" s="61">
        <v>26</v>
      </c>
      <c r="B42" s="189" t="s">
        <v>138</v>
      </c>
      <c r="C42" s="88"/>
      <c r="D42" s="327">
        <f>'Depr &amp; Amort'!H25-'Depr &amp; Amort'!H41</f>
        <v>11623.922857142858</v>
      </c>
      <c r="E42" s="89">
        <f>'Depr &amp; Amort'!J25-'Depr &amp; Amort'!J41</f>
        <v>10941.540761904764</v>
      </c>
      <c r="F42" s="89">
        <f>'Depr &amp; Amort'!L25-'Depr &amp; Amort'!L41</f>
        <v>10092.492000000002</v>
      </c>
      <c r="G42" s="89">
        <f>'Depr &amp; Amort'!N25-'Depr &amp; Amort'!N41</f>
        <v>9076.776571428574</v>
      </c>
      <c r="H42" s="89">
        <f>'Depr &amp; Amort'!P25-'Depr &amp; Amort'!P41</f>
        <v>8061.0611428571465</v>
      </c>
      <c r="I42" s="89">
        <f>'Depr &amp; Amort'!R25-'Depr &amp; Amort'!R41</f>
        <v>7212.012380952386</v>
      </c>
      <c r="J42" s="89">
        <f>'Depr &amp; Amort'!T25-'Depr &amp; Amort'!T41</f>
        <v>6529.630285714291</v>
      </c>
      <c r="K42" s="89">
        <f>'Depr &amp; Amort'!V25-'Depr &amp; Amort'!V41</f>
        <v>5847.248190476196</v>
      </c>
      <c r="L42" s="89">
        <f>'Depr &amp; Amort'!X25-'Depr &amp; Amort'!X41</f>
        <v>6081.532761904768</v>
      </c>
      <c r="M42" s="190">
        <f>'Depr &amp; Amort'!Z25-'Depr &amp; Amort'!Z41</f>
        <v>6315.817333333341</v>
      </c>
    </row>
    <row r="43" spans="1:13" ht="12.75">
      <c r="A43">
        <v>27</v>
      </c>
      <c r="B43" s="136" t="s">
        <v>127</v>
      </c>
      <c r="C43" s="74"/>
      <c r="D43" s="328">
        <f aca="true" t="shared" si="9" ref="D43:M43">SUM(D34:D42)</f>
        <v>28152.48285714286</v>
      </c>
      <c r="E43" s="90">
        <f t="shared" si="9"/>
        <v>42640.95726190476</v>
      </c>
      <c r="F43" s="90">
        <f t="shared" si="9"/>
        <v>40539.550575</v>
      </c>
      <c r="G43" s="90">
        <f t="shared" si="9"/>
        <v>42894.19077517858</v>
      </c>
      <c r="H43" s="90">
        <f t="shared" si="9"/>
        <v>43050.45497029464</v>
      </c>
      <c r="I43" s="90">
        <f t="shared" si="9"/>
        <v>41059.198969276134</v>
      </c>
      <c r="J43" s="90">
        <f t="shared" si="9"/>
        <v>39090.22357790363</v>
      </c>
      <c r="K43" s="90">
        <f t="shared" si="9"/>
        <v>39329.09473714285</v>
      </c>
      <c r="L43" s="90">
        <f t="shared" si="9"/>
        <v>36465.95841262058</v>
      </c>
      <c r="M43" s="191">
        <f t="shared" si="9"/>
        <v>36700.24298404915</v>
      </c>
    </row>
    <row r="44" spans="2:13" ht="11.25" customHeight="1">
      <c r="B44" s="122"/>
      <c r="C44" s="74"/>
      <c r="D44" s="233"/>
      <c r="E44" s="61"/>
      <c r="F44" s="61"/>
      <c r="G44" s="61"/>
      <c r="H44" s="61"/>
      <c r="I44" s="61"/>
      <c r="J44" s="61"/>
      <c r="K44" s="61"/>
      <c r="L44" s="61"/>
      <c r="M44" s="169"/>
    </row>
    <row r="45" spans="2:13" ht="12.75">
      <c r="B45" s="179" t="s">
        <v>139</v>
      </c>
      <c r="C45" s="74"/>
      <c r="D45" s="233"/>
      <c r="E45" s="61"/>
      <c r="F45" s="61"/>
      <c r="G45" s="61"/>
      <c r="H45" s="61"/>
      <c r="I45" s="61"/>
      <c r="J45" s="61"/>
      <c r="K45" s="61"/>
      <c r="L45" s="61"/>
      <c r="M45" s="169"/>
    </row>
    <row r="46" spans="1:13" ht="12.75">
      <c r="A46">
        <v>28</v>
      </c>
      <c r="B46" s="176" t="s">
        <v>140</v>
      </c>
      <c r="C46" s="74"/>
      <c r="D46" s="329">
        <f>SUM('Depr &amp; Amort'!C10:C15)</f>
        <v>759070</v>
      </c>
      <c r="E46" s="91">
        <f aca="true" t="shared" si="10" ref="E46:M46">D46+D47</f>
        <v>759070</v>
      </c>
      <c r="F46" s="91">
        <f t="shared" si="10"/>
        <v>767269.96</v>
      </c>
      <c r="G46" s="91">
        <f t="shared" si="10"/>
        <v>775469.9199999999</v>
      </c>
      <c r="H46" s="91">
        <f t="shared" si="10"/>
        <v>783669.8799999999</v>
      </c>
      <c r="I46" s="91">
        <f t="shared" si="10"/>
        <v>791869.8399999999</v>
      </c>
      <c r="J46" s="91">
        <f t="shared" si="10"/>
        <v>800069.7999999998</v>
      </c>
      <c r="K46" s="91">
        <f t="shared" si="10"/>
        <v>808269.7599999998</v>
      </c>
      <c r="L46" s="91">
        <f t="shared" si="10"/>
        <v>816469.7199999997</v>
      </c>
      <c r="M46" s="192">
        <f t="shared" si="10"/>
        <v>824669.6799999997</v>
      </c>
    </row>
    <row r="47" spans="1:13" s="80" customFormat="1" ht="12.75">
      <c r="A47" s="80">
        <v>29</v>
      </c>
      <c r="B47" s="136" t="s">
        <v>141</v>
      </c>
      <c r="C47" s="92"/>
      <c r="D47" s="329">
        <v>0</v>
      </c>
      <c r="E47" s="91">
        <f>'Depr &amp; Amort'!C16</f>
        <v>8199.960000000001</v>
      </c>
      <c r="F47" s="91">
        <f>'Depr &amp; Amort'!C17</f>
        <v>8199.960000000001</v>
      </c>
      <c r="G47" s="91">
        <f>'Depr &amp; Amort'!C18</f>
        <v>8199.960000000001</v>
      </c>
      <c r="H47" s="91">
        <f>'Depr &amp; Amort'!C19</f>
        <v>8199.960000000001</v>
      </c>
      <c r="I47" s="91">
        <f>'Depr &amp; Amort'!C20</f>
        <v>8199.960000000001</v>
      </c>
      <c r="J47" s="91">
        <f>'Depr &amp; Amort'!C21</f>
        <v>8199.960000000001</v>
      </c>
      <c r="K47" s="91">
        <f>'Depr &amp; Amort'!C22</f>
        <v>8199.960000000001</v>
      </c>
      <c r="L47" s="91">
        <f>'Depr &amp; Amort'!C23</f>
        <v>8199.960000000001</v>
      </c>
      <c r="M47" s="192">
        <f>'Depr &amp; Amort'!C24</f>
        <v>8199.960000000001</v>
      </c>
    </row>
    <row r="48" spans="1:13" ht="12.75">
      <c r="A48" s="80">
        <v>30</v>
      </c>
      <c r="B48" s="176" t="s">
        <v>142</v>
      </c>
      <c r="C48" s="74"/>
      <c r="D48" s="329">
        <f>-'Depr &amp; Amort'!$C10</f>
        <v>-420000</v>
      </c>
      <c r="E48" s="91">
        <f>-'Depr &amp; Amort'!$C10</f>
        <v>-420000</v>
      </c>
      <c r="F48" s="91">
        <f>-'Depr &amp; Amort'!$C10</f>
        <v>-420000</v>
      </c>
      <c r="G48" s="91">
        <f>-'Depr &amp; Amort'!$C10</f>
        <v>-420000</v>
      </c>
      <c r="H48" s="91">
        <f>-'Depr &amp; Amort'!$C10</f>
        <v>-420000</v>
      </c>
      <c r="I48" s="91">
        <f>-'Depr &amp; Amort'!$C10</f>
        <v>-420000</v>
      </c>
      <c r="J48" s="91">
        <f>-'Depr &amp; Amort'!$C10</f>
        <v>-420000</v>
      </c>
      <c r="K48" s="91">
        <f>-'Depr &amp; Amort'!$C10</f>
        <v>-420000</v>
      </c>
      <c r="L48" s="91">
        <f>-'Depr &amp; Amort'!$C10</f>
        <v>-420000</v>
      </c>
      <c r="M48" s="192">
        <f>-'Depr &amp; Amort'!$C10</f>
        <v>-420000</v>
      </c>
    </row>
    <row r="49" spans="1:13" s="80" customFormat="1" ht="12.75">
      <c r="A49">
        <v>31</v>
      </c>
      <c r="B49" s="136" t="s">
        <v>57</v>
      </c>
      <c r="C49" s="92"/>
      <c r="D49" s="329">
        <f>-'Depr &amp; Amort'!I25</f>
        <v>-12123.922857142858</v>
      </c>
      <c r="E49" s="91">
        <f>-'Depr &amp; Amort'!K25</f>
        <v>-24482.130285714287</v>
      </c>
      <c r="F49" s="91">
        <f>-'Depr &amp; Amort'!M25</f>
        <v>-37074.62228571429</v>
      </c>
      <c r="G49" s="91">
        <f>-'Depr &amp; Amort'!O25</f>
        <v>-49901.39885714286</v>
      </c>
      <c r="H49" s="91">
        <f>-'Depr &amp; Amort'!Q25</f>
        <v>-62962.46000000001</v>
      </c>
      <c r="I49" s="91">
        <f>-'Depr &amp; Amort'!S25</f>
        <v>-76257.8057142857</v>
      </c>
      <c r="J49" s="91">
        <f>-'Depr &amp; Amort'!U25</f>
        <v>-89787.43599999999</v>
      </c>
      <c r="K49" s="91">
        <f>-'Depr &amp; Amort'!W25</f>
        <v>-103551.35085714285</v>
      </c>
      <c r="L49" s="91">
        <f>-'Depr &amp; Amort'!Y25</f>
        <v>-117549.5502857143</v>
      </c>
      <c r="M49" s="192">
        <f>-'Depr &amp; Amort'!AA25</f>
        <v>-131782.03428571433</v>
      </c>
    </row>
    <row r="50" spans="1:13" s="80" customFormat="1" ht="12.75">
      <c r="A50" s="80">
        <v>32</v>
      </c>
      <c r="B50" s="136" t="s">
        <v>86</v>
      </c>
      <c r="C50" s="56" t="s">
        <v>70</v>
      </c>
      <c r="D50" s="329">
        <f>-'Depr &amp; Amort'!C31</f>
        <v>-15000</v>
      </c>
      <c r="E50" s="91">
        <f>D50-'Depr &amp; Amort'!C32</f>
        <v>-42500</v>
      </c>
      <c r="F50" s="91">
        <f>E50-'Depr &amp; Amort'!C33</f>
        <v>-75000</v>
      </c>
      <c r="G50" s="91">
        <f>F50-'Depr &amp; Amort'!C34</f>
        <v>-112500</v>
      </c>
      <c r="H50" s="91">
        <f>G50-'Depr &amp; Amort'!C35</f>
        <v>-150000</v>
      </c>
      <c r="I50" s="91">
        <f>H50-'Depr &amp; Amort'!C36</f>
        <v>-182500</v>
      </c>
      <c r="J50" s="91">
        <f>I50-'Depr &amp; Amort'!C37</f>
        <v>-210000</v>
      </c>
      <c r="K50" s="91">
        <f>J50-'Depr &amp; Amort'!C38</f>
        <v>-237500</v>
      </c>
      <c r="L50" s="91">
        <f>K50-'Depr &amp; Amort'!C39</f>
        <v>-237500</v>
      </c>
      <c r="M50" s="192">
        <f>L50-'Depr &amp; Amort'!C40</f>
        <v>-237500</v>
      </c>
    </row>
    <row r="51" spans="1:13" s="62" customFormat="1" ht="12.75">
      <c r="A51" s="80">
        <v>33</v>
      </c>
      <c r="B51" s="184" t="s">
        <v>143</v>
      </c>
      <c r="C51" s="93"/>
      <c r="D51" s="323">
        <f>'Depr &amp; Amort'!H41</f>
        <v>500</v>
      </c>
      <c r="E51" s="81">
        <f>'Depr &amp; Amort'!K41</f>
        <v>1916.6666666666665</v>
      </c>
      <c r="F51" s="81">
        <f>'Depr &amp; Amort'!M41</f>
        <v>4416.666666666666</v>
      </c>
      <c r="G51" s="81">
        <f>'Depr &amp; Amort'!O41</f>
        <v>8166.666666666666</v>
      </c>
      <c r="H51" s="81">
        <f>'Depr &amp; Amort'!Q41</f>
        <v>13166.666666666666</v>
      </c>
      <c r="I51" s="81">
        <f>'Depr &amp; Amort'!S41</f>
        <v>19249.999999999996</v>
      </c>
      <c r="J51" s="81">
        <f>'Depr &amp; Amort'!U41</f>
        <v>26250</v>
      </c>
      <c r="K51" s="81">
        <f>'Depr &amp; Amort'!W41</f>
        <v>34166.666666666664</v>
      </c>
      <c r="L51" s="81">
        <f>'Depr &amp; Amort'!Y41</f>
        <v>42083.333333333336</v>
      </c>
      <c r="M51" s="183">
        <f>'Depr &amp; Amort'!AA41</f>
        <v>49999.99999999999</v>
      </c>
    </row>
    <row r="52" spans="1:13" ht="12.75">
      <c r="A52">
        <v>34</v>
      </c>
      <c r="B52" s="176" t="s">
        <v>220</v>
      </c>
      <c r="C52" s="74"/>
      <c r="D52" s="264">
        <f>SUM(D46:D51)</f>
        <v>312446.07714285713</v>
      </c>
      <c r="E52" s="79">
        <f aca="true" t="shared" si="11" ref="E52:M52">SUM(E46:E51)</f>
        <v>282204.49638095236</v>
      </c>
      <c r="F52" s="79">
        <f t="shared" si="11"/>
        <v>247811.96438095227</v>
      </c>
      <c r="G52" s="79">
        <f t="shared" si="11"/>
        <v>209435.14780952365</v>
      </c>
      <c r="H52" s="79">
        <f t="shared" si="11"/>
        <v>172074.0466666665</v>
      </c>
      <c r="I52" s="79">
        <f t="shared" si="11"/>
        <v>140561.9942857141</v>
      </c>
      <c r="J52" s="79">
        <f t="shared" si="11"/>
        <v>114732.32399999979</v>
      </c>
      <c r="K52" s="79">
        <f t="shared" si="11"/>
        <v>89585.03580952357</v>
      </c>
      <c r="L52" s="79">
        <f t="shared" si="11"/>
        <v>91703.46304761872</v>
      </c>
      <c r="M52" s="123">
        <f t="shared" si="11"/>
        <v>93587.60571428534</v>
      </c>
    </row>
    <row r="53" spans="1:13" s="80" customFormat="1" ht="12.75">
      <c r="A53" s="80">
        <v>35</v>
      </c>
      <c r="B53" s="184" t="s">
        <v>59</v>
      </c>
      <c r="C53" s="93"/>
      <c r="D53" s="323">
        <f aca="true" t="shared" si="12" ref="D53:M53">(D43-D42)*45/365</f>
        <v>2037.7676712328769</v>
      </c>
      <c r="E53" s="81">
        <f t="shared" si="12"/>
        <v>3908.1472397260272</v>
      </c>
      <c r="F53" s="81">
        <f t="shared" si="12"/>
        <v>3753.7469476027395</v>
      </c>
      <c r="G53" s="81">
        <f t="shared" si="12"/>
        <v>4169.270244297945</v>
      </c>
      <c r="H53" s="81">
        <f t="shared" si="12"/>
        <v>4313.760882834759</v>
      </c>
      <c r="I53" s="81">
        <f t="shared" si="12"/>
        <v>4172.940812259092</v>
      </c>
      <c r="J53" s="81">
        <f t="shared" si="12"/>
        <v>4014.31972095485</v>
      </c>
      <c r="K53" s="81">
        <f t="shared" si="12"/>
        <v>4127.898889315067</v>
      </c>
      <c r="L53" s="81">
        <f t="shared" si="12"/>
        <v>3746.025080225237</v>
      </c>
      <c r="M53" s="183">
        <f t="shared" si="12"/>
        <v>3746.025080225237</v>
      </c>
    </row>
    <row r="54" spans="1:13" ht="13.5" thickBot="1">
      <c r="A54" s="80">
        <v>36</v>
      </c>
      <c r="B54" s="193" t="s">
        <v>221</v>
      </c>
      <c r="C54" s="194"/>
      <c r="D54" s="330">
        <f>D53+D52</f>
        <v>314483.84481409</v>
      </c>
      <c r="E54" s="195">
        <f aca="true" t="shared" si="13" ref="E54:K54">E53+E52</f>
        <v>286112.6436206784</v>
      </c>
      <c r="F54" s="195">
        <f t="shared" si="13"/>
        <v>251565.71132855501</v>
      </c>
      <c r="G54" s="195">
        <f t="shared" si="13"/>
        <v>213604.4180538216</v>
      </c>
      <c r="H54" s="195">
        <f t="shared" si="13"/>
        <v>176387.80754950125</v>
      </c>
      <c r="I54" s="195">
        <f t="shared" si="13"/>
        <v>144734.9350979732</v>
      </c>
      <c r="J54" s="195">
        <f t="shared" si="13"/>
        <v>118746.64372095464</v>
      </c>
      <c r="K54" s="195">
        <f t="shared" si="13"/>
        <v>93712.93469883864</v>
      </c>
      <c r="L54" s="195">
        <f>L53+L52</f>
        <v>95449.48812784396</v>
      </c>
      <c r="M54" s="196">
        <f>M53+M52</f>
        <v>97333.63079451058</v>
      </c>
    </row>
    <row r="55" spans="2:13" s="80" customFormat="1" ht="12.75">
      <c r="B55" s="57"/>
      <c r="C55" s="92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 s="80" customFormat="1" ht="12.75">
      <c r="B56" s="57"/>
      <c r="C56" s="92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 ht="12.75">
      <c r="B57" s="94" t="s">
        <v>144</v>
      </c>
      <c r="C57" s="74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2.75">
      <c r="A58" s="3" t="s">
        <v>69</v>
      </c>
      <c r="B58" s="70" t="s">
        <v>145</v>
      </c>
      <c r="C58" s="74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7" ht="12.75">
      <c r="A59" s="3" t="s">
        <v>70</v>
      </c>
      <c r="B59" s="3" t="s">
        <v>146</v>
      </c>
      <c r="D59" s="95" t="s">
        <v>147</v>
      </c>
      <c r="F59" s="96">
        <v>1500</v>
      </c>
      <c r="G59" s="97">
        <f>F59/F61</f>
        <v>0.375</v>
      </c>
    </row>
    <row r="60" spans="4:7" ht="12.75">
      <c r="D60" s="95" t="s">
        <v>86</v>
      </c>
      <c r="F60" s="98">
        <v>2500</v>
      </c>
      <c r="G60" s="99">
        <f>F60/F61</f>
        <v>0.625</v>
      </c>
    </row>
    <row r="61" spans="4:7" ht="12.75">
      <c r="D61" s="95" t="s">
        <v>107</v>
      </c>
      <c r="F61" s="96">
        <f>SUM(F59:F60)</f>
        <v>4000</v>
      </c>
      <c r="G61" s="97">
        <f>SUM(G59:G60)</f>
        <v>1</v>
      </c>
    </row>
  </sheetData>
  <printOptions/>
  <pageMargins left="0.47" right="0.52" top="0.34" bottom="0.36" header="0.29" footer="0.42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workbookViewId="0" topLeftCell="A4">
      <selection activeCell="A36" sqref="A36"/>
    </sheetView>
  </sheetViews>
  <sheetFormatPr defaultColWidth="9.140625" defaultRowHeight="12.75"/>
  <cols>
    <col min="1" max="1" width="3.421875" style="101" customWidth="1"/>
    <col min="2" max="2" width="14.57421875" style="101" customWidth="1"/>
    <col min="3" max="3" width="9.140625" style="101" customWidth="1"/>
    <col min="4" max="4" width="6.28125" style="101" customWidth="1"/>
    <col min="5" max="5" width="9.140625" style="101" customWidth="1"/>
    <col min="6" max="6" width="4.421875" style="101" customWidth="1"/>
    <col min="7" max="7" width="9.140625" style="101" customWidth="1"/>
    <col min="8" max="8" width="7.57421875" style="103" bestFit="1" customWidth="1"/>
    <col min="9" max="9" width="10.140625" style="103" bestFit="1" customWidth="1"/>
    <col min="10" max="10" width="7.57421875" style="103" bestFit="1" customWidth="1"/>
    <col min="11" max="11" width="10.140625" style="103" bestFit="1" customWidth="1"/>
    <col min="12" max="12" width="7.57421875" style="103" bestFit="1" customWidth="1"/>
    <col min="13" max="13" width="10.140625" style="103" bestFit="1" customWidth="1"/>
    <col min="14" max="14" width="7.57421875" style="103" bestFit="1" customWidth="1"/>
    <col min="15" max="15" width="10.140625" style="103" customWidth="1"/>
    <col min="16" max="16" width="7.57421875" style="103" bestFit="1" customWidth="1"/>
    <col min="17" max="17" width="10.140625" style="103" bestFit="1" customWidth="1"/>
    <col min="18" max="18" width="7.57421875" style="103" bestFit="1" customWidth="1"/>
    <col min="19" max="19" width="10.140625" style="101" bestFit="1" customWidth="1"/>
    <col min="20" max="20" width="7.57421875" style="101" bestFit="1" customWidth="1"/>
    <col min="21" max="21" width="10.140625" style="101" bestFit="1" customWidth="1"/>
    <col min="22" max="22" width="7.57421875" style="101" bestFit="1" customWidth="1"/>
    <col min="23" max="23" width="10.140625" style="101" bestFit="1" customWidth="1"/>
    <col min="24" max="24" width="7.57421875" style="101" bestFit="1" customWidth="1"/>
    <col min="25" max="25" width="10.140625" style="101" bestFit="1" customWidth="1"/>
    <col min="26" max="26" width="7.57421875" style="101" bestFit="1" customWidth="1"/>
    <col min="27" max="27" width="10.140625" style="101" customWidth="1"/>
    <col min="28" max="16384" width="9.140625" style="101" customWidth="1"/>
  </cols>
  <sheetData>
    <row r="1" spans="1:25" ht="12.75">
      <c r="A1" s="67" t="s">
        <v>81</v>
      </c>
      <c r="B1" s="100"/>
      <c r="G1" s="102"/>
      <c r="Y1" s="10" t="s">
        <v>79</v>
      </c>
    </row>
    <row r="2" spans="1:25" ht="12.75">
      <c r="A2" s="67" t="s">
        <v>208</v>
      </c>
      <c r="B2" s="100"/>
      <c r="G2" s="102"/>
      <c r="Y2" s="11" t="s">
        <v>80</v>
      </c>
    </row>
    <row r="3" spans="1:25" ht="12.75">
      <c r="A3" s="67" t="s">
        <v>209</v>
      </c>
      <c r="B3" s="100"/>
      <c r="G3" s="104"/>
      <c r="Y3" s="11" t="s">
        <v>206</v>
      </c>
    </row>
    <row r="4" spans="1:7" ht="12.75">
      <c r="A4" s="67" t="s">
        <v>210</v>
      </c>
      <c r="B4"/>
      <c r="G4" s="104"/>
    </row>
    <row r="5" spans="1:18" ht="13.5" thickBot="1">
      <c r="A5" s="67"/>
      <c r="B5" s="3"/>
      <c r="R5" s="101"/>
    </row>
    <row r="6" spans="2:27" ht="12.75">
      <c r="B6" s="224" t="s">
        <v>148</v>
      </c>
      <c r="C6" s="331"/>
      <c r="D6" s="201"/>
      <c r="E6" s="201"/>
      <c r="F6" s="225" t="s">
        <v>70</v>
      </c>
      <c r="G6" s="332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26"/>
    </row>
    <row r="7" spans="2:27" ht="12.75">
      <c r="B7" s="202"/>
      <c r="C7" s="333" t="s">
        <v>69</v>
      </c>
      <c r="D7" s="207"/>
      <c r="E7" s="207"/>
      <c r="F7" s="103" t="s">
        <v>108</v>
      </c>
      <c r="G7" s="230"/>
      <c r="I7" s="207" t="s">
        <v>149</v>
      </c>
      <c r="K7" s="207" t="s">
        <v>149</v>
      </c>
      <c r="M7" s="207" t="s">
        <v>149</v>
      </c>
      <c r="O7" s="207" t="s">
        <v>149</v>
      </c>
      <c r="Q7" s="207" t="s">
        <v>149</v>
      </c>
      <c r="S7" s="207" t="s">
        <v>149</v>
      </c>
      <c r="T7" s="103"/>
      <c r="U7" s="207" t="s">
        <v>149</v>
      </c>
      <c r="V7" s="103"/>
      <c r="W7" s="207" t="s">
        <v>149</v>
      </c>
      <c r="X7" s="103"/>
      <c r="Y7" s="207" t="s">
        <v>149</v>
      </c>
      <c r="Z7" s="103"/>
      <c r="AA7" s="208" t="s">
        <v>149</v>
      </c>
    </row>
    <row r="8" spans="2:27" ht="12.75">
      <c r="B8" s="202"/>
      <c r="C8" s="333" t="s">
        <v>150</v>
      </c>
      <c r="D8" s="207" t="s">
        <v>151</v>
      </c>
      <c r="E8" s="207" t="s">
        <v>152</v>
      </c>
      <c r="F8" s="207" t="s">
        <v>153</v>
      </c>
      <c r="G8" s="230" t="s">
        <v>154</v>
      </c>
      <c r="H8" s="207">
        <v>2007</v>
      </c>
      <c r="I8" s="207" t="s">
        <v>152</v>
      </c>
      <c r="J8" s="207">
        <v>2008</v>
      </c>
      <c r="K8" s="207" t="s">
        <v>152</v>
      </c>
      <c r="L8" s="207">
        <v>2009</v>
      </c>
      <c r="M8" s="207" t="s">
        <v>152</v>
      </c>
      <c r="N8" s="207">
        <v>2010</v>
      </c>
      <c r="O8" s="207" t="s">
        <v>152</v>
      </c>
      <c r="P8" s="207">
        <v>2011</v>
      </c>
      <c r="Q8" s="207" t="s">
        <v>152</v>
      </c>
      <c r="R8" s="207">
        <v>2012</v>
      </c>
      <c r="S8" s="207" t="s">
        <v>152</v>
      </c>
      <c r="T8" s="207">
        <v>2013</v>
      </c>
      <c r="U8" s="207" t="s">
        <v>152</v>
      </c>
      <c r="V8" s="207">
        <v>2014</v>
      </c>
      <c r="W8" s="207" t="s">
        <v>152</v>
      </c>
      <c r="X8" s="207">
        <v>2015</v>
      </c>
      <c r="Y8" s="207" t="s">
        <v>152</v>
      </c>
      <c r="Z8" s="207">
        <v>2016</v>
      </c>
      <c r="AA8" s="208" t="s">
        <v>152</v>
      </c>
    </row>
    <row r="9" spans="2:27" ht="12.75">
      <c r="B9" s="204" t="s">
        <v>9</v>
      </c>
      <c r="C9" s="334" t="s">
        <v>155</v>
      </c>
      <c r="D9" s="220" t="s">
        <v>156</v>
      </c>
      <c r="E9" s="220" t="s">
        <v>156</v>
      </c>
      <c r="F9" s="221" t="s">
        <v>157</v>
      </c>
      <c r="G9" s="335" t="s">
        <v>158</v>
      </c>
      <c r="H9" s="220" t="s">
        <v>152</v>
      </c>
      <c r="I9" s="222">
        <v>39447</v>
      </c>
      <c r="J9" s="220" t="s">
        <v>152</v>
      </c>
      <c r="K9" s="222">
        <v>39813</v>
      </c>
      <c r="L9" s="220" t="s">
        <v>152</v>
      </c>
      <c r="M9" s="222">
        <v>40178</v>
      </c>
      <c r="N9" s="220" t="s">
        <v>152</v>
      </c>
      <c r="O9" s="222">
        <v>40543</v>
      </c>
      <c r="P9" s="220" t="s">
        <v>152</v>
      </c>
      <c r="Q9" s="222">
        <v>40908</v>
      </c>
      <c r="R9" s="220" t="s">
        <v>152</v>
      </c>
      <c r="S9" s="222">
        <v>41274</v>
      </c>
      <c r="T9" s="220" t="s">
        <v>152</v>
      </c>
      <c r="U9" s="222">
        <v>41639</v>
      </c>
      <c r="V9" s="220" t="s">
        <v>152</v>
      </c>
      <c r="W9" s="222">
        <v>42004</v>
      </c>
      <c r="X9" s="220" t="s">
        <v>152</v>
      </c>
      <c r="Y9" s="222">
        <v>42369</v>
      </c>
      <c r="Z9" s="220" t="s">
        <v>152</v>
      </c>
      <c r="AA9" s="223">
        <v>42735</v>
      </c>
    </row>
    <row r="10" spans="1:27" ht="12.75">
      <c r="A10" s="101">
        <v>1</v>
      </c>
      <c r="B10" s="202" t="s">
        <v>82</v>
      </c>
      <c r="C10" s="336">
        <v>420000</v>
      </c>
      <c r="D10" s="111">
        <f aca="true" t="shared" si="0" ref="D10:D24">C10*0</f>
        <v>0</v>
      </c>
      <c r="E10" s="111">
        <f aca="true" t="shared" si="1" ref="E10:E24">C10-D10</f>
        <v>420000</v>
      </c>
      <c r="F10" s="103">
        <v>0</v>
      </c>
      <c r="G10" s="337">
        <v>39083</v>
      </c>
      <c r="H10" s="116">
        <v>0</v>
      </c>
      <c r="I10" s="111">
        <v>0</v>
      </c>
      <c r="J10" s="116">
        <v>0</v>
      </c>
      <c r="K10" s="111">
        <v>0</v>
      </c>
      <c r="L10" s="116">
        <v>0</v>
      </c>
      <c r="M10" s="111">
        <v>0</v>
      </c>
      <c r="N10" s="116">
        <v>0</v>
      </c>
      <c r="O10" s="111">
        <v>0</v>
      </c>
      <c r="P10" s="116">
        <v>0</v>
      </c>
      <c r="Q10" s="111">
        <v>0</v>
      </c>
      <c r="R10" s="116">
        <v>0</v>
      </c>
      <c r="S10" s="111">
        <v>0</v>
      </c>
      <c r="T10" s="116">
        <v>0</v>
      </c>
      <c r="U10" s="111">
        <v>0</v>
      </c>
      <c r="V10" s="116">
        <v>0</v>
      </c>
      <c r="W10" s="111">
        <v>0</v>
      </c>
      <c r="X10" s="116">
        <v>0</v>
      </c>
      <c r="Y10" s="111">
        <v>0</v>
      </c>
      <c r="Z10" s="116">
        <v>0</v>
      </c>
      <c r="AA10" s="203">
        <v>0</v>
      </c>
    </row>
    <row r="11" spans="1:27" ht="12.75">
      <c r="A11" s="101">
        <v>2</v>
      </c>
      <c r="B11" s="202" t="s">
        <v>159</v>
      </c>
      <c r="C11" s="336">
        <v>45000</v>
      </c>
      <c r="D11" s="111">
        <f t="shared" si="0"/>
        <v>0</v>
      </c>
      <c r="E11" s="111">
        <f t="shared" si="1"/>
        <v>45000</v>
      </c>
      <c r="F11" s="103">
        <v>20</v>
      </c>
      <c r="G11" s="337">
        <v>39083</v>
      </c>
      <c r="H11" s="116">
        <f>$E11/$F11</f>
        <v>2250</v>
      </c>
      <c r="I11" s="111">
        <f>H11</f>
        <v>2250</v>
      </c>
      <c r="J11" s="116">
        <f aca="true" t="shared" si="2" ref="J11:J16">$E11/$F11</f>
        <v>2250</v>
      </c>
      <c r="K11" s="111">
        <f>I11+J11</f>
        <v>4500</v>
      </c>
      <c r="L11" s="116">
        <f aca="true" t="shared" si="3" ref="L11:L17">$E11/$F11</f>
        <v>2250</v>
      </c>
      <c r="M11" s="111">
        <f aca="true" t="shared" si="4" ref="M11:M16">K11+L11</f>
        <v>6750</v>
      </c>
      <c r="N11" s="116">
        <f aca="true" t="shared" si="5" ref="N11:N18">$E11/$F11</f>
        <v>2250</v>
      </c>
      <c r="O11" s="111">
        <f aca="true" t="shared" si="6" ref="O11:O17">M11+N11</f>
        <v>9000</v>
      </c>
      <c r="P11" s="116">
        <f aca="true" t="shared" si="7" ref="P11:P19">$E11/$F11</f>
        <v>2250</v>
      </c>
      <c r="Q11" s="111">
        <f aca="true" t="shared" si="8" ref="Q11:Q18">O11+P11</f>
        <v>11250</v>
      </c>
      <c r="R11" s="116">
        <f aca="true" t="shared" si="9" ref="R11:R20">$E11/$F11</f>
        <v>2250</v>
      </c>
      <c r="S11" s="111">
        <f aca="true" t="shared" si="10" ref="S11:S19">Q11+R11</f>
        <v>13500</v>
      </c>
      <c r="T11" s="116">
        <f aca="true" t="shared" si="11" ref="T11:T21">$E11/$F11</f>
        <v>2250</v>
      </c>
      <c r="U11" s="111">
        <f aca="true" t="shared" si="12" ref="U11:U20">S11+T11</f>
        <v>15750</v>
      </c>
      <c r="V11" s="116">
        <f aca="true" t="shared" si="13" ref="V11:V22">$E11/$F11</f>
        <v>2250</v>
      </c>
      <c r="W11" s="111">
        <f aca="true" t="shared" si="14" ref="W11:W21">U11+V11</f>
        <v>18000</v>
      </c>
      <c r="X11" s="116">
        <f aca="true" t="shared" si="15" ref="X11:X23">$E11/$F11</f>
        <v>2250</v>
      </c>
      <c r="Y11" s="111">
        <f aca="true" t="shared" si="16" ref="Y11:Y22">W11+X11</f>
        <v>20250</v>
      </c>
      <c r="Z11" s="116">
        <f aca="true" t="shared" si="17" ref="Z11:Z24">$E11/$F11</f>
        <v>2250</v>
      </c>
      <c r="AA11" s="203">
        <f aca="true" t="shared" si="18" ref="AA11:AA23">Y11+Z11</f>
        <v>22500</v>
      </c>
    </row>
    <row r="12" spans="1:27" ht="12.75">
      <c r="A12" s="101">
        <v>3</v>
      </c>
      <c r="B12" s="202" t="s">
        <v>160</v>
      </c>
      <c r="C12" s="336">
        <v>783</v>
      </c>
      <c r="D12" s="111">
        <f t="shared" si="0"/>
        <v>0</v>
      </c>
      <c r="E12" s="111">
        <f t="shared" si="1"/>
        <v>783</v>
      </c>
      <c r="F12" s="103">
        <v>35</v>
      </c>
      <c r="G12" s="337">
        <v>39083</v>
      </c>
      <c r="H12" s="116">
        <f>$E12/$F12</f>
        <v>22.37142857142857</v>
      </c>
      <c r="I12" s="111">
        <f>H12</f>
        <v>22.37142857142857</v>
      </c>
      <c r="J12" s="116">
        <f t="shared" si="2"/>
        <v>22.37142857142857</v>
      </c>
      <c r="K12" s="111">
        <f>I12+J12</f>
        <v>44.74285714285714</v>
      </c>
      <c r="L12" s="116">
        <f t="shared" si="3"/>
        <v>22.37142857142857</v>
      </c>
      <c r="M12" s="111">
        <f t="shared" si="4"/>
        <v>67.11428571428571</v>
      </c>
      <c r="N12" s="116">
        <f t="shared" si="5"/>
        <v>22.37142857142857</v>
      </c>
      <c r="O12" s="111">
        <f t="shared" si="6"/>
        <v>89.48571428571428</v>
      </c>
      <c r="P12" s="116">
        <f t="shared" si="7"/>
        <v>22.37142857142857</v>
      </c>
      <c r="Q12" s="111">
        <f t="shared" si="8"/>
        <v>111.85714285714285</v>
      </c>
      <c r="R12" s="116">
        <f t="shared" si="9"/>
        <v>22.37142857142857</v>
      </c>
      <c r="S12" s="111">
        <f t="shared" si="10"/>
        <v>134.22857142857143</v>
      </c>
      <c r="T12" s="116">
        <f t="shared" si="11"/>
        <v>22.37142857142857</v>
      </c>
      <c r="U12" s="111">
        <f t="shared" si="12"/>
        <v>156.6</v>
      </c>
      <c r="V12" s="116">
        <f t="shared" si="13"/>
        <v>22.37142857142857</v>
      </c>
      <c r="W12" s="111">
        <f t="shared" si="14"/>
        <v>178.97142857142856</v>
      </c>
      <c r="X12" s="116">
        <f t="shared" si="15"/>
        <v>22.37142857142857</v>
      </c>
      <c r="Y12" s="111">
        <f t="shared" si="16"/>
        <v>201.34285714285713</v>
      </c>
      <c r="Z12" s="116">
        <f t="shared" si="17"/>
        <v>22.37142857142857</v>
      </c>
      <c r="AA12" s="203">
        <f t="shared" si="18"/>
        <v>223.7142857142857</v>
      </c>
    </row>
    <row r="13" spans="1:27" ht="12.75">
      <c r="A13" s="101">
        <v>4</v>
      </c>
      <c r="B13" s="202" t="s">
        <v>161</v>
      </c>
      <c r="C13" s="336">
        <v>17217</v>
      </c>
      <c r="D13" s="111">
        <f t="shared" si="0"/>
        <v>0</v>
      </c>
      <c r="E13" s="111">
        <f t="shared" si="1"/>
        <v>17217</v>
      </c>
      <c r="F13" s="103">
        <v>25</v>
      </c>
      <c r="G13" s="337">
        <v>39083</v>
      </c>
      <c r="H13" s="116">
        <f>$E13/$F13</f>
        <v>688.68</v>
      </c>
      <c r="I13" s="111">
        <f>H13</f>
        <v>688.68</v>
      </c>
      <c r="J13" s="116">
        <f t="shared" si="2"/>
        <v>688.68</v>
      </c>
      <c r="K13" s="111">
        <f>I13+J13</f>
        <v>1377.36</v>
      </c>
      <c r="L13" s="116">
        <f t="shared" si="3"/>
        <v>688.68</v>
      </c>
      <c r="M13" s="111">
        <f t="shared" si="4"/>
        <v>2066.04</v>
      </c>
      <c r="N13" s="116">
        <f t="shared" si="5"/>
        <v>688.68</v>
      </c>
      <c r="O13" s="111">
        <f t="shared" si="6"/>
        <v>2754.72</v>
      </c>
      <c r="P13" s="116">
        <f t="shared" si="7"/>
        <v>688.68</v>
      </c>
      <c r="Q13" s="111">
        <f t="shared" si="8"/>
        <v>3443.3999999999996</v>
      </c>
      <c r="R13" s="116">
        <f t="shared" si="9"/>
        <v>688.68</v>
      </c>
      <c r="S13" s="111">
        <f t="shared" si="10"/>
        <v>4132.08</v>
      </c>
      <c r="T13" s="116">
        <f t="shared" si="11"/>
        <v>688.68</v>
      </c>
      <c r="U13" s="111">
        <f t="shared" si="12"/>
        <v>4820.76</v>
      </c>
      <c r="V13" s="116">
        <f t="shared" si="13"/>
        <v>688.68</v>
      </c>
      <c r="W13" s="111">
        <f t="shared" si="14"/>
        <v>5509.4400000000005</v>
      </c>
      <c r="X13" s="116">
        <f t="shared" si="15"/>
        <v>688.68</v>
      </c>
      <c r="Y13" s="111">
        <f t="shared" si="16"/>
        <v>6198.120000000001</v>
      </c>
      <c r="Z13" s="116">
        <f t="shared" si="17"/>
        <v>688.68</v>
      </c>
      <c r="AA13" s="203">
        <f t="shared" si="18"/>
        <v>6886.800000000001</v>
      </c>
    </row>
    <row r="14" spans="1:27" ht="12.75">
      <c r="A14" s="101">
        <v>5</v>
      </c>
      <c r="B14" s="202" t="s">
        <v>87</v>
      </c>
      <c r="C14" s="336">
        <v>267783</v>
      </c>
      <c r="D14" s="111">
        <f t="shared" si="0"/>
        <v>0</v>
      </c>
      <c r="E14" s="111">
        <f t="shared" si="1"/>
        <v>267783</v>
      </c>
      <c r="F14" s="103">
        <v>30</v>
      </c>
      <c r="G14" s="337">
        <v>39083</v>
      </c>
      <c r="H14" s="116">
        <f>$E14/$F14</f>
        <v>8926.1</v>
      </c>
      <c r="I14" s="111">
        <f>H14</f>
        <v>8926.1</v>
      </c>
      <c r="J14" s="116">
        <f t="shared" si="2"/>
        <v>8926.1</v>
      </c>
      <c r="K14" s="111">
        <f>I14+J14</f>
        <v>17852.2</v>
      </c>
      <c r="L14" s="116">
        <f t="shared" si="3"/>
        <v>8926.1</v>
      </c>
      <c r="M14" s="111">
        <f t="shared" si="4"/>
        <v>26778.300000000003</v>
      </c>
      <c r="N14" s="116">
        <f t="shared" si="5"/>
        <v>8926.1</v>
      </c>
      <c r="O14" s="111">
        <f t="shared" si="6"/>
        <v>35704.4</v>
      </c>
      <c r="P14" s="116">
        <f t="shared" si="7"/>
        <v>8926.1</v>
      </c>
      <c r="Q14" s="111">
        <f t="shared" si="8"/>
        <v>44630.5</v>
      </c>
      <c r="R14" s="116">
        <f t="shared" si="9"/>
        <v>8926.1</v>
      </c>
      <c r="S14" s="111">
        <f t="shared" si="10"/>
        <v>53556.6</v>
      </c>
      <c r="T14" s="116">
        <f t="shared" si="11"/>
        <v>8926.1</v>
      </c>
      <c r="U14" s="111">
        <f t="shared" si="12"/>
        <v>62482.7</v>
      </c>
      <c r="V14" s="116">
        <f t="shared" si="13"/>
        <v>8926.1</v>
      </c>
      <c r="W14" s="111">
        <f t="shared" si="14"/>
        <v>71408.8</v>
      </c>
      <c r="X14" s="116">
        <f t="shared" si="15"/>
        <v>8926.1</v>
      </c>
      <c r="Y14" s="111">
        <f t="shared" si="16"/>
        <v>80334.90000000001</v>
      </c>
      <c r="Z14" s="116">
        <f t="shared" si="17"/>
        <v>8926.1</v>
      </c>
      <c r="AA14" s="203">
        <f t="shared" si="18"/>
        <v>89261.00000000001</v>
      </c>
    </row>
    <row r="15" spans="1:27" ht="12.75">
      <c r="A15" s="101">
        <v>6</v>
      </c>
      <c r="B15" s="202" t="s">
        <v>162</v>
      </c>
      <c r="C15" s="336">
        <v>8287</v>
      </c>
      <c r="D15" s="111">
        <f t="shared" si="0"/>
        <v>0</v>
      </c>
      <c r="E15" s="111">
        <f t="shared" si="1"/>
        <v>8287</v>
      </c>
      <c r="F15" s="103">
        <v>35</v>
      </c>
      <c r="G15" s="337">
        <v>39083</v>
      </c>
      <c r="H15" s="116">
        <f>$E15/$F15</f>
        <v>236.77142857142857</v>
      </c>
      <c r="I15" s="111">
        <f>H15</f>
        <v>236.77142857142857</v>
      </c>
      <c r="J15" s="116">
        <f t="shared" si="2"/>
        <v>236.77142857142857</v>
      </c>
      <c r="K15" s="111">
        <f>I15+J15</f>
        <v>473.54285714285714</v>
      </c>
      <c r="L15" s="116">
        <f t="shared" si="3"/>
        <v>236.77142857142857</v>
      </c>
      <c r="M15" s="111">
        <f t="shared" si="4"/>
        <v>710.3142857142857</v>
      </c>
      <c r="N15" s="116">
        <f t="shared" si="5"/>
        <v>236.77142857142857</v>
      </c>
      <c r="O15" s="111">
        <f t="shared" si="6"/>
        <v>947.0857142857143</v>
      </c>
      <c r="P15" s="116">
        <f t="shared" si="7"/>
        <v>236.77142857142857</v>
      </c>
      <c r="Q15" s="111">
        <f t="shared" si="8"/>
        <v>1183.857142857143</v>
      </c>
      <c r="R15" s="116">
        <f t="shared" si="9"/>
        <v>236.77142857142857</v>
      </c>
      <c r="S15" s="111">
        <f t="shared" si="10"/>
        <v>1420.6285714285714</v>
      </c>
      <c r="T15" s="116">
        <f t="shared" si="11"/>
        <v>236.77142857142857</v>
      </c>
      <c r="U15" s="111">
        <f t="shared" si="12"/>
        <v>1657.3999999999999</v>
      </c>
      <c r="V15" s="116">
        <f t="shared" si="13"/>
        <v>236.77142857142857</v>
      </c>
      <c r="W15" s="111">
        <f t="shared" si="14"/>
        <v>1894.1714285714284</v>
      </c>
      <c r="X15" s="116">
        <f t="shared" si="15"/>
        <v>236.77142857142857</v>
      </c>
      <c r="Y15" s="111">
        <f t="shared" si="16"/>
        <v>2130.942857142857</v>
      </c>
      <c r="Z15" s="116">
        <f t="shared" si="17"/>
        <v>236.77142857142857</v>
      </c>
      <c r="AA15" s="203">
        <f t="shared" si="18"/>
        <v>2367.714285714286</v>
      </c>
    </row>
    <row r="16" spans="1:27" ht="12.75">
      <c r="A16" s="101">
        <v>7</v>
      </c>
      <c r="B16" s="202" t="s">
        <v>163</v>
      </c>
      <c r="C16" s="336">
        <f aca="true" t="shared" si="19" ref="C16:C24">683.33*12</f>
        <v>8199.960000000001</v>
      </c>
      <c r="D16" s="111">
        <f t="shared" si="0"/>
        <v>0</v>
      </c>
      <c r="E16" s="111">
        <f t="shared" si="1"/>
        <v>8199.960000000001</v>
      </c>
      <c r="F16" s="103">
        <v>35</v>
      </c>
      <c r="G16" s="337">
        <v>39448</v>
      </c>
      <c r="J16" s="116">
        <f t="shared" si="2"/>
        <v>234.28457142857147</v>
      </c>
      <c r="K16" s="111">
        <f>J16</f>
        <v>234.28457142857147</v>
      </c>
      <c r="L16" s="116">
        <f t="shared" si="3"/>
        <v>234.28457142857147</v>
      </c>
      <c r="M16" s="111">
        <f t="shared" si="4"/>
        <v>468.56914285714294</v>
      </c>
      <c r="N16" s="116">
        <f t="shared" si="5"/>
        <v>234.28457142857147</v>
      </c>
      <c r="O16" s="111">
        <f t="shared" si="6"/>
        <v>702.8537142857144</v>
      </c>
      <c r="P16" s="116">
        <f t="shared" si="7"/>
        <v>234.28457142857147</v>
      </c>
      <c r="Q16" s="111">
        <f t="shared" si="8"/>
        <v>937.1382857142859</v>
      </c>
      <c r="R16" s="116">
        <f t="shared" si="9"/>
        <v>234.28457142857147</v>
      </c>
      <c r="S16" s="111">
        <f t="shared" si="10"/>
        <v>1171.4228571428573</v>
      </c>
      <c r="T16" s="116">
        <f t="shared" si="11"/>
        <v>234.28457142857147</v>
      </c>
      <c r="U16" s="111">
        <f t="shared" si="12"/>
        <v>1405.7074285714289</v>
      </c>
      <c r="V16" s="116">
        <f t="shared" si="13"/>
        <v>234.28457142857147</v>
      </c>
      <c r="W16" s="111">
        <f t="shared" si="14"/>
        <v>1639.9920000000004</v>
      </c>
      <c r="X16" s="116">
        <f t="shared" si="15"/>
        <v>234.28457142857147</v>
      </c>
      <c r="Y16" s="111">
        <f t="shared" si="16"/>
        <v>1874.276571428572</v>
      </c>
      <c r="Z16" s="116">
        <f t="shared" si="17"/>
        <v>234.28457142857147</v>
      </c>
      <c r="AA16" s="203">
        <f t="shared" si="18"/>
        <v>2108.5611428571433</v>
      </c>
    </row>
    <row r="17" spans="1:27" ht="12.75">
      <c r="A17" s="101">
        <v>8</v>
      </c>
      <c r="B17" s="202" t="s">
        <v>164</v>
      </c>
      <c r="C17" s="336">
        <f t="shared" si="19"/>
        <v>8199.960000000001</v>
      </c>
      <c r="D17" s="111">
        <f t="shared" si="0"/>
        <v>0</v>
      </c>
      <c r="E17" s="111">
        <f t="shared" si="1"/>
        <v>8199.960000000001</v>
      </c>
      <c r="F17" s="103">
        <v>35</v>
      </c>
      <c r="G17" s="337">
        <v>39814</v>
      </c>
      <c r="L17" s="116">
        <f t="shared" si="3"/>
        <v>234.28457142857147</v>
      </c>
      <c r="M17" s="111">
        <f>L17</f>
        <v>234.28457142857147</v>
      </c>
      <c r="N17" s="116">
        <f t="shared" si="5"/>
        <v>234.28457142857147</v>
      </c>
      <c r="O17" s="111">
        <f t="shared" si="6"/>
        <v>468.56914285714294</v>
      </c>
      <c r="P17" s="116">
        <f t="shared" si="7"/>
        <v>234.28457142857147</v>
      </c>
      <c r="Q17" s="111">
        <f t="shared" si="8"/>
        <v>702.8537142857144</v>
      </c>
      <c r="R17" s="116">
        <f t="shared" si="9"/>
        <v>234.28457142857147</v>
      </c>
      <c r="S17" s="111">
        <f t="shared" si="10"/>
        <v>937.1382857142859</v>
      </c>
      <c r="T17" s="116">
        <f t="shared" si="11"/>
        <v>234.28457142857147</v>
      </c>
      <c r="U17" s="111">
        <f t="shared" si="12"/>
        <v>1171.4228571428573</v>
      </c>
      <c r="V17" s="116">
        <f t="shared" si="13"/>
        <v>234.28457142857147</v>
      </c>
      <c r="W17" s="111">
        <f t="shared" si="14"/>
        <v>1405.7074285714289</v>
      </c>
      <c r="X17" s="116">
        <f t="shared" si="15"/>
        <v>234.28457142857147</v>
      </c>
      <c r="Y17" s="111">
        <f t="shared" si="16"/>
        <v>1639.9920000000004</v>
      </c>
      <c r="Z17" s="116">
        <f t="shared" si="17"/>
        <v>234.28457142857147</v>
      </c>
      <c r="AA17" s="203">
        <f t="shared" si="18"/>
        <v>1874.276571428572</v>
      </c>
    </row>
    <row r="18" spans="1:27" ht="12.75">
      <c r="A18" s="101">
        <v>9</v>
      </c>
      <c r="B18" s="202" t="s">
        <v>165</v>
      </c>
      <c r="C18" s="336">
        <f t="shared" si="19"/>
        <v>8199.960000000001</v>
      </c>
      <c r="D18" s="111">
        <f t="shared" si="0"/>
        <v>0</v>
      </c>
      <c r="E18" s="111">
        <f t="shared" si="1"/>
        <v>8199.960000000001</v>
      </c>
      <c r="F18" s="103">
        <v>35</v>
      </c>
      <c r="G18" s="337">
        <v>40179</v>
      </c>
      <c r="N18" s="116">
        <f t="shared" si="5"/>
        <v>234.28457142857147</v>
      </c>
      <c r="O18" s="111">
        <f>N18</f>
        <v>234.28457142857147</v>
      </c>
      <c r="P18" s="116">
        <f t="shared" si="7"/>
        <v>234.28457142857147</v>
      </c>
      <c r="Q18" s="111">
        <f t="shared" si="8"/>
        <v>468.56914285714294</v>
      </c>
      <c r="R18" s="116">
        <f t="shared" si="9"/>
        <v>234.28457142857147</v>
      </c>
      <c r="S18" s="111">
        <f t="shared" si="10"/>
        <v>702.8537142857144</v>
      </c>
      <c r="T18" s="116">
        <f t="shared" si="11"/>
        <v>234.28457142857147</v>
      </c>
      <c r="U18" s="111">
        <f t="shared" si="12"/>
        <v>937.1382857142859</v>
      </c>
      <c r="V18" s="116">
        <f t="shared" si="13"/>
        <v>234.28457142857147</v>
      </c>
      <c r="W18" s="111">
        <f t="shared" si="14"/>
        <v>1171.4228571428573</v>
      </c>
      <c r="X18" s="116">
        <f t="shared" si="15"/>
        <v>234.28457142857147</v>
      </c>
      <c r="Y18" s="111">
        <f t="shared" si="16"/>
        <v>1405.7074285714289</v>
      </c>
      <c r="Z18" s="116">
        <f t="shared" si="17"/>
        <v>234.28457142857147</v>
      </c>
      <c r="AA18" s="203">
        <f t="shared" si="18"/>
        <v>1639.9920000000004</v>
      </c>
    </row>
    <row r="19" spans="1:27" ht="12.75">
      <c r="A19" s="101">
        <v>10</v>
      </c>
      <c r="B19" s="202" t="s">
        <v>166</v>
      </c>
      <c r="C19" s="336">
        <f t="shared" si="19"/>
        <v>8199.960000000001</v>
      </c>
      <c r="D19" s="111">
        <f t="shared" si="0"/>
        <v>0</v>
      </c>
      <c r="E19" s="111">
        <f t="shared" si="1"/>
        <v>8199.960000000001</v>
      </c>
      <c r="F19" s="103">
        <v>35</v>
      </c>
      <c r="G19" s="337">
        <v>40544</v>
      </c>
      <c r="P19" s="116">
        <f t="shared" si="7"/>
        <v>234.28457142857147</v>
      </c>
      <c r="Q19" s="111">
        <f>P19</f>
        <v>234.28457142857147</v>
      </c>
      <c r="R19" s="116">
        <f t="shared" si="9"/>
        <v>234.28457142857147</v>
      </c>
      <c r="S19" s="111">
        <f t="shared" si="10"/>
        <v>468.56914285714294</v>
      </c>
      <c r="T19" s="116">
        <f t="shared" si="11"/>
        <v>234.28457142857147</v>
      </c>
      <c r="U19" s="111">
        <f t="shared" si="12"/>
        <v>702.8537142857144</v>
      </c>
      <c r="V19" s="116">
        <f t="shared" si="13"/>
        <v>234.28457142857147</v>
      </c>
      <c r="W19" s="111">
        <f t="shared" si="14"/>
        <v>937.1382857142859</v>
      </c>
      <c r="X19" s="116">
        <f t="shared" si="15"/>
        <v>234.28457142857147</v>
      </c>
      <c r="Y19" s="111">
        <f t="shared" si="16"/>
        <v>1171.4228571428573</v>
      </c>
      <c r="Z19" s="116">
        <f t="shared" si="17"/>
        <v>234.28457142857147</v>
      </c>
      <c r="AA19" s="203">
        <f t="shared" si="18"/>
        <v>1405.7074285714289</v>
      </c>
    </row>
    <row r="20" spans="1:27" ht="12.75">
      <c r="A20" s="101">
        <v>11</v>
      </c>
      <c r="B20" s="202" t="s">
        <v>167</v>
      </c>
      <c r="C20" s="336">
        <f t="shared" si="19"/>
        <v>8199.960000000001</v>
      </c>
      <c r="D20" s="111">
        <f t="shared" si="0"/>
        <v>0</v>
      </c>
      <c r="E20" s="111">
        <f t="shared" si="1"/>
        <v>8199.960000000001</v>
      </c>
      <c r="F20" s="103">
        <v>35</v>
      </c>
      <c r="G20" s="337">
        <v>40909</v>
      </c>
      <c r="R20" s="116">
        <f t="shared" si="9"/>
        <v>234.28457142857147</v>
      </c>
      <c r="S20" s="111">
        <f>R20</f>
        <v>234.28457142857147</v>
      </c>
      <c r="T20" s="116">
        <f t="shared" si="11"/>
        <v>234.28457142857147</v>
      </c>
      <c r="U20" s="111">
        <f t="shared" si="12"/>
        <v>468.56914285714294</v>
      </c>
      <c r="V20" s="116">
        <f t="shared" si="13"/>
        <v>234.28457142857147</v>
      </c>
      <c r="W20" s="111">
        <f t="shared" si="14"/>
        <v>702.8537142857144</v>
      </c>
      <c r="X20" s="116">
        <f t="shared" si="15"/>
        <v>234.28457142857147</v>
      </c>
      <c r="Y20" s="111">
        <f t="shared" si="16"/>
        <v>937.1382857142859</v>
      </c>
      <c r="Z20" s="116">
        <f t="shared" si="17"/>
        <v>234.28457142857147</v>
      </c>
      <c r="AA20" s="203">
        <f t="shared" si="18"/>
        <v>1171.4228571428573</v>
      </c>
    </row>
    <row r="21" spans="1:27" ht="12.75">
      <c r="A21" s="101">
        <v>12</v>
      </c>
      <c r="B21" s="202" t="s">
        <v>168</v>
      </c>
      <c r="C21" s="336">
        <f t="shared" si="19"/>
        <v>8199.960000000001</v>
      </c>
      <c r="D21" s="111">
        <f t="shared" si="0"/>
        <v>0</v>
      </c>
      <c r="E21" s="111">
        <f t="shared" si="1"/>
        <v>8199.960000000001</v>
      </c>
      <c r="F21" s="103">
        <v>35</v>
      </c>
      <c r="G21" s="337">
        <v>41275</v>
      </c>
      <c r="S21" s="103"/>
      <c r="T21" s="116">
        <f t="shared" si="11"/>
        <v>234.28457142857147</v>
      </c>
      <c r="U21" s="111">
        <f>T21</f>
        <v>234.28457142857147</v>
      </c>
      <c r="V21" s="116">
        <f t="shared" si="13"/>
        <v>234.28457142857147</v>
      </c>
      <c r="W21" s="111">
        <f t="shared" si="14"/>
        <v>468.56914285714294</v>
      </c>
      <c r="X21" s="116">
        <f t="shared" si="15"/>
        <v>234.28457142857147</v>
      </c>
      <c r="Y21" s="111">
        <f t="shared" si="16"/>
        <v>702.8537142857144</v>
      </c>
      <c r="Z21" s="116">
        <f t="shared" si="17"/>
        <v>234.28457142857147</v>
      </c>
      <c r="AA21" s="203">
        <f t="shared" si="18"/>
        <v>937.1382857142859</v>
      </c>
    </row>
    <row r="22" spans="1:27" ht="12.75">
      <c r="A22" s="101">
        <v>13</v>
      </c>
      <c r="B22" s="202" t="s">
        <v>169</v>
      </c>
      <c r="C22" s="336">
        <f t="shared" si="19"/>
        <v>8199.960000000001</v>
      </c>
      <c r="D22" s="111">
        <f t="shared" si="0"/>
        <v>0</v>
      </c>
      <c r="E22" s="111">
        <f t="shared" si="1"/>
        <v>8199.960000000001</v>
      </c>
      <c r="F22" s="103">
        <v>35</v>
      </c>
      <c r="G22" s="337">
        <v>41640</v>
      </c>
      <c r="S22" s="103"/>
      <c r="T22" s="103"/>
      <c r="U22" s="103"/>
      <c r="V22" s="116">
        <f t="shared" si="13"/>
        <v>234.28457142857147</v>
      </c>
      <c r="W22" s="111">
        <f>V22</f>
        <v>234.28457142857147</v>
      </c>
      <c r="X22" s="116">
        <f t="shared" si="15"/>
        <v>234.28457142857147</v>
      </c>
      <c r="Y22" s="111">
        <f t="shared" si="16"/>
        <v>468.56914285714294</v>
      </c>
      <c r="Z22" s="116">
        <f t="shared" si="17"/>
        <v>234.28457142857147</v>
      </c>
      <c r="AA22" s="203">
        <f t="shared" si="18"/>
        <v>702.8537142857144</v>
      </c>
    </row>
    <row r="23" spans="1:27" ht="12.75">
      <c r="A23" s="101">
        <v>14</v>
      </c>
      <c r="B23" s="202" t="s">
        <v>170</v>
      </c>
      <c r="C23" s="336">
        <f t="shared" si="19"/>
        <v>8199.960000000001</v>
      </c>
      <c r="D23" s="111">
        <f t="shared" si="0"/>
        <v>0</v>
      </c>
      <c r="E23" s="111">
        <f t="shared" si="1"/>
        <v>8199.960000000001</v>
      </c>
      <c r="F23" s="103">
        <v>35</v>
      </c>
      <c r="G23" s="337">
        <v>42005</v>
      </c>
      <c r="S23" s="103"/>
      <c r="T23" s="103"/>
      <c r="U23" s="103"/>
      <c r="V23" s="103"/>
      <c r="W23" s="103"/>
      <c r="X23" s="116">
        <f t="shared" si="15"/>
        <v>234.28457142857147</v>
      </c>
      <c r="Y23" s="111">
        <f>X23</f>
        <v>234.28457142857147</v>
      </c>
      <c r="Z23" s="116">
        <f t="shared" si="17"/>
        <v>234.28457142857147</v>
      </c>
      <c r="AA23" s="203">
        <f t="shared" si="18"/>
        <v>468.56914285714294</v>
      </c>
    </row>
    <row r="24" spans="1:27" s="103" customFormat="1" ht="12.75">
      <c r="A24" s="101">
        <v>15</v>
      </c>
      <c r="B24" s="204" t="s">
        <v>171</v>
      </c>
      <c r="C24" s="338">
        <f t="shared" si="19"/>
        <v>8199.960000000001</v>
      </c>
      <c r="D24" s="109">
        <f t="shared" si="0"/>
        <v>0</v>
      </c>
      <c r="E24" s="109">
        <f t="shared" si="1"/>
        <v>8199.960000000001</v>
      </c>
      <c r="F24" s="106">
        <v>35</v>
      </c>
      <c r="G24" s="339">
        <v>42370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10">
        <f t="shared" si="17"/>
        <v>234.28457142857147</v>
      </c>
      <c r="AA24" s="205">
        <f>Z24</f>
        <v>234.28457142857147</v>
      </c>
    </row>
    <row r="25" spans="1:27" s="103" customFormat="1" ht="12.75">
      <c r="A25" s="101">
        <v>16</v>
      </c>
      <c r="B25" s="202" t="s">
        <v>127</v>
      </c>
      <c r="C25" s="336">
        <f>SUM(C10:C24)</f>
        <v>832869.6399999997</v>
      </c>
      <c r="E25" s="111">
        <f>SUM(E10:E24)</f>
        <v>832869.6399999997</v>
      </c>
      <c r="G25" s="340"/>
      <c r="H25" s="116">
        <f aca="true" t="shared" si="20" ref="H25:AA25">SUM(H10:H24)</f>
        <v>12123.922857142858</v>
      </c>
      <c r="I25" s="111">
        <f t="shared" si="20"/>
        <v>12123.922857142858</v>
      </c>
      <c r="J25" s="116">
        <f t="shared" si="20"/>
        <v>12358.20742857143</v>
      </c>
      <c r="K25" s="111">
        <f t="shared" si="20"/>
        <v>24482.130285714287</v>
      </c>
      <c r="L25" s="116">
        <f t="shared" si="20"/>
        <v>12592.492000000002</v>
      </c>
      <c r="M25" s="111">
        <f t="shared" si="20"/>
        <v>37074.62228571429</v>
      </c>
      <c r="N25" s="116">
        <f t="shared" si="20"/>
        <v>12826.776571428574</v>
      </c>
      <c r="O25" s="111">
        <f t="shared" si="20"/>
        <v>49901.39885714286</v>
      </c>
      <c r="P25" s="116">
        <f t="shared" si="20"/>
        <v>13061.061142857146</v>
      </c>
      <c r="Q25" s="111">
        <f t="shared" si="20"/>
        <v>62962.46000000001</v>
      </c>
      <c r="R25" s="116">
        <f t="shared" si="20"/>
        <v>13295.345714285719</v>
      </c>
      <c r="S25" s="111">
        <f t="shared" si="20"/>
        <v>76257.8057142857</v>
      </c>
      <c r="T25" s="116">
        <f t="shared" si="20"/>
        <v>13529.630285714291</v>
      </c>
      <c r="U25" s="111">
        <f t="shared" si="20"/>
        <v>89787.43599999999</v>
      </c>
      <c r="V25" s="116">
        <f t="shared" si="20"/>
        <v>13763.914857142863</v>
      </c>
      <c r="W25" s="111">
        <f t="shared" si="20"/>
        <v>103551.35085714285</v>
      </c>
      <c r="X25" s="116">
        <f t="shared" si="20"/>
        <v>13998.199428571435</v>
      </c>
      <c r="Y25" s="111">
        <f t="shared" si="20"/>
        <v>117549.5502857143</v>
      </c>
      <c r="Z25" s="116">
        <f t="shared" si="20"/>
        <v>14232.484000000008</v>
      </c>
      <c r="AA25" s="203">
        <f t="shared" si="20"/>
        <v>131782.03428571433</v>
      </c>
    </row>
    <row r="26" spans="1:27" s="103" customFormat="1" ht="12.75">
      <c r="A26" s="101"/>
      <c r="B26" s="202"/>
      <c r="C26" s="336"/>
      <c r="G26" s="340"/>
      <c r="AA26" s="206"/>
    </row>
    <row r="27" spans="1:27" s="103" customFormat="1" ht="12.75">
      <c r="A27" s="101"/>
      <c r="B27" s="231" t="s">
        <v>172</v>
      </c>
      <c r="C27" s="341"/>
      <c r="D27" s="227"/>
      <c r="E27" s="227"/>
      <c r="F27" s="228" t="s">
        <v>175</v>
      </c>
      <c r="G27" s="229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32"/>
    </row>
    <row r="28" spans="2:27" ht="12.75">
      <c r="B28" s="202"/>
      <c r="C28" s="333"/>
      <c r="D28" s="207"/>
      <c r="E28" s="207"/>
      <c r="F28" s="103" t="s">
        <v>108</v>
      </c>
      <c r="G28" s="230"/>
      <c r="I28" s="207" t="s">
        <v>149</v>
      </c>
      <c r="K28" s="207" t="s">
        <v>149</v>
      </c>
      <c r="M28" s="207" t="s">
        <v>149</v>
      </c>
      <c r="O28" s="207" t="s">
        <v>149</v>
      </c>
      <c r="Q28" s="207" t="s">
        <v>149</v>
      </c>
      <c r="S28" s="207" t="s">
        <v>149</v>
      </c>
      <c r="T28" s="103"/>
      <c r="U28" s="207" t="s">
        <v>149</v>
      </c>
      <c r="V28" s="103"/>
      <c r="W28" s="207" t="s">
        <v>149</v>
      </c>
      <c r="X28" s="103"/>
      <c r="Y28" s="207" t="s">
        <v>149</v>
      </c>
      <c r="Z28" s="103"/>
      <c r="AA28" s="208" t="s">
        <v>149</v>
      </c>
    </row>
    <row r="29" spans="2:27" ht="12.75">
      <c r="B29" s="202"/>
      <c r="C29" s="333" t="s">
        <v>150</v>
      </c>
      <c r="D29" s="207"/>
      <c r="E29" s="207" t="s">
        <v>173</v>
      </c>
      <c r="F29" s="207" t="s">
        <v>153</v>
      </c>
      <c r="G29" s="230" t="s">
        <v>154</v>
      </c>
      <c r="H29" s="207">
        <v>2007</v>
      </c>
      <c r="I29" s="207" t="s">
        <v>173</v>
      </c>
      <c r="J29" s="207">
        <v>2008</v>
      </c>
      <c r="K29" s="207" t="s">
        <v>173</v>
      </c>
      <c r="L29" s="207">
        <v>2009</v>
      </c>
      <c r="M29" s="207" t="s">
        <v>173</v>
      </c>
      <c r="N29" s="207">
        <v>2010</v>
      </c>
      <c r="O29" s="207" t="s">
        <v>173</v>
      </c>
      <c r="P29" s="207">
        <v>2011</v>
      </c>
      <c r="Q29" s="207" t="s">
        <v>173</v>
      </c>
      <c r="R29" s="207">
        <v>2012</v>
      </c>
      <c r="S29" s="207" t="s">
        <v>173</v>
      </c>
      <c r="T29" s="207">
        <v>2013</v>
      </c>
      <c r="U29" s="207" t="s">
        <v>173</v>
      </c>
      <c r="V29" s="207">
        <v>2014</v>
      </c>
      <c r="W29" s="207" t="s">
        <v>173</v>
      </c>
      <c r="X29" s="207">
        <v>2015</v>
      </c>
      <c r="Y29" s="207" t="s">
        <v>173</v>
      </c>
      <c r="Z29" s="207">
        <v>2016</v>
      </c>
      <c r="AA29" s="208" t="s">
        <v>173</v>
      </c>
    </row>
    <row r="30" spans="2:27" ht="12.75">
      <c r="B30" s="204" t="s">
        <v>9</v>
      </c>
      <c r="C30" s="334" t="s">
        <v>174</v>
      </c>
      <c r="D30" s="220"/>
      <c r="E30" s="220" t="s">
        <v>156</v>
      </c>
      <c r="F30" s="221" t="s">
        <v>157</v>
      </c>
      <c r="G30" s="335" t="s">
        <v>158</v>
      </c>
      <c r="H30" s="220" t="s">
        <v>173</v>
      </c>
      <c r="I30" s="222">
        <v>39447</v>
      </c>
      <c r="J30" s="220" t="s">
        <v>173</v>
      </c>
      <c r="K30" s="222">
        <v>39813</v>
      </c>
      <c r="L30" s="220" t="s">
        <v>173</v>
      </c>
      <c r="M30" s="222">
        <v>40178</v>
      </c>
      <c r="N30" s="220" t="s">
        <v>173</v>
      </c>
      <c r="O30" s="222">
        <v>40543</v>
      </c>
      <c r="P30" s="220" t="s">
        <v>173</v>
      </c>
      <c r="Q30" s="222">
        <v>40908</v>
      </c>
      <c r="R30" s="220" t="s">
        <v>173</v>
      </c>
      <c r="S30" s="222">
        <v>41274</v>
      </c>
      <c r="T30" s="220" t="s">
        <v>173</v>
      </c>
      <c r="U30" s="222">
        <v>41639</v>
      </c>
      <c r="V30" s="220" t="s">
        <v>173</v>
      </c>
      <c r="W30" s="222">
        <v>42004</v>
      </c>
      <c r="X30" s="220" t="s">
        <v>173</v>
      </c>
      <c r="Y30" s="222">
        <v>42369</v>
      </c>
      <c r="Z30" s="220" t="s">
        <v>173</v>
      </c>
      <c r="AA30" s="223">
        <v>42735</v>
      </c>
    </row>
    <row r="31" spans="1:27" ht="12.75">
      <c r="A31" s="101">
        <v>17</v>
      </c>
      <c r="B31" s="202" t="s">
        <v>176</v>
      </c>
      <c r="C31" s="336">
        <f>Projection!D28</f>
        <v>15000</v>
      </c>
      <c r="D31" s="103"/>
      <c r="E31" s="111">
        <f>C31</f>
        <v>15000</v>
      </c>
      <c r="F31" s="103">
        <v>30</v>
      </c>
      <c r="G31" s="337">
        <v>39083</v>
      </c>
      <c r="H31" s="116">
        <f>$E31/$F31</f>
        <v>500</v>
      </c>
      <c r="I31" s="111">
        <f>H31</f>
        <v>500</v>
      </c>
      <c r="J31" s="116">
        <f>$E31/$F31</f>
        <v>500</v>
      </c>
      <c r="K31" s="111">
        <f>I31+J31</f>
        <v>1000</v>
      </c>
      <c r="L31" s="116">
        <f>$E31/$F31</f>
        <v>500</v>
      </c>
      <c r="M31" s="111">
        <f>K31+L31</f>
        <v>1500</v>
      </c>
      <c r="N31" s="116">
        <f>$E31/$F31</f>
        <v>500</v>
      </c>
      <c r="O31" s="111">
        <f>M31+N31</f>
        <v>2000</v>
      </c>
      <c r="P31" s="116">
        <f>$E31/$F31</f>
        <v>500</v>
      </c>
      <c r="Q31" s="111">
        <f>O31+P31</f>
        <v>2500</v>
      </c>
      <c r="R31" s="116">
        <f aca="true" t="shared" si="21" ref="R31:R36">$E31/$F31</f>
        <v>500</v>
      </c>
      <c r="S31" s="111">
        <f>Q31+R31</f>
        <v>3000</v>
      </c>
      <c r="T31" s="116">
        <f aca="true" t="shared" si="22" ref="T31:T37">$E31/$F31</f>
        <v>500</v>
      </c>
      <c r="U31" s="111">
        <f aca="true" t="shared" si="23" ref="U31:U36">S31+T31</f>
        <v>3500</v>
      </c>
      <c r="V31" s="116">
        <f aca="true" t="shared" si="24" ref="V31:V38">$E31/$F31</f>
        <v>500</v>
      </c>
      <c r="W31" s="111">
        <f aca="true" t="shared" si="25" ref="W31:W37">U31+V31</f>
        <v>4000</v>
      </c>
      <c r="X31" s="116">
        <f aca="true" t="shared" si="26" ref="X31:X39">$E31/$F31</f>
        <v>500</v>
      </c>
      <c r="Y31" s="111">
        <f aca="true" t="shared" si="27" ref="Y31:Y38">W31+X31</f>
        <v>4500</v>
      </c>
      <c r="Z31" s="116">
        <f aca="true" t="shared" si="28" ref="Z31:Z40">$E31/$F31</f>
        <v>500</v>
      </c>
      <c r="AA31" s="203">
        <f aca="true" t="shared" si="29" ref="AA31:AA39">Y31+Z31</f>
        <v>5000</v>
      </c>
    </row>
    <row r="32" spans="1:27" ht="12.75">
      <c r="A32" s="101">
        <v>18</v>
      </c>
      <c r="B32" s="202" t="s">
        <v>177</v>
      </c>
      <c r="C32" s="336">
        <f>Projection!E28</f>
        <v>27500</v>
      </c>
      <c r="D32" s="103"/>
      <c r="E32" s="111">
        <f aca="true" t="shared" si="30" ref="E32:E40">C32</f>
        <v>27500</v>
      </c>
      <c r="F32" s="103">
        <v>30</v>
      </c>
      <c r="G32" s="337">
        <v>39448</v>
      </c>
      <c r="J32" s="116">
        <f>$E32/$F32</f>
        <v>916.6666666666666</v>
      </c>
      <c r="K32" s="111">
        <f>J32</f>
        <v>916.6666666666666</v>
      </c>
      <c r="L32" s="116">
        <f>$E32/$F32</f>
        <v>916.6666666666666</v>
      </c>
      <c r="M32" s="111">
        <f>K32+L32</f>
        <v>1833.3333333333333</v>
      </c>
      <c r="N32" s="116">
        <f>$E32/$F32</f>
        <v>916.6666666666666</v>
      </c>
      <c r="O32" s="111">
        <f>M32+N32</f>
        <v>2750</v>
      </c>
      <c r="P32" s="116">
        <f>$E32/$F32</f>
        <v>916.6666666666666</v>
      </c>
      <c r="Q32" s="111">
        <f>O32+P32</f>
        <v>3666.6666666666665</v>
      </c>
      <c r="R32" s="116">
        <f t="shared" si="21"/>
        <v>916.6666666666666</v>
      </c>
      <c r="S32" s="111">
        <f>Q32+R32</f>
        <v>4583.333333333333</v>
      </c>
      <c r="T32" s="116">
        <f t="shared" si="22"/>
        <v>916.6666666666666</v>
      </c>
      <c r="U32" s="111">
        <f t="shared" si="23"/>
        <v>5500</v>
      </c>
      <c r="V32" s="116">
        <f t="shared" si="24"/>
        <v>916.6666666666666</v>
      </c>
      <c r="W32" s="111">
        <f t="shared" si="25"/>
        <v>6416.666666666667</v>
      </c>
      <c r="X32" s="116">
        <f t="shared" si="26"/>
        <v>916.6666666666666</v>
      </c>
      <c r="Y32" s="111">
        <f t="shared" si="27"/>
        <v>7333.333333333334</v>
      </c>
      <c r="Z32" s="116">
        <f t="shared" si="28"/>
        <v>916.6666666666666</v>
      </c>
      <c r="AA32" s="203">
        <f t="shared" si="29"/>
        <v>8250</v>
      </c>
    </row>
    <row r="33" spans="1:27" ht="12.75">
      <c r="A33" s="101">
        <v>19</v>
      </c>
      <c r="B33" s="202" t="s">
        <v>178</v>
      </c>
      <c r="C33" s="336">
        <f>Projection!F28</f>
        <v>32500</v>
      </c>
      <c r="D33" s="103"/>
      <c r="E33" s="111">
        <f t="shared" si="30"/>
        <v>32500</v>
      </c>
      <c r="F33" s="103">
        <v>30</v>
      </c>
      <c r="G33" s="337">
        <v>39814</v>
      </c>
      <c r="L33" s="116">
        <f>$E33/$F33</f>
        <v>1083.3333333333333</v>
      </c>
      <c r="M33" s="111">
        <f>L33</f>
        <v>1083.3333333333333</v>
      </c>
      <c r="N33" s="116">
        <f>$E33/$F33</f>
        <v>1083.3333333333333</v>
      </c>
      <c r="O33" s="111">
        <f>M33+N33</f>
        <v>2166.6666666666665</v>
      </c>
      <c r="P33" s="116">
        <f>$E33/$F33</f>
        <v>1083.3333333333333</v>
      </c>
      <c r="Q33" s="111">
        <f>O33+P33</f>
        <v>3250</v>
      </c>
      <c r="R33" s="116">
        <f t="shared" si="21"/>
        <v>1083.3333333333333</v>
      </c>
      <c r="S33" s="111">
        <f>Q33+R33</f>
        <v>4333.333333333333</v>
      </c>
      <c r="T33" s="116">
        <f t="shared" si="22"/>
        <v>1083.3333333333333</v>
      </c>
      <c r="U33" s="111">
        <f t="shared" si="23"/>
        <v>5416.666666666666</v>
      </c>
      <c r="V33" s="116">
        <f t="shared" si="24"/>
        <v>1083.3333333333333</v>
      </c>
      <c r="W33" s="111">
        <f t="shared" si="25"/>
        <v>6499.999999999999</v>
      </c>
      <c r="X33" s="116">
        <f t="shared" si="26"/>
        <v>1083.3333333333333</v>
      </c>
      <c r="Y33" s="111">
        <f t="shared" si="27"/>
        <v>7583.333333333332</v>
      </c>
      <c r="Z33" s="116">
        <f t="shared" si="28"/>
        <v>1083.3333333333333</v>
      </c>
      <c r="AA33" s="203">
        <f t="shared" si="29"/>
        <v>8666.666666666666</v>
      </c>
    </row>
    <row r="34" spans="1:27" ht="12.75">
      <c r="A34" s="101">
        <v>20</v>
      </c>
      <c r="B34" s="202" t="s">
        <v>179</v>
      </c>
      <c r="C34" s="336">
        <f>Projection!G28</f>
        <v>37500</v>
      </c>
      <c r="D34" s="103"/>
      <c r="E34" s="111">
        <f t="shared" si="30"/>
        <v>37500</v>
      </c>
      <c r="F34" s="103">
        <v>30</v>
      </c>
      <c r="G34" s="337">
        <v>40179</v>
      </c>
      <c r="N34" s="116">
        <f>$E34/$F34</f>
        <v>1250</v>
      </c>
      <c r="O34" s="111">
        <f>N34</f>
        <v>1250</v>
      </c>
      <c r="P34" s="116">
        <f>$E34/$F34</f>
        <v>1250</v>
      </c>
      <c r="Q34" s="111">
        <f>O34+P34</f>
        <v>2500</v>
      </c>
      <c r="R34" s="116">
        <f t="shared" si="21"/>
        <v>1250</v>
      </c>
      <c r="S34" s="111">
        <f>Q34+R34</f>
        <v>3750</v>
      </c>
      <c r="T34" s="116">
        <f t="shared" si="22"/>
        <v>1250</v>
      </c>
      <c r="U34" s="111">
        <f t="shared" si="23"/>
        <v>5000</v>
      </c>
      <c r="V34" s="116">
        <f t="shared" si="24"/>
        <v>1250</v>
      </c>
      <c r="W34" s="111">
        <f t="shared" si="25"/>
        <v>6250</v>
      </c>
      <c r="X34" s="116">
        <f t="shared" si="26"/>
        <v>1250</v>
      </c>
      <c r="Y34" s="111">
        <f t="shared" si="27"/>
        <v>7500</v>
      </c>
      <c r="Z34" s="116">
        <f t="shared" si="28"/>
        <v>1250</v>
      </c>
      <c r="AA34" s="203">
        <f t="shared" si="29"/>
        <v>8750</v>
      </c>
    </row>
    <row r="35" spans="1:27" ht="12.75">
      <c r="A35" s="101">
        <v>21</v>
      </c>
      <c r="B35" s="202" t="s">
        <v>180</v>
      </c>
      <c r="C35" s="336">
        <f>Projection!H28</f>
        <v>37500</v>
      </c>
      <c r="D35" s="103"/>
      <c r="E35" s="111">
        <f t="shared" si="30"/>
        <v>37500</v>
      </c>
      <c r="F35" s="103">
        <v>30</v>
      </c>
      <c r="G35" s="337">
        <v>40544</v>
      </c>
      <c r="P35" s="116">
        <f>$E35/$F35</f>
        <v>1250</v>
      </c>
      <c r="Q35" s="111">
        <f>P35</f>
        <v>1250</v>
      </c>
      <c r="R35" s="116">
        <f t="shared" si="21"/>
        <v>1250</v>
      </c>
      <c r="S35" s="111">
        <f>Q35+R35</f>
        <v>2500</v>
      </c>
      <c r="T35" s="116">
        <f t="shared" si="22"/>
        <v>1250</v>
      </c>
      <c r="U35" s="111">
        <f t="shared" si="23"/>
        <v>3750</v>
      </c>
      <c r="V35" s="116">
        <f t="shared" si="24"/>
        <v>1250</v>
      </c>
      <c r="W35" s="111">
        <f t="shared" si="25"/>
        <v>5000</v>
      </c>
      <c r="X35" s="116">
        <f t="shared" si="26"/>
        <v>1250</v>
      </c>
      <c r="Y35" s="111">
        <f t="shared" si="27"/>
        <v>6250</v>
      </c>
      <c r="Z35" s="116">
        <f t="shared" si="28"/>
        <v>1250</v>
      </c>
      <c r="AA35" s="203">
        <f t="shared" si="29"/>
        <v>7500</v>
      </c>
    </row>
    <row r="36" spans="1:27" ht="12.75">
      <c r="A36" s="101">
        <v>22</v>
      </c>
      <c r="B36" s="202" t="s">
        <v>181</v>
      </c>
      <c r="C36" s="336">
        <f>Projection!I28</f>
        <v>32500</v>
      </c>
      <c r="D36" s="103"/>
      <c r="E36" s="111">
        <f t="shared" si="30"/>
        <v>32500</v>
      </c>
      <c r="F36" s="103">
        <v>30</v>
      </c>
      <c r="G36" s="337">
        <v>40909</v>
      </c>
      <c r="R36" s="116">
        <f t="shared" si="21"/>
        <v>1083.3333333333333</v>
      </c>
      <c r="S36" s="111">
        <f>R36</f>
        <v>1083.3333333333333</v>
      </c>
      <c r="T36" s="116">
        <f t="shared" si="22"/>
        <v>1083.3333333333333</v>
      </c>
      <c r="U36" s="111">
        <f t="shared" si="23"/>
        <v>2166.6666666666665</v>
      </c>
      <c r="V36" s="116">
        <f t="shared" si="24"/>
        <v>1083.3333333333333</v>
      </c>
      <c r="W36" s="111">
        <f t="shared" si="25"/>
        <v>3250</v>
      </c>
      <c r="X36" s="116">
        <f t="shared" si="26"/>
        <v>1083.3333333333333</v>
      </c>
      <c r="Y36" s="111">
        <f t="shared" si="27"/>
        <v>4333.333333333333</v>
      </c>
      <c r="Z36" s="116">
        <f t="shared" si="28"/>
        <v>1083.3333333333333</v>
      </c>
      <c r="AA36" s="203">
        <f t="shared" si="29"/>
        <v>5416.666666666666</v>
      </c>
    </row>
    <row r="37" spans="1:27" ht="12.75">
      <c r="A37" s="101">
        <v>23</v>
      </c>
      <c r="B37" s="202" t="s">
        <v>182</v>
      </c>
      <c r="C37" s="336">
        <f>Projection!J28</f>
        <v>27500</v>
      </c>
      <c r="D37" s="103"/>
      <c r="E37" s="111">
        <f t="shared" si="30"/>
        <v>27500</v>
      </c>
      <c r="F37" s="103">
        <v>30</v>
      </c>
      <c r="G37" s="337">
        <v>41275</v>
      </c>
      <c r="S37" s="103"/>
      <c r="T37" s="116">
        <f t="shared" si="22"/>
        <v>916.6666666666666</v>
      </c>
      <c r="U37" s="111">
        <f>T37</f>
        <v>916.6666666666666</v>
      </c>
      <c r="V37" s="116">
        <f t="shared" si="24"/>
        <v>916.6666666666666</v>
      </c>
      <c r="W37" s="111">
        <f t="shared" si="25"/>
        <v>1833.3333333333333</v>
      </c>
      <c r="X37" s="116">
        <f t="shared" si="26"/>
        <v>916.6666666666666</v>
      </c>
      <c r="Y37" s="111">
        <f t="shared" si="27"/>
        <v>2750</v>
      </c>
      <c r="Z37" s="116">
        <f t="shared" si="28"/>
        <v>916.6666666666666</v>
      </c>
      <c r="AA37" s="203">
        <f t="shared" si="29"/>
        <v>3666.6666666666665</v>
      </c>
    </row>
    <row r="38" spans="1:27" ht="12.75">
      <c r="A38" s="101">
        <v>24</v>
      </c>
      <c r="B38" s="202" t="s">
        <v>183</v>
      </c>
      <c r="C38" s="336">
        <f>Projection!K28</f>
        <v>27500</v>
      </c>
      <c r="D38" s="103"/>
      <c r="E38" s="111">
        <f t="shared" si="30"/>
        <v>27500</v>
      </c>
      <c r="F38" s="103">
        <v>30</v>
      </c>
      <c r="G38" s="337">
        <v>41640</v>
      </c>
      <c r="S38" s="103"/>
      <c r="T38" s="103"/>
      <c r="U38" s="103"/>
      <c r="V38" s="116">
        <f t="shared" si="24"/>
        <v>916.6666666666666</v>
      </c>
      <c r="W38" s="111">
        <f>V38</f>
        <v>916.6666666666666</v>
      </c>
      <c r="X38" s="116">
        <f t="shared" si="26"/>
        <v>916.6666666666666</v>
      </c>
      <c r="Y38" s="111">
        <f t="shared" si="27"/>
        <v>1833.3333333333333</v>
      </c>
      <c r="Z38" s="116">
        <f t="shared" si="28"/>
        <v>916.6666666666666</v>
      </c>
      <c r="AA38" s="203">
        <f t="shared" si="29"/>
        <v>2750</v>
      </c>
    </row>
    <row r="39" spans="1:27" ht="12.75">
      <c r="A39" s="101">
        <v>25</v>
      </c>
      <c r="B39" s="202" t="s">
        <v>184</v>
      </c>
      <c r="C39" s="336">
        <f>Projection!L27</f>
        <v>0</v>
      </c>
      <c r="D39" s="103"/>
      <c r="E39" s="111">
        <f t="shared" si="30"/>
        <v>0</v>
      </c>
      <c r="F39" s="103">
        <v>30</v>
      </c>
      <c r="G39" s="337">
        <v>42005</v>
      </c>
      <c r="S39" s="103"/>
      <c r="T39" s="103"/>
      <c r="U39" s="103"/>
      <c r="V39" s="103"/>
      <c r="W39" s="103"/>
      <c r="X39" s="116">
        <f t="shared" si="26"/>
        <v>0</v>
      </c>
      <c r="Y39" s="111">
        <f>X39</f>
        <v>0</v>
      </c>
      <c r="Z39" s="116">
        <f t="shared" si="28"/>
        <v>0</v>
      </c>
      <c r="AA39" s="203">
        <f t="shared" si="29"/>
        <v>0</v>
      </c>
    </row>
    <row r="40" spans="1:27" ht="12.75">
      <c r="A40" s="101">
        <v>26</v>
      </c>
      <c r="B40" s="204" t="s">
        <v>185</v>
      </c>
      <c r="C40" s="338">
        <f>Projection!M28</f>
        <v>0</v>
      </c>
      <c r="D40" s="106"/>
      <c r="E40" s="109">
        <f t="shared" si="30"/>
        <v>0</v>
      </c>
      <c r="F40" s="106">
        <v>30</v>
      </c>
      <c r="G40" s="339">
        <v>42370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10">
        <f t="shared" si="28"/>
        <v>0</v>
      </c>
      <c r="AA40" s="205">
        <f>Z40</f>
        <v>0</v>
      </c>
    </row>
    <row r="41" spans="1:29" ht="13.5" thickBot="1">
      <c r="A41" s="101">
        <v>27</v>
      </c>
      <c r="B41" s="209" t="s">
        <v>127</v>
      </c>
      <c r="C41" s="342">
        <f>SUM(C31:C40)</f>
        <v>237500</v>
      </c>
      <c r="D41" s="117"/>
      <c r="E41" s="210">
        <f>SUM(E31:E40)</f>
        <v>237500</v>
      </c>
      <c r="F41" s="117"/>
      <c r="G41" s="343"/>
      <c r="H41" s="210">
        <f>SUM(H31:H40)</f>
        <v>500</v>
      </c>
      <c r="I41" s="210">
        <f aca="true" t="shared" si="31" ref="I41:AA41">SUM(I31:I40)</f>
        <v>500</v>
      </c>
      <c r="J41" s="210">
        <f t="shared" si="31"/>
        <v>1416.6666666666665</v>
      </c>
      <c r="K41" s="210">
        <f t="shared" si="31"/>
        <v>1916.6666666666665</v>
      </c>
      <c r="L41" s="210">
        <f t="shared" si="31"/>
        <v>2500</v>
      </c>
      <c r="M41" s="210">
        <f t="shared" si="31"/>
        <v>4416.666666666666</v>
      </c>
      <c r="N41" s="210">
        <f t="shared" si="31"/>
        <v>3750</v>
      </c>
      <c r="O41" s="210">
        <f t="shared" si="31"/>
        <v>8166.666666666666</v>
      </c>
      <c r="P41" s="210">
        <f t="shared" si="31"/>
        <v>5000</v>
      </c>
      <c r="Q41" s="210">
        <f t="shared" si="31"/>
        <v>13166.666666666666</v>
      </c>
      <c r="R41" s="210">
        <f t="shared" si="31"/>
        <v>6083.333333333333</v>
      </c>
      <c r="S41" s="210">
        <f t="shared" si="31"/>
        <v>19249.999999999996</v>
      </c>
      <c r="T41" s="210">
        <f t="shared" si="31"/>
        <v>7000</v>
      </c>
      <c r="U41" s="210">
        <f t="shared" si="31"/>
        <v>26250</v>
      </c>
      <c r="V41" s="210">
        <f t="shared" si="31"/>
        <v>7916.666666666667</v>
      </c>
      <c r="W41" s="210">
        <f t="shared" si="31"/>
        <v>34166.666666666664</v>
      </c>
      <c r="X41" s="210">
        <f t="shared" si="31"/>
        <v>7916.666666666667</v>
      </c>
      <c r="Y41" s="210">
        <f t="shared" si="31"/>
        <v>42083.333333333336</v>
      </c>
      <c r="Z41" s="210">
        <f t="shared" si="31"/>
        <v>7916.666666666667</v>
      </c>
      <c r="AA41" s="211">
        <f t="shared" si="31"/>
        <v>49999.99999999999</v>
      </c>
      <c r="AB41" s="108"/>
      <c r="AC41" s="107"/>
    </row>
    <row r="43" ht="12.75">
      <c r="A43" s="105" t="s">
        <v>186</v>
      </c>
    </row>
    <row r="44" spans="1:2" ht="12.75">
      <c r="A44" s="101" t="s">
        <v>69</v>
      </c>
      <c r="B44" s="101" t="s">
        <v>187</v>
      </c>
    </row>
    <row r="45" spans="1:2" ht="12.75">
      <c r="A45" s="101" t="s">
        <v>70</v>
      </c>
      <c r="B45" s="115" t="s">
        <v>207</v>
      </c>
    </row>
    <row r="46" spans="1:2" ht="12.75">
      <c r="A46" s="101" t="s">
        <v>175</v>
      </c>
      <c r="B46" s="101" t="s">
        <v>188</v>
      </c>
    </row>
    <row r="47" ht="12.75">
      <c r="B47" s="101" t="s">
        <v>189</v>
      </c>
    </row>
  </sheetData>
  <printOptions/>
  <pageMargins left="0.35" right="0.43" top="0.8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PHicken</dc:creator>
  <cp:keywords/>
  <dc:description/>
  <cp:lastModifiedBy>sbintz</cp:lastModifiedBy>
  <cp:lastPrinted>2008-07-28T14:31:51Z</cp:lastPrinted>
  <dcterms:created xsi:type="dcterms:W3CDTF">2006-05-08T20:56:57Z</dcterms:created>
  <dcterms:modified xsi:type="dcterms:W3CDTF">2008-08-04T21:21:00Z</dcterms:modified>
  <cp:category>::ODMA\GRPWISE\ASPOSUPT.PUPSC.PUPSCDocs:58395.1</cp:category>
  <cp:version/>
  <cp:contentType/>
  <cp:contentStatus/>
</cp:coreProperties>
</file>