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321" yWindow="315" windowWidth="15525" windowHeight="4305" tabRatio="769" activeTab="1"/>
  </bookViews>
  <sheets>
    <sheet name="1.1aSummary" sheetId="1" r:id="rId1"/>
    <sheet name="1.2 INC STMT" sheetId="2" r:id="rId2"/>
    <sheet name="1.3 Grth Proj" sheetId="3" r:id="rId3"/>
    <sheet name="1.4 Dep &amp; CIAC" sheetId="4" r:id="rId4"/>
    <sheet name="1.5 RATEBASE" sheetId="5" r:id="rId5"/>
    <sheet name="1.6 Rev Req" sheetId="6" r:id="rId6"/>
    <sheet name="1.7 RATE Design" sheetId="7" r:id="rId7"/>
    <sheet name="1.8 Gen Ledger" sheetId="8" r:id="rId8"/>
    <sheet name="Usage Model" sheetId="9" r:id="rId9"/>
  </sheets>
  <definedNames>
    <definedName name="all">'1.2 INC STMT'!$B$133:$B$135</definedName>
    <definedName name="Annual_Minimum">'1.7 RATE Design'!$G$24</definedName>
    <definedName name="Cost_Per_Thousand_Gallons">'1.7 RATE Design'!$D$41</definedName>
    <definedName name="DEPandAMORT_Rev">'1.7 RATE Design'!$G$32</definedName>
    <definedName name="Fixed">'1.7 RATE Design'!$I$24</definedName>
    <definedName name="Fixed_Exp">'1.2 INC STMT'!$J$63</definedName>
    <definedName name="Minimum_Billing">'1.7 RATE Design'!$D$18</definedName>
    <definedName name="Non_H20_Sales">'1.7 RATE Design'!$G$14</definedName>
    <definedName name="OverUnder_Earned">'1.7 RATE Design'!$G$46</definedName>
    <definedName name="OverUnder_Fixed">'1.7 RATE Design'!$N$25</definedName>
    <definedName name="_xlnm.Print_Area" localSheetId="0">'1.1aSummary'!$A$1:$E$48</definedName>
    <definedName name="_xlnm.Print_Area" localSheetId="1">'1.2 INC STMT'!$A$1:$K$143</definedName>
    <definedName name="_xlnm.Print_Area" localSheetId="2">'1.3 Grth Proj'!$A$1:$L$24</definedName>
    <definedName name="_xlnm.Print_Area" localSheetId="3">'1.4 Dep &amp; CIAC'!$A$1:$T$52</definedName>
    <definedName name="_xlnm.Print_Area" localSheetId="4">'1.5 RATEBASE'!$A$1:$G$27</definedName>
    <definedName name="_xlnm.Print_Area" localSheetId="5">'1.6 Rev Req'!$A$1:$G$29</definedName>
    <definedName name="_xlnm.Print_Area" localSheetId="6">'1.7 RATE Design'!$A$1:$L$84</definedName>
    <definedName name="_xlnm.Print_Area" localSheetId="7">'1.8 Gen Ledger'!$A$1:$R$58</definedName>
    <definedName name="_xlnm.Print_Area" localSheetId="8">'Usage Model'!$A$6:$AZ$77</definedName>
    <definedName name="_xlnm.Print_Titles" localSheetId="1">'1.2 INC STMT'!$1:$8</definedName>
    <definedName name="_xlnm.Print_Titles" localSheetId="3">'1.4 Dep &amp; CIAC'!$A:$D,'1.4 Dep &amp; CIAC'!$5:$8</definedName>
    <definedName name="_xlnm.Print_Titles" localSheetId="6">'1.7 RATE Design'!$1:$4</definedName>
    <definedName name="_xlnm.Print_Titles" localSheetId="8">'Usage Model'!$6:$10</definedName>
    <definedName name="Revenue_Requirement">'1.7 RATE Design'!$G$7</definedName>
    <definedName name="Total_Min_Billing">'1.7 RATE Design'!$D$35</definedName>
    <definedName name="Total_Revenue">'1.7 RATE Design'!$G$44</definedName>
  </definedNames>
  <calcPr fullCalcOnLoad="1" iterate="1" iterateCount="100" iterateDelta="0.001"/>
</workbook>
</file>

<file path=xl/sharedStrings.xml><?xml version="1.0" encoding="utf-8"?>
<sst xmlns="http://schemas.openxmlformats.org/spreadsheetml/2006/main" count="1129" uniqueCount="672">
  <si>
    <t>*</t>
  </si>
  <si>
    <t>A</t>
  </si>
  <si>
    <t>Adjusted Total Operations &amp; Maintenance Exp.</t>
  </si>
  <si>
    <t>Amount</t>
  </si>
  <si>
    <t>Annual Revenue Requirement</t>
  </si>
  <si>
    <t>B</t>
  </si>
  <si>
    <t>Bank Service Charges</t>
  </si>
  <si>
    <t>C</t>
  </si>
  <si>
    <t>Cash Working Capital Calculation:</t>
  </si>
  <si>
    <t>Chemicals</t>
  </si>
  <si>
    <t>Common Equity</t>
  </si>
  <si>
    <t>Connection Fees</t>
  </si>
  <si>
    <t>Contractual Services - Engineering</t>
  </si>
  <si>
    <t>Contractual Services - Legal - General</t>
  </si>
  <si>
    <t>Contractual Services - Legal - Wtr. Rights</t>
  </si>
  <si>
    <t>Contractual Services - Payroll Service</t>
  </si>
  <si>
    <t>Depreciation Expense</t>
  </si>
  <si>
    <t>Description</t>
  </si>
  <si>
    <t>Employee Benefits - Health Plan</t>
  </si>
  <si>
    <t>Employee Pensions &amp; Benefits</t>
  </si>
  <si>
    <t>Fed Income Tax-Opr Income</t>
  </si>
  <si>
    <t>Income Statement Analysis</t>
  </si>
  <si>
    <t>Insurance - General Liability</t>
  </si>
  <si>
    <t>Interest &amp; Dividend Income</t>
  </si>
  <si>
    <t>Interest Expense</t>
  </si>
  <si>
    <t>Late Charges Income</t>
  </si>
  <si>
    <t>Less: Purchased Water</t>
  </si>
  <si>
    <t>Net Operating Income/(Loss)</t>
  </si>
  <si>
    <t>Office Equipment Repair &amp; Maint.</t>
  </si>
  <si>
    <t>Office Supplies</t>
  </si>
  <si>
    <t>Operating Income Before Income Taxes</t>
  </si>
  <si>
    <t>Other Expense</t>
  </si>
  <si>
    <t>Other Income &amp; Deductions</t>
  </si>
  <si>
    <t>Other Misc. Services Revenue</t>
  </si>
  <si>
    <t>Other Taxes and Licenses</t>
  </si>
  <si>
    <t>Other Water Revenues</t>
  </si>
  <si>
    <t>Payroll Taxes</t>
  </si>
  <si>
    <t>Postage</t>
  </si>
  <si>
    <t>Property Taxes</t>
  </si>
  <si>
    <t>Purchased Power</t>
  </si>
  <si>
    <t>Rate Design</t>
  </si>
  <si>
    <t>Ratebase Analysis</t>
  </si>
  <si>
    <t>Rental of Building/Real Property</t>
  </si>
  <si>
    <t>Rental of Equipment</t>
  </si>
  <si>
    <t>Returned Checks</t>
  </si>
  <si>
    <t>Salaries &amp; Wages-Employees</t>
  </si>
  <si>
    <t>Salaries &amp; Wages-Officers</t>
  </si>
  <si>
    <t>Stand by fees</t>
  </si>
  <si>
    <t>State Income Tax-Opr Income</t>
  </si>
  <si>
    <t>Total Income Tax Expense</t>
  </si>
  <si>
    <t>Total Operating &amp; Other Expenses</t>
  </si>
  <si>
    <t>Total Operation &amp; Maintenance Expenses</t>
  </si>
  <si>
    <t>Total Operations &amp; Maintenance Expense</t>
  </si>
  <si>
    <t>Total Other Expense</t>
  </si>
  <si>
    <t>Total Other Income &amp; Deduct</t>
  </si>
  <si>
    <t>Total Water Revenues</t>
  </si>
  <si>
    <t>Total Water Sales Revenues</t>
  </si>
  <si>
    <t>Totals</t>
  </si>
  <si>
    <t>Water Testing</t>
  </si>
  <si>
    <t>Misc current &amp; accrued liabilities</t>
  </si>
  <si>
    <t>Net CIAC</t>
  </si>
  <si>
    <t xml:space="preserve"> </t>
  </si>
  <si>
    <t>(a)</t>
  </si>
  <si>
    <t>(b)</t>
  </si>
  <si>
    <t>(d)</t>
  </si>
  <si>
    <t>(f)</t>
  </si>
  <si>
    <t>(e)</t>
  </si>
  <si>
    <t>(h)</t>
  </si>
  <si>
    <t>(i)</t>
  </si>
  <si>
    <t>D</t>
  </si>
  <si>
    <t>Contractual Services - Legal</t>
  </si>
  <si>
    <t>Contractual Services</t>
  </si>
  <si>
    <t>Repair &amp; Maintenance</t>
  </si>
  <si>
    <t>Ratios</t>
  </si>
  <si>
    <t>Total cost/revenue ratio</t>
  </si>
  <si>
    <t>Total cost/customer</t>
  </si>
  <si>
    <t>Total revenue/customer</t>
  </si>
  <si>
    <t>Total O&amp;M/customer</t>
  </si>
  <si>
    <t>Year:</t>
  </si>
  <si>
    <t>Number of Customers</t>
  </si>
  <si>
    <t>Total Operations Revenue</t>
  </si>
  <si>
    <t>Total Operations Expense</t>
  </si>
  <si>
    <t>Additions to Plant</t>
  </si>
  <si>
    <t>-</t>
  </si>
  <si>
    <t>Plus:
 1 Year</t>
  </si>
  <si>
    <t>Plus:
 2 Years</t>
  </si>
  <si>
    <t>Plus:
 3 Years</t>
  </si>
  <si>
    <t>Office Utilities</t>
  </si>
  <si>
    <t>Repairs and Maintenance</t>
  </si>
  <si>
    <t>Rate</t>
  </si>
  <si>
    <t>Division Adjustments</t>
  </si>
  <si>
    <t>Adjusted Amounts</t>
  </si>
  <si>
    <t>Balance at end of Year</t>
  </si>
  <si>
    <t>Unmetered Commercial Customers</t>
  </si>
  <si>
    <t>Bad Debt Expense</t>
  </si>
  <si>
    <t>Membership Fees</t>
  </si>
  <si>
    <t>Projected Amounts Using
 2008 as the Base</t>
  </si>
  <si>
    <t>Growth Projections</t>
  </si>
  <si>
    <t>[Based on Data per Annual Reports prepared by 
Pineview West Water Company]</t>
  </si>
  <si>
    <t>Amount Increase</t>
  </si>
  <si>
    <t>Total Averages</t>
  </si>
  <si>
    <t>(c)</t>
  </si>
  <si>
    <t>(g)</t>
  </si>
  <si>
    <t>(j)</t>
  </si>
  <si>
    <t>Amounts per 2008 Annual Report</t>
  </si>
  <si>
    <t>Fixed
Expenses</t>
  </si>
  <si>
    <t>Variable
Expenses</t>
  </si>
  <si>
    <r>
      <t xml:space="preserve">Purchased Water - </t>
    </r>
    <r>
      <rPr>
        <b/>
        <i/>
        <sz val="12"/>
        <rFont val="Times New Roman"/>
        <family val="1"/>
      </rPr>
      <t>Ogden City</t>
    </r>
  </si>
  <si>
    <r>
      <t xml:space="preserve">Purchased Water - </t>
    </r>
    <r>
      <rPr>
        <b/>
        <i/>
        <sz val="12"/>
        <rFont val="Times New Roman"/>
        <family val="1"/>
      </rPr>
      <t>Weber Basin</t>
    </r>
  </si>
  <si>
    <r>
      <t xml:space="preserve">Contractual Services - </t>
    </r>
    <r>
      <rPr>
        <b/>
        <i/>
        <sz val="12"/>
        <rFont val="Times New Roman"/>
        <family val="1"/>
      </rPr>
      <t>Billing</t>
    </r>
  </si>
  <si>
    <r>
      <t xml:space="preserve">Contractual Services - </t>
    </r>
    <r>
      <rPr>
        <b/>
        <i/>
        <sz val="12"/>
        <rFont val="Times New Roman"/>
        <family val="1"/>
      </rPr>
      <t>Professional</t>
    </r>
  </si>
  <si>
    <r>
      <t xml:space="preserve">Contractual Services - </t>
    </r>
    <r>
      <rPr>
        <b/>
        <i/>
        <sz val="12"/>
        <rFont val="Times New Roman"/>
        <family val="1"/>
      </rPr>
      <t>Certified Operator</t>
    </r>
  </si>
  <si>
    <r>
      <t xml:space="preserve">Percent Increase or </t>
    </r>
    <r>
      <rPr>
        <sz val="12"/>
        <color indexed="11"/>
        <rFont val="Times New Roman"/>
        <family val="1"/>
      </rPr>
      <t>(Decrease)</t>
    </r>
  </si>
  <si>
    <t>Pineview West Water Company</t>
  </si>
  <si>
    <t>Utility Plant In Service</t>
  </si>
  <si>
    <t>Net Utility Plant In Service</t>
  </si>
  <si>
    <t/>
  </si>
  <si>
    <t>Customer Deposits</t>
  </si>
  <si>
    <t xml:space="preserve">Contributions In Aid Of Construction </t>
  </si>
  <si>
    <t>Net Working Capital</t>
  </si>
  <si>
    <t>Adjustments</t>
  </si>
  <si>
    <t>Cash Working Capital *</t>
  </si>
  <si>
    <t>Total Ratebase [3 + 8]</t>
  </si>
  <si>
    <t>Division Proposed Ratebase</t>
  </si>
  <si>
    <t>Return Calculation</t>
  </si>
  <si>
    <t>Rate Of Return On Investment</t>
  </si>
  <si>
    <t>Accumulated Depreciation/Amortization</t>
  </si>
  <si>
    <t>Reconciliation of Plant and Equipment, Depreciation and Contribution in Aide of Construction</t>
  </si>
  <si>
    <t>2004 Plant Accounts</t>
  </si>
  <si>
    <t>2005 Plant Accounts</t>
  </si>
  <si>
    <t>2006 Plant Accounts</t>
  </si>
  <si>
    <t>2007 Plant Accounts</t>
  </si>
  <si>
    <t>2008 Plant Accounts</t>
  </si>
  <si>
    <t>Acct
#</t>
  </si>
  <si>
    <t>Account Name</t>
  </si>
  <si>
    <t>Depreciation Rate Applied</t>
  </si>
  <si>
    <t>Annual Reduction* for Year</t>
  </si>
  <si>
    <t>Accum Reduction through the end of 2004</t>
  </si>
  <si>
    <t>Accum Reduction through the end of 2005</t>
  </si>
  <si>
    <t>Accum Reduction through the end of 2006</t>
  </si>
  <si>
    <t>Accum Reduction through the end of 2007</t>
  </si>
  <si>
    <t>Accum Reduction through the end of 2008</t>
  </si>
  <si>
    <t>Organization</t>
  </si>
  <si>
    <t>Franchises</t>
  </si>
  <si>
    <t>Land &amp; Land Rights</t>
  </si>
  <si>
    <t>Structures &amp; Improvements</t>
  </si>
  <si>
    <t>Collecting &amp; Impounding Reservoirs</t>
  </si>
  <si>
    <t>Supply Mains</t>
  </si>
  <si>
    <t>Power Generation Equipment</t>
  </si>
  <si>
    <t>Water Treatment equipment</t>
  </si>
  <si>
    <t>Services</t>
  </si>
  <si>
    <t>Meters &amp; Meter Installations</t>
  </si>
  <si>
    <t>Backflow Prevention devices</t>
  </si>
  <si>
    <t>Other Plant &amp; Miscellaneous Equip</t>
  </si>
  <si>
    <t>Office Furniture &amp; Equipment</t>
  </si>
  <si>
    <t>Transportation equipment</t>
  </si>
  <si>
    <t>Total Annual Reduction</t>
  </si>
  <si>
    <t>Total Accumulated Reduction</t>
  </si>
  <si>
    <t>Weighted Rate  [B ÷ A]</t>
  </si>
  <si>
    <t>Accumulated Depreciation</t>
  </si>
  <si>
    <t xml:space="preserve">Accumulated CIAC Amortization  </t>
  </si>
  <si>
    <t>Net Utility Plant in Service</t>
  </si>
  <si>
    <t xml:space="preserve">**** - This connection's meter reading is not correct due to new meter installation.  Charged $45 for minumum usage fees.  The negative amount of 29,570 gals used is replaced with the average usage by this connection for the time it was connected in the projected section. </t>
  </si>
  <si>
    <t xml:space="preserve">*** - This connection was not connected until 11/08, therefore, there is no history available to use in estimating their usage.  The minimum charge will be used in this anaylsis.  </t>
  </si>
  <si>
    <t xml:space="preserve">** - This connection was not connected until 10/08, therefore, there is no history available to use in estimating their usage.  The minimum charge will be used in this anaylsis.  </t>
  </si>
  <si>
    <t>* - These connections (a and b) are considered as one connection.  For the analysis I removed the the previous gallons used as well as the minimun amounts billed because the "b" portions are only using secondary water and should be a more accurate accounting of the future use and billing.</t>
  </si>
  <si>
    <t xml:space="preserve">Crimson 3's meter reading not correct due to new meter installation.  Charged $45 for minumum usage fees.  </t>
  </si>
  <si>
    <t xml:space="preserve">The last three line iems listed on billing as "CR" and showed $45 charge each, but no gallons used recorded.  </t>
  </si>
  <si>
    <t>Snowberry Inn listed as 42.05, s/b $45</t>
  </si>
  <si>
    <t xml:space="preserve">New meter installed for 948 Yacht Club Dr.  Charged $45 for minumum usage fees.  </t>
  </si>
  <si>
    <t>New meter installed for Leach (No lot or address listed) .  Charged $15 as part of pro-rated fees.</t>
  </si>
  <si>
    <t>New meter installed for Crimson 3.  Charged $60 as part of pro-rated fees.</t>
  </si>
  <si>
    <t>New meter installed for 5195 Yacht Club Dr noted on Oct 07 spreadsheet.  Charged the minimum.</t>
  </si>
  <si>
    <t>Explanation/Comments:</t>
  </si>
  <si>
    <t>1 ½” = 2</t>
  </si>
  <si>
    <t>Per Pineview Records:</t>
  </si>
  <si>
    <t>1 ¼” = 2</t>
  </si>
  <si>
    <t>Difference:</t>
  </si>
  <si>
    <t>ss = 8</t>
  </si>
  <si>
    <t>1" = 2</t>
  </si>
  <si>
    <t>Comm = 4</t>
  </si>
  <si>
    <t>Sum of above:</t>
  </si>
  <si>
    <t>?</t>
  </si>
  <si>
    <t>Res</t>
  </si>
  <si>
    <t>CR)</t>
  </si>
  <si>
    <t>Lot 12</t>
  </si>
  <si>
    <t>Leach (New 6/16/08)</t>
  </si>
  <si>
    <t>Connected 11/08</t>
  </si>
  <si>
    <t>Crimson 20</t>
  </si>
  <si>
    <t>Shaw</t>
  </si>
  <si>
    <t>58***</t>
  </si>
  <si>
    <t>1 ½”</t>
  </si>
  <si>
    <t>connected 11-27-07</t>
  </si>
  <si>
    <t>Crimson 3</t>
  </si>
  <si>
    <t>Lang</t>
  </si>
  <si>
    <t>57****</t>
  </si>
  <si>
    <t>s</t>
  </si>
  <si>
    <t>n.a.</t>
  </si>
  <si>
    <t>Secondary</t>
  </si>
  <si>
    <t>Crimson 23</t>
  </si>
  <si>
    <t>"Whis Pines &amp; Morn"</t>
  </si>
  <si>
    <t>Landscape</t>
  </si>
  <si>
    <t>56b*</t>
  </si>
  <si>
    <t>Sales and Trailer Area</t>
  </si>
  <si>
    <t>56a*</t>
  </si>
  <si>
    <t>Entrance</t>
  </si>
  <si>
    <t>55b*</t>
  </si>
  <si>
    <t>Comm</t>
  </si>
  <si>
    <t>Crimson</t>
  </si>
  <si>
    <t>Clubhouse</t>
  </si>
  <si>
    <t>55a*</t>
  </si>
  <si>
    <t>1 ¼”</t>
  </si>
  <si>
    <t>Yacht Club (CR)</t>
  </si>
  <si>
    <t>1"</t>
  </si>
  <si>
    <t>Snowberry Inn</t>
  </si>
  <si>
    <t>Southwick</t>
  </si>
  <si>
    <t>¾"</t>
  </si>
  <si>
    <t>Arvey</t>
  </si>
  <si>
    <t>500 Radford Lane</t>
  </si>
  <si>
    <t>Radford</t>
  </si>
  <si>
    <t>Connected 10/08</t>
  </si>
  <si>
    <t>Radford Hills 50</t>
  </si>
  <si>
    <t>Kelson, D</t>
  </si>
  <si>
    <t>48**</t>
  </si>
  <si>
    <t>Radford Hills 49</t>
  </si>
  <si>
    <t>765 Radford Lane</t>
  </si>
  <si>
    <t>Smith</t>
  </si>
  <si>
    <t>ss</t>
  </si>
  <si>
    <t>Radford Hills 45</t>
  </si>
  <si>
    <t>876 Radford Lane</t>
  </si>
  <si>
    <t>Johnson</t>
  </si>
  <si>
    <t>Radford Hills 43</t>
  </si>
  <si>
    <t>825 N Radford Lane</t>
  </si>
  <si>
    <t>Turner</t>
  </si>
  <si>
    <t>Radford Hills 38</t>
  </si>
  <si>
    <t>987 Lakeside</t>
  </si>
  <si>
    <t>Nelson/Kelson</t>
  </si>
  <si>
    <t>Radford Hills 37</t>
  </si>
  <si>
    <t>966 N Morning Side Ln</t>
  </si>
  <si>
    <t>Lentz</t>
  </si>
  <si>
    <t>Radford Hills 35</t>
  </si>
  <si>
    <t>953 Lakeside</t>
  </si>
  <si>
    <t>B. Larkin</t>
  </si>
  <si>
    <t>Radford Hills 32</t>
  </si>
  <si>
    <t>970 Yacht Club Dr</t>
  </si>
  <si>
    <t>Nietert</t>
  </si>
  <si>
    <t>Radford Hills 31</t>
  </si>
  <si>
    <t>948 Yacht Club Dr</t>
  </si>
  <si>
    <t>Richards</t>
  </si>
  <si>
    <t>Radford Hills 30</t>
  </si>
  <si>
    <t>912 Yacht Club Dr</t>
  </si>
  <si>
    <t>Deputy</t>
  </si>
  <si>
    <t>Radford Hills 28</t>
  </si>
  <si>
    <t>839 Hwy 162</t>
  </si>
  <si>
    <t>L. Larkin</t>
  </si>
  <si>
    <t>Radford Hills 26</t>
  </si>
  <si>
    <t>883 Yacht Club Dr</t>
  </si>
  <si>
    <t>Reid/Mauro</t>
  </si>
  <si>
    <t>Radford Hills 25</t>
  </si>
  <si>
    <t>857 Yacht Club Dr</t>
  </si>
  <si>
    <t>Miles</t>
  </si>
  <si>
    <t>Radford Hills 24</t>
  </si>
  <si>
    <t>835 Yacht Club Dr</t>
  </si>
  <si>
    <t>Diamonti</t>
  </si>
  <si>
    <t>Radford Hills 23</t>
  </si>
  <si>
    <t>809 Yacht Club Dr</t>
  </si>
  <si>
    <t>Strange</t>
  </si>
  <si>
    <t>Radford Hills 18</t>
  </si>
  <si>
    <t>772 Yacht Club Dr</t>
  </si>
  <si>
    <t>Cole</t>
  </si>
  <si>
    <t>Radford Hills 17</t>
  </si>
  <si>
    <t>746 Yacht Club Dr</t>
  </si>
  <si>
    <t>Burrows</t>
  </si>
  <si>
    <t>Radford Hills 16</t>
  </si>
  <si>
    <t>720 Yacht Club Dr</t>
  </si>
  <si>
    <t>Hirschi</t>
  </si>
  <si>
    <t>Radford Hills 15</t>
  </si>
  <si>
    <t>692 Yacht Club Dr</t>
  </si>
  <si>
    <t>Forbes</t>
  </si>
  <si>
    <t>Radford Hills 14</t>
  </si>
  <si>
    <t>761 Yacht Club Dr</t>
  </si>
  <si>
    <t>Allen K</t>
  </si>
  <si>
    <t>Radford Hills 13</t>
  </si>
  <si>
    <t>733 Yacht Club Dr</t>
  </si>
  <si>
    <t>Epley</t>
  </si>
  <si>
    <t>Radford Hills 12</t>
  </si>
  <si>
    <t>715 Yacht Club Dr</t>
  </si>
  <si>
    <t>Martin</t>
  </si>
  <si>
    <t>Radford Hills 10</t>
  </si>
  <si>
    <t>709 N Radford Lane</t>
  </si>
  <si>
    <t>Wheeler</t>
  </si>
  <si>
    <t>Radford Hills 9</t>
  </si>
  <si>
    <t>720 N Radford Lane</t>
  </si>
  <si>
    <t>Buxton</t>
  </si>
  <si>
    <t>Radford Hills 8</t>
  </si>
  <si>
    <t>748 N Radford Lane</t>
  </si>
  <si>
    <t>Bachman</t>
  </si>
  <si>
    <t>Radford Hills 7</t>
  </si>
  <si>
    <t>787 N Hwy 162</t>
  </si>
  <si>
    <t>Reeder</t>
  </si>
  <si>
    <t>Radford Hills 6</t>
  </si>
  <si>
    <t>765 N Hwy 162</t>
  </si>
  <si>
    <t>Reiss</t>
  </si>
  <si>
    <t>Radford Hills 5</t>
  </si>
  <si>
    <t>741 N Hwy 162</t>
  </si>
  <si>
    <t>Griffin</t>
  </si>
  <si>
    <t>Radford Hills 4</t>
  </si>
  <si>
    <t>719 N Hwy 162</t>
  </si>
  <si>
    <t>Wood</t>
  </si>
  <si>
    <t>Radford Hills 3</t>
  </si>
  <si>
    <t>5188 Yacht Club Dr</t>
  </si>
  <si>
    <t>Hancock</t>
  </si>
  <si>
    <t>Radford Hills 2</t>
  </si>
  <si>
    <t>624 Yacht Club Dr</t>
  </si>
  <si>
    <t>Nelson G</t>
  </si>
  <si>
    <t>Radford Hills 1</t>
  </si>
  <si>
    <t>5195 Yacht Club Dr</t>
  </si>
  <si>
    <t>Rowland</t>
  </si>
  <si>
    <t>Pineview 18</t>
  </si>
  <si>
    <t>5167 Yacht Club Dr</t>
  </si>
  <si>
    <t>Burke</t>
  </si>
  <si>
    <t>Pineview 17</t>
  </si>
  <si>
    <t>652 N Radford Lane</t>
  </si>
  <si>
    <t>Allman</t>
  </si>
  <si>
    <t>Pineview 16</t>
  </si>
  <si>
    <t>696 N Radford Lane</t>
  </si>
  <si>
    <t>May/Allen G</t>
  </si>
  <si>
    <t>Pineview 15</t>
  </si>
  <si>
    <t>695 N Radford Lane</t>
  </si>
  <si>
    <t>Beckstrom</t>
  </si>
  <si>
    <t>Pineview 14</t>
  </si>
  <si>
    <t>641 N Radford Lane</t>
  </si>
  <si>
    <t>Nelson J</t>
  </si>
  <si>
    <t>Pineview 12</t>
  </si>
  <si>
    <t>559 N Radford Lane</t>
  </si>
  <si>
    <t>Roundy</t>
  </si>
  <si>
    <t>Pineview 11</t>
  </si>
  <si>
    <t>533 N Radford Lane</t>
  </si>
  <si>
    <t>Sadona</t>
  </si>
  <si>
    <t>Pineview 10</t>
  </si>
  <si>
    <t>505 N Radford Lane</t>
  </si>
  <si>
    <t>Stuivenvolt</t>
  </si>
  <si>
    <t>Pineview 9</t>
  </si>
  <si>
    <t>473 N Radford Lane</t>
  </si>
  <si>
    <t>Gottfredson</t>
  </si>
  <si>
    <t>Pineview 8</t>
  </si>
  <si>
    <t>Wilkerson</t>
  </si>
  <si>
    <t>Pineview 7</t>
  </si>
  <si>
    <t>439 - Hwy 162</t>
  </si>
  <si>
    <t>Eccles</t>
  </si>
  <si>
    <t>Pineview 6</t>
  </si>
  <si>
    <t>560 N 5100 E</t>
  </si>
  <si>
    <t>Hart</t>
  </si>
  <si>
    <t>Pineview 5</t>
  </si>
  <si>
    <t>520 N 5100 E</t>
  </si>
  <si>
    <t>Mitchell</t>
  </si>
  <si>
    <t>Pineview 4</t>
  </si>
  <si>
    <t>480 N 5100 E</t>
  </si>
  <si>
    <t>Kimball</t>
  </si>
  <si>
    <t>Pineview 3</t>
  </si>
  <si>
    <t>440 N 5100 E</t>
  </si>
  <si>
    <t>Achelis</t>
  </si>
  <si>
    <t>Pineview 2</t>
  </si>
  <si>
    <t>490 N 5100 E</t>
  </si>
  <si>
    <t>Dougherty</t>
  </si>
  <si>
    <t>Total Actuals</t>
  </si>
  <si>
    <t>Actual
Usage
Amounts</t>
  </si>
  <si>
    <t>Usage
Jul-08 
thru
Sept-08</t>
  </si>
  <si>
    <t>Usage
Apr-08 
thru
Jun-08</t>
  </si>
  <si>
    <t>Usage
Oct-07 
thru
Mar-08</t>
  </si>
  <si>
    <t>Lot Number</t>
  </si>
  <si>
    <t>Address</t>
  </si>
  <si>
    <t>Customer</t>
  </si>
  <si>
    <t>Months in Billing</t>
  </si>
  <si>
    <t>Overage per 1,000</t>
  </si>
  <si>
    <t>Minimum Charge</t>
  </si>
  <si>
    <t>Minimum Gallons</t>
  </si>
  <si>
    <t xml:space="preserve"> - - - - - Comparisons  - - - - - </t>
  </si>
  <si>
    <t xml:space="preserve"> - - - - - - - - - - Billings Under Proposed Tariff Provisions - - - - - - - - - - </t>
  </si>
  <si>
    <t xml:space="preserve"> - - - - - - - - - - Billings Under Current Tariff Provisions - - - - - - - - - - </t>
  </si>
  <si>
    <t>Year Ended December 31, 2008</t>
  </si>
  <si>
    <t>Revenue Requirements</t>
  </si>
  <si>
    <t xml:space="preserve">2009
Forecasted Amounts </t>
  </si>
  <si>
    <t>Exhibit 1.2</t>
  </si>
  <si>
    <t>Exhibit 1.3</t>
  </si>
  <si>
    <t>Exhibit 1.4</t>
  </si>
  <si>
    <t>Exhibit 1.5</t>
  </si>
  <si>
    <t>Water Sales Revenues:</t>
  </si>
  <si>
    <t>Total Other Water Revenues</t>
  </si>
  <si>
    <t>OPERATING REVENUES</t>
  </si>
  <si>
    <t>Operation &amp; Maintenance Expenses</t>
  </si>
  <si>
    <t>OPERATION AND OTHER EXPENSES</t>
  </si>
  <si>
    <t>(k)</t>
  </si>
  <si>
    <t>(l)</t>
  </si>
  <si>
    <t>Water Useage Analysis</t>
  </si>
  <si>
    <t>(m)</t>
  </si>
  <si>
    <r>
      <t xml:space="preserve">Wells and Springs </t>
    </r>
    <r>
      <rPr>
        <i/>
        <sz val="12"/>
        <color indexed="62"/>
        <rFont val="Times New Roman"/>
        <family val="1"/>
      </rPr>
      <t>(CIAC)</t>
    </r>
  </si>
  <si>
    <r>
      <t xml:space="preserve">Wells and Springs </t>
    </r>
    <r>
      <rPr>
        <i/>
        <sz val="12"/>
        <color indexed="62"/>
        <rFont val="Times New Roman"/>
        <family val="1"/>
      </rPr>
      <t>(Investment)</t>
    </r>
  </si>
  <si>
    <r>
      <t xml:space="preserve">Pumping Equipment </t>
    </r>
    <r>
      <rPr>
        <i/>
        <sz val="12"/>
        <color indexed="62"/>
        <rFont val="Times New Roman"/>
        <family val="1"/>
      </rPr>
      <t>(CIAC)</t>
    </r>
  </si>
  <si>
    <r>
      <t xml:space="preserve">Pumping Equipment </t>
    </r>
    <r>
      <rPr>
        <i/>
        <sz val="12"/>
        <color indexed="62"/>
        <rFont val="Times New Roman"/>
        <family val="1"/>
      </rPr>
      <t>(Investment)</t>
    </r>
  </si>
  <si>
    <r>
      <t xml:space="preserve">Transmission &amp; Distribution
Mains </t>
    </r>
    <r>
      <rPr>
        <i/>
        <sz val="12"/>
        <color indexed="62"/>
        <rFont val="Times New Roman"/>
        <family val="1"/>
      </rPr>
      <t>(CIAC)</t>
    </r>
  </si>
  <si>
    <r>
      <t xml:space="preserve">Transmission &amp; Distribution
Mains </t>
    </r>
    <r>
      <rPr>
        <i/>
        <sz val="12"/>
        <color indexed="62"/>
        <rFont val="Times New Roman"/>
        <family val="1"/>
      </rPr>
      <t>(Investment)</t>
    </r>
  </si>
  <si>
    <r>
      <t xml:space="preserve">Total Plant accounts </t>
    </r>
    <r>
      <rPr>
        <i/>
        <sz val="12"/>
        <rFont val="Times New Roman"/>
        <family val="1"/>
      </rPr>
      <t>[from Annual Report]</t>
    </r>
  </si>
  <si>
    <r>
      <t xml:space="preserve">Amount of Plant Donated (CIAC) </t>
    </r>
    <r>
      <rPr>
        <i/>
        <sz val="12"/>
        <rFont val="Times New Roman"/>
        <family val="1"/>
      </rPr>
      <t>[from Annual Report]</t>
    </r>
  </si>
  <si>
    <t xml:space="preserve">Depreciation Expense </t>
  </si>
  <si>
    <t xml:space="preserve">CIAC Amortization </t>
  </si>
  <si>
    <t>Return Amount</t>
  </si>
  <si>
    <t>Allowed Rate of Return</t>
  </si>
  <si>
    <t>Tax Calculation</t>
  </si>
  <si>
    <t>Approximate federal tax rate</t>
  </si>
  <si>
    <t>Approximate state tax rate</t>
  </si>
  <si>
    <t>Percentage</t>
  </si>
  <si>
    <t>Revenue Generated by Non-Water Sales:</t>
  </si>
  <si>
    <t>Revenue From Overage Billings</t>
  </si>
  <si>
    <t>Stand-by Fees</t>
  </si>
  <si>
    <t>Number of Billing Periods</t>
  </si>
  <si>
    <t>Minimum gallons used</t>
  </si>
  <si>
    <t>Overage Gallons used</t>
  </si>
  <si>
    <t>Total
Usage
Amounts</t>
  </si>
  <si>
    <t>Minimum
Usage
Amounts</t>
  </si>
  <si>
    <t>Overage
Usage
Amounts</t>
  </si>
  <si>
    <t>Total Billings
Proposed</t>
  </si>
  <si>
    <t>Minimum Billings Proposed</t>
  </si>
  <si>
    <t>Overage Billings Proposed</t>
  </si>
  <si>
    <t>Total Billing</t>
  </si>
  <si>
    <t>Minimum Billing Portion</t>
  </si>
  <si>
    <t>Overage Billing Portion</t>
  </si>
  <si>
    <r>
      <t xml:space="preserve">451 N Radford Lane  </t>
    </r>
    <r>
      <rPr>
        <vertAlign val="superscript"/>
        <sz val="12"/>
        <color indexed="9"/>
        <rFont val="Times New Roman"/>
        <family val="1"/>
      </rPr>
      <t>4</t>
    </r>
  </si>
  <si>
    <r>
      <t xml:space="preserve">No number </t>
    </r>
    <r>
      <rPr>
        <vertAlign val="superscript"/>
        <sz val="12"/>
        <color indexed="9"/>
        <rFont val="Times New Roman"/>
        <family val="1"/>
      </rPr>
      <t>1</t>
    </r>
  </si>
  <si>
    <r>
      <t xml:space="preserve">None Listed </t>
    </r>
    <r>
      <rPr>
        <vertAlign val="superscript"/>
        <sz val="12"/>
        <color indexed="9"/>
        <rFont val="Times New Roman"/>
        <family val="1"/>
      </rPr>
      <t>2</t>
    </r>
  </si>
  <si>
    <r>
      <t xml:space="preserve">Other </t>
    </r>
    <r>
      <rPr>
        <vertAlign val="superscript"/>
        <sz val="12"/>
        <color indexed="9"/>
        <rFont val="Times New Roman"/>
        <family val="1"/>
      </rPr>
      <t>3</t>
    </r>
  </si>
  <si>
    <t>avg</t>
  </si>
  <si>
    <t>med</t>
  </si>
  <si>
    <t>min</t>
  </si>
  <si>
    <t>max</t>
  </si>
  <si>
    <t>E</t>
  </si>
  <si>
    <t>F</t>
  </si>
  <si>
    <t>G</t>
  </si>
  <si>
    <t>H</t>
  </si>
  <si>
    <t>I</t>
  </si>
  <si>
    <t>J</t>
  </si>
  <si>
    <t>K</t>
  </si>
  <si>
    <t>L</t>
  </si>
  <si>
    <t>M</t>
  </si>
  <si>
    <t>N</t>
  </si>
  <si>
    <t>O</t>
  </si>
  <si>
    <t>P</t>
  </si>
  <si>
    <t>Q</t>
  </si>
  <si>
    <t xml:space="preserve">B </t>
  </si>
  <si>
    <r>
      <t xml:space="preserve">Beginning Balance </t>
    </r>
    <r>
      <rPr>
        <i/>
        <sz val="12"/>
        <rFont val="Times New Roman"/>
        <family val="1"/>
      </rPr>
      <t>[from Annual Report]</t>
    </r>
  </si>
  <si>
    <t>Power Operated Equipment</t>
  </si>
  <si>
    <t>Other Tangible Plant</t>
  </si>
  <si>
    <r>
      <t>Distribution, Reservoirs &amp; Standpipes</t>
    </r>
    <r>
      <rPr>
        <i/>
        <sz val="12"/>
        <color indexed="62"/>
        <rFont val="Times New Roman"/>
        <family val="1"/>
      </rPr>
      <t xml:space="preserve"> (Investment)</t>
    </r>
  </si>
  <si>
    <r>
      <t>Distribution, Reservoirs &amp; Standpipes</t>
    </r>
    <r>
      <rPr>
        <i/>
        <sz val="12"/>
        <color indexed="62"/>
        <rFont val="Times New Roman"/>
        <family val="1"/>
      </rPr>
      <t xml:space="preserve"> (CIAC)</t>
    </r>
  </si>
  <si>
    <t>Lake, River &amp; Other Intakes</t>
  </si>
  <si>
    <t>Exh. 1.4, line 30, column Q</t>
  </si>
  <si>
    <t>Reference</t>
  </si>
  <si>
    <t>Exh. 1.4, line 36, column Q</t>
  </si>
  <si>
    <t>Exh. 1.4, line 38, column Q</t>
  </si>
  <si>
    <t>Exh 1.2, line 47, column G</t>
  </si>
  <si>
    <r>
      <t xml:space="preserve">Company Proposed Ratebase </t>
    </r>
    <r>
      <rPr>
        <i/>
        <sz val="12"/>
        <rFont val="Times New Roman"/>
        <family val="1"/>
      </rPr>
      <t>[from Annual Reports]</t>
    </r>
  </si>
  <si>
    <r>
      <t xml:space="preserve">Cash Working Capitol to allow for 45 days of cash on hand </t>
    </r>
    <r>
      <rPr>
        <i/>
        <sz val="12"/>
        <rFont val="Times New Roman"/>
        <family val="1"/>
      </rPr>
      <t>[line 12 X (45/365)]</t>
    </r>
  </si>
  <si>
    <t>Exh 1.2, line 54, column D</t>
  </si>
  <si>
    <t xml:space="preserve">  [from 2008 Annual Report]</t>
  </si>
  <si>
    <t xml:space="preserve">  [from Exh 1.4, line 39, column Q]</t>
  </si>
  <si>
    <r>
      <t xml:space="preserve">Tax gross up factor </t>
    </r>
    <r>
      <rPr>
        <i/>
        <sz val="12"/>
        <rFont val="Times New Roman"/>
        <family val="1"/>
      </rPr>
      <t xml:space="preserve"> [line 13 ÷ (1 - line 13)]</t>
    </r>
  </si>
  <si>
    <r>
      <t xml:space="preserve">Estimated Federal and State Tax Obligation </t>
    </r>
    <r>
      <rPr>
        <i/>
        <sz val="12"/>
        <rFont val="Times New Roman"/>
        <family val="1"/>
      </rPr>
      <t>[line 3 X line 14]</t>
    </r>
  </si>
  <si>
    <r>
      <t xml:space="preserve">Return Required </t>
    </r>
    <r>
      <rPr>
        <i/>
        <sz val="12"/>
        <rFont val="Times New Roman"/>
        <family val="1"/>
      </rPr>
      <t>[1 x 2]</t>
    </r>
  </si>
  <si>
    <r>
      <t xml:space="preserve">Total Return Required </t>
    </r>
    <r>
      <rPr>
        <i/>
        <sz val="12"/>
        <rFont val="Times New Roman"/>
        <family val="1"/>
      </rPr>
      <t>[3 + 4]</t>
    </r>
  </si>
  <si>
    <r>
      <t xml:space="preserve">Revenue Requirement </t>
    </r>
    <r>
      <rPr>
        <i/>
        <sz val="12"/>
        <rFont val="Times New Roman"/>
        <family val="1"/>
      </rPr>
      <t>[5 + 6]</t>
    </r>
  </si>
  <si>
    <t>Exh 1.5, line 9</t>
  </si>
  <si>
    <r>
      <t xml:space="preserve">Total tax rate </t>
    </r>
    <r>
      <rPr>
        <i/>
        <sz val="12"/>
        <rFont val="Times New Roman"/>
        <family val="1"/>
      </rPr>
      <t>[11 + 12]</t>
    </r>
  </si>
  <si>
    <r>
      <t>Annual Revenue Generated by Non-Water Sales</t>
    </r>
    <r>
      <rPr>
        <sz val="12"/>
        <rFont val="Times New Roman"/>
        <family val="1"/>
      </rPr>
      <t xml:space="preserve"> </t>
    </r>
    <r>
      <rPr>
        <i/>
        <sz val="12"/>
        <rFont val="Times New Roman"/>
        <family val="1"/>
      </rPr>
      <t>[2 + 3 + 4 + 5]</t>
    </r>
  </si>
  <si>
    <t>Number of Projected Customers in 2009</t>
  </si>
  <si>
    <r>
      <t xml:space="preserve">Monthly Minimum Billing Amount </t>
    </r>
    <r>
      <rPr>
        <i/>
        <sz val="12"/>
        <rFont val="Times New Roman"/>
        <family val="1"/>
      </rPr>
      <t>[7 X 8]</t>
    </r>
  </si>
  <si>
    <t>Proposal from Pineview Water</t>
  </si>
  <si>
    <t xml:space="preserve">  Exh 1.2, line 47, column E</t>
  </si>
  <si>
    <t>Docket No. 09-2438-01</t>
  </si>
  <si>
    <t>Mark Long</t>
  </si>
  <si>
    <t>Exhibit 1.7</t>
  </si>
  <si>
    <t>Exhibit 1.6</t>
  </si>
  <si>
    <t>References</t>
  </si>
  <si>
    <t>Summary</t>
  </si>
  <si>
    <t>Total Water Revenues:</t>
  </si>
  <si>
    <t>Total Operating and Other Expenses:</t>
  </si>
  <si>
    <r>
      <t>NET PROFIT/</t>
    </r>
    <r>
      <rPr>
        <b/>
        <sz val="12"/>
        <color indexed="11"/>
        <rFont val="Times New Roman"/>
        <family val="1"/>
      </rPr>
      <t>(LOSS)</t>
    </r>
  </si>
  <si>
    <r>
      <t>Net Profit/</t>
    </r>
    <r>
      <rPr>
        <sz val="12"/>
        <color indexed="11"/>
        <rFont val="Times New Roman"/>
        <family val="1"/>
      </rPr>
      <t>(Loss)</t>
    </r>
  </si>
  <si>
    <t>Projected Annual Customer Growth:</t>
  </si>
  <si>
    <r>
      <t xml:space="preserve">Amount of Plant Investment </t>
    </r>
    <r>
      <rPr>
        <i/>
        <sz val="12"/>
        <rFont val="Times New Roman"/>
        <family val="1"/>
      </rPr>
      <t>[from Annual Report]</t>
    </r>
  </si>
  <si>
    <t>Net Amount of Plant Investment</t>
  </si>
  <si>
    <t>Net Amount of Plant Donated (CIAC)</t>
  </si>
  <si>
    <t>Rate Of Return On Investment:</t>
  </si>
  <si>
    <t>Revenue Requirement:</t>
  </si>
  <si>
    <t>Fixed</t>
  </si>
  <si>
    <t>Variable</t>
  </si>
  <si>
    <t>Operating Costs:</t>
  </si>
  <si>
    <t>Cost Per Thousand Gallons over Minimum:</t>
  </si>
  <si>
    <t>Utility Plant In Service:</t>
  </si>
  <si>
    <t>Accumulated Depreciation/Amortization:</t>
  </si>
  <si>
    <t>Net Utility Plant In Service:</t>
  </si>
  <si>
    <t>Amount of Plant Investment:</t>
  </si>
  <si>
    <t>Accumulated Depreciation:</t>
  </si>
  <si>
    <t>Net Amount of Plant Investment:</t>
  </si>
  <si>
    <t>Amount of Plant Donated (CIAC):</t>
  </si>
  <si>
    <t>Accumulated CIAC Amortization:</t>
  </si>
  <si>
    <t>Net Amount of Plant Donated (CIAC):</t>
  </si>
  <si>
    <t>Total Ratebase:</t>
  </si>
  <si>
    <t>Plant and Equipment, Depreciation and CIAC</t>
  </si>
  <si>
    <t>Summary of Workpaper Exhibits *</t>
  </si>
  <si>
    <r>
      <rPr>
        <sz val="16"/>
        <color indexed="52"/>
        <rFont val="Times New Roman"/>
        <family val="1"/>
      </rPr>
      <t xml:space="preserve">* </t>
    </r>
    <r>
      <rPr>
        <sz val="18"/>
        <color indexed="52"/>
        <rFont val="Times New Roman"/>
        <family val="1"/>
      </rPr>
      <t xml:space="preserve"> </t>
    </r>
    <r>
      <rPr>
        <sz val="12"/>
        <color indexed="9"/>
        <rFont val="Times New Roman"/>
        <family val="1"/>
      </rPr>
      <t xml:space="preserve">Only selected amounts are listed under each exhibit.  Please see referenced exhibit for complete details.  </t>
    </r>
  </si>
  <si>
    <t>Billings Under Proposed Tariff Provisions</t>
  </si>
  <si>
    <t xml:space="preserve">See bottom, right-hand corner of this model for the specific inputs. </t>
  </si>
  <si>
    <t>3 Connections</t>
  </si>
  <si>
    <t>Monthly Minimum Usage Allowance per Customer</t>
  </si>
  <si>
    <t>Gallons</t>
  </si>
  <si>
    <t>Billing</t>
  </si>
  <si>
    <r>
      <t xml:space="preserve">Total Through Overage Gallons </t>
    </r>
    <r>
      <rPr>
        <i/>
        <sz val="12"/>
        <rFont val="Times New Roman"/>
        <family val="1"/>
      </rPr>
      <t>(&gt;7,500)</t>
    </r>
  </si>
  <si>
    <t xml:space="preserve"> - - - - - Totals  - - - - - </t>
  </si>
  <si>
    <t>Rate Base</t>
  </si>
  <si>
    <t>% of Total</t>
  </si>
  <si>
    <t>(n)</t>
  </si>
  <si>
    <t>Amortization of Contribution in Aid</t>
  </si>
  <si>
    <t>(o)</t>
  </si>
  <si>
    <t># Months</t>
  </si>
  <si>
    <t>Depreciation and Amortization of CIAC</t>
  </si>
  <si>
    <t>Amortization of CIAC</t>
  </si>
  <si>
    <t>Number of Standby Customers</t>
  </si>
  <si>
    <t>Connections</t>
  </si>
  <si>
    <t>Number of Standby and Customers Served</t>
  </si>
  <si>
    <t>Annual Amts</t>
  </si>
  <si>
    <t>Amounts</t>
  </si>
  <si>
    <t>Revenue from Depreciation and Amortization of CIAC of Projected Customers</t>
  </si>
  <si>
    <t>Annual Revenue from Depreciation and Amortization of CIAC of Projected Customers</t>
  </si>
  <si>
    <r>
      <t>Monthly Billing Amount</t>
    </r>
    <r>
      <rPr>
        <i/>
        <sz val="12"/>
        <rFont val="Times New Roman"/>
        <family val="1"/>
      </rPr>
      <t xml:space="preserve"> [13 X 14]</t>
    </r>
  </si>
  <si>
    <t xml:space="preserve">     [15 X 16]</t>
  </si>
  <si>
    <r>
      <t>Total Monthly Minimum Bill</t>
    </r>
    <r>
      <rPr>
        <i/>
        <sz val="12"/>
        <rFont val="Times New Roman"/>
        <family val="1"/>
      </rPr>
      <t xml:space="preserve"> [8 + 14]</t>
    </r>
  </si>
  <si>
    <r>
      <t xml:space="preserve">Total Revenue </t>
    </r>
    <r>
      <rPr>
        <i/>
        <sz val="12"/>
        <rFont val="Times New Roman"/>
        <family val="1"/>
      </rPr>
      <t>[6 + 12 + 17 + 19]</t>
    </r>
  </si>
  <si>
    <r>
      <t xml:space="preserve">   Projected Annual Amount Over/</t>
    </r>
    <r>
      <rPr>
        <sz val="12"/>
        <color indexed="11"/>
        <rFont val="Times New Roman"/>
        <family val="1"/>
      </rPr>
      <t>(Under)</t>
    </r>
    <r>
      <rPr>
        <sz val="12"/>
        <rFont val="Times New Roman"/>
        <family val="1"/>
      </rPr>
      <t xml:space="preserve"> Earned</t>
    </r>
    <r>
      <rPr>
        <i/>
        <sz val="12"/>
        <rFont val="Times New Roman"/>
        <family val="1"/>
      </rPr>
      <t xml:space="preserve"> [21 - 1]</t>
    </r>
  </si>
  <si>
    <t>Per Pineview's Annual Reports</t>
  </si>
  <si>
    <t>DPU
Proposed</t>
  </si>
  <si>
    <t>After DPU
Adjustments</t>
  </si>
  <si>
    <t>Total Monthly Minimum Bill:</t>
  </si>
  <si>
    <t>Monthly Minimum Gallon Usage Allowance per Customer:</t>
  </si>
  <si>
    <t>Standby Fees:</t>
  </si>
  <si>
    <t>Per 2008 Annual Report</t>
  </si>
  <si>
    <t>Exh 1.4, line 33, column P</t>
  </si>
  <si>
    <t>Exh 1.4, line 37, column P</t>
  </si>
  <si>
    <t>Total Annual Depreciation &amp; Amortization of CIAC</t>
  </si>
  <si>
    <t>Per 2008 Annual Reports</t>
  </si>
  <si>
    <r>
      <t xml:space="preserve">Total Depreciation and Amortization per Customer.  </t>
    </r>
    <r>
      <rPr>
        <b/>
        <i/>
        <sz val="12"/>
        <rFont val="Times New Roman"/>
        <family val="1"/>
      </rPr>
      <t>(Standby Fees)</t>
    </r>
    <r>
      <rPr>
        <b/>
        <sz val="12"/>
        <rFont val="Times New Roman"/>
        <family val="1"/>
      </rPr>
      <t xml:space="preserve">: </t>
    </r>
    <r>
      <rPr>
        <i/>
        <sz val="12"/>
        <rFont val="Times New Roman"/>
        <family val="1"/>
      </rPr>
      <t>[25 ÷ 28]</t>
    </r>
  </si>
  <si>
    <t>Secondary Water Sales (Irrigation)</t>
  </si>
  <si>
    <t>Materials and Supplies (Meters)</t>
  </si>
  <si>
    <t>'=IF(AB67=0,0,(IF(AB67&lt;=(AC$9*$AQ$72),(AC$9*$AQ$73),(AB67-($AQ$72*AC$9))*$AQ$74/1000+AC$9*$AQ$73)))</t>
  </si>
  <si>
    <t>if 371130 equal 0 put 0, if not put 
if 3710130 is less than or equal 3 months times 7500 gallons then put 3 months times 41 minimum charge if not then put 371130 minus (7500 gallons times 3 months) times overage rate divided by 1000 plus 3 months times 41 minimum charge</t>
  </si>
  <si>
    <t>Operating Expenses, Depreciation, CIAC Amortization and Estimated Regulatory Fees</t>
  </si>
  <si>
    <t>All other Reveue</t>
  </si>
  <si>
    <t>Revenue needed for Overage</t>
  </si>
  <si>
    <t>Revenue From Minimum Billings from Water Usage</t>
  </si>
  <si>
    <t>Monthly Minimum Bill from Water Usage Rate</t>
  </si>
  <si>
    <t>8a</t>
  </si>
  <si>
    <t>Cost per 1,000 Gallons</t>
  </si>
  <si>
    <t>Cost Per 1,000 Gallons</t>
  </si>
  <si>
    <t>20a</t>
  </si>
  <si>
    <t>(p)</t>
  </si>
  <si>
    <t>(q)</t>
  </si>
  <si>
    <t>(r)</t>
  </si>
  <si>
    <t>(s)</t>
  </si>
  <si>
    <t>(t)</t>
  </si>
  <si>
    <t>(u)</t>
  </si>
  <si>
    <t>(v)</t>
  </si>
  <si>
    <t>(w)</t>
  </si>
  <si>
    <t>Rate of Return is a function of the return on the company's investment in the water company and the interest rate of the outstanding debt of the water company. Because the Company is organized as a mutual nonprofit organization the return on the company's investment is zero and because the company has no debt the rate of return is zero percent (0%).</t>
  </si>
  <si>
    <t>-------------------------------------------------- end ------------------------------------------------------</t>
  </si>
  <si>
    <t>(Cost per 1,000 gallons)</t>
  </si>
  <si>
    <t>Secondary/irrigation water revenues</t>
  </si>
  <si>
    <t>Exh 1.6, line 7, column A</t>
  </si>
  <si>
    <t>Exh 1.2, line 8, column D</t>
  </si>
  <si>
    <t xml:space="preserve">Projected Summary of Usage and Billings   </t>
  </si>
  <si>
    <t>See line 28, column D below, [line 28 X 54 X 12]</t>
  </si>
  <si>
    <t>Exh. 1.3, line 1, column H</t>
  </si>
  <si>
    <r>
      <rPr>
        <b/>
        <sz val="12"/>
        <rFont val="Times New Roman"/>
        <family val="1"/>
      </rPr>
      <t>Annual Revenue From Minimum Billings</t>
    </r>
    <r>
      <rPr>
        <sz val="12"/>
        <rFont val="Times New Roman"/>
        <family val="1"/>
      </rPr>
      <t xml:space="preserve"> from Water Usage </t>
    </r>
    <r>
      <rPr>
        <i/>
        <sz val="12"/>
        <rFont val="Times New Roman"/>
        <family val="1"/>
      </rPr>
      <t>[10 X 11]</t>
    </r>
  </si>
  <si>
    <t>See line 29, column D below</t>
  </si>
  <si>
    <t>Accum. Amort. CIAC</t>
  </si>
  <si>
    <r>
      <rPr>
        <i/>
        <sz val="14"/>
        <rFont val="Times New Roman"/>
        <family val="1"/>
      </rPr>
      <t xml:space="preserve">Operating Expenses Advanced' </t>
    </r>
    <r>
      <rPr>
        <sz val="14"/>
        <rFont val="Times New Roman"/>
        <family val="1"/>
      </rPr>
      <t>Account Excerpt from the General Ledger provided by Pineview</t>
    </r>
  </si>
  <si>
    <t xml:space="preserve"> 7:44 PMPineview West Water Company</t>
  </si>
  <si>
    <t xml:space="preserve">     05/11/09General Ledger</t>
  </si>
  <si>
    <t xml:space="preserve">     Accrual BasisAs of December 31, 2008</t>
  </si>
  <si>
    <t>Type</t>
  </si>
  <si>
    <t>Date</t>
  </si>
  <si>
    <t>Num</t>
  </si>
  <si>
    <t>Name</t>
  </si>
  <si>
    <t>Memo</t>
  </si>
  <si>
    <t>Split</t>
  </si>
  <si>
    <t>Balance</t>
  </si>
  <si>
    <t>Operating Expenses Advanced</t>
  </si>
  <si>
    <t>Brockbank</t>
  </si>
  <si>
    <t>General Journal</t>
  </si>
  <si>
    <t>14</t>
  </si>
  <si>
    <t>Nathan Brockbank</t>
  </si>
  <si>
    <t>pd with VISA card</t>
  </si>
  <si>
    <t>Ogden City Water Fees</t>
  </si>
  <si>
    <t>Check</t>
  </si>
  <si>
    <t>3140</t>
  </si>
  <si>
    <t>Bankcard Center</t>
  </si>
  <si>
    <t>paid to Nate's VISA card for Ogden City Water Charge made 11-11-08 $6000</t>
  </si>
  <si>
    <t>NEW water acct #6212</t>
  </si>
  <si>
    <t>13</t>
  </si>
  <si>
    <t>Legal &amp; Professional Fees</t>
  </si>
  <si>
    <t>Total Brockbank</t>
  </si>
  <si>
    <t>Titan Dev.</t>
  </si>
  <si>
    <t>Deposit</t>
  </si>
  <si>
    <t>TITAN DEVELOPMENT</t>
  </si>
  <si>
    <t>5</t>
  </si>
  <si>
    <t>SPRING INVOICES-1st BYLAWS AND MEETING NOTICE</t>
  </si>
  <si>
    <t>7</t>
  </si>
  <si>
    <t>2nd BYLAWS</t>
  </si>
  <si>
    <t>8</t>
  </si>
  <si>
    <t>SUMMER INVOICES</t>
  </si>
  <si>
    <t>12</t>
  </si>
  <si>
    <t>58 Billings for summer culinary and secondary</t>
  </si>
  <si>
    <t>Total Titan Dev.</t>
  </si>
  <si>
    <t>Pineview Est.</t>
  </si>
  <si>
    <t>PINEVIEW ESTATES LLC</t>
  </si>
  <si>
    <t>modified 12-4-08</t>
  </si>
  <si>
    <t>3122</t>
  </si>
  <si>
    <t>Rocky Mountain Power</t>
  </si>
  <si>
    <t>70812388-021-1 Crimson Ridge upper gate</t>
  </si>
  <si>
    <t>3124</t>
  </si>
  <si>
    <t>W.R. WHITE SUPPLY</t>
  </si>
  <si>
    <t>new hydrant for Lot 35 snowplow damage by Alpine design Pineview Expense</t>
  </si>
  <si>
    <t>3130</t>
  </si>
  <si>
    <t>S &amp; S Excavating, Inc.</t>
  </si>
  <si>
    <t>replace broken fire hydrant Lot 35 CR</t>
  </si>
  <si>
    <t>Total Pineview Est.</t>
  </si>
  <si>
    <t>No. Eden</t>
  </si>
  <si>
    <t>Total No. Eden</t>
  </si>
  <si>
    <t xml:space="preserve">Total Operating Expenses Advanced </t>
  </si>
  <si>
    <t>Operating Expenses Advanced - Other</t>
  </si>
  <si>
    <t>Bill</t>
  </si>
  <si>
    <t>debt to date</t>
  </si>
  <si>
    <t>Pineview Estates</t>
  </si>
  <si>
    <t>Accounts Payable</t>
  </si>
  <si>
    <t>North Eden Acres LLC</t>
  </si>
  <si>
    <t>Nate Brockbank</t>
  </si>
  <si>
    <t>water systems parts purchased by Paul S.</t>
  </si>
  <si>
    <t>Total Operating Expenses Advanced - Other</t>
  </si>
  <si>
    <t>Total Operating Expenses Advanced</t>
  </si>
  <si>
    <t>Exhibit 1.8</t>
  </si>
  <si>
    <t>General Ledger Excerpt</t>
  </si>
  <si>
    <r>
      <t xml:space="preserve">*  </t>
    </r>
    <r>
      <rPr>
        <sz val="12"/>
        <color indexed="9"/>
        <rFont val="Arial"/>
        <family val="2"/>
      </rPr>
      <t xml:space="preserve">The general ledger at the end of 2007 for </t>
    </r>
    <r>
      <rPr>
        <i/>
        <sz val="12"/>
        <color indexed="9"/>
        <rFont val="Arial"/>
        <family val="2"/>
      </rPr>
      <t>'Brockbank'</t>
    </r>
    <r>
      <rPr>
        <sz val="12"/>
        <color indexed="9"/>
        <rFont val="Arial"/>
        <family val="2"/>
      </rPr>
      <t xml:space="preserve"> which shows the entry for the beginning amount of $8,650 is as follows:</t>
    </r>
  </si>
  <si>
    <t>Customer 1</t>
  </si>
  <si>
    <t>Customer 2</t>
  </si>
  <si>
    <t>Customer 3</t>
  </si>
  <si>
    <t>Usage</t>
  </si>
  <si>
    <t>minimum rate</t>
  </si>
  <si>
    <t>overage</t>
  </si>
  <si>
    <t>total</t>
  </si>
  <si>
    <t>Per Month</t>
  </si>
  <si>
    <t>Meter Connection fees</t>
  </si>
  <si>
    <t>One-Time Service Connection Fees</t>
  </si>
  <si>
    <t>One-time service connection fee to Developer</t>
  </si>
  <si>
    <t>Exh 1.2, line 7, column B</t>
  </si>
  <si>
    <t>Estimated Federal and State Taxes</t>
  </si>
  <si>
    <t>Monthly Portion of the Depreciation and Amortization of CIAC</t>
  </si>
  <si>
    <t>Number of Projected Customers Served</t>
  </si>
  <si>
    <t>Totals Through minimum Usage Allowance</t>
  </si>
  <si>
    <t>Unmetered Residential Customers</t>
  </si>
  <si>
    <t>Metered Residential Customers</t>
  </si>
  <si>
    <t>Metered Sales-Commercial Customers</t>
  </si>
  <si>
    <t>Regulatory Commission Expense</t>
  </si>
  <si>
    <t>Hydrants</t>
  </si>
  <si>
    <t>Tools, Shop &amp; Garage Equipment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</si>
</sst>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 #,##0.00"/>
    <numFmt numFmtId="165" formatCode="[$$-409]\ #,##0"/>
    <numFmt numFmtId="166" formatCode="&quot;$&quot;\ #,##0_);[Red]\(&quot;$&quot;\ #,##0\)"/>
    <numFmt numFmtId="167" formatCode="0.00_);\(0.00\)"/>
    <numFmt numFmtId="168" formatCode="_(&quot;$&quot;\ #,##0_);_(&quot;$&quot;\ \(#,##0\);_(&quot;$&quot;* &quot;-&quot;_);_(@_)"/>
    <numFmt numFmtId="169" formatCode="0.00%;[Red]\(0.00%\)"/>
    <numFmt numFmtId="170" formatCode="_(* #,##0_);_(* \(#,##0\);_(* &quot;-&quot;??_);_(@_)"/>
    <numFmt numFmtId="171" formatCode="&quot;$&quot;#,##0"/>
    <numFmt numFmtId="172" formatCode="0%;[Red]\(0%\)"/>
    <numFmt numFmtId="173" formatCode="\ #,##0_);[Red]\(\ #,##0\)"/>
    <numFmt numFmtId="174" formatCode="0.00\ %"/>
    <numFmt numFmtId="175" formatCode="#,###_);[Red]\(#,###\)"/>
    <numFmt numFmtId="176" formatCode="&quot;$&quot;#,###_);[Red]\(&quot;$&quot;#,###\)"/>
    <numFmt numFmtId="177" formatCode="&quot;$&quot;#,###_);[Red]\(#,###\)"/>
    <numFmt numFmtId="178" formatCode="#,##0.000000_);\(#,##0.000000\)"/>
    <numFmt numFmtId="179" formatCode="[$$-409]#,##0.00"/>
    <numFmt numFmtId="180" formatCode="#,##0.0000000_);\(#,##0.0000000\)"/>
    <numFmt numFmtId="181" formatCode="0.00000%"/>
    <numFmt numFmtId="182" formatCode="&quot;$&quot;#,##0.00"/>
    <numFmt numFmtId="183" formatCode="mm/dd/yyyy"/>
    <numFmt numFmtId="184" formatCode="#,##0.00;\-#,##0.00"/>
  </numFmts>
  <fonts count="73">
    <font>
      <sz val="10"/>
      <name val="Arial"/>
      <family val="0"/>
    </font>
    <font>
      <sz val="11"/>
      <color indexed="9"/>
      <name val="Calibri"/>
      <family val="2"/>
    </font>
    <font>
      <b/>
      <sz val="18"/>
      <name val="Arial"/>
      <family val="2"/>
    </font>
    <font>
      <b/>
      <sz val="12"/>
      <name val="Arial"/>
      <family val="2"/>
    </font>
    <font>
      <sz val="8"/>
      <name val="Arial"/>
      <family val="2"/>
    </font>
    <font>
      <b/>
      <sz val="10"/>
      <name val="Arial"/>
      <family val="2"/>
    </font>
    <font>
      <sz val="12"/>
      <name val="Times New Roman"/>
      <family val="1"/>
    </font>
    <font>
      <b/>
      <sz val="12"/>
      <name val="Times New Roman"/>
      <family val="1"/>
    </font>
    <font>
      <b/>
      <u val="single"/>
      <sz val="12"/>
      <name val="Times New Roman"/>
      <family val="1"/>
    </font>
    <font>
      <u val="single"/>
      <sz val="12"/>
      <name val="Times New Roman"/>
      <family val="1"/>
    </font>
    <font>
      <b/>
      <i/>
      <sz val="12"/>
      <name val="Times New Roman"/>
      <family val="1"/>
    </font>
    <font>
      <sz val="14"/>
      <name val="Times New Roman"/>
      <family val="1"/>
    </font>
    <font>
      <b/>
      <sz val="16"/>
      <name val="Times New Roman"/>
      <family val="1"/>
    </font>
    <font>
      <sz val="12"/>
      <color indexed="9"/>
      <name val="Times New Roman"/>
      <family val="1"/>
    </font>
    <font>
      <b/>
      <sz val="12"/>
      <color indexed="9"/>
      <name val="Times New Roman"/>
      <family val="1"/>
    </font>
    <font>
      <sz val="12"/>
      <color indexed="11"/>
      <name val="Times New Roman"/>
      <family val="1"/>
    </font>
    <font>
      <sz val="12"/>
      <name val="Arial"/>
      <family val="2"/>
    </font>
    <font>
      <u val="single"/>
      <sz val="10"/>
      <color indexed="32"/>
      <name val="Arial"/>
      <family val="2"/>
    </font>
    <font>
      <i/>
      <sz val="12"/>
      <name val="Times New Roman"/>
      <family val="1"/>
    </font>
    <font>
      <sz val="10"/>
      <name val="Times New Roman"/>
      <family val="1"/>
    </font>
    <font>
      <i/>
      <sz val="12"/>
      <color indexed="62"/>
      <name val="Times New Roman"/>
      <family val="1"/>
    </font>
    <font>
      <sz val="11"/>
      <color indexed="9"/>
      <name val="Times New Roman"/>
      <family val="1"/>
    </font>
    <font>
      <b/>
      <sz val="11"/>
      <color indexed="9"/>
      <name val="Times New Roman"/>
      <family val="1"/>
    </font>
    <font>
      <sz val="14"/>
      <color indexed="9"/>
      <name val="Times New Roman"/>
      <family val="1"/>
    </font>
    <font>
      <i/>
      <sz val="11"/>
      <color indexed="9"/>
      <name val="Times New Roman"/>
      <family val="1"/>
    </font>
    <font>
      <sz val="10"/>
      <color indexed="9"/>
      <name val="Times New Roman"/>
      <family val="1"/>
    </font>
    <font>
      <vertAlign val="superscript"/>
      <sz val="12"/>
      <color indexed="9"/>
      <name val="Times New Roman"/>
      <family val="1"/>
    </font>
    <font>
      <b/>
      <sz val="12"/>
      <color indexed="11"/>
      <name val="Times New Roman"/>
      <family val="1"/>
    </font>
    <font>
      <b/>
      <sz val="12"/>
      <color indexed="62"/>
      <name val="Times New Roman"/>
      <family val="1"/>
    </font>
    <font>
      <i/>
      <sz val="12"/>
      <color indexed="9"/>
      <name val="Times New Roman"/>
      <family val="1"/>
    </font>
    <font>
      <b/>
      <sz val="12"/>
      <color indexed="50"/>
      <name val="Times New Roman"/>
      <family val="1"/>
    </font>
    <font>
      <sz val="12"/>
      <color indexed="50"/>
      <name val="Times New Roman"/>
      <family val="1"/>
    </font>
    <font>
      <sz val="10"/>
      <color indexed="50"/>
      <name val="Arial"/>
      <family val="2"/>
    </font>
    <font>
      <sz val="10"/>
      <color indexed="50"/>
      <name val="Times New Roman"/>
      <family val="1"/>
    </font>
    <font>
      <sz val="12"/>
      <color indexed="50"/>
      <name val="Arial"/>
      <family val="2"/>
    </font>
    <font>
      <i/>
      <sz val="12"/>
      <color indexed="50"/>
      <name val="Times New Roman"/>
      <family val="1"/>
    </font>
    <font>
      <b/>
      <u val="single"/>
      <sz val="10"/>
      <color indexed="50"/>
      <name val="Arial"/>
      <family val="2"/>
    </font>
    <font>
      <b/>
      <sz val="10"/>
      <color indexed="50"/>
      <name val="Arial"/>
      <family val="2"/>
    </font>
    <font>
      <b/>
      <u val="single"/>
      <sz val="14"/>
      <color indexed="8"/>
      <name val="Times New Roman"/>
      <family val="1"/>
    </font>
    <font>
      <b/>
      <sz val="14"/>
      <color indexed="8"/>
      <name val="Times New Roman"/>
      <family val="1"/>
    </font>
    <font>
      <sz val="14"/>
      <color indexed="8"/>
      <name val="Times New Roman"/>
      <family val="1"/>
    </font>
    <font>
      <b/>
      <sz val="18"/>
      <color indexed="52"/>
      <name val="Times New Roman"/>
      <family val="1"/>
    </font>
    <font>
      <sz val="13"/>
      <name val="Times New Roman"/>
      <family val="1"/>
    </font>
    <font>
      <sz val="18"/>
      <color indexed="52"/>
      <name val="Times New Roman"/>
      <family val="1"/>
    </font>
    <font>
      <sz val="16"/>
      <color indexed="52"/>
      <name val="Times New Roman"/>
      <family val="1"/>
    </font>
    <font>
      <b/>
      <sz val="18"/>
      <color indexed="21"/>
      <name val="Times New Roman"/>
      <family val="1"/>
    </font>
    <font>
      <i/>
      <u val="single"/>
      <sz val="12"/>
      <color indexed="8"/>
      <name val="Arial"/>
      <family val="2"/>
    </font>
    <font>
      <sz val="10"/>
      <color indexed="8"/>
      <name val="Arial"/>
      <family val="2"/>
    </font>
    <font>
      <b/>
      <sz val="11"/>
      <name val="Times New Roman"/>
      <family val="1"/>
    </font>
    <font>
      <i/>
      <sz val="11"/>
      <color indexed="15"/>
      <name val="Times New Roman"/>
      <family val="1"/>
    </font>
    <font>
      <sz val="12"/>
      <color indexed="62"/>
      <name val="Times New Roman"/>
      <family val="1"/>
    </font>
    <font>
      <sz val="10"/>
      <color indexed="62"/>
      <name val="Arial"/>
      <family val="2"/>
    </font>
    <font>
      <i/>
      <sz val="14"/>
      <name val="Times New Roman"/>
      <family val="1"/>
    </font>
    <font>
      <sz val="10"/>
      <color indexed="9"/>
      <name val="Arial"/>
      <family val="2"/>
    </font>
    <font>
      <b/>
      <sz val="8"/>
      <color indexed="9"/>
      <name val="Arial"/>
      <family val="2"/>
    </font>
    <font>
      <sz val="8"/>
      <color indexed="9"/>
      <name val="Arial"/>
      <family val="2"/>
    </font>
    <font>
      <b/>
      <sz val="12"/>
      <color indexed="9"/>
      <name val="Arial"/>
      <family val="2"/>
    </font>
    <font>
      <sz val="12"/>
      <color indexed="9"/>
      <name val="Arial"/>
      <family val="2"/>
    </font>
    <font>
      <i/>
      <sz val="12"/>
      <color indexed="9"/>
      <name val="Arial"/>
      <family val="2"/>
    </font>
    <font>
      <sz val="12"/>
      <color indexed="15"/>
      <name val="Times New Roman"/>
      <family val="1"/>
    </font>
    <font>
      <b/>
      <sz val="18"/>
      <color indexed="21"/>
      <name val="Cambria"/>
      <family val="2"/>
    </font>
    <font>
      <b/>
      <sz val="11"/>
      <color indexed="21"/>
      <name val="Calibri"/>
      <family val="2"/>
    </font>
    <font>
      <sz val="11"/>
      <color indexed="36"/>
      <name val="Calibri"/>
      <family val="2"/>
    </font>
    <font>
      <sz val="11"/>
      <color indexed="49"/>
      <name val="Calibri"/>
      <family val="2"/>
    </font>
    <font>
      <sz val="11"/>
      <color indexed="20"/>
      <name val="Calibri"/>
      <family val="2"/>
    </font>
    <font>
      <sz val="11"/>
      <color indexed="50"/>
      <name val="Calibri"/>
      <family val="2"/>
    </font>
    <font>
      <b/>
      <sz val="11"/>
      <color indexed="9"/>
      <name val="Calibri"/>
      <family val="2"/>
    </font>
    <font>
      <b/>
      <sz val="11"/>
      <color indexed="12"/>
      <name val="Calibri"/>
      <family val="2"/>
    </font>
    <font>
      <sz val="11"/>
      <color indexed="12"/>
      <name val="Calibri"/>
      <family val="2"/>
    </font>
    <font>
      <b/>
      <sz val="11"/>
      <color indexed="8"/>
      <name val="Calibri"/>
      <family val="2"/>
    </font>
    <font>
      <sz val="11"/>
      <color indexed="11"/>
      <name val="Calibri"/>
      <family val="2"/>
    </font>
    <font>
      <i/>
      <sz val="11"/>
      <color indexed="50"/>
      <name val="Calibri"/>
      <family val="2"/>
    </font>
    <font>
      <sz val="11"/>
      <color indexed="8"/>
      <name val="Calibri"/>
      <family val="2"/>
    </font>
  </fonts>
  <fills count="24">
    <fill>
      <patternFill/>
    </fill>
    <fill>
      <patternFill patternType="gray125"/>
    </fill>
    <fill>
      <patternFill patternType="solid">
        <fgColor indexed="8"/>
        <bgColor indexed="64"/>
      </patternFill>
    </fill>
    <fill>
      <patternFill patternType="solid">
        <fgColor indexed="8"/>
        <bgColor indexed="64"/>
      </patternFill>
    </fill>
    <fill>
      <patternFill patternType="solid">
        <fgColor indexed="51"/>
        <bgColor indexed="64"/>
      </patternFill>
    </fill>
    <fill>
      <patternFill patternType="solid">
        <fgColor indexed="34"/>
        <bgColor indexed="64"/>
      </patternFill>
    </fill>
    <fill>
      <patternFill patternType="solid">
        <fgColor indexed="26"/>
        <bgColor indexed="64"/>
      </patternFill>
    </fill>
    <fill>
      <patternFill patternType="solid">
        <fgColor indexed="33"/>
        <bgColor indexed="64"/>
      </patternFill>
    </fill>
    <fill>
      <patternFill patternType="solid">
        <fgColor indexed="50"/>
        <bgColor indexed="64"/>
      </patternFill>
    </fill>
    <fill>
      <patternFill patternType="solid">
        <fgColor indexed="35"/>
        <bgColor indexed="64"/>
      </patternFill>
    </fill>
    <fill>
      <patternFill patternType="solid">
        <fgColor indexed="42"/>
        <bgColor indexed="64"/>
      </patternFill>
    </fill>
    <fill>
      <patternFill patternType="solid">
        <fgColor indexed="52"/>
        <bgColor indexed="64"/>
      </patternFill>
    </fill>
    <fill>
      <patternFill patternType="solid">
        <fgColor indexed="15"/>
        <bgColor indexed="64"/>
      </patternFill>
    </fill>
    <fill>
      <patternFill patternType="solid">
        <fgColor indexed="47"/>
        <bgColor indexed="64"/>
      </patternFill>
    </fill>
    <fill>
      <patternFill patternType="solid">
        <fgColor indexed="9"/>
        <bgColor indexed="64"/>
      </patternFill>
    </fill>
    <fill>
      <patternFill patternType="solid">
        <fgColor indexed="37"/>
        <bgColor indexed="64"/>
      </patternFill>
    </fill>
    <fill>
      <patternFill patternType="solid">
        <fgColor indexed="38"/>
        <bgColor indexed="64"/>
      </patternFill>
    </fill>
    <fill>
      <patternFill patternType="solid">
        <fgColor indexed="26"/>
        <bgColor indexed="64"/>
      </patternFill>
    </fill>
    <fill>
      <patternFill patternType="solid">
        <fgColor indexed="51"/>
        <bgColor indexed="64"/>
      </patternFill>
    </fill>
    <fill>
      <patternFill patternType="solid">
        <fgColor indexed="28"/>
        <bgColor indexed="64"/>
      </patternFill>
    </fill>
    <fill>
      <patternFill patternType="solid">
        <fgColor indexed="13"/>
        <bgColor indexed="64"/>
      </patternFill>
    </fill>
    <fill>
      <patternFill patternType="solid">
        <fgColor indexed="11"/>
        <bgColor indexed="64"/>
      </patternFill>
    </fill>
    <fill>
      <patternFill patternType="solid">
        <fgColor indexed="39"/>
        <bgColor indexed="64"/>
      </patternFill>
    </fill>
    <fill>
      <patternFill patternType="solid">
        <fgColor indexed="14"/>
        <bgColor indexed="64"/>
      </patternFill>
    </fill>
  </fills>
  <borders count="98">
    <border>
      <left/>
      <right/>
      <top/>
      <bottom/>
      <diagonal/>
    </border>
    <border>
      <left style="thin">
        <color indexed="50"/>
      </left>
      <right style="thin">
        <color indexed="50"/>
      </right>
      <top style="thin">
        <color indexed="50"/>
      </top>
      <bottom style="thin">
        <color indexed="50"/>
      </bottom>
    </border>
    <border>
      <left style="double">
        <color indexed="9"/>
      </left>
      <right style="double">
        <color indexed="9"/>
      </right>
      <top style="double">
        <color indexed="9"/>
      </top>
      <bottom style="double">
        <color indexed="9"/>
      </bottom>
    </border>
    <border>
      <left>
        <color indexed="63"/>
      </left>
      <right>
        <color indexed="63"/>
      </right>
      <top>
        <color indexed="63"/>
      </top>
      <bottom style="medium">
        <color indexed="50"/>
      </bottom>
    </border>
    <border>
      <left>
        <color indexed="63"/>
      </left>
      <right>
        <color indexed="63"/>
      </right>
      <top>
        <color indexed="63"/>
      </top>
      <bottom style="double">
        <color indexed="12"/>
      </bottom>
    </border>
    <border>
      <left style="thin">
        <color indexed="9"/>
      </left>
      <right style="thin">
        <color indexed="9"/>
      </right>
      <top style="thin">
        <color indexed="9"/>
      </top>
      <bottom style="thin">
        <color indexed="9"/>
      </bottom>
    </border>
    <border>
      <left/>
      <right/>
      <top style="double">
        <color indexed="9"/>
      </top>
      <bottom/>
    </border>
    <border>
      <left/>
      <right/>
      <top/>
      <bottom style="thin"/>
    </border>
    <border>
      <left/>
      <right/>
      <top/>
      <bottom style="double"/>
    </border>
    <border>
      <left/>
      <right/>
      <top style="medium"/>
      <bottom style="medium"/>
    </border>
    <border>
      <left style="thin"/>
      <right/>
      <top/>
      <bottom/>
    </border>
    <border>
      <left/>
      <right/>
      <top style="thin"/>
      <bottom style="double"/>
    </border>
    <border>
      <left style="thin"/>
      <right style="thin"/>
      <top/>
      <bottom/>
    </border>
    <border>
      <left style="thin"/>
      <right style="thin"/>
      <top style="thin"/>
      <bottom style="double"/>
    </border>
    <border>
      <left/>
      <right/>
      <top style="thin"/>
      <bottom style="thin"/>
    </border>
    <border>
      <left style="thin"/>
      <right style="medium"/>
      <top/>
      <bottom/>
    </border>
    <border>
      <left style="medium"/>
      <right style="thin"/>
      <top/>
      <bottom/>
    </border>
    <border>
      <left style="thin"/>
      <right/>
      <top/>
      <bottom style="thin"/>
    </border>
    <border>
      <left style="thin"/>
      <right style="medium"/>
      <top/>
      <bottom style="thin"/>
    </border>
    <border>
      <left style="medium"/>
      <right style="thin"/>
      <top/>
      <bottom style="thin"/>
    </border>
    <border>
      <left style="thin"/>
      <right style="thin"/>
      <top/>
      <bottom style="thin"/>
    </border>
    <border>
      <left style="medium"/>
      <right/>
      <top style="thin"/>
      <bottom style="thin"/>
    </border>
    <border>
      <left style="thin"/>
      <right/>
      <top style="thin"/>
      <bottom style="thin"/>
    </border>
    <border>
      <left style="thin"/>
      <right style="medium"/>
      <top style="thin"/>
      <bottom style="thin"/>
    </border>
    <border>
      <left style="medium"/>
      <right style="thin"/>
      <top style="thin"/>
      <bottom style="thin"/>
    </border>
    <border>
      <left style="thin"/>
      <right style="thin"/>
      <top style="thin"/>
      <bottom style="thin"/>
    </border>
    <border>
      <left style="medium"/>
      <right style="thin"/>
      <top style="thin"/>
      <bottom style="double"/>
    </border>
    <border>
      <left style="thin"/>
      <right style="thin"/>
      <top/>
      <bottom style="double">
        <color indexed="9"/>
      </bottom>
    </border>
    <border>
      <left style="thin"/>
      <right style="medium"/>
      <top style="thin"/>
      <bottom style="double"/>
    </border>
    <border>
      <left/>
      <right style="thin"/>
      <top/>
      <bottom/>
    </border>
    <border>
      <left/>
      <right style="medium"/>
      <top style="thin"/>
      <bottom style="double"/>
    </border>
    <border>
      <left style="slantDashDot"/>
      <right/>
      <top/>
      <bottom/>
    </border>
    <border>
      <left/>
      <right style="medium"/>
      <top/>
      <bottom/>
    </border>
    <border>
      <left style="medium"/>
      <right/>
      <top style="slantDashDot"/>
      <bottom/>
    </border>
    <border>
      <left/>
      <right/>
      <top style="slantDashDot"/>
      <bottom/>
    </border>
    <border>
      <left/>
      <right style="medium"/>
      <top style="slantDashDot"/>
      <bottom/>
    </border>
    <border>
      <left/>
      <right style="slantDashDot"/>
      <top style="slantDashDot"/>
      <bottom/>
    </border>
    <border>
      <left style="medium"/>
      <right/>
      <top/>
      <bottom/>
    </border>
    <border>
      <left/>
      <right style="slantDashDot"/>
      <top/>
      <bottom/>
    </border>
    <border>
      <left style="medium"/>
      <right/>
      <top/>
      <bottom style="thin"/>
    </border>
    <border>
      <left/>
      <right style="medium"/>
      <top/>
      <bottom style="thin"/>
    </border>
    <border>
      <left style="slantDashDot"/>
      <right/>
      <top/>
      <bottom style="medium"/>
    </border>
    <border>
      <left/>
      <right/>
      <top/>
      <bottom style="medium"/>
    </border>
    <border>
      <left/>
      <right style="medium"/>
      <top style="thin"/>
      <bottom style="thin"/>
    </border>
    <border>
      <left style="slantDashDot"/>
      <right/>
      <top style="thin">
        <color indexed="9"/>
      </top>
      <bottom/>
    </border>
    <border>
      <left/>
      <right/>
      <top style="medium"/>
      <bottom/>
    </border>
    <border>
      <left style="slantDashDot"/>
      <right/>
      <top style="thin">
        <color indexed="50"/>
      </top>
      <bottom style="thin">
        <color indexed="50"/>
      </bottom>
    </border>
    <border>
      <left/>
      <right/>
      <top style="thin">
        <color indexed="50"/>
      </top>
      <bottom style="thin">
        <color indexed="50"/>
      </bottom>
    </border>
    <border>
      <left style="slantDashDot"/>
      <right/>
      <top style="thin">
        <color indexed="50"/>
      </top>
      <bottom/>
    </border>
    <border>
      <left style="slantDashDot"/>
      <right/>
      <top style="thin">
        <color indexed="50"/>
      </top>
      <bottom style="thin">
        <color indexed="9"/>
      </bottom>
    </border>
    <border>
      <left style="medium"/>
      <right style="thin"/>
      <top style="thin"/>
      <bottom/>
    </border>
    <border>
      <left style="thin"/>
      <right style="thin"/>
      <top style="thin"/>
      <bottom/>
    </border>
    <border>
      <left style="thin"/>
      <right style="medium"/>
      <top style="thin"/>
      <bottom/>
    </border>
    <border>
      <left style="mediumDashDotDot"/>
      <right/>
      <top style="mediumDashDotDot"/>
      <bottom/>
    </border>
    <border>
      <left/>
      <right/>
      <top style="mediumDashDotDot"/>
      <bottom/>
    </border>
    <border>
      <left style="medium"/>
      <right/>
      <top style="thin"/>
      <bottom style="double"/>
    </border>
    <border>
      <left style="mediumDashDotDot"/>
      <right/>
      <top/>
      <bottom/>
    </border>
    <border>
      <left style="mediumDashDotDot"/>
      <right/>
      <top/>
      <bottom style="mediumDashDotDot"/>
    </border>
    <border>
      <left/>
      <right/>
      <top/>
      <bottom style="mediumDashDotDot"/>
    </border>
    <border>
      <left style="slantDashDot"/>
      <right/>
      <top/>
      <bottom style="slantDashDot"/>
    </border>
    <border>
      <left/>
      <right/>
      <top/>
      <bottom style="slantDashDot"/>
    </border>
    <border>
      <left/>
      <right/>
      <top style="thin"/>
      <bottom style="slantDashDot"/>
    </border>
    <border>
      <left/>
      <right style="slantDashDot"/>
      <top/>
      <bottom style="slantDashDot"/>
    </border>
    <border>
      <left style="thin">
        <color indexed="11"/>
      </left>
      <right style="thin">
        <color indexed="11"/>
      </right>
      <top style="thin">
        <color indexed="11"/>
      </top>
      <bottom style="thin">
        <color indexed="11"/>
      </bottom>
    </border>
    <border>
      <left/>
      <right/>
      <top/>
      <bottom style="double">
        <color indexed="9"/>
      </bottom>
    </border>
    <border>
      <left/>
      <right/>
      <top style="thin"/>
      <bottom/>
    </border>
    <border>
      <left/>
      <right/>
      <top style="thin">
        <color indexed="9"/>
      </top>
      <bottom style="thin"/>
    </border>
    <border>
      <left style="thin"/>
      <right/>
      <top style="medium"/>
      <bottom/>
    </border>
    <border>
      <left style="medium"/>
      <right style="medium"/>
      <top style="medium"/>
      <bottom/>
    </border>
    <border>
      <left style="thin"/>
      <right/>
      <top/>
      <bottom style="medium"/>
    </border>
    <border>
      <left style="thin"/>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medium"/>
    </border>
    <border>
      <left style="thin"/>
      <right style="thin"/>
      <top/>
      <bottom style="medium"/>
    </border>
    <border>
      <left style="thin">
        <color indexed="35"/>
      </left>
      <right/>
      <top style="thin">
        <color indexed="35"/>
      </top>
      <bottom style="thin">
        <color indexed="35"/>
      </bottom>
    </border>
    <border>
      <left/>
      <right style="thin">
        <color indexed="35"/>
      </right>
      <top style="thin">
        <color indexed="35"/>
      </top>
      <bottom style="thin">
        <color indexed="35"/>
      </bottom>
    </border>
    <border>
      <left/>
      <right/>
      <top style="thin">
        <color indexed="35"/>
      </top>
      <bottom style="thin">
        <color indexed="35"/>
      </bottom>
    </border>
    <border>
      <left/>
      <right style="thin"/>
      <top style="thin"/>
      <bottom style="double"/>
    </border>
    <border>
      <left style="thin"/>
      <right/>
      <top style="thin"/>
      <bottom style="double"/>
    </border>
    <border>
      <left style="medium"/>
      <right style="thin"/>
      <top style="medium"/>
      <bottom/>
    </border>
    <border>
      <left style="medium"/>
      <right/>
      <top/>
      <bottom style="medium"/>
    </border>
    <border>
      <left/>
      <right style="medium"/>
      <top/>
      <bottom style="medium"/>
    </border>
    <border>
      <left style="medium"/>
      <right/>
      <top style="medium"/>
      <bottom style="medium"/>
    </border>
    <border>
      <left/>
      <right style="medium"/>
      <top style="medium"/>
      <bottom style="medium"/>
    </border>
    <border>
      <left/>
      <right/>
      <top style="medium">
        <color indexed="19"/>
      </top>
      <bottom style="medium">
        <color indexed="19"/>
      </bottom>
    </border>
    <border>
      <left/>
      <right style="medium">
        <color indexed="19"/>
      </right>
      <top style="medium">
        <color indexed="19"/>
      </top>
      <bottom style="medium">
        <color indexed="19"/>
      </bottom>
    </border>
    <border>
      <left/>
      <right/>
      <top style="medium">
        <color indexed="19"/>
      </top>
      <bottom style="medium"/>
    </border>
    <border>
      <left/>
      <right style="medium">
        <color indexed="19"/>
      </right>
      <top style="medium">
        <color indexed="19"/>
      </top>
      <bottom style="medium"/>
    </border>
    <border>
      <left/>
      <right/>
      <top/>
      <bottom style="thick"/>
    </border>
    <border>
      <left style="thin"/>
      <right/>
      <top style="thin"/>
      <bottom/>
    </border>
    <border>
      <left/>
      <right style="thin"/>
      <top style="thin"/>
      <bottom/>
    </border>
    <border>
      <left/>
      <right style="thin"/>
      <top/>
      <bottom style="thin"/>
    </border>
    <border>
      <left style="medium"/>
      <right style="medium"/>
      <top style="thin"/>
      <bottom/>
    </border>
    <border>
      <left style="medium"/>
      <right style="medium"/>
      <top/>
      <bottom style="thin"/>
    </border>
    <border>
      <left style="medium"/>
      <right/>
      <top style="thin"/>
      <bottom style="slantDashDot"/>
    </border>
    <border>
      <left/>
      <right style="medium"/>
      <top style="thin"/>
      <bottom style="slantDashDot"/>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72" fillId="8"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8"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8" borderId="0" applyNumberFormat="0" applyBorder="0" applyAlignment="0" applyProtection="0"/>
    <xf numFmtId="0" fontId="72" fillId="12" borderId="0" applyNumberFormat="0" applyBorder="0" applyAlignment="0" applyProtection="0"/>
    <xf numFmtId="0" fontId="72" fillId="10" borderId="0" applyNumberFormat="0" applyBorder="0" applyAlignment="0" applyProtection="0"/>
    <xf numFmtId="0" fontId="63" fillId="13" borderId="0" applyNumberFormat="0" applyBorder="0" applyAlignment="0" applyProtection="0"/>
    <xf numFmtId="0" fontId="67" fillId="3" borderId="1" applyNumberFormat="0" applyAlignment="0" applyProtection="0"/>
    <xf numFmtId="0" fontId="69" fillId="8" borderId="2" applyNumberFormat="0" applyAlignment="0" applyProtection="0"/>
    <xf numFmtId="4" fontId="0" fillId="2" borderId="0">
      <alignment/>
      <protection/>
    </xf>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2" borderId="0">
      <alignment/>
      <protection/>
    </xf>
    <xf numFmtId="164" fontId="0" fillId="2" borderId="0">
      <alignment/>
      <protection/>
    </xf>
    <xf numFmtId="42" fontId="0" fillId="0" borderId="0" applyFont="0" applyFill="0" applyBorder="0" applyAlignment="0" applyProtection="0"/>
    <xf numFmtId="44" fontId="1" fillId="0" borderId="0" applyFont="0" applyFill="0" applyBorder="0" applyAlignment="0" applyProtection="0"/>
    <xf numFmtId="165" fontId="0" fillId="2" borderId="0">
      <alignment/>
      <protection/>
    </xf>
    <xf numFmtId="5" fontId="0" fillId="14" borderId="0" applyFont="0" applyFill="0" applyBorder="0" applyAlignment="0" applyProtection="0"/>
    <xf numFmtId="0" fontId="0" fillId="2" borderId="0">
      <alignment/>
      <protection/>
    </xf>
    <xf numFmtId="0" fontId="71" fillId="0" borderId="0" applyNumberFormat="0" applyFill="0" applyBorder="0" applyAlignment="0" applyProtection="0"/>
    <xf numFmtId="2" fontId="0" fillId="2" borderId="0">
      <alignment/>
      <protection/>
    </xf>
    <xf numFmtId="0" fontId="62" fillId="15" borderId="0" applyNumberFormat="0" applyBorder="0" applyAlignment="0" applyProtection="0"/>
    <xf numFmtId="0" fontId="2" fillId="2" borderId="0">
      <alignment/>
      <protection/>
    </xf>
    <xf numFmtId="0" fontId="2" fillId="2" borderId="0">
      <alignment/>
      <protection/>
    </xf>
    <xf numFmtId="0" fontId="3" fillId="2" borderId="0">
      <alignment/>
      <protection/>
    </xf>
    <xf numFmtId="0" fontId="3" fillId="2" borderId="0">
      <alignment/>
      <protection/>
    </xf>
    <xf numFmtId="0" fontId="61" fillId="0" borderId="3" applyNumberFormat="0" applyFill="0" applyAlignment="0" applyProtection="0"/>
    <xf numFmtId="0" fontId="61" fillId="0" borderId="0" applyNumberFormat="0" applyFill="0" applyBorder="0" applyAlignment="0" applyProtection="0"/>
    <xf numFmtId="0" fontId="17" fillId="0" borderId="0" applyNumberFormat="0" applyFill="0" applyBorder="0" applyAlignment="0" applyProtection="0"/>
    <xf numFmtId="0" fontId="65" fillId="6" borderId="1" applyNumberFormat="0" applyAlignment="0" applyProtection="0"/>
    <xf numFmtId="0" fontId="68" fillId="0" borderId="4" applyNumberFormat="0" applyFill="0" applyAlignment="0" applyProtection="0"/>
    <xf numFmtId="0" fontId="64"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6" borderId="1" applyNumberFormat="0" applyFont="0" applyAlignment="0" applyProtection="0"/>
    <xf numFmtId="0" fontId="66" fillId="3" borderId="5" applyNumberFormat="0" applyAlignment="0" applyProtection="0"/>
    <xf numFmtId="10" fontId="0" fillId="2" borderId="0">
      <alignment/>
      <protection/>
    </xf>
    <xf numFmtId="9" fontId="0" fillId="0" borderId="0" applyFon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 borderId="6">
      <alignment/>
      <protection/>
    </xf>
    <xf numFmtId="0" fontId="0" fillId="2" borderId="6">
      <alignment/>
      <protection/>
    </xf>
    <xf numFmtId="0" fontId="70" fillId="0" borderId="0" applyNumberFormat="0" applyFill="0" applyBorder="0" applyAlignment="0" applyProtection="0"/>
  </cellStyleXfs>
  <cellXfs count="798">
    <xf numFmtId="0" fontId="0" fillId="2" borderId="0" xfId="0" applyFill="1" applyAlignment="1">
      <alignment/>
    </xf>
    <xf numFmtId="3" fontId="0" fillId="2" borderId="0" xfId="0" applyNumberFormat="1" applyFill="1" applyAlignment="1">
      <alignment/>
    </xf>
    <xf numFmtId="10" fontId="0" fillId="2" borderId="0" xfId="0" applyNumberFormat="1" applyFill="1" applyAlignment="1">
      <alignment/>
    </xf>
    <xf numFmtId="0" fontId="0" fillId="2" borderId="0" xfId="0" applyFill="1" applyAlignment="1">
      <alignment horizontal="center"/>
    </xf>
    <xf numFmtId="0" fontId="0" fillId="2" borderId="0" xfId="0" applyFill="1" applyAlignment="1">
      <alignment horizontal="right"/>
    </xf>
    <xf numFmtId="0" fontId="5" fillId="2" borderId="0" xfId="0" applyFont="1" applyFill="1" applyAlignment="1">
      <alignment/>
    </xf>
    <xf numFmtId="0" fontId="0" fillId="0" borderId="0" xfId="0" applyAlignment="1">
      <alignment/>
    </xf>
    <xf numFmtId="0" fontId="5" fillId="0" borderId="0" xfId="0" applyFont="1" applyBorder="1" applyAlignment="1">
      <alignment horizontal="left"/>
    </xf>
    <xf numFmtId="10" fontId="0" fillId="0" borderId="0" xfId="0" applyNumberFormat="1" applyAlignment="1">
      <alignment/>
    </xf>
    <xf numFmtId="5" fontId="0" fillId="0" borderId="0" xfId="0" applyNumberFormat="1" applyAlignment="1">
      <alignment/>
    </xf>
    <xf numFmtId="167" fontId="0" fillId="0" borderId="0" xfId="0" applyNumberFormat="1" applyAlignment="1">
      <alignment/>
    </xf>
    <xf numFmtId="7" fontId="0" fillId="0" borderId="0" xfId="0" applyNumberFormat="1" applyAlignment="1">
      <alignment/>
    </xf>
    <xf numFmtId="0" fontId="0" fillId="0" borderId="0" xfId="0" applyBorder="1" applyAlignment="1">
      <alignment/>
    </xf>
    <xf numFmtId="0" fontId="0" fillId="0" borderId="0" xfId="0" applyFill="1" applyAlignment="1">
      <alignment/>
    </xf>
    <xf numFmtId="0" fontId="0" fillId="0" borderId="0" xfId="0" applyBorder="1" applyAlignment="1">
      <alignment horizontal="left"/>
    </xf>
    <xf numFmtId="0" fontId="0" fillId="0" borderId="0" xfId="0" applyFill="1" applyBorder="1" applyAlignment="1">
      <alignment/>
    </xf>
    <xf numFmtId="0" fontId="6" fillId="2" borderId="0" xfId="0" applyFont="1" applyFill="1" applyAlignment="1">
      <alignment horizontal="right"/>
    </xf>
    <xf numFmtId="0" fontId="6" fillId="2" borderId="0" xfId="0" applyFont="1" applyFill="1" applyAlignment="1">
      <alignment/>
    </xf>
    <xf numFmtId="0" fontId="6" fillId="2" borderId="0" xfId="0" applyFont="1" applyFill="1" applyAlignment="1">
      <alignment horizontal="center"/>
    </xf>
    <xf numFmtId="0" fontId="7" fillId="2" borderId="0" xfId="0" applyFont="1" applyFill="1" applyAlignment="1">
      <alignment/>
    </xf>
    <xf numFmtId="3" fontId="6" fillId="2" borderId="0" xfId="0" applyNumberFormat="1" applyFont="1" applyFill="1" applyAlignment="1">
      <alignment/>
    </xf>
    <xf numFmtId="0" fontId="6" fillId="2" borderId="0" xfId="0" applyFont="1" applyFill="1" applyBorder="1" applyAlignment="1">
      <alignment horizontal="center"/>
    </xf>
    <xf numFmtId="0" fontId="6" fillId="2" borderId="0" xfId="0" applyFont="1" applyFill="1" applyBorder="1" applyAlignment="1">
      <alignment/>
    </xf>
    <xf numFmtId="0" fontId="6" fillId="2" borderId="0" xfId="0" applyFont="1" applyFill="1" applyBorder="1" applyAlignment="1">
      <alignment horizontal="left"/>
    </xf>
    <xf numFmtId="10" fontId="9" fillId="0" borderId="0" xfId="0" applyNumberFormat="1" applyFont="1" applyFill="1" applyAlignment="1">
      <alignment horizontal="center"/>
    </xf>
    <xf numFmtId="10" fontId="7" fillId="0" borderId="0" xfId="0" applyNumberFormat="1" applyFont="1" applyFill="1" applyBorder="1" applyAlignment="1">
      <alignment horizontal="center" wrapText="1"/>
    </xf>
    <xf numFmtId="0" fontId="7" fillId="0" borderId="0" xfId="0" applyFont="1" applyFill="1" applyBorder="1" applyAlignment="1">
      <alignment horizontal="center" wrapText="1"/>
    </xf>
    <xf numFmtId="3" fontId="6" fillId="0" borderId="0" xfId="0" applyNumberFormat="1" applyFont="1" applyFill="1" applyAlignment="1">
      <alignment/>
    </xf>
    <xf numFmtId="0" fontId="6" fillId="0" borderId="0" xfId="0" applyFont="1" applyFill="1" applyAlignment="1">
      <alignment/>
    </xf>
    <xf numFmtId="0" fontId="6" fillId="0" borderId="0" xfId="0" applyFont="1" applyFill="1" applyAlignment="1">
      <alignment horizontal="center"/>
    </xf>
    <xf numFmtId="3" fontId="6" fillId="0" borderId="0" xfId="0" applyNumberFormat="1" applyFont="1" applyFill="1" applyBorder="1" applyAlignment="1">
      <alignment/>
    </xf>
    <xf numFmtId="3" fontId="6" fillId="0" borderId="0" xfId="0" applyNumberFormat="1" applyFont="1" applyFill="1" applyAlignment="1">
      <alignment horizontal="center"/>
    </xf>
    <xf numFmtId="10" fontId="6" fillId="0" borderId="0" xfId="0" applyNumberFormat="1" applyFont="1" applyFill="1" applyAlignment="1">
      <alignment/>
    </xf>
    <xf numFmtId="10" fontId="6" fillId="0" borderId="0" xfId="0" applyNumberFormat="1" applyFont="1" applyFill="1" applyBorder="1" applyAlignment="1">
      <alignment/>
    </xf>
    <xf numFmtId="166" fontId="6" fillId="0" borderId="0" xfId="0" applyNumberFormat="1" applyFont="1" applyFill="1" applyBorder="1" applyAlignment="1">
      <alignment/>
    </xf>
    <xf numFmtId="173" fontId="6" fillId="0" borderId="0" xfId="0" applyNumberFormat="1" applyFont="1" applyFill="1" applyAlignment="1">
      <alignment/>
    </xf>
    <xf numFmtId="173" fontId="6" fillId="0" borderId="0" xfId="0" applyNumberFormat="1" applyFont="1" applyFill="1" applyAlignment="1">
      <alignment horizontal="center"/>
    </xf>
    <xf numFmtId="173" fontId="6" fillId="0" borderId="0" xfId="0" applyNumberFormat="1" applyFont="1" applyFill="1" applyBorder="1" applyAlignment="1">
      <alignment/>
    </xf>
    <xf numFmtId="3" fontId="6" fillId="2" borderId="0" xfId="0" applyNumberFormat="1" applyFont="1" applyFill="1" applyBorder="1" applyAlignment="1">
      <alignment/>
    </xf>
    <xf numFmtId="173" fontId="6" fillId="0" borderId="7" xfId="0" applyNumberFormat="1" applyFont="1" applyFill="1" applyBorder="1" applyAlignment="1">
      <alignment/>
    </xf>
    <xf numFmtId="173" fontId="6" fillId="0" borderId="7" xfId="0" applyNumberFormat="1" applyFont="1" applyFill="1" applyBorder="1" applyAlignment="1">
      <alignment horizontal="center"/>
    </xf>
    <xf numFmtId="166" fontId="6" fillId="0" borderId="8" xfId="0" applyNumberFormat="1" applyFont="1" applyFill="1" applyBorder="1" applyAlignment="1">
      <alignment/>
    </xf>
    <xf numFmtId="166" fontId="6" fillId="0" borderId="8" xfId="0" applyNumberFormat="1" applyFont="1" applyFill="1" applyBorder="1" applyAlignment="1">
      <alignment horizontal="center"/>
    </xf>
    <xf numFmtId="3" fontId="6" fillId="0" borderId="0" xfId="0" applyNumberFormat="1" applyFont="1" applyFill="1" applyBorder="1" applyAlignment="1">
      <alignment horizontal="center"/>
    </xf>
    <xf numFmtId="166" fontId="6" fillId="0" borderId="9" xfId="0" applyNumberFormat="1" applyFont="1" applyFill="1" applyBorder="1" applyAlignment="1">
      <alignment/>
    </xf>
    <xf numFmtId="166" fontId="6" fillId="0" borderId="9" xfId="0" applyNumberFormat="1" applyFont="1" applyFill="1" applyBorder="1" applyAlignment="1">
      <alignment horizontal="center"/>
    </xf>
    <xf numFmtId="3" fontId="6" fillId="0" borderId="0" xfId="0" applyNumberFormat="1" applyFont="1" applyFill="1" applyBorder="1" applyAlignment="1">
      <alignment horizontal="center" wrapText="1"/>
    </xf>
    <xf numFmtId="38" fontId="6" fillId="0" borderId="0" xfId="0" applyNumberFormat="1" applyFont="1" applyFill="1" applyBorder="1" applyAlignment="1">
      <alignment/>
    </xf>
    <xf numFmtId="173" fontId="6" fillId="0" borderId="0" xfId="0" applyNumberFormat="1" applyFont="1" applyFill="1" applyBorder="1" applyAlignment="1">
      <alignment horizontal="right"/>
    </xf>
    <xf numFmtId="173" fontId="6" fillId="0" borderId="10" xfId="0" applyNumberFormat="1" applyFont="1" applyFill="1" applyBorder="1" applyAlignment="1">
      <alignment/>
    </xf>
    <xf numFmtId="38" fontId="6" fillId="0" borderId="0" xfId="0" applyNumberFormat="1" applyFont="1" applyFill="1" applyAlignment="1">
      <alignment horizontal="center"/>
    </xf>
    <xf numFmtId="38" fontId="6" fillId="0" borderId="0" xfId="0" applyNumberFormat="1" applyFont="1" applyFill="1" applyAlignment="1" quotePrefix="1">
      <alignment horizontal="center"/>
    </xf>
    <xf numFmtId="38" fontId="6" fillId="0" borderId="0" xfId="0" applyNumberFormat="1" applyFont="1" applyFill="1" applyAlignment="1">
      <alignment/>
    </xf>
    <xf numFmtId="38" fontId="6" fillId="0" borderId="7" xfId="0" applyNumberFormat="1" applyFont="1" applyFill="1" applyBorder="1" applyAlignment="1">
      <alignment/>
    </xf>
    <xf numFmtId="38" fontId="6" fillId="0" borderId="7" xfId="0" applyNumberFormat="1" applyFont="1" applyFill="1" applyBorder="1" applyAlignment="1">
      <alignment horizontal="center"/>
    </xf>
    <xf numFmtId="38" fontId="6" fillId="0" borderId="0" xfId="0" applyNumberFormat="1" applyFont="1" applyFill="1" applyBorder="1" applyAlignment="1">
      <alignment horizontal="center"/>
    </xf>
    <xf numFmtId="166" fontId="6" fillId="0" borderId="0" xfId="0" applyNumberFormat="1" applyFont="1" applyFill="1" applyBorder="1" applyAlignment="1">
      <alignment horizontal="center"/>
    </xf>
    <xf numFmtId="3" fontId="7" fillId="0" borderId="0" xfId="0" applyNumberFormat="1" applyFont="1" applyFill="1" applyBorder="1" applyAlignment="1">
      <alignment/>
    </xf>
    <xf numFmtId="3" fontId="6" fillId="2" borderId="0" xfId="0" applyNumberFormat="1" applyFont="1" applyFill="1" applyBorder="1" applyAlignment="1">
      <alignment horizontal="center"/>
    </xf>
    <xf numFmtId="0" fontId="11" fillId="2" borderId="0" xfId="0" applyFont="1" applyFill="1" applyBorder="1" applyAlignment="1">
      <alignment horizontal="left"/>
    </xf>
    <xf numFmtId="0" fontId="12" fillId="2" borderId="0" xfId="0" applyFont="1" applyFill="1" applyBorder="1" applyAlignment="1">
      <alignment horizontal="left"/>
    </xf>
    <xf numFmtId="0" fontId="11" fillId="0" borderId="0" xfId="0" applyFont="1" applyAlignment="1">
      <alignment/>
    </xf>
    <xf numFmtId="0" fontId="6" fillId="3" borderId="0" xfId="0" applyFont="1" applyFill="1" applyAlignment="1">
      <alignment/>
    </xf>
    <xf numFmtId="41" fontId="6" fillId="3" borderId="0" xfId="0" applyNumberFormat="1" applyFont="1" applyFill="1" applyAlignment="1">
      <alignment/>
    </xf>
    <xf numFmtId="41" fontId="6" fillId="3" borderId="0" xfId="44" applyNumberFormat="1" applyFont="1" applyFill="1" applyAlignment="1">
      <alignment horizontal="center"/>
    </xf>
    <xf numFmtId="41" fontId="6" fillId="0" borderId="0" xfId="0" applyNumberFormat="1" applyFont="1" applyAlignment="1">
      <alignment/>
    </xf>
    <xf numFmtId="0" fontId="6" fillId="0" borderId="0" xfId="0" applyFont="1" applyAlignment="1">
      <alignment/>
    </xf>
    <xf numFmtId="169" fontId="6" fillId="0" borderId="0" xfId="0" applyNumberFormat="1" applyFont="1" applyAlignment="1">
      <alignment/>
    </xf>
    <xf numFmtId="172" fontId="6" fillId="0" borderId="0" xfId="0" applyNumberFormat="1" applyFont="1" applyAlignment="1">
      <alignment/>
    </xf>
    <xf numFmtId="5" fontId="6" fillId="3" borderId="0" xfId="0" applyNumberFormat="1" applyFont="1" applyFill="1" applyAlignment="1">
      <alignment/>
    </xf>
    <xf numFmtId="10" fontId="6" fillId="0" borderId="0" xfId="0" applyNumberFormat="1" applyFont="1" applyAlignment="1">
      <alignment/>
    </xf>
    <xf numFmtId="168" fontId="6" fillId="0" borderId="0" xfId="0" applyNumberFormat="1" applyFont="1" applyAlignment="1">
      <alignment/>
    </xf>
    <xf numFmtId="171" fontId="6" fillId="0" borderId="0" xfId="0" applyNumberFormat="1" applyFont="1" applyFill="1" applyAlignment="1">
      <alignment/>
    </xf>
    <xf numFmtId="168" fontId="6" fillId="3" borderId="0" xfId="0" applyNumberFormat="1" applyFont="1" applyFill="1" applyAlignment="1">
      <alignment/>
    </xf>
    <xf numFmtId="0" fontId="6" fillId="0" borderId="0" xfId="0" applyFont="1" applyAlignment="1">
      <alignment horizontal="center"/>
    </xf>
    <xf numFmtId="0" fontId="6" fillId="17" borderId="0" xfId="0" applyFont="1" applyFill="1" applyAlignment="1">
      <alignment/>
    </xf>
    <xf numFmtId="0" fontId="7" fillId="17" borderId="0" xfId="0" applyFont="1" applyFill="1" applyAlignment="1">
      <alignment/>
    </xf>
    <xf numFmtId="3" fontId="6" fillId="17" borderId="0" xfId="0" applyNumberFormat="1" applyFont="1" applyFill="1" applyAlignment="1">
      <alignment/>
    </xf>
    <xf numFmtId="3" fontId="6" fillId="17" borderId="0" xfId="0" applyNumberFormat="1" applyFont="1" applyFill="1" applyBorder="1" applyAlignment="1">
      <alignment/>
    </xf>
    <xf numFmtId="0" fontId="11" fillId="2" borderId="0" xfId="0" applyFont="1" applyFill="1" applyAlignment="1">
      <alignment horizontal="left"/>
    </xf>
    <xf numFmtId="166" fontId="6" fillId="0" borderId="11" xfId="0" applyNumberFormat="1" applyFont="1" applyFill="1" applyBorder="1" applyAlignment="1">
      <alignment/>
    </xf>
    <xf numFmtId="0" fontId="6" fillId="0" borderId="9" xfId="0" applyFont="1" applyFill="1" applyBorder="1" applyAlignment="1">
      <alignment/>
    </xf>
    <xf numFmtId="0" fontId="6" fillId="0" borderId="0" xfId="0" applyFont="1" applyFill="1" applyBorder="1" applyAlignment="1">
      <alignment horizontal="center"/>
    </xf>
    <xf numFmtId="0" fontId="6" fillId="0" borderId="0" xfId="0" applyFont="1" applyFill="1" applyBorder="1" applyAlignment="1">
      <alignment/>
    </xf>
    <xf numFmtId="10" fontId="6" fillId="2" borderId="0" xfId="0" applyNumberFormat="1" applyFont="1" applyFill="1" applyAlignment="1">
      <alignment/>
    </xf>
    <xf numFmtId="174" fontId="6" fillId="2" borderId="0" xfId="0" applyNumberFormat="1" applyFont="1" applyFill="1" applyAlignment="1">
      <alignment/>
    </xf>
    <xf numFmtId="0" fontId="6" fillId="18" borderId="0" xfId="0" applyFont="1" applyFill="1" applyAlignment="1">
      <alignment/>
    </xf>
    <xf numFmtId="0" fontId="6" fillId="2" borderId="0" xfId="0" applyFont="1" applyFill="1" applyAlignment="1">
      <alignment horizontal="left"/>
    </xf>
    <xf numFmtId="10" fontId="6" fillId="2" borderId="0" xfId="95" applyFont="1" applyFill="1" applyAlignment="1">
      <alignment horizontal="right"/>
      <protection/>
    </xf>
    <xf numFmtId="3" fontId="6" fillId="18" borderId="0" xfId="0" applyNumberFormat="1" applyFont="1" applyFill="1" applyAlignment="1">
      <alignment/>
    </xf>
    <xf numFmtId="0" fontId="6" fillId="18" borderId="0" xfId="0" applyFont="1" applyFill="1" applyAlignment="1">
      <alignment horizontal="left"/>
    </xf>
    <xf numFmtId="4" fontId="6" fillId="18" borderId="0" xfId="42" applyFont="1" applyFill="1" applyAlignment="1">
      <alignment horizontal="right"/>
      <protection/>
    </xf>
    <xf numFmtId="171" fontId="6" fillId="18" borderId="0" xfId="0" applyNumberFormat="1" applyFont="1" applyFill="1" applyAlignment="1">
      <alignment/>
    </xf>
    <xf numFmtId="0" fontId="0" fillId="0" borderId="0" xfId="84">
      <alignment/>
      <protection/>
    </xf>
    <xf numFmtId="0" fontId="0" fillId="0" borderId="0" xfId="84" applyAlignment="1">
      <alignment horizontal="center"/>
      <protection/>
    </xf>
    <xf numFmtId="170" fontId="0" fillId="0" borderId="0" xfId="44" applyNumberFormat="1" applyFont="1" applyAlignment="1">
      <alignment/>
    </xf>
    <xf numFmtId="10" fontId="0" fillId="0" borderId="0" xfId="96" applyNumberFormat="1" applyFont="1" applyAlignment="1">
      <alignment/>
    </xf>
    <xf numFmtId="170" fontId="0" fillId="0" borderId="0" xfId="44" applyNumberFormat="1" applyFont="1" applyFill="1" applyBorder="1" applyAlignment="1">
      <alignment horizontal="center" wrapText="1"/>
    </xf>
    <xf numFmtId="10" fontId="0" fillId="0" borderId="0" xfId="96" applyNumberFormat="1" applyFont="1" applyFill="1" applyBorder="1" applyAlignment="1">
      <alignment horizontal="center" wrapText="1"/>
    </xf>
    <xf numFmtId="170" fontId="0" fillId="0" borderId="0" xfId="44" applyNumberFormat="1" applyFont="1" applyFill="1" applyBorder="1" applyAlignment="1">
      <alignment horizontal="center" wrapText="1"/>
    </xf>
    <xf numFmtId="0" fontId="0" fillId="0" borderId="0" xfId="84" applyFill="1" applyBorder="1">
      <alignment/>
      <protection/>
    </xf>
    <xf numFmtId="170" fontId="0" fillId="0" borderId="0" xfId="44" applyNumberFormat="1" applyFont="1" applyFill="1" applyBorder="1" applyAlignment="1">
      <alignment/>
    </xf>
    <xf numFmtId="10" fontId="0" fillId="0" borderId="0" xfId="96" applyNumberFormat="1" applyFont="1" applyFill="1" applyBorder="1" applyAlignment="1">
      <alignment/>
    </xf>
    <xf numFmtId="170" fontId="0" fillId="0" borderId="0" xfId="84" applyNumberFormat="1" applyFill="1" applyBorder="1">
      <alignment/>
      <protection/>
    </xf>
    <xf numFmtId="0" fontId="0" fillId="0" borderId="0" xfId="84" applyFont="1" applyFill="1" applyBorder="1">
      <alignment/>
      <protection/>
    </xf>
    <xf numFmtId="170" fontId="0" fillId="0" borderId="0" xfId="44" applyNumberFormat="1" applyFont="1" applyFill="1" applyBorder="1" applyAlignment="1">
      <alignment vertical="center"/>
    </xf>
    <xf numFmtId="10" fontId="0" fillId="0" borderId="0" xfId="96" applyNumberFormat="1" applyFont="1" applyFill="1" applyBorder="1" applyAlignment="1">
      <alignment vertical="center"/>
    </xf>
    <xf numFmtId="170" fontId="0" fillId="0" borderId="0" xfId="84" applyNumberFormat="1" applyFill="1" applyBorder="1" applyAlignment="1">
      <alignment vertical="center"/>
      <protection/>
    </xf>
    <xf numFmtId="0" fontId="0" fillId="0" borderId="0" xfId="84" applyFill="1" applyBorder="1" applyAlignment="1">
      <alignment vertical="center"/>
      <protection/>
    </xf>
    <xf numFmtId="0" fontId="0" fillId="0" borderId="0" xfId="84" applyAlignment="1">
      <alignment vertical="center"/>
      <protection/>
    </xf>
    <xf numFmtId="0" fontId="0" fillId="0" borderId="0" xfId="84" applyFill="1" applyBorder="1" applyAlignment="1">
      <alignment horizontal="right"/>
      <protection/>
    </xf>
    <xf numFmtId="170" fontId="5" fillId="0" borderId="0" xfId="44" applyNumberFormat="1" applyFont="1" applyFill="1" applyBorder="1" applyAlignment="1">
      <alignment/>
    </xf>
    <xf numFmtId="10" fontId="5" fillId="0" borderId="0" xfId="96" applyNumberFormat="1" applyFont="1" applyFill="1" applyBorder="1" applyAlignment="1">
      <alignment/>
    </xf>
    <xf numFmtId="0" fontId="1" fillId="0" borderId="0" xfId="87">
      <alignment/>
      <protection/>
    </xf>
    <xf numFmtId="0" fontId="1" fillId="0" borderId="0" xfId="87" applyAlignment="1">
      <alignment horizontal="left"/>
      <protection/>
    </xf>
    <xf numFmtId="0" fontId="1" fillId="0" borderId="0" xfId="87" applyAlignment="1">
      <alignment horizontal="center"/>
      <protection/>
    </xf>
    <xf numFmtId="0" fontId="1" fillId="0" borderId="0" xfId="87" applyBorder="1">
      <alignment/>
      <protection/>
    </xf>
    <xf numFmtId="0" fontId="1" fillId="0" borderId="0" xfId="87" applyBorder="1" applyAlignment="1">
      <alignment horizontal="left"/>
      <protection/>
    </xf>
    <xf numFmtId="0" fontId="1" fillId="0" borderId="0" xfId="87" applyBorder="1" applyAlignment="1">
      <alignment horizontal="center"/>
      <protection/>
    </xf>
    <xf numFmtId="0" fontId="1" fillId="0" borderId="0" xfId="87" applyFill="1">
      <alignment/>
      <protection/>
    </xf>
    <xf numFmtId="166" fontId="6" fillId="19" borderId="12" xfId="0" applyNumberFormat="1" applyFont="1" applyFill="1" applyBorder="1" applyAlignment="1">
      <alignment/>
    </xf>
    <xf numFmtId="173" fontId="6" fillId="19" borderId="12" xfId="0" applyNumberFormat="1" applyFont="1" applyFill="1" applyBorder="1" applyAlignment="1">
      <alignment horizontal="right"/>
    </xf>
    <xf numFmtId="173" fontId="6" fillId="19" borderId="12" xfId="0" applyNumberFormat="1" applyFont="1" applyFill="1" applyBorder="1" applyAlignment="1">
      <alignment/>
    </xf>
    <xf numFmtId="166" fontId="6" fillId="19" borderId="13" xfId="0" applyNumberFormat="1" applyFont="1" applyFill="1" applyBorder="1" applyAlignment="1">
      <alignment/>
    </xf>
    <xf numFmtId="0" fontId="7" fillId="0" borderId="0" xfId="0" applyFont="1" applyFill="1" applyAlignment="1">
      <alignment/>
    </xf>
    <xf numFmtId="165" fontId="7" fillId="0" borderId="0" xfId="50" applyFont="1" applyFill="1" applyBorder="1">
      <alignment/>
      <protection/>
    </xf>
    <xf numFmtId="3" fontId="6" fillId="0" borderId="0" xfId="46" applyFont="1" applyFill="1">
      <alignment/>
      <protection/>
    </xf>
    <xf numFmtId="3" fontId="6" fillId="0" borderId="0" xfId="46" applyFont="1" applyFill="1" applyBorder="1">
      <alignment/>
      <protection/>
    </xf>
    <xf numFmtId="0" fontId="7" fillId="0" borderId="0" xfId="0" applyFont="1" applyFill="1" applyBorder="1" applyAlignment="1">
      <alignment/>
    </xf>
    <xf numFmtId="166" fontId="6" fillId="0" borderId="14" xfId="0" applyNumberFormat="1" applyFont="1" applyFill="1" applyBorder="1" applyAlignment="1">
      <alignment/>
    </xf>
    <xf numFmtId="166" fontId="6" fillId="0" borderId="14" xfId="0" applyNumberFormat="1" applyFont="1" applyFill="1" applyBorder="1" applyAlignment="1">
      <alignment horizontal="center"/>
    </xf>
    <xf numFmtId="166" fontId="6" fillId="0" borderId="11" xfId="0" applyNumberFormat="1" applyFont="1" applyFill="1" applyBorder="1" applyAlignment="1">
      <alignment horizontal="center"/>
    </xf>
    <xf numFmtId="3" fontId="7" fillId="19" borderId="12" xfId="0" applyNumberFormat="1" applyFont="1" applyFill="1" applyBorder="1" applyAlignment="1">
      <alignment horizontal="center" wrapText="1"/>
    </xf>
    <xf numFmtId="10" fontId="6" fillId="0" borderId="0" xfId="0" applyNumberFormat="1" applyFont="1" applyFill="1" applyAlignment="1">
      <alignment horizontal="center"/>
    </xf>
    <xf numFmtId="173" fontId="6"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0" fontId="19" fillId="0" borderId="0" xfId="84" applyFont="1" applyAlignment="1">
      <alignment horizontal="center"/>
      <protection/>
    </xf>
    <xf numFmtId="0" fontId="6" fillId="0" borderId="0" xfId="84" applyFont="1">
      <alignment/>
      <protection/>
    </xf>
    <xf numFmtId="0" fontId="6" fillId="0" borderId="0" xfId="84" applyFont="1" applyAlignment="1">
      <alignment horizontal="center"/>
      <protection/>
    </xf>
    <xf numFmtId="170" fontId="6" fillId="0" borderId="0" xfId="44" applyNumberFormat="1" applyFont="1" applyAlignment="1">
      <alignment/>
    </xf>
    <xf numFmtId="170" fontId="6" fillId="0" borderId="0" xfId="44" applyNumberFormat="1" applyFont="1" applyFill="1" applyBorder="1" applyAlignment="1">
      <alignment horizontal="center" wrapText="1"/>
    </xf>
    <xf numFmtId="170" fontId="6" fillId="0" borderId="15" xfId="44" applyNumberFormat="1" applyFont="1" applyBorder="1" applyAlignment="1">
      <alignment horizontal="center"/>
    </xf>
    <xf numFmtId="170" fontId="6" fillId="0" borderId="0" xfId="44" applyNumberFormat="1" applyFont="1" applyBorder="1" applyAlignment="1">
      <alignment horizontal="center"/>
    </xf>
    <xf numFmtId="170" fontId="6" fillId="0" borderId="16" xfId="44" applyNumberFormat="1" applyFont="1" applyBorder="1" applyAlignment="1">
      <alignment/>
    </xf>
    <xf numFmtId="170" fontId="6" fillId="0" borderId="12" xfId="44" applyNumberFormat="1" applyFont="1" applyBorder="1" applyAlignment="1">
      <alignment/>
    </xf>
    <xf numFmtId="170" fontId="6" fillId="0" borderId="15" xfId="44" applyNumberFormat="1" applyFont="1" applyBorder="1" applyAlignment="1">
      <alignment/>
    </xf>
    <xf numFmtId="170" fontId="6" fillId="0" borderId="0" xfId="44" applyNumberFormat="1" applyFont="1" applyBorder="1" applyAlignment="1">
      <alignment/>
    </xf>
    <xf numFmtId="170" fontId="6" fillId="0" borderId="0" xfId="44" applyNumberFormat="1" applyFont="1" applyFill="1" applyBorder="1" applyAlignment="1">
      <alignment/>
    </xf>
    <xf numFmtId="0" fontId="6" fillId="0" borderId="17" xfId="84" applyFont="1" applyBorder="1">
      <alignment/>
      <protection/>
    </xf>
    <xf numFmtId="170" fontId="6" fillId="0" borderId="18" xfId="44" applyNumberFormat="1" applyFont="1" applyBorder="1" applyAlignment="1">
      <alignment horizontal="center"/>
    </xf>
    <xf numFmtId="170" fontId="6" fillId="0" borderId="7" xfId="44" applyNumberFormat="1" applyFont="1" applyBorder="1" applyAlignment="1">
      <alignment horizontal="center"/>
    </xf>
    <xf numFmtId="175" fontId="6" fillId="0" borderId="19" xfId="44" applyNumberFormat="1" applyFont="1" applyBorder="1" applyAlignment="1">
      <alignment/>
    </xf>
    <xf numFmtId="175" fontId="6" fillId="0" borderId="20" xfId="44" applyNumberFormat="1" applyFont="1" applyBorder="1" applyAlignment="1">
      <alignment/>
    </xf>
    <xf numFmtId="170" fontId="6" fillId="0" borderId="18" xfId="44" applyNumberFormat="1" applyFont="1" applyBorder="1" applyAlignment="1">
      <alignment/>
    </xf>
    <xf numFmtId="0" fontId="6" fillId="0" borderId="21" xfId="84" applyFont="1" applyBorder="1" applyAlignment="1">
      <alignment horizontal="center"/>
      <protection/>
    </xf>
    <xf numFmtId="0" fontId="6" fillId="0" borderId="22" xfId="84" applyFont="1" applyBorder="1">
      <alignment/>
      <protection/>
    </xf>
    <xf numFmtId="170" fontId="6" fillId="0" borderId="23" xfId="44" applyNumberFormat="1" applyFont="1" applyBorder="1" applyAlignment="1">
      <alignment horizontal="center"/>
    </xf>
    <xf numFmtId="170" fontId="6" fillId="0" borderId="14" xfId="44" applyNumberFormat="1" applyFont="1" applyBorder="1" applyAlignment="1">
      <alignment horizontal="center"/>
    </xf>
    <xf numFmtId="175" fontId="6" fillId="0" borderId="24" xfId="44" applyNumberFormat="1" applyFont="1" applyBorder="1" applyAlignment="1">
      <alignment/>
    </xf>
    <xf numFmtId="175" fontId="6" fillId="0" borderId="25" xfId="44" applyNumberFormat="1" applyFont="1" applyBorder="1" applyAlignment="1">
      <alignment/>
    </xf>
    <xf numFmtId="170" fontId="6" fillId="0" borderId="23" xfId="44" applyNumberFormat="1" applyFont="1" applyBorder="1" applyAlignment="1">
      <alignment/>
    </xf>
    <xf numFmtId="176" fontId="13" fillId="0" borderId="24" xfId="44" applyNumberFormat="1" applyFont="1" applyBorder="1" applyAlignment="1">
      <alignment/>
    </xf>
    <xf numFmtId="176" fontId="13" fillId="0" borderId="25" xfId="44" applyNumberFormat="1" applyFont="1" applyBorder="1" applyAlignment="1">
      <alignment/>
    </xf>
    <xf numFmtId="176" fontId="13" fillId="0" borderId="23" xfId="44" applyNumberFormat="1" applyFont="1" applyBorder="1" applyAlignment="1">
      <alignment/>
    </xf>
    <xf numFmtId="175" fontId="6" fillId="0" borderId="23" xfId="44" applyNumberFormat="1" applyFont="1" applyBorder="1" applyAlignment="1">
      <alignment/>
    </xf>
    <xf numFmtId="10" fontId="6" fillId="0" borderId="23" xfId="44" applyNumberFormat="1" applyFont="1" applyBorder="1" applyAlignment="1">
      <alignment horizontal="center"/>
    </xf>
    <xf numFmtId="10" fontId="6" fillId="0" borderId="14" xfId="44" applyNumberFormat="1" applyFont="1" applyBorder="1" applyAlignment="1">
      <alignment horizontal="center"/>
    </xf>
    <xf numFmtId="0" fontId="6" fillId="0" borderId="22" xfId="84" applyFont="1" applyBorder="1" applyAlignment="1">
      <alignment vertical="center" wrapText="1"/>
      <protection/>
    </xf>
    <xf numFmtId="175" fontId="6" fillId="0" borderId="24" xfId="44" applyNumberFormat="1" applyFont="1" applyBorder="1" applyAlignment="1">
      <alignment vertical="center"/>
    </xf>
    <xf numFmtId="175" fontId="6" fillId="0" borderId="25" xfId="44" applyNumberFormat="1" applyFont="1" applyBorder="1" applyAlignment="1">
      <alignment vertical="center"/>
    </xf>
    <xf numFmtId="175" fontId="6" fillId="0" borderId="23" xfId="44" applyNumberFormat="1" applyFont="1" applyBorder="1" applyAlignment="1">
      <alignment vertical="center"/>
    </xf>
    <xf numFmtId="170" fontId="6" fillId="0" borderId="0" xfId="44" applyNumberFormat="1" applyFont="1" applyBorder="1" applyAlignment="1">
      <alignment vertical="center"/>
    </xf>
    <xf numFmtId="170" fontId="6" fillId="0" borderId="0" xfId="44" applyNumberFormat="1" applyFont="1" applyFill="1" applyBorder="1" applyAlignment="1">
      <alignment vertical="center"/>
    </xf>
    <xf numFmtId="10" fontId="6" fillId="0" borderId="14" xfId="44" applyNumberFormat="1" applyFont="1" applyBorder="1" applyAlignment="1">
      <alignment horizontal="center" vertical="center"/>
    </xf>
    <xf numFmtId="0" fontId="6" fillId="0" borderId="0" xfId="84" applyFont="1" applyBorder="1">
      <alignment/>
      <protection/>
    </xf>
    <xf numFmtId="175" fontId="6" fillId="0" borderId="16" xfId="44" applyNumberFormat="1" applyFont="1" applyBorder="1" applyAlignment="1">
      <alignment/>
    </xf>
    <xf numFmtId="175" fontId="6" fillId="0" borderId="12" xfId="44" applyNumberFormat="1" applyFont="1" applyBorder="1" applyAlignment="1">
      <alignment/>
    </xf>
    <xf numFmtId="175" fontId="6" fillId="0" borderId="15" xfId="44" applyNumberFormat="1" applyFont="1" applyBorder="1" applyAlignment="1">
      <alignment/>
    </xf>
    <xf numFmtId="0" fontId="6" fillId="0" borderId="0" xfId="84" applyFont="1" applyBorder="1" applyAlignment="1">
      <alignment horizontal="center"/>
      <protection/>
    </xf>
    <xf numFmtId="0" fontId="6" fillId="0" borderId="0" xfId="84" applyFont="1" applyFill="1" applyBorder="1">
      <alignment/>
      <protection/>
    </xf>
    <xf numFmtId="170" fontId="7" fillId="0" borderId="0" xfId="44" applyNumberFormat="1" applyFont="1" applyBorder="1" applyAlignment="1">
      <alignment horizontal="center"/>
    </xf>
    <xf numFmtId="177" fontId="13" fillId="0" borderId="26" xfId="44" applyNumberFormat="1" applyFont="1" applyBorder="1" applyAlignment="1">
      <alignment/>
    </xf>
    <xf numFmtId="0" fontId="6" fillId="0" borderId="15" xfId="84" applyFont="1" applyBorder="1">
      <alignment/>
      <protection/>
    </xf>
    <xf numFmtId="170" fontId="7" fillId="0" borderId="0" xfId="44" applyNumberFormat="1" applyFont="1" applyBorder="1" applyAlignment="1">
      <alignment/>
    </xf>
    <xf numFmtId="170" fontId="7" fillId="0" borderId="0" xfId="44" applyNumberFormat="1" applyFont="1" applyFill="1" applyBorder="1" applyAlignment="1">
      <alignment/>
    </xf>
    <xf numFmtId="176" fontId="13" fillId="0" borderId="13" xfId="44" applyNumberFormat="1" applyFont="1" applyBorder="1" applyAlignment="1">
      <alignment/>
    </xf>
    <xf numFmtId="170" fontId="7" fillId="0" borderId="15" xfId="44" applyNumberFormat="1" applyFont="1" applyBorder="1" applyAlignment="1">
      <alignment/>
    </xf>
    <xf numFmtId="170" fontId="7" fillId="0" borderId="16" xfId="44" applyNumberFormat="1" applyFont="1" applyBorder="1" applyAlignment="1">
      <alignment/>
    </xf>
    <xf numFmtId="170" fontId="7" fillId="0" borderId="12" xfId="44" applyNumberFormat="1" applyFont="1" applyBorder="1" applyAlignment="1">
      <alignment/>
    </xf>
    <xf numFmtId="176" fontId="13" fillId="0" borderId="15" xfId="44" applyNumberFormat="1" applyFont="1" applyBorder="1" applyAlignment="1">
      <alignment/>
    </xf>
    <xf numFmtId="0" fontId="6" fillId="0" borderId="16" xfId="84" applyFont="1" applyBorder="1">
      <alignment/>
      <protection/>
    </xf>
    <xf numFmtId="10" fontId="6" fillId="0" borderId="27" xfId="84" applyNumberFormat="1" applyFont="1" applyBorder="1">
      <alignment/>
      <protection/>
    </xf>
    <xf numFmtId="10" fontId="6" fillId="0" borderId="15" xfId="84" applyNumberFormat="1" applyFont="1" applyBorder="1">
      <alignment/>
      <protection/>
    </xf>
    <xf numFmtId="0" fontId="6" fillId="0" borderId="12" xfId="84" applyFont="1" applyBorder="1">
      <alignment/>
      <protection/>
    </xf>
    <xf numFmtId="3" fontId="6" fillId="0" borderId="0" xfId="84" applyNumberFormat="1" applyFont="1" applyBorder="1">
      <alignment/>
      <protection/>
    </xf>
    <xf numFmtId="0" fontId="6" fillId="3" borderId="0" xfId="84" applyFont="1" applyFill="1" applyBorder="1">
      <alignment/>
      <protection/>
    </xf>
    <xf numFmtId="170" fontId="7" fillId="3" borderId="0" xfId="44" applyNumberFormat="1" applyFont="1" applyFill="1" applyBorder="1" applyAlignment="1">
      <alignment horizontal="center"/>
    </xf>
    <xf numFmtId="175" fontId="6" fillId="3" borderId="16" xfId="44" applyNumberFormat="1" applyFont="1" applyFill="1" applyBorder="1" applyAlignment="1">
      <alignment/>
    </xf>
    <xf numFmtId="176" fontId="13" fillId="3" borderId="15" xfId="44" applyNumberFormat="1" applyFont="1" applyFill="1" applyBorder="1" applyAlignment="1">
      <alignment/>
    </xf>
    <xf numFmtId="0" fontId="6" fillId="3" borderId="15" xfId="84" applyFont="1" applyFill="1" applyBorder="1">
      <alignment/>
      <protection/>
    </xf>
    <xf numFmtId="3" fontId="6" fillId="0" borderId="0" xfId="84" applyNumberFormat="1" applyFont="1" applyFill="1" applyBorder="1">
      <alignment/>
      <protection/>
    </xf>
    <xf numFmtId="175" fontId="13" fillId="3" borderId="15" xfId="44" applyNumberFormat="1" applyFont="1" applyFill="1" applyBorder="1" applyAlignment="1">
      <alignment/>
    </xf>
    <xf numFmtId="3" fontId="6" fillId="3" borderId="0" xfId="84" applyNumberFormat="1" applyFont="1" applyFill="1" applyBorder="1">
      <alignment/>
      <protection/>
    </xf>
    <xf numFmtId="176" fontId="13" fillId="3" borderId="28" xfId="44" applyNumberFormat="1" applyFont="1" applyFill="1" applyBorder="1" applyAlignment="1">
      <alignment/>
    </xf>
    <xf numFmtId="0" fontId="6" fillId="4" borderId="0" xfId="84" applyFont="1" applyFill="1" applyBorder="1">
      <alignment/>
      <protection/>
    </xf>
    <xf numFmtId="170" fontId="7" fillId="4" borderId="0" xfId="44" applyNumberFormat="1" applyFont="1" applyFill="1" applyBorder="1" applyAlignment="1">
      <alignment horizontal="center"/>
    </xf>
    <xf numFmtId="175" fontId="6" fillId="4" borderId="16" xfId="44" applyNumberFormat="1" applyFont="1" applyFill="1" applyBorder="1" applyAlignment="1">
      <alignment/>
    </xf>
    <xf numFmtId="176" fontId="13" fillId="4" borderId="15" xfId="44" applyNumberFormat="1" applyFont="1" applyFill="1" applyBorder="1" applyAlignment="1">
      <alignment/>
    </xf>
    <xf numFmtId="0" fontId="6" fillId="4" borderId="15" xfId="84" applyFont="1" applyFill="1" applyBorder="1">
      <alignment/>
      <protection/>
    </xf>
    <xf numFmtId="175" fontId="13" fillId="4" borderId="15" xfId="44" applyNumberFormat="1" applyFont="1" applyFill="1" applyBorder="1" applyAlignment="1">
      <alignment/>
    </xf>
    <xf numFmtId="3" fontId="6" fillId="4" borderId="0" xfId="84" applyNumberFormat="1" applyFont="1" applyFill="1" applyBorder="1" applyAlignment="1">
      <alignment horizontal="center"/>
      <protection/>
    </xf>
    <xf numFmtId="176" fontId="13" fillId="4" borderId="28" xfId="44" applyNumberFormat="1" applyFont="1" applyFill="1" applyBorder="1" applyAlignment="1">
      <alignment/>
    </xf>
    <xf numFmtId="3" fontId="6" fillId="0" borderId="0" xfId="84" applyNumberFormat="1" applyFont="1" applyFill="1" applyBorder="1" applyAlignment="1">
      <alignment horizontal="center"/>
      <protection/>
    </xf>
    <xf numFmtId="175" fontId="6" fillId="0" borderId="0" xfId="44" applyNumberFormat="1" applyFont="1" applyBorder="1" applyAlignment="1">
      <alignment/>
    </xf>
    <xf numFmtId="176" fontId="13" fillId="0" borderId="0" xfId="44" applyNumberFormat="1" applyFont="1" applyBorder="1" applyAlignment="1">
      <alignment/>
    </xf>
    <xf numFmtId="0" fontId="6" fillId="0" borderId="0" xfId="84" applyFont="1" applyFill="1">
      <alignment/>
      <protection/>
    </xf>
    <xf numFmtId="0" fontId="6" fillId="0" borderId="0" xfId="84" applyFont="1" applyFill="1" applyAlignment="1">
      <alignment horizontal="center"/>
      <protection/>
    </xf>
    <xf numFmtId="170" fontId="6" fillId="0" borderId="0" xfId="84" applyNumberFormat="1" applyFont="1" applyFill="1" applyBorder="1">
      <alignment/>
      <protection/>
    </xf>
    <xf numFmtId="3" fontId="6" fillId="0" borderId="0" xfId="84" applyNumberFormat="1" applyFont="1" applyFill="1">
      <alignment/>
      <protection/>
    </xf>
    <xf numFmtId="3" fontId="6" fillId="0" borderId="0" xfId="84" applyNumberFormat="1" applyFont="1">
      <alignment/>
      <protection/>
    </xf>
    <xf numFmtId="0" fontId="6" fillId="0" borderId="29" xfId="84" applyFont="1" applyBorder="1">
      <alignment/>
      <protection/>
    </xf>
    <xf numFmtId="0" fontId="6" fillId="3" borderId="29" xfId="84" applyFont="1" applyFill="1" applyBorder="1">
      <alignment/>
      <protection/>
    </xf>
    <xf numFmtId="175" fontId="6" fillId="3" borderId="29" xfId="44" applyNumberFormat="1" applyFont="1" applyFill="1" applyBorder="1" applyAlignment="1">
      <alignment/>
    </xf>
    <xf numFmtId="3" fontId="6" fillId="0" borderId="29" xfId="84" applyNumberFormat="1" applyFont="1" applyFill="1" applyBorder="1">
      <alignment/>
      <protection/>
    </xf>
    <xf numFmtId="3" fontId="6" fillId="4" borderId="29" xfId="84" applyNumberFormat="1" applyFont="1" applyFill="1" applyBorder="1">
      <alignment/>
      <protection/>
    </xf>
    <xf numFmtId="175" fontId="6" fillId="4" borderId="29" xfId="44" applyNumberFormat="1" applyFont="1" applyFill="1" applyBorder="1" applyAlignment="1">
      <alignment/>
    </xf>
    <xf numFmtId="0" fontId="11" fillId="0" borderId="0" xfId="84" applyFont="1">
      <alignment/>
      <protection/>
    </xf>
    <xf numFmtId="177" fontId="13" fillId="0" borderId="30" xfId="44" applyNumberFormat="1" applyFont="1" applyBorder="1" applyAlignment="1">
      <alignment/>
    </xf>
    <xf numFmtId="166" fontId="6" fillId="6" borderId="0" xfId="0" applyNumberFormat="1" applyFont="1" applyFill="1" applyBorder="1" applyAlignment="1">
      <alignment/>
    </xf>
    <xf numFmtId="173" fontId="6" fillId="6" borderId="0" xfId="0" applyNumberFormat="1" applyFont="1" applyFill="1" applyAlignment="1">
      <alignment/>
    </xf>
    <xf numFmtId="166" fontId="6" fillId="6" borderId="11" xfId="0" applyNumberFormat="1" applyFont="1" applyFill="1" applyBorder="1" applyAlignment="1">
      <alignment/>
    </xf>
    <xf numFmtId="166" fontId="6" fillId="6" borderId="8" xfId="0" applyNumberFormat="1" applyFont="1" applyFill="1" applyBorder="1" applyAlignment="1">
      <alignment/>
    </xf>
    <xf numFmtId="166" fontId="6" fillId="3" borderId="0" xfId="0" applyNumberFormat="1" applyFont="1" applyFill="1" applyBorder="1" applyAlignment="1">
      <alignment/>
    </xf>
    <xf numFmtId="173" fontId="6" fillId="3" borderId="0" xfId="0" applyNumberFormat="1" applyFont="1" applyFill="1" applyAlignment="1">
      <alignment/>
    </xf>
    <xf numFmtId="0" fontId="6" fillId="0" borderId="0" xfId="0" applyFont="1" applyFill="1" applyBorder="1" applyAlignment="1">
      <alignment horizontal="right"/>
    </xf>
    <xf numFmtId="0" fontId="6" fillId="3" borderId="0" xfId="0" applyFont="1" applyFill="1" applyBorder="1" applyAlignment="1">
      <alignment horizontal="left"/>
    </xf>
    <xf numFmtId="0" fontId="6" fillId="3" borderId="0" xfId="0" applyFont="1" applyFill="1" applyBorder="1" applyAlignment="1">
      <alignment/>
    </xf>
    <xf numFmtId="10" fontId="6" fillId="3" borderId="0" xfId="0" applyNumberFormat="1" applyFont="1" applyFill="1" applyBorder="1" applyAlignment="1">
      <alignment/>
    </xf>
    <xf numFmtId="0" fontId="6" fillId="3" borderId="0" xfId="0" applyFont="1" applyFill="1" applyBorder="1" applyAlignment="1">
      <alignment horizontal="right"/>
    </xf>
    <xf numFmtId="173" fontId="6" fillId="3" borderId="0" xfId="0" applyNumberFormat="1" applyFont="1" applyFill="1" applyBorder="1" applyAlignment="1">
      <alignment/>
    </xf>
    <xf numFmtId="174" fontId="6" fillId="3" borderId="0" xfId="0" applyNumberFormat="1" applyFont="1" applyFill="1" applyBorder="1" applyAlignment="1">
      <alignment/>
    </xf>
    <xf numFmtId="0" fontId="6" fillId="3" borderId="14" xfId="0" applyFont="1" applyFill="1" applyBorder="1" applyAlignment="1">
      <alignment wrapText="1"/>
    </xf>
    <xf numFmtId="0" fontId="6" fillId="3" borderId="14" xfId="0" applyFont="1" applyFill="1" applyBorder="1" applyAlignment="1">
      <alignment horizontal="right" wrapText="1"/>
    </xf>
    <xf numFmtId="166" fontId="6" fillId="3" borderId="11" xfId="0" applyNumberFormat="1" applyFont="1" applyFill="1" applyBorder="1" applyAlignment="1">
      <alignment/>
    </xf>
    <xf numFmtId="174" fontId="6" fillId="2" borderId="11" xfId="0" applyNumberFormat="1" applyFont="1" applyFill="1" applyBorder="1" applyAlignment="1">
      <alignment/>
    </xf>
    <xf numFmtId="10" fontId="6" fillId="2" borderId="11" xfId="0" applyNumberFormat="1" applyFont="1" applyFill="1" applyBorder="1" applyAlignment="1">
      <alignment/>
    </xf>
    <xf numFmtId="9" fontId="6" fillId="18" borderId="0" xfId="0" applyNumberFormat="1" applyFont="1" applyFill="1" applyAlignment="1">
      <alignment/>
    </xf>
    <xf numFmtId="9" fontId="6" fillId="18" borderId="11" xfId="0" applyNumberFormat="1" applyFont="1" applyFill="1" applyBorder="1" applyAlignment="1">
      <alignment/>
    </xf>
    <xf numFmtId="0" fontId="6" fillId="18" borderId="0" xfId="0" applyFont="1" applyFill="1" applyAlignment="1">
      <alignment horizontal="left" wrapText="1"/>
    </xf>
    <xf numFmtId="9" fontId="6" fillId="18" borderId="0" xfId="0" applyNumberFormat="1" applyFont="1" applyFill="1" applyBorder="1" applyAlignment="1">
      <alignment/>
    </xf>
    <xf numFmtId="0" fontId="7" fillId="3" borderId="0" xfId="0" applyFont="1" applyFill="1" applyBorder="1" applyAlignment="1">
      <alignment horizontal="left"/>
    </xf>
    <xf numFmtId="0" fontId="7" fillId="18" borderId="7" xfId="0" applyFont="1" applyFill="1" applyBorder="1" applyAlignment="1">
      <alignment/>
    </xf>
    <xf numFmtId="3" fontId="6" fillId="18" borderId="7" xfId="0" applyNumberFormat="1" applyFont="1" applyFill="1" applyBorder="1" applyAlignment="1">
      <alignment/>
    </xf>
    <xf numFmtId="0" fontId="6" fillId="18" borderId="7" xfId="0" applyFont="1" applyFill="1" applyBorder="1" applyAlignment="1">
      <alignment/>
    </xf>
    <xf numFmtId="0" fontId="6" fillId="0" borderId="0" xfId="0" applyFont="1" applyFill="1" applyBorder="1" applyAlignment="1">
      <alignment horizontal="right" wrapText="1"/>
    </xf>
    <xf numFmtId="0" fontId="0" fillId="0" borderId="0" xfId="0" applyFill="1" applyAlignment="1">
      <alignment horizontal="center"/>
    </xf>
    <xf numFmtId="0" fontId="5" fillId="0" borderId="0" xfId="0" applyFont="1" applyFill="1" applyBorder="1" applyAlignment="1">
      <alignment/>
    </xf>
    <xf numFmtId="3" fontId="0" fillId="0" borderId="0" xfId="0" applyNumberFormat="1" applyFill="1" applyBorder="1" applyAlignment="1">
      <alignment/>
    </xf>
    <xf numFmtId="0" fontId="7" fillId="0" borderId="0" xfId="0" applyFont="1" applyFill="1" applyBorder="1" applyAlignment="1">
      <alignment horizontal="center"/>
    </xf>
    <xf numFmtId="165" fontId="6" fillId="0" borderId="0" xfId="50" applyNumberFormat="1" applyFont="1" applyFill="1" applyBorder="1">
      <alignment/>
      <protection/>
    </xf>
    <xf numFmtId="0" fontId="21" fillId="0" borderId="0" xfId="87" applyFont="1">
      <alignment/>
      <protection/>
    </xf>
    <xf numFmtId="0" fontId="21" fillId="0" borderId="0" xfId="87" applyFont="1" applyAlignment="1">
      <alignment horizontal="left"/>
      <protection/>
    </xf>
    <xf numFmtId="44" fontId="6" fillId="0" borderId="0" xfId="49" applyNumberFormat="1" applyFont="1" applyBorder="1" applyAlignment="1">
      <alignment/>
    </xf>
    <xf numFmtId="10" fontId="6" fillId="0" borderId="0" xfId="49" applyNumberFormat="1" applyFont="1" applyBorder="1" applyAlignment="1">
      <alignment/>
    </xf>
    <xf numFmtId="0" fontId="22" fillId="0" borderId="31" xfId="87" applyFont="1" applyBorder="1">
      <alignment/>
      <protection/>
    </xf>
    <xf numFmtId="0" fontId="21" fillId="0" borderId="0" xfId="87" applyFont="1" applyBorder="1">
      <alignment/>
      <protection/>
    </xf>
    <xf numFmtId="0" fontId="21" fillId="0" borderId="32" xfId="87" applyFont="1" applyBorder="1">
      <alignment/>
      <protection/>
    </xf>
    <xf numFmtId="0" fontId="21" fillId="0" borderId="0" xfId="87" applyFont="1" applyBorder="1" applyAlignment="1">
      <alignment horizontal="center"/>
      <protection/>
    </xf>
    <xf numFmtId="0" fontId="21" fillId="0" borderId="0" xfId="87" applyFont="1" applyAlignment="1">
      <alignment horizontal="center"/>
      <protection/>
    </xf>
    <xf numFmtId="0" fontId="13" fillId="0" borderId="0" xfId="87" applyFont="1" applyBorder="1">
      <alignment/>
      <protection/>
    </xf>
    <xf numFmtId="0" fontId="14" fillId="0" borderId="32" xfId="87" applyFont="1" applyBorder="1">
      <alignment/>
      <protection/>
    </xf>
    <xf numFmtId="0" fontId="13" fillId="0" borderId="33" xfId="87" applyFont="1" applyBorder="1">
      <alignment/>
      <protection/>
    </xf>
    <xf numFmtId="0" fontId="13" fillId="0" borderId="34" xfId="87" applyFont="1" applyBorder="1">
      <alignment/>
      <protection/>
    </xf>
    <xf numFmtId="41" fontId="13" fillId="0" borderId="35" xfId="87" applyNumberFormat="1" applyFont="1" applyBorder="1">
      <alignment/>
      <protection/>
    </xf>
    <xf numFmtId="41" fontId="13" fillId="0" borderId="34" xfId="87" applyNumberFormat="1" applyFont="1" applyBorder="1">
      <alignment/>
      <protection/>
    </xf>
    <xf numFmtId="41" fontId="13" fillId="0" borderId="36" xfId="87" applyNumberFormat="1" applyFont="1" applyBorder="1">
      <alignment/>
      <protection/>
    </xf>
    <xf numFmtId="41" fontId="13" fillId="0" borderId="0" xfId="87" applyNumberFormat="1" applyFont="1" applyBorder="1">
      <alignment/>
      <protection/>
    </xf>
    <xf numFmtId="41" fontId="13" fillId="0" borderId="32" xfId="87" applyNumberFormat="1" applyFont="1" applyBorder="1">
      <alignment/>
      <protection/>
    </xf>
    <xf numFmtId="0" fontId="13" fillId="0" borderId="37" xfId="87" applyFont="1" applyBorder="1">
      <alignment/>
      <protection/>
    </xf>
    <xf numFmtId="0" fontId="14" fillId="0" borderId="0" xfId="87" applyFont="1" applyBorder="1">
      <alignment/>
      <protection/>
    </xf>
    <xf numFmtId="44" fontId="13" fillId="0" borderId="32" xfId="87" applyNumberFormat="1" applyFont="1" applyBorder="1">
      <alignment/>
      <protection/>
    </xf>
    <xf numFmtId="44" fontId="13" fillId="0" borderId="0" xfId="87" applyNumberFormat="1" applyFont="1" applyBorder="1">
      <alignment/>
      <protection/>
    </xf>
    <xf numFmtId="44" fontId="13" fillId="0" borderId="38" xfId="87" applyNumberFormat="1" applyFont="1" applyBorder="1">
      <alignment/>
      <protection/>
    </xf>
    <xf numFmtId="44" fontId="13" fillId="0" borderId="0" xfId="87" applyNumberFormat="1" applyFont="1" applyFill="1" applyBorder="1">
      <alignment/>
      <protection/>
    </xf>
    <xf numFmtId="44" fontId="13" fillId="0" borderId="32" xfId="87" applyNumberFormat="1" applyFont="1" applyFill="1" applyBorder="1">
      <alignment/>
      <protection/>
    </xf>
    <xf numFmtId="44" fontId="13" fillId="0" borderId="37" xfId="87" applyNumberFormat="1" applyFont="1" applyFill="1" applyBorder="1">
      <alignment/>
      <protection/>
    </xf>
    <xf numFmtId="0" fontId="13" fillId="0" borderId="32" xfId="87" applyFont="1" applyBorder="1">
      <alignment/>
      <protection/>
    </xf>
    <xf numFmtId="178" fontId="13" fillId="0" borderId="0" xfId="87" applyNumberFormat="1" applyFont="1" applyBorder="1">
      <alignment/>
      <protection/>
    </xf>
    <xf numFmtId="0" fontId="13" fillId="0" borderId="38" xfId="87" applyFont="1" applyBorder="1">
      <alignment/>
      <protection/>
    </xf>
    <xf numFmtId="0" fontId="13" fillId="0" borderId="39" xfId="87" applyFont="1" applyBorder="1">
      <alignment/>
      <protection/>
    </xf>
    <xf numFmtId="0" fontId="21" fillId="0" borderId="7" xfId="87" applyFont="1" applyBorder="1">
      <alignment/>
      <protection/>
    </xf>
    <xf numFmtId="0" fontId="13" fillId="20" borderId="7" xfId="87" applyFont="1" applyFill="1" applyBorder="1">
      <alignment/>
      <protection/>
    </xf>
    <xf numFmtId="0" fontId="13" fillId="0" borderId="7" xfId="87" applyFont="1" applyFill="1" applyBorder="1">
      <alignment/>
      <protection/>
    </xf>
    <xf numFmtId="0" fontId="13" fillId="0" borderId="40" xfId="87" applyFont="1" applyFill="1" applyBorder="1">
      <alignment/>
      <protection/>
    </xf>
    <xf numFmtId="0" fontId="14" fillId="3" borderId="41" xfId="87" applyFont="1" applyFill="1" applyBorder="1">
      <alignment/>
      <protection/>
    </xf>
    <xf numFmtId="0" fontId="14" fillId="3" borderId="42" xfId="87" applyFont="1" applyFill="1" applyBorder="1">
      <alignment/>
      <protection/>
    </xf>
    <xf numFmtId="0" fontId="14" fillId="3" borderId="20" xfId="87" applyFont="1" applyFill="1" applyBorder="1">
      <alignment/>
      <protection/>
    </xf>
    <xf numFmtId="0" fontId="14" fillId="3" borderId="20" xfId="87" applyFont="1" applyFill="1" applyBorder="1" applyAlignment="1">
      <alignment horizontal="left" wrapText="1"/>
      <protection/>
    </xf>
    <xf numFmtId="17" fontId="7" fillId="3" borderId="24" xfId="85" applyNumberFormat="1" applyFont="1" applyFill="1" applyBorder="1" applyAlignment="1">
      <alignment horizontal="center" wrapText="1"/>
      <protection/>
    </xf>
    <xf numFmtId="17" fontId="7" fillId="3" borderId="23" xfId="85" applyNumberFormat="1" applyFont="1" applyFill="1" applyBorder="1" applyAlignment="1">
      <alignment horizontal="center" wrapText="1"/>
      <protection/>
    </xf>
    <xf numFmtId="17" fontId="7" fillId="3" borderId="0" xfId="85" applyNumberFormat="1" applyFont="1" applyFill="1" applyBorder="1" applyAlignment="1">
      <alignment horizontal="center" wrapText="1"/>
      <protection/>
    </xf>
    <xf numFmtId="17" fontId="7" fillId="3" borderId="38" xfId="85" applyNumberFormat="1" applyFont="1" applyFill="1" applyBorder="1" applyAlignment="1">
      <alignment horizontal="center" wrapText="1"/>
      <protection/>
    </xf>
    <xf numFmtId="17" fontId="7" fillId="3" borderId="25" xfId="85" applyNumberFormat="1" applyFont="1" applyFill="1" applyBorder="1" applyAlignment="1">
      <alignment horizontal="center" wrapText="1"/>
      <protection/>
    </xf>
    <xf numFmtId="17" fontId="7" fillId="3" borderId="43" xfId="85" applyNumberFormat="1" applyFont="1" applyFill="1" applyBorder="1" applyAlignment="1">
      <alignment horizontal="center" wrapText="1"/>
      <protection/>
    </xf>
    <xf numFmtId="17" fontId="7" fillId="4" borderId="0" xfId="85" applyNumberFormat="1" applyFont="1" applyFill="1" applyBorder="1" applyAlignment="1">
      <alignment horizontal="center" wrapText="1"/>
      <protection/>
    </xf>
    <xf numFmtId="17" fontId="7" fillId="0" borderId="0" xfId="85" applyNumberFormat="1" applyFont="1" applyFill="1" applyBorder="1" applyAlignment="1">
      <alignment horizontal="center" wrapText="1"/>
      <protection/>
    </xf>
    <xf numFmtId="0" fontId="21" fillId="0" borderId="0" xfId="87" applyFont="1" applyFill="1">
      <alignment/>
      <protection/>
    </xf>
    <xf numFmtId="0" fontId="21" fillId="0" borderId="0" xfId="87" applyFont="1" applyFill="1" applyAlignment="1">
      <alignment horizontal="center"/>
      <protection/>
    </xf>
    <xf numFmtId="0" fontId="24" fillId="0" borderId="44" xfId="87" applyFont="1" applyBorder="1" applyAlignment="1">
      <alignment horizontal="center"/>
      <protection/>
    </xf>
    <xf numFmtId="0" fontId="13" fillId="0" borderId="45" xfId="87" applyFont="1" applyBorder="1">
      <alignment/>
      <protection/>
    </xf>
    <xf numFmtId="0" fontId="13" fillId="0" borderId="25" xfId="87" applyFont="1" applyFill="1" applyBorder="1" quotePrefix="1">
      <alignment/>
      <protection/>
    </xf>
    <xf numFmtId="0" fontId="13" fillId="0" borderId="25" xfId="87" applyFont="1" applyBorder="1" applyAlignment="1">
      <alignment horizontal="left"/>
      <protection/>
    </xf>
    <xf numFmtId="3" fontId="6" fillId="0" borderId="24" xfId="68" applyNumberFormat="1" applyFont="1" applyFill="1" applyBorder="1">
      <alignment/>
      <protection/>
    </xf>
    <xf numFmtId="44" fontId="6" fillId="0" borderId="23" xfId="49" applyNumberFormat="1" applyFont="1" applyBorder="1" applyAlignment="1">
      <alignment/>
    </xf>
    <xf numFmtId="41" fontId="6" fillId="0" borderId="0" xfId="49" applyNumberFormat="1" applyFont="1" applyBorder="1" applyAlignment="1">
      <alignment/>
    </xf>
    <xf numFmtId="44" fontId="6" fillId="0" borderId="38" xfId="49" applyNumberFormat="1" applyFont="1" applyBorder="1" applyAlignment="1">
      <alignment/>
    </xf>
    <xf numFmtId="3" fontId="6" fillId="0" borderId="25" xfId="68" applyNumberFormat="1" applyFont="1" applyFill="1" applyBorder="1">
      <alignment/>
      <protection/>
    </xf>
    <xf numFmtId="44" fontId="6" fillId="0" borderId="25" xfId="49" applyNumberFormat="1" applyFont="1" applyBorder="1" applyAlignment="1">
      <alignment/>
    </xf>
    <xf numFmtId="44" fontId="6" fillId="4" borderId="0" xfId="49" applyNumberFormat="1" applyFont="1" applyFill="1" applyBorder="1" applyAlignment="1">
      <alignment/>
    </xf>
    <xf numFmtId="10" fontId="7" fillId="0" borderId="0" xfId="49" applyNumberFormat="1" applyFont="1" applyBorder="1" applyAlignment="1">
      <alignment horizontal="right"/>
    </xf>
    <xf numFmtId="10" fontId="7" fillId="0" borderId="0" xfId="49" applyNumberFormat="1" applyFont="1" applyFill="1" applyBorder="1" applyAlignment="1">
      <alignment horizontal="right"/>
    </xf>
    <xf numFmtId="0" fontId="25" fillId="0" borderId="0" xfId="87" applyFont="1">
      <alignment/>
      <protection/>
    </xf>
    <xf numFmtId="0" fontId="24" fillId="0" borderId="46" xfId="87" applyFont="1" applyBorder="1" applyAlignment="1">
      <alignment horizontal="center"/>
      <protection/>
    </xf>
    <xf numFmtId="3" fontId="6" fillId="0" borderId="24" xfId="88" applyNumberFormat="1" applyFont="1" applyFill="1" applyBorder="1">
      <alignment/>
      <protection/>
    </xf>
    <xf numFmtId="0" fontId="13" fillId="0" borderId="47" xfId="87" applyFont="1" applyBorder="1">
      <alignment/>
      <protection/>
    </xf>
    <xf numFmtId="0" fontId="13" fillId="0" borderId="47" xfId="87" applyFont="1" applyFill="1" applyBorder="1">
      <alignment/>
      <protection/>
    </xf>
    <xf numFmtId="0" fontId="27" fillId="0" borderId="47" xfId="87" applyFont="1" applyFill="1" applyBorder="1">
      <alignment/>
      <protection/>
    </xf>
    <xf numFmtId="3" fontId="6" fillId="0" borderId="24" xfId="90" applyNumberFormat="1" applyFont="1" applyFill="1" applyBorder="1">
      <alignment/>
      <protection/>
    </xf>
    <xf numFmtId="3" fontId="6" fillId="4" borderId="24" xfId="68" applyNumberFormat="1" applyFont="1" applyFill="1" applyBorder="1">
      <alignment/>
      <protection/>
    </xf>
    <xf numFmtId="0" fontId="13" fillId="0" borderId="25" xfId="87" applyFont="1" applyFill="1" applyBorder="1">
      <alignment/>
      <protection/>
    </xf>
    <xf numFmtId="0" fontId="21" fillId="15" borderId="0" xfId="87" applyFont="1" applyFill="1">
      <alignment/>
      <protection/>
    </xf>
    <xf numFmtId="0" fontId="25" fillId="15" borderId="0" xfId="87" applyFont="1" applyFill="1">
      <alignment/>
      <protection/>
    </xf>
    <xf numFmtId="0" fontId="27" fillId="0" borderId="47" xfId="87" applyFont="1" applyBorder="1">
      <alignment/>
      <protection/>
    </xf>
    <xf numFmtId="0" fontId="25" fillId="0" borderId="0" xfId="87" applyFont="1" applyFill="1">
      <alignment/>
      <protection/>
    </xf>
    <xf numFmtId="0" fontId="21" fillId="0" borderId="47" xfId="87" applyFont="1" applyBorder="1">
      <alignment/>
      <protection/>
    </xf>
    <xf numFmtId="0" fontId="21" fillId="0" borderId="25" xfId="87" applyFont="1" applyFill="1" applyBorder="1">
      <alignment/>
      <protection/>
    </xf>
    <xf numFmtId="3" fontId="6" fillId="20" borderId="24" xfId="68" applyNumberFormat="1" applyFont="1" applyFill="1" applyBorder="1">
      <alignment/>
      <protection/>
    </xf>
    <xf numFmtId="3" fontId="6" fillId="20" borderId="25" xfId="68" applyNumberFormat="1" applyFont="1" applyFill="1" applyBorder="1">
      <alignment/>
      <protection/>
    </xf>
    <xf numFmtId="44" fontId="6" fillId="20" borderId="25" xfId="49" applyNumberFormat="1" applyFont="1" applyFill="1" applyBorder="1" applyAlignment="1">
      <alignment/>
    </xf>
    <xf numFmtId="44" fontId="6" fillId="20" borderId="23" xfId="49" applyNumberFormat="1" applyFont="1" applyFill="1" applyBorder="1" applyAlignment="1">
      <alignment/>
    </xf>
    <xf numFmtId="41" fontId="6" fillId="20" borderId="0" xfId="49" applyNumberFormat="1" applyFont="1" applyFill="1" applyBorder="1" applyAlignment="1">
      <alignment/>
    </xf>
    <xf numFmtId="44" fontId="6" fillId="20" borderId="0" xfId="49" applyNumberFormat="1" applyFont="1" applyFill="1" applyBorder="1" applyAlignment="1">
      <alignment/>
    </xf>
    <xf numFmtId="44" fontId="6" fillId="6" borderId="23" xfId="49" applyNumberFormat="1" applyFont="1" applyFill="1" applyBorder="1" applyAlignment="1">
      <alignment/>
    </xf>
    <xf numFmtId="44" fontId="6" fillId="0" borderId="23" xfId="49" applyNumberFormat="1" applyFont="1" applyFill="1" applyBorder="1" applyAlignment="1">
      <alignment/>
    </xf>
    <xf numFmtId="44" fontId="6" fillId="4" borderId="23" xfId="49" applyNumberFormat="1" applyFont="1" applyFill="1" applyBorder="1" applyAlignment="1">
      <alignment/>
    </xf>
    <xf numFmtId="0" fontId="21" fillId="0" borderId="0" xfId="87" applyFont="1" applyAlignment="1" quotePrefix="1">
      <alignment horizontal="center"/>
      <protection/>
    </xf>
    <xf numFmtId="3" fontId="18" fillId="0" borderId="24" xfId="68" applyNumberFormat="1" applyFont="1" applyFill="1" applyBorder="1" applyAlignment="1">
      <alignment horizontal="right"/>
      <protection/>
    </xf>
    <xf numFmtId="3" fontId="6" fillId="21" borderId="24" xfId="68" applyNumberFormat="1" applyFont="1" applyFill="1" applyBorder="1">
      <alignment/>
      <protection/>
    </xf>
    <xf numFmtId="3" fontId="6" fillId="21" borderId="25" xfId="68" applyNumberFormat="1" applyFont="1" applyFill="1" applyBorder="1">
      <alignment/>
      <protection/>
    </xf>
    <xf numFmtId="44" fontId="6" fillId="21" borderId="25" xfId="49" applyNumberFormat="1" applyFont="1" applyFill="1" applyBorder="1" applyAlignment="1">
      <alignment/>
    </xf>
    <xf numFmtId="44" fontId="6" fillId="21" borderId="23" xfId="49" applyNumberFormat="1" applyFont="1" applyFill="1" applyBorder="1" applyAlignment="1">
      <alignment/>
    </xf>
    <xf numFmtId="3" fontId="18" fillId="21" borderId="24" xfId="68" applyNumberFormat="1" applyFont="1" applyFill="1" applyBorder="1" applyAlignment="1">
      <alignment horizontal="right"/>
      <protection/>
    </xf>
    <xf numFmtId="41" fontId="6" fillId="21" borderId="0" xfId="49" applyNumberFormat="1" applyFont="1" applyFill="1" applyBorder="1" applyAlignment="1">
      <alignment/>
    </xf>
    <xf numFmtId="44" fontId="6" fillId="21" borderId="0" xfId="49" applyNumberFormat="1" applyFont="1" applyFill="1" applyBorder="1" applyAlignment="1">
      <alignment/>
    </xf>
    <xf numFmtId="3" fontId="28" fillId="4" borderId="24" xfId="68" applyNumberFormat="1" applyFont="1" applyFill="1" applyBorder="1">
      <alignment/>
      <protection/>
    </xf>
    <xf numFmtId="3" fontId="6" fillId="0" borderId="23" xfId="68" applyNumberFormat="1" applyFont="1" applyFill="1" applyBorder="1">
      <alignment/>
      <protection/>
    </xf>
    <xf numFmtId="0" fontId="21" fillId="20" borderId="22" xfId="87" applyFont="1" applyFill="1" applyBorder="1">
      <alignment/>
      <protection/>
    </xf>
    <xf numFmtId="0" fontId="21" fillId="0" borderId="25" xfId="87" applyFont="1" applyBorder="1" applyAlignment="1">
      <alignment horizontal="left"/>
      <protection/>
    </xf>
    <xf numFmtId="0" fontId="21" fillId="0" borderId="25" xfId="87" applyFont="1" applyFill="1" applyBorder="1" applyAlignment="1">
      <alignment horizontal="left"/>
      <protection/>
    </xf>
    <xf numFmtId="3" fontId="6" fillId="20" borderId="23" xfId="68" applyNumberFormat="1" applyFont="1" applyFill="1" applyBorder="1">
      <alignment/>
      <protection/>
    </xf>
    <xf numFmtId="0" fontId="24" fillId="0" borderId="48" xfId="87" applyFont="1" applyBorder="1" applyAlignment="1" quotePrefix="1">
      <alignment horizontal="center"/>
      <protection/>
    </xf>
    <xf numFmtId="44" fontId="6" fillId="10" borderId="23" xfId="49" applyNumberFormat="1" applyFont="1" applyFill="1" applyBorder="1" applyAlignment="1">
      <alignment/>
    </xf>
    <xf numFmtId="3" fontId="6" fillId="0" borderId="24" xfId="77" applyNumberFormat="1" applyFont="1" applyFill="1" applyBorder="1">
      <alignment/>
      <protection/>
    </xf>
    <xf numFmtId="44" fontId="6" fillId="0" borderId="0" xfId="49" applyNumberFormat="1" applyFont="1" applyFill="1" applyBorder="1" applyAlignment="1">
      <alignment/>
    </xf>
    <xf numFmtId="0" fontId="24" fillId="0" borderId="49" xfId="87" applyFont="1" applyBorder="1" applyAlignment="1" quotePrefix="1">
      <alignment horizontal="center"/>
      <protection/>
    </xf>
    <xf numFmtId="0" fontId="29" fillId="0" borderId="47" xfId="87" applyFont="1" applyBorder="1">
      <alignment/>
      <protection/>
    </xf>
    <xf numFmtId="3" fontId="6" fillId="0" borderId="50" xfId="68" applyNumberFormat="1" applyFont="1" applyFill="1" applyBorder="1">
      <alignment/>
      <protection/>
    </xf>
    <xf numFmtId="44" fontId="6" fillId="0" borderId="51" xfId="49" applyNumberFormat="1" applyFont="1" applyBorder="1" applyAlignment="1">
      <alignment/>
    </xf>
    <xf numFmtId="44" fontId="6" fillId="0" borderId="52" xfId="49" applyNumberFormat="1" applyFont="1" applyBorder="1" applyAlignment="1">
      <alignment/>
    </xf>
    <xf numFmtId="3" fontId="6" fillId="4" borderId="50" xfId="68" applyNumberFormat="1" applyFont="1" applyFill="1" applyBorder="1">
      <alignment/>
      <protection/>
    </xf>
    <xf numFmtId="0" fontId="13" fillId="0" borderId="53" xfId="87" applyFont="1" applyBorder="1">
      <alignment/>
      <protection/>
    </xf>
    <xf numFmtId="0" fontId="21" fillId="0" borderId="54" xfId="87" applyFont="1" applyBorder="1">
      <alignment/>
      <protection/>
    </xf>
    <xf numFmtId="0" fontId="21" fillId="0" borderId="31" xfId="87" applyFont="1" applyBorder="1" applyAlignment="1">
      <alignment horizontal="center"/>
      <protection/>
    </xf>
    <xf numFmtId="3" fontId="13" fillId="0" borderId="37" xfId="87" applyNumberFormat="1" applyFont="1" applyBorder="1">
      <alignment/>
      <protection/>
    </xf>
    <xf numFmtId="3" fontId="13" fillId="0" borderId="26" xfId="87" applyNumberFormat="1" applyFont="1" applyBorder="1">
      <alignment/>
      <protection/>
    </xf>
    <xf numFmtId="3" fontId="13" fillId="0" borderId="13" xfId="87" applyNumberFormat="1" applyFont="1" applyBorder="1">
      <alignment/>
      <protection/>
    </xf>
    <xf numFmtId="44" fontId="13" fillId="0" borderId="13" xfId="87" applyNumberFormat="1" applyFont="1" applyBorder="1">
      <alignment/>
      <protection/>
    </xf>
    <xf numFmtId="3" fontId="13" fillId="0" borderId="55" xfId="87" applyNumberFormat="1" applyFont="1" applyBorder="1">
      <alignment/>
      <protection/>
    </xf>
    <xf numFmtId="44" fontId="13" fillId="0" borderId="30" xfId="87" applyNumberFormat="1" applyFont="1" applyBorder="1">
      <alignment/>
      <protection/>
    </xf>
    <xf numFmtId="3" fontId="13" fillId="0" borderId="11" xfId="87" applyNumberFormat="1" applyFont="1" applyBorder="1">
      <alignment/>
      <protection/>
    </xf>
    <xf numFmtId="44" fontId="13" fillId="0" borderId="11" xfId="87" applyNumberFormat="1" applyFont="1" applyFill="1" applyBorder="1">
      <alignment/>
      <protection/>
    </xf>
    <xf numFmtId="0" fontId="13" fillId="0" borderId="56" xfId="87" applyFont="1" applyBorder="1">
      <alignment/>
      <protection/>
    </xf>
    <xf numFmtId="44" fontId="13" fillId="0" borderId="11" xfId="87" applyNumberFormat="1" applyFont="1" applyBorder="1">
      <alignment/>
      <protection/>
    </xf>
    <xf numFmtId="0" fontId="21" fillId="0" borderId="0" xfId="87" applyFont="1" applyAlignment="1">
      <alignment horizontal="right"/>
      <protection/>
    </xf>
    <xf numFmtId="0" fontId="21" fillId="0" borderId="0" xfId="87" applyFont="1" applyAlignment="1" quotePrefix="1">
      <alignment horizontal="right"/>
      <protection/>
    </xf>
    <xf numFmtId="3" fontId="13" fillId="0" borderId="16" xfId="87" applyNumberFormat="1" applyFont="1" applyBorder="1">
      <alignment/>
      <protection/>
    </xf>
    <xf numFmtId="44" fontId="13" fillId="0" borderId="12" xfId="87" applyNumberFormat="1" applyFont="1" applyBorder="1">
      <alignment/>
      <protection/>
    </xf>
    <xf numFmtId="44" fontId="13" fillId="0" borderId="15" xfId="87" applyNumberFormat="1" applyFont="1" applyBorder="1">
      <alignment/>
      <protection/>
    </xf>
    <xf numFmtId="3" fontId="13" fillId="0" borderId="0" xfId="87" applyNumberFormat="1" applyFont="1" applyBorder="1">
      <alignment/>
      <protection/>
    </xf>
    <xf numFmtId="0" fontId="13" fillId="0" borderId="57" xfId="87" applyFont="1" applyBorder="1">
      <alignment/>
      <protection/>
    </xf>
    <xf numFmtId="0" fontId="21" fillId="0" borderId="58" xfId="87" applyFont="1" applyBorder="1">
      <alignment/>
      <protection/>
    </xf>
    <xf numFmtId="0" fontId="21" fillId="0" borderId="0" xfId="87" applyFont="1" applyFill="1" applyBorder="1">
      <alignment/>
      <protection/>
    </xf>
    <xf numFmtId="0" fontId="13" fillId="0" borderId="0" xfId="87" applyFont="1" applyBorder="1" applyAlignment="1">
      <alignment horizontal="left"/>
      <protection/>
    </xf>
    <xf numFmtId="0" fontId="13" fillId="0" borderId="16" xfId="87" applyFont="1" applyBorder="1">
      <alignment/>
      <protection/>
    </xf>
    <xf numFmtId="0" fontId="13" fillId="0" borderId="12" xfId="87" applyFont="1" applyBorder="1">
      <alignment/>
      <protection/>
    </xf>
    <xf numFmtId="0" fontId="13" fillId="0" borderId="15" xfId="87" applyFont="1" applyBorder="1">
      <alignment/>
      <protection/>
    </xf>
    <xf numFmtId="44" fontId="21" fillId="0" borderId="0" xfId="87" applyNumberFormat="1" applyFont="1">
      <alignment/>
      <protection/>
    </xf>
    <xf numFmtId="0" fontId="13" fillId="0" borderId="0" xfId="87" applyFont="1" applyFill="1" applyBorder="1">
      <alignment/>
      <protection/>
    </xf>
    <xf numFmtId="0" fontId="21" fillId="0" borderId="14" xfId="87" applyFont="1" applyBorder="1">
      <alignment/>
      <protection/>
    </xf>
    <xf numFmtId="0" fontId="13" fillId="0" borderId="0" xfId="87" applyFont="1" applyFill="1" applyBorder="1" applyAlignment="1">
      <alignment vertical="center" wrapText="1"/>
      <protection/>
    </xf>
    <xf numFmtId="0" fontId="13" fillId="0" borderId="38" xfId="87" applyFont="1" applyFill="1" applyBorder="1" applyAlignment="1">
      <alignment vertical="center" wrapText="1"/>
      <protection/>
    </xf>
    <xf numFmtId="0" fontId="21" fillId="0" borderId="59" xfId="87" applyFont="1" applyBorder="1" applyAlignment="1">
      <alignment horizontal="center"/>
      <protection/>
    </xf>
    <xf numFmtId="0" fontId="21" fillId="0" borderId="60" xfId="87" applyFont="1" applyBorder="1">
      <alignment/>
      <protection/>
    </xf>
    <xf numFmtId="0" fontId="21" fillId="0" borderId="61" xfId="87" applyFont="1" applyBorder="1">
      <alignment/>
      <protection/>
    </xf>
    <xf numFmtId="0" fontId="21" fillId="0" borderId="61" xfId="87" applyFont="1" applyBorder="1" applyAlignment="1">
      <alignment horizontal="left"/>
      <protection/>
    </xf>
    <xf numFmtId="0" fontId="21" fillId="0" borderId="60" xfId="87" applyFont="1" applyFill="1" applyBorder="1" applyAlignment="1">
      <alignment vertical="center" wrapText="1"/>
      <protection/>
    </xf>
    <xf numFmtId="0" fontId="21" fillId="0" borderId="62" xfId="87" applyFont="1" applyFill="1" applyBorder="1" applyAlignment="1">
      <alignment vertical="center" wrapText="1"/>
      <protection/>
    </xf>
    <xf numFmtId="0" fontId="21" fillId="0" borderId="0" xfId="87" applyFont="1" applyFill="1" applyBorder="1" applyAlignment="1">
      <alignment vertical="center" wrapText="1"/>
      <protection/>
    </xf>
    <xf numFmtId="0" fontId="21" fillId="0" borderId="37" xfId="87" applyFont="1" applyBorder="1">
      <alignment/>
      <protection/>
    </xf>
    <xf numFmtId="0" fontId="21" fillId="0" borderId="0" xfId="87" applyFont="1" applyBorder="1" applyAlignment="1">
      <alignment horizontal="left"/>
      <protection/>
    </xf>
    <xf numFmtId="0" fontId="24" fillId="0" borderId="0" xfId="87" applyFont="1" applyBorder="1">
      <alignment/>
      <protection/>
    </xf>
    <xf numFmtId="0" fontId="21" fillId="0" borderId="0" xfId="87" applyNumberFormat="1" applyFont="1" applyBorder="1" applyAlignment="1">
      <alignment horizontal="left"/>
      <protection/>
    </xf>
    <xf numFmtId="0" fontId="21" fillId="0" borderId="0" xfId="87" applyFont="1" applyFill="1" applyBorder="1" applyAlignment="1">
      <alignment horizontal="center"/>
      <protection/>
    </xf>
    <xf numFmtId="0" fontId="21" fillId="0" borderId="0" xfId="87" applyFont="1" applyFill="1" applyBorder="1" applyAlignment="1">
      <alignment horizontal="left"/>
      <protection/>
    </xf>
    <xf numFmtId="0" fontId="14" fillId="0" borderId="0" xfId="87" applyFont="1" applyFill="1" applyBorder="1">
      <alignment/>
      <protection/>
    </xf>
    <xf numFmtId="0" fontId="14" fillId="0" borderId="0" xfId="87" applyFont="1" applyFill="1" applyBorder="1" applyAlignment="1">
      <alignment horizontal="left" wrapText="1"/>
      <protection/>
    </xf>
    <xf numFmtId="3" fontId="6" fillId="0" borderId="0" xfId="68" applyNumberFormat="1" applyFont="1" applyFill="1" applyBorder="1">
      <alignment/>
      <protection/>
    </xf>
    <xf numFmtId="171" fontId="6" fillId="18" borderId="11" xfId="0" applyNumberFormat="1" applyFont="1" applyFill="1" applyBorder="1" applyAlignment="1">
      <alignment/>
    </xf>
    <xf numFmtId="164" fontId="6" fillId="20" borderId="63" xfId="50" applyNumberFormat="1" applyFont="1" applyFill="1" applyBorder="1">
      <alignment/>
      <protection/>
    </xf>
    <xf numFmtId="0" fontId="6" fillId="0" borderId="0" xfId="73" applyFont="1" applyFill="1" applyBorder="1" applyAlignment="1">
      <alignment/>
      <protection/>
    </xf>
    <xf numFmtId="0" fontId="6" fillId="0" borderId="0" xfId="73" applyFont="1" applyFill="1" applyAlignment="1">
      <alignment/>
      <protection/>
    </xf>
    <xf numFmtId="0" fontId="7" fillId="0" borderId="0" xfId="73" applyFont="1" applyFill="1" applyAlignment="1">
      <alignment/>
      <protection/>
    </xf>
    <xf numFmtId="0" fontId="0" fillId="0" borderId="0" xfId="0" applyAlignment="1">
      <alignment horizontal="center"/>
    </xf>
    <xf numFmtId="165" fontId="7" fillId="0" borderId="64" xfId="50" applyFont="1" applyFill="1" applyBorder="1">
      <alignment/>
      <protection/>
    </xf>
    <xf numFmtId="0" fontId="13" fillId="3" borderId="65" xfId="0" applyFont="1" applyFill="1" applyBorder="1" applyAlignment="1">
      <alignment/>
    </xf>
    <xf numFmtId="0" fontId="14" fillId="3" borderId="7" xfId="0" applyFont="1" applyFill="1" applyBorder="1" applyAlignment="1">
      <alignment/>
    </xf>
    <xf numFmtId="0" fontId="14" fillId="3" borderId="66" xfId="0" applyFont="1" applyFill="1" applyBorder="1" applyAlignment="1">
      <alignment horizontal="center"/>
    </xf>
    <xf numFmtId="0" fontId="14" fillId="3" borderId="66" xfId="0" applyFont="1" applyFill="1" applyBorder="1" applyAlignment="1">
      <alignment horizontal="center" wrapText="1"/>
    </xf>
    <xf numFmtId="0" fontId="14" fillId="3" borderId="7" xfId="0" applyFont="1" applyFill="1" applyBorder="1" applyAlignment="1">
      <alignment horizontal="right" wrapText="1"/>
    </xf>
    <xf numFmtId="0" fontId="6" fillId="0" borderId="10" xfId="84" applyFont="1" applyBorder="1">
      <alignment/>
      <protection/>
    </xf>
    <xf numFmtId="0" fontId="6" fillId="2" borderId="14" xfId="0" applyFont="1" applyFill="1" applyBorder="1" applyAlignment="1">
      <alignment horizontal="right"/>
    </xf>
    <xf numFmtId="0" fontId="6" fillId="2" borderId="14" xfId="0" applyFont="1" applyFill="1" applyBorder="1" applyAlignment="1">
      <alignment/>
    </xf>
    <xf numFmtId="0" fontId="6" fillId="2" borderId="14" xfId="0" applyFont="1" applyFill="1" applyBorder="1" applyAlignment="1">
      <alignment horizontal="right" wrapText="1"/>
    </xf>
    <xf numFmtId="0" fontId="6" fillId="2" borderId="14" xfId="0" applyFont="1" applyFill="1" applyBorder="1" applyAlignment="1">
      <alignment horizontal="center"/>
    </xf>
    <xf numFmtId="0" fontId="9" fillId="2" borderId="14" xfId="0" applyFont="1" applyFill="1" applyBorder="1" applyAlignment="1">
      <alignment horizontal="center"/>
    </xf>
    <xf numFmtId="3" fontId="6" fillId="2" borderId="14" xfId="0" applyNumberFormat="1" applyFont="1" applyFill="1" applyBorder="1" applyAlignment="1">
      <alignment horizontal="right"/>
    </xf>
    <xf numFmtId="0" fontId="7" fillId="2" borderId="14" xfId="0" applyFont="1" applyFill="1" applyBorder="1" applyAlignment="1">
      <alignment/>
    </xf>
    <xf numFmtId="3" fontId="31" fillId="2" borderId="0" xfId="0" applyNumberFormat="1" applyFont="1" applyFill="1" applyAlignment="1">
      <alignment horizontal="center"/>
    </xf>
    <xf numFmtId="170" fontId="6" fillId="0" borderId="0" xfId="44" applyNumberFormat="1" applyFont="1" applyAlignment="1">
      <alignment/>
    </xf>
    <xf numFmtId="10" fontId="0" fillId="0" borderId="0" xfId="96" applyNumberFormat="1" applyFont="1" applyAlignment="1">
      <alignment/>
    </xf>
    <xf numFmtId="170" fontId="0" fillId="0" borderId="0" xfId="44" applyNumberFormat="1" applyFont="1" applyAlignment="1">
      <alignment/>
    </xf>
    <xf numFmtId="0" fontId="0" fillId="0" borderId="0" xfId="84" applyAlignment="1">
      <alignment/>
      <protection/>
    </xf>
    <xf numFmtId="0" fontId="6" fillId="2" borderId="14" xfId="0" applyFont="1" applyFill="1" applyBorder="1" applyAlignment="1">
      <alignment horizontal="left"/>
    </xf>
    <xf numFmtId="0" fontId="6" fillId="0" borderId="0" xfId="0" applyFont="1" applyFill="1" applyBorder="1" applyAlignment="1">
      <alignment horizontal="left"/>
    </xf>
    <xf numFmtId="173" fontId="18" fillId="0" borderId="0" xfId="0" applyNumberFormat="1" applyFont="1" applyFill="1" applyAlignment="1">
      <alignment horizontal="left"/>
    </xf>
    <xf numFmtId="0" fontId="6" fillId="17" borderId="0" xfId="0" applyFont="1" applyFill="1" applyBorder="1" applyAlignment="1">
      <alignment wrapText="1"/>
    </xf>
    <xf numFmtId="0" fontId="18" fillId="3" borderId="0" xfId="0" applyFont="1" applyFill="1" applyBorder="1" applyAlignment="1">
      <alignment horizontal="left"/>
    </xf>
    <xf numFmtId="0" fontId="18" fillId="0" borderId="0" xfId="0" applyFont="1" applyFill="1" applyAlignment="1">
      <alignment/>
    </xf>
    <xf numFmtId="0" fontId="5" fillId="0" borderId="0" xfId="0" applyFont="1" applyBorder="1" applyAlignment="1">
      <alignment horizontal="right"/>
    </xf>
    <xf numFmtId="166" fontId="18" fillId="19" borderId="13" xfId="0" applyNumberFormat="1" applyFont="1" applyFill="1" applyBorder="1" applyAlignment="1">
      <alignment/>
    </xf>
    <xf numFmtId="0" fontId="18" fillId="0" borderId="0" xfId="0" applyFont="1" applyFill="1" applyBorder="1" applyAlignment="1">
      <alignment/>
    </xf>
    <xf numFmtId="3" fontId="31" fillId="0" borderId="0" xfId="0" applyNumberFormat="1" applyFont="1" applyFill="1" applyAlignment="1">
      <alignment horizontal="center"/>
    </xf>
    <xf numFmtId="10" fontId="31" fillId="0" borderId="0" xfId="0" applyNumberFormat="1" applyFont="1" applyFill="1" applyAlignment="1">
      <alignment horizontal="center"/>
    </xf>
    <xf numFmtId="10" fontId="31" fillId="0" borderId="0" xfId="0" applyNumberFormat="1" applyFont="1" applyFill="1" applyBorder="1" applyAlignment="1">
      <alignment horizontal="center"/>
    </xf>
    <xf numFmtId="0" fontId="31" fillId="2" borderId="0" xfId="0" applyFont="1" applyFill="1" applyAlignment="1">
      <alignment horizontal="center"/>
    </xf>
    <xf numFmtId="0" fontId="31" fillId="2" borderId="0" xfId="0" applyFont="1" applyFill="1" applyBorder="1" applyAlignment="1">
      <alignment horizontal="center"/>
    </xf>
    <xf numFmtId="0" fontId="31" fillId="0" borderId="0" xfId="0" applyFont="1" applyFill="1" applyAlignment="1">
      <alignment horizontal="center"/>
    </xf>
    <xf numFmtId="0" fontId="31" fillId="0" borderId="0" xfId="0" applyFont="1" applyAlignment="1">
      <alignment horizontal="center"/>
    </xf>
    <xf numFmtId="0" fontId="31" fillId="0" borderId="0" xfId="0" applyFont="1" applyBorder="1" applyAlignment="1">
      <alignment horizontal="center"/>
    </xf>
    <xf numFmtId="170" fontId="31" fillId="0" borderId="0" xfId="44" applyNumberFormat="1" applyFont="1" applyAlignment="1">
      <alignment horizontal="center"/>
    </xf>
    <xf numFmtId="0" fontId="31" fillId="0" borderId="0" xfId="84" applyFont="1" applyAlignment="1">
      <alignment horizontal="center" vertical="center"/>
      <protection/>
    </xf>
    <xf numFmtId="0" fontId="33" fillId="0" borderId="0" xfId="84" applyFont="1" applyAlignment="1">
      <alignment horizontal="center" vertical="center"/>
      <protection/>
    </xf>
    <xf numFmtId="0" fontId="33" fillId="0" borderId="0" xfId="84" applyFont="1" applyAlignment="1">
      <alignment horizontal="center"/>
      <protection/>
    </xf>
    <xf numFmtId="0" fontId="31" fillId="17" borderId="0" xfId="0" applyFont="1" applyFill="1" applyAlignment="1">
      <alignment horizontal="center"/>
    </xf>
    <xf numFmtId="0" fontId="31" fillId="0" borderId="0" xfId="0" applyFont="1" applyFill="1" applyBorder="1" applyAlignment="1">
      <alignment horizontal="center"/>
    </xf>
    <xf numFmtId="0" fontId="31" fillId="2" borderId="0" xfId="0" applyFont="1" applyFill="1" applyBorder="1" applyAlignment="1">
      <alignment horizontal="right"/>
    </xf>
    <xf numFmtId="0" fontId="31" fillId="2" borderId="0" xfId="0" applyFont="1" applyFill="1" applyAlignment="1">
      <alignment horizontal="right"/>
    </xf>
    <xf numFmtId="0" fontId="31" fillId="17" borderId="0" xfId="0" applyFont="1" applyFill="1" applyAlignment="1">
      <alignment horizontal="right"/>
    </xf>
    <xf numFmtId="3" fontId="31" fillId="2" borderId="0" xfId="0" applyNumberFormat="1" applyFont="1" applyFill="1" applyAlignment="1">
      <alignment horizontal="center"/>
    </xf>
    <xf numFmtId="0" fontId="31" fillId="18" borderId="0" xfId="0" applyFont="1" applyFill="1" applyAlignment="1">
      <alignment horizontal="center"/>
    </xf>
    <xf numFmtId="0" fontId="31" fillId="3" borderId="0" xfId="0" applyFont="1" applyFill="1" applyBorder="1" applyAlignment="1">
      <alignment horizontal="center"/>
    </xf>
    <xf numFmtId="0" fontId="34" fillId="3" borderId="14" xfId="0" applyFont="1" applyFill="1" applyBorder="1" applyAlignment="1">
      <alignment horizontal="center"/>
    </xf>
    <xf numFmtId="0" fontId="35" fillId="3" borderId="0" xfId="0" applyFont="1" applyFill="1" applyBorder="1" applyAlignment="1">
      <alignment horizontal="center"/>
    </xf>
    <xf numFmtId="0" fontId="31" fillId="18" borderId="0" xfId="0" applyFont="1" applyFill="1" applyAlignment="1">
      <alignment horizontal="center" vertical="center"/>
    </xf>
    <xf numFmtId="173" fontId="6" fillId="0" borderId="11" xfId="0" applyNumberFormat="1" applyFont="1" applyFill="1" applyBorder="1" applyAlignment="1">
      <alignment/>
    </xf>
    <xf numFmtId="10" fontId="13" fillId="0" borderId="0" xfId="87" applyNumberFormat="1" applyFont="1" applyBorder="1">
      <alignment/>
      <protection/>
    </xf>
    <xf numFmtId="0" fontId="12" fillId="0" borderId="0" xfId="0" applyFont="1" applyFill="1" applyBorder="1" applyAlignment="1">
      <alignment horizontal="left"/>
    </xf>
    <xf numFmtId="3" fontId="6" fillId="0" borderId="0" xfId="0" applyNumberFormat="1" applyFont="1" applyFill="1" applyAlignment="1">
      <alignment horizontal="centerContinuous"/>
    </xf>
    <xf numFmtId="0" fontId="6" fillId="0" borderId="0" xfId="0" applyFont="1" applyFill="1" applyAlignment="1">
      <alignment horizontal="centerContinuous"/>
    </xf>
    <xf numFmtId="10" fontId="6" fillId="0" borderId="0" xfId="0" applyNumberFormat="1" applyFont="1" applyFill="1" applyAlignment="1">
      <alignment horizontal="centerContinuous"/>
    </xf>
    <xf numFmtId="10" fontId="0" fillId="0" borderId="0" xfId="0" applyNumberFormat="1" applyFill="1" applyAlignment="1">
      <alignment/>
    </xf>
    <xf numFmtId="0" fontId="11" fillId="0" borderId="0" xfId="0" applyFont="1" applyFill="1" applyBorder="1" applyAlignment="1">
      <alignment horizontal="left"/>
    </xf>
    <xf numFmtId="10" fontId="6" fillId="0" borderId="0" xfId="0" applyNumberFormat="1" applyFont="1" applyFill="1" applyBorder="1" applyAlignment="1">
      <alignment horizontal="center" vertical="center"/>
    </xf>
    <xf numFmtId="0" fontId="7" fillId="0" borderId="0" xfId="0" applyFont="1" applyFill="1" applyAlignment="1">
      <alignment/>
    </xf>
    <xf numFmtId="0" fontId="31" fillId="0" borderId="0" xfId="0" applyFont="1" applyFill="1" applyAlignment="1">
      <alignment horizontal="center"/>
    </xf>
    <xf numFmtId="0" fontId="6" fillId="0" borderId="0" xfId="0" applyFont="1" applyFill="1" applyBorder="1" applyAlignment="1">
      <alignment/>
    </xf>
    <xf numFmtId="0" fontId="6" fillId="0" borderId="0" xfId="0" applyFont="1" applyFill="1" applyAlignment="1">
      <alignment/>
    </xf>
    <xf numFmtId="0" fontId="7" fillId="0" borderId="9" xfId="0" applyFont="1" applyFill="1" applyBorder="1" applyAlignment="1">
      <alignment/>
    </xf>
    <xf numFmtId="0" fontId="6" fillId="0" borderId="0" xfId="0" applyFont="1" applyFill="1" applyAlignment="1">
      <alignment horizontal="right"/>
    </xf>
    <xf numFmtId="0" fontId="16" fillId="0" borderId="0" xfId="0" applyFont="1" applyFill="1" applyAlignment="1">
      <alignment/>
    </xf>
    <xf numFmtId="0" fontId="0" fillId="0" borderId="0" xfId="0" applyFont="1" applyFill="1" applyAlignment="1">
      <alignment/>
    </xf>
    <xf numFmtId="0" fontId="6" fillId="0" borderId="0" xfId="0" applyFont="1" applyFill="1" applyAlignment="1" quotePrefix="1">
      <alignment horizontal="right"/>
    </xf>
    <xf numFmtId="0" fontId="17" fillId="0" borderId="0" xfId="62" applyFill="1" applyAlignment="1" applyProtection="1">
      <alignment/>
      <protection/>
    </xf>
    <xf numFmtId="0" fontId="6" fillId="0" borderId="0" xfId="0" applyFont="1" applyFill="1" applyAlignment="1" quotePrefix="1">
      <alignment/>
    </xf>
    <xf numFmtId="0" fontId="0" fillId="0" borderId="0" xfId="0" applyFill="1" applyAlignment="1">
      <alignment horizontal="right"/>
    </xf>
    <xf numFmtId="3" fontId="0" fillId="0" borderId="0" xfId="0" applyNumberFormat="1" applyFill="1" applyAlignment="1">
      <alignment/>
    </xf>
    <xf numFmtId="0" fontId="5" fillId="0" borderId="0" xfId="0" applyFont="1" applyFill="1" applyAlignment="1">
      <alignment/>
    </xf>
    <xf numFmtId="0" fontId="6" fillId="0" borderId="0" xfId="0" applyFont="1" applyFill="1" applyAlignment="1">
      <alignment horizontal="left"/>
    </xf>
    <xf numFmtId="0" fontId="0" fillId="0" borderId="0" xfId="0" applyFill="1" applyAlignment="1">
      <alignment horizontal="left"/>
    </xf>
    <xf numFmtId="0" fontId="8" fillId="0" borderId="0" xfId="0" applyFont="1" applyFill="1" applyAlignment="1">
      <alignment/>
    </xf>
    <xf numFmtId="0" fontId="0" fillId="0" borderId="0" xfId="0" applyFill="1" applyBorder="1" applyAlignment="1">
      <alignment horizontal="center"/>
    </xf>
    <xf numFmtId="0" fontId="29" fillId="0" borderId="0" xfId="0" applyFont="1" applyFill="1" applyAlignment="1">
      <alignment/>
    </xf>
    <xf numFmtId="3" fontId="6" fillId="0" borderId="0" xfId="42" applyNumberFormat="1" applyFont="1" applyFill="1">
      <alignment/>
      <protection/>
    </xf>
    <xf numFmtId="165" fontId="6" fillId="0" borderId="0" xfId="47" applyNumberFormat="1" applyFont="1" applyFill="1">
      <alignment/>
      <protection/>
    </xf>
    <xf numFmtId="0" fontId="0" fillId="0" borderId="0" xfId="0" applyFont="1" applyFill="1" applyAlignment="1">
      <alignment/>
    </xf>
    <xf numFmtId="10" fontId="6" fillId="0" borderId="0" xfId="0" applyNumberFormat="1" applyFont="1" applyFill="1" applyAlignment="1">
      <alignment horizontal="right"/>
    </xf>
    <xf numFmtId="0" fontId="31" fillId="0" borderId="0" xfId="0" applyFont="1" applyFill="1" applyAlignment="1">
      <alignment/>
    </xf>
    <xf numFmtId="171" fontId="7" fillId="0" borderId="0" xfId="0" applyNumberFormat="1" applyFont="1" applyFill="1" applyBorder="1" applyAlignment="1">
      <alignment horizontal="center"/>
    </xf>
    <xf numFmtId="0" fontId="0" fillId="0" borderId="0" xfId="0" applyAlignment="1">
      <alignment/>
    </xf>
    <xf numFmtId="0" fontId="0" fillId="0" borderId="0" xfId="0" applyFont="1" applyAlignment="1">
      <alignment/>
    </xf>
    <xf numFmtId="10" fontId="7" fillId="0" borderId="0" xfId="0" applyNumberFormat="1" applyFont="1" applyFill="1" applyBorder="1" applyAlignment="1">
      <alignment horizontal="right"/>
    </xf>
    <xf numFmtId="10" fontId="6" fillId="0" borderId="0" xfId="0" applyNumberFormat="1" applyFont="1" applyFill="1" applyBorder="1" applyAlignment="1">
      <alignment horizontal="right"/>
    </xf>
    <xf numFmtId="0" fontId="17" fillId="0" borderId="0" xfId="62" applyFill="1" applyAlignment="1" applyProtection="1" quotePrefix="1">
      <alignment/>
      <protection/>
    </xf>
    <xf numFmtId="0" fontId="36" fillId="0" borderId="7" xfId="62" applyFont="1" applyFill="1" applyBorder="1" applyAlignment="1" applyProtection="1">
      <alignment horizontal="left"/>
      <protection/>
    </xf>
    <xf numFmtId="0" fontId="37" fillId="0" borderId="7" xfId="0" applyFont="1" applyFill="1" applyBorder="1" applyAlignment="1">
      <alignment/>
    </xf>
    <xf numFmtId="0" fontId="11" fillId="0" borderId="0" xfId="0" applyFont="1" applyFill="1" applyAlignment="1">
      <alignment/>
    </xf>
    <xf numFmtId="166" fontId="11" fillId="0" borderId="0" xfId="0" applyNumberFormat="1" applyFont="1" applyFill="1" applyAlignment="1">
      <alignment/>
    </xf>
    <xf numFmtId="0" fontId="11" fillId="0" borderId="0" xfId="0" applyFont="1" applyFill="1" applyBorder="1" applyAlignment="1">
      <alignment/>
    </xf>
    <xf numFmtId="164" fontId="23" fillId="0" borderId="0" xfId="50" applyNumberFormat="1" applyFont="1" applyFill="1" applyBorder="1">
      <alignment/>
      <protection/>
    </xf>
    <xf numFmtId="173" fontId="23" fillId="0" borderId="0" xfId="0" applyNumberFormat="1" applyFont="1" applyFill="1" applyBorder="1" applyAlignment="1">
      <alignment/>
    </xf>
    <xf numFmtId="0" fontId="39" fillId="11" borderId="9" xfId="0" applyFont="1" applyFill="1" applyBorder="1" applyAlignment="1">
      <alignment/>
    </xf>
    <xf numFmtId="0" fontId="40" fillId="11" borderId="9" xfId="0" applyFont="1" applyFill="1" applyBorder="1" applyAlignment="1">
      <alignment/>
    </xf>
    <xf numFmtId="0" fontId="6" fillId="4" borderId="14" xfId="0" applyFont="1" applyFill="1" applyBorder="1" applyAlignment="1">
      <alignment horizontal="right"/>
    </xf>
    <xf numFmtId="0" fontId="41" fillId="0" borderId="0" xfId="0" applyFont="1" applyFill="1" applyAlignment="1">
      <alignment/>
    </xf>
    <xf numFmtId="3" fontId="6" fillId="0" borderId="21" xfId="68" applyNumberFormat="1" applyFont="1" applyFill="1" applyBorder="1">
      <alignment/>
      <protection/>
    </xf>
    <xf numFmtId="44" fontId="6" fillId="0" borderId="43" xfId="49" applyNumberFormat="1" applyFont="1" applyFill="1" applyBorder="1" applyAlignment="1">
      <alignment/>
    </xf>
    <xf numFmtId="3" fontId="13" fillId="0" borderId="37" xfId="87" applyNumberFormat="1" applyFont="1" applyFill="1" applyBorder="1">
      <alignment/>
      <protection/>
    </xf>
    <xf numFmtId="0" fontId="13" fillId="0" borderId="37" xfId="87" applyFont="1" applyFill="1" applyBorder="1">
      <alignment/>
      <protection/>
    </xf>
    <xf numFmtId="0" fontId="13" fillId="0" borderId="32" xfId="87" applyFont="1" applyFill="1" applyBorder="1">
      <alignment/>
      <protection/>
    </xf>
    <xf numFmtId="0" fontId="13" fillId="0" borderId="39" xfId="87" applyFont="1" applyFill="1" applyBorder="1">
      <alignment/>
      <protection/>
    </xf>
    <xf numFmtId="17" fontId="7" fillId="0" borderId="21" xfId="85" applyNumberFormat="1" applyFont="1" applyFill="1" applyBorder="1" applyAlignment="1">
      <alignment horizontal="center" wrapText="1"/>
      <protection/>
    </xf>
    <xf numFmtId="17" fontId="7" fillId="0" borderId="43" xfId="85" applyNumberFormat="1" applyFont="1" applyFill="1" applyBorder="1" applyAlignment="1">
      <alignment horizontal="center" wrapText="1"/>
      <protection/>
    </xf>
    <xf numFmtId="0" fontId="45" fillId="0" borderId="0" xfId="87" applyFont="1">
      <alignment/>
      <protection/>
    </xf>
    <xf numFmtId="0" fontId="43" fillId="0" borderId="0" xfId="0" applyFont="1" applyFill="1" applyAlignment="1">
      <alignment/>
    </xf>
    <xf numFmtId="0" fontId="0" fillId="2" borderId="0" xfId="0" applyFill="1" applyAlignment="1">
      <alignment/>
    </xf>
    <xf numFmtId="0" fontId="14" fillId="4" borderId="66" xfId="0" applyFont="1" applyFill="1" applyBorder="1" applyAlignment="1">
      <alignment horizontal="center" wrapText="1"/>
    </xf>
    <xf numFmtId="41" fontId="6" fillId="4" borderId="0" xfId="0" applyNumberFormat="1" applyFont="1" applyFill="1" applyAlignment="1">
      <alignment/>
    </xf>
    <xf numFmtId="171" fontId="6" fillId="4" borderId="0" xfId="0" applyNumberFormat="1" applyFont="1" applyFill="1" applyAlignment="1">
      <alignment/>
    </xf>
    <xf numFmtId="0" fontId="13" fillId="3" borderId="0" xfId="0" applyFont="1" applyFill="1" applyBorder="1" applyAlignment="1">
      <alignment horizontal="center"/>
    </xf>
    <xf numFmtId="0" fontId="13" fillId="18" borderId="7" xfId="0" applyFont="1" applyFill="1" applyBorder="1" applyAlignment="1">
      <alignment horizontal="center"/>
    </xf>
    <xf numFmtId="0" fontId="31" fillId="6" borderId="0" xfId="0" applyFont="1" applyFill="1" applyAlignment="1">
      <alignment horizontal="center"/>
    </xf>
    <xf numFmtId="0" fontId="7" fillId="6" borderId="0" xfId="0" applyFont="1" applyFill="1" applyAlignment="1">
      <alignment/>
    </xf>
    <xf numFmtId="0" fontId="6" fillId="6" borderId="14" xfId="0" applyFont="1" applyFill="1" applyBorder="1" applyAlignment="1">
      <alignment horizontal="right"/>
    </xf>
    <xf numFmtId="0" fontId="6" fillId="6" borderId="14" xfId="0" applyFont="1" applyFill="1" applyBorder="1" applyAlignment="1">
      <alignment horizontal="right" wrapText="1"/>
    </xf>
    <xf numFmtId="0" fontId="6" fillId="6" borderId="0" xfId="0" applyFont="1" applyFill="1" applyAlignment="1">
      <alignment/>
    </xf>
    <xf numFmtId="0" fontId="6" fillId="6" borderId="0" xfId="0" applyFont="1" applyFill="1" applyAlignment="1">
      <alignment horizontal="center"/>
    </xf>
    <xf numFmtId="0" fontId="18" fillId="6" borderId="0" xfId="0" applyFont="1" applyFill="1" applyAlignment="1">
      <alignment/>
    </xf>
    <xf numFmtId="0" fontId="31" fillId="3" borderId="0" xfId="0" applyFont="1" applyFill="1" applyAlignment="1">
      <alignment horizontal="center"/>
    </xf>
    <xf numFmtId="0" fontId="7" fillId="3" borderId="0" xfId="0" applyFont="1" applyFill="1" applyAlignment="1">
      <alignment/>
    </xf>
    <xf numFmtId="0" fontId="6" fillId="3" borderId="0" xfId="0" applyFont="1" applyFill="1" applyAlignment="1">
      <alignment horizontal="center"/>
    </xf>
    <xf numFmtId="0" fontId="18" fillId="3" borderId="0" xfId="0" applyFont="1" applyFill="1" applyAlignment="1">
      <alignment/>
    </xf>
    <xf numFmtId="3" fontId="6" fillId="3" borderId="0" xfId="46" applyFont="1" applyFill="1" applyBorder="1">
      <alignment/>
      <protection/>
    </xf>
    <xf numFmtId="0" fontId="29" fillId="3" borderId="0" xfId="0" applyFont="1" applyFill="1" applyAlignment="1">
      <alignment/>
    </xf>
    <xf numFmtId="0" fontId="31" fillId="4" borderId="0" xfId="0" applyFont="1" applyFill="1" applyAlignment="1">
      <alignment horizontal="center"/>
    </xf>
    <xf numFmtId="0" fontId="7" fillId="4" borderId="0" xfId="0" applyFont="1" applyFill="1" applyAlignment="1">
      <alignment/>
    </xf>
    <xf numFmtId="0" fontId="7" fillId="4" borderId="0" xfId="0" applyFont="1" applyFill="1" applyBorder="1" applyAlignment="1">
      <alignment/>
    </xf>
    <xf numFmtId="0" fontId="6" fillId="4" borderId="0" xfId="0" applyFont="1" applyFill="1" applyAlignment="1">
      <alignment/>
    </xf>
    <xf numFmtId="0" fontId="29" fillId="4" borderId="0" xfId="0" applyFont="1" applyFill="1" applyAlignment="1">
      <alignment/>
    </xf>
    <xf numFmtId="0" fontId="19" fillId="2" borderId="0" xfId="0" applyFont="1" applyFill="1" applyAlignment="1">
      <alignment horizontal="center"/>
    </xf>
    <xf numFmtId="165" fontId="7" fillId="4" borderId="0" xfId="50" applyFont="1" applyFill="1" applyBorder="1">
      <alignment/>
      <protection/>
    </xf>
    <xf numFmtId="0" fontId="6" fillId="4" borderId="0" xfId="0" applyFont="1" applyFill="1" applyAlignment="1">
      <alignment horizontal="center"/>
    </xf>
    <xf numFmtId="0" fontId="6" fillId="18" borderId="65" xfId="0" applyFont="1" applyFill="1" applyBorder="1" applyAlignment="1">
      <alignment horizontal="centerContinuous"/>
    </xf>
    <xf numFmtId="10" fontId="7" fillId="4" borderId="65" xfId="0" applyNumberFormat="1" applyFont="1" applyFill="1" applyBorder="1" applyAlignment="1">
      <alignment horizontal="center" wrapText="1"/>
    </xf>
    <xf numFmtId="0" fontId="6" fillId="18" borderId="0" xfId="0" applyFont="1" applyFill="1" applyBorder="1" applyAlignment="1">
      <alignment horizontal="right"/>
    </xf>
    <xf numFmtId="0" fontId="6" fillId="18" borderId="0" xfId="0" applyFont="1" applyFill="1" applyBorder="1" applyAlignment="1">
      <alignment/>
    </xf>
    <xf numFmtId="0" fontId="7" fillId="4" borderId="0" xfId="0" applyFont="1" applyFill="1" applyBorder="1" applyAlignment="1">
      <alignment horizontal="center" wrapText="1"/>
    </xf>
    <xf numFmtId="0" fontId="6" fillId="18" borderId="7" xfId="0" applyFont="1" applyFill="1" applyBorder="1" applyAlignment="1">
      <alignment horizontal="right"/>
    </xf>
    <xf numFmtId="0" fontId="7" fillId="4" borderId="7" xfId="0" applyFont="1" applyFill="1" applyBorder="1" applyAlignment="1">
      <alignment horizontal="center" wrapText="1"/>
    </xf>
    <xf numFmtId="170" fontId="6" fillId="4" borderId="67" xfId="44" applyNumberFormat="1" applyFont="1" applyFill="1" applyBorder="1" applyAlignment="1">
      <alignment horizontal="center" wrapText="1"/>
    </xf>
    <xf numFmtId="170" fontId="6" fillId="4" borderId="68" xfId="44" applyNumberFormat="1" applyFont="1" applyFill="1" applyBorder="1" applyAlignment="1">
      <alignment horizontal="center" wrapText="1"/>
    </xf>
    <xf numFmtId="170" fontId="6" fillId="4" borderId="69" xfId="44" applyNumberFormat="1" applyFont="1" applyFill="1" applyBorder="1" applyAlignment="1">
      <alignment horizontal="center" wrapText="1"/>
    </xf>
    <xf numFmtId="170" fontId="6" fillId="4" borderId="70" xfId="44" applyNumberFormat="1" applyFont="1" applyFill="1" applyBorder="1" applyAlignment="1">
      <alignment horizontal="center" wrapText="1"/>
    </xf>
    <xf numFmtId="170" fontId="6" fillId="4" borderId="42" xfId="44" applyNumberFormat="1" applyFont="1" applyFill="1" applyBorder="1" applyAlignment="1">
      <alignment horizontal="center" wrapText="1"/>
    </xf>
    <xf numFmtId="170" fontId="6" fillId="4" borderId="71" xfId="44" applyNumberFormat="1" applyFont="1" applyFill="1" applyBorder="1" applyAlignment="1">
      <alignment horizontal="center" wrapText="1"/>
    </xf>
    <xf numFmtId="170" fontId="6" fillId="4" borderId="72" xfId="44" applyNumberFormat="1" applyFont="1" applyFill="1" applyBorder="1" applyAlignment="1">
      <alignment horizontal="center" wrapText="1"/>
    </xf>
    <xf numFmtId="170" fontId="6" fillId="4" borderId="73" xfId="44" applyNumberFormat="1" applyFont="1" applyFill="1" applyBorder="1" applyAlignment="1">
      <alignment horizontal="center" wrapText="1"/>
    </xf>
    <xf numFmtId="170" fontId="6" fillId="4" borderId="74" xfId="44" applyNumberFormat="1" applyFont="1" applyFill="1" applyBorder="1" applyAlignment="1">
      <alignment horizontal="center" wrapText="1"/>
    </xf>
    <xf numFmtId="170" fontId="6" fillId="4" borderId="75" xfId="44" applyNumberFormat="1" applyFont="1" applyFill="1" applyBorder="1" applyAlignment="1">
      <alignment horizontal="center" wrapText="1"/>
    </xf>
    <xf numFmtId="0" fontId="31" fillId="0" borderId="0" xfId="0" applyFont="1" applyFill="1" applyBorder="1" applyAlignment="1">
      <alignment horizontal="left"/>
    </xf>
    <xf numFmtId="0" fontId="30" fillId="0" borderId="0" xfId="84" applyFont="1" applyFill="1" applyAlignment="1">
      <alignment/>
      <protection/>
    </xf>
    <xf numFmtId="0" fontId="0" fillId="0" borderId="0" xfId="84" applyFill="1">
      <alignment/>
      <protection/>
    </xf>
    <xf numFmtId="9" fontId="6" fillId="0" borderId="0" xfId="0" applyNumberFormat="1" applyFont="1" applyFill="1" applyBorder="1" applyAlignment="1">
      <alignment/>
    </xf>
    <xf numFmtId="9" fontId="6" fillId="0" borderId="11" xfId="0" applyNumberFormat="1" applyFont="1" applyFill="1" applyBorder="1" applyAlignment="1">
      <alignment/>
    </xf>
    <xf numFmtId="0" fontId="31" fillId="0" borderId="0" xfId="0" applyFont="1" applyFill="1" applyAlignment="1">
      <alignment horizontal="center" vertical="center"/>
    </xf>
    <xf numFmtId="0" fontId="6" fillId="0" borderId="0" xfId="0" applyFont="1" applyFill="1" applyAlignment="1">
      <alignment vertical="center" wrapText="1"/>
    </xf>
    <xf numFmtId="166" fontId="6" fillId="0" borderId="0" xfId="0" applyNumberFormat="1" applyFont="1" applyFill="1" applyBorder="1" applyAlignment="1">
      <alignment vertical="center"/>
    </xf>
    <xf numFmtId="0" fontId="6" fillId="0" borderId="0" xfId="0" applyFont="1" applyFill="1" applyAlignment="1">
      <alignment horizontal="left" vertical="center"/>
    </xf>
    <xf numFmtId="0" fontId="29" fillId="0" borderId="0" xfId="0" applyFont="1" applyFill="1" applyAlignment="1">
      <alignment vertical="center"/>
    </xf>
    <xf numFmtId="3" fontId="6" fillId="0" borderId="0" xfId="42" applyNumberFormat="1" applyFont="1" applyFill="1" applyAlignment="1">
      <alignment vertical="center"/>
      <protection/>
    </xf>
    <xf numFmtId="0" fontId="6" fillId="0" borderId="0" xfId="0" applyFont="1" applyFill="1" applyAlignment="1">
      <alignment vertical="center"/>
    </xf>
    <xf numFmtId="0" fontId="6" fillId="0" borderId="0" xfId="0" applyFont="1" applyFill="1" applyBorder="1" applyAlignment="1">
      <alignment vertical="center"/>
    </xf>
    <xf numFmtId="0" fontId="0" fillId="0" borderId="0" xfId="0" applyFill="1" applyAlignment="1">
      <alignment vertical="center"/>
    </xf>
    <xf numFmtId="173" fontId="6" fillId="4" borderId="0" xfId="0" applyNumberFormat="1" applyFont="1" applyFill="1" applyAlignment="1">
      <alignment/>
    </xf>
    <xf numFmtId="166" fontId="6" fillId="4" borderId="0" xfId="0" applyNumberFormat="1" applyFont="1" applyFill="1" applyBorder="1" applyAlignment="1">
      <alignment/>
    </xf>
    <xf numFmtId="0" fontId="18" fillId="4" borderId="0" xfId="0" applyFont="1" applyFill="1" applyAlignment="1">
      <alignment/>
    </xf>
    <xf numFmtId="166" fontId="7" fillId="0" borderId="0" xfId="0" applyNumberFormat="1" applyFont="1" applyFill="1" applyAlignment="1">
      <alignment/>
    </xf>
    <xf numFmtId="166" fontId="6" fillId="4" borderId="0" xfId="0" applyNumberFormat="1" applyFont="1" applyFill="1" applyBorder="1" applyAlignment="1">
      <alignment horizontal="center"/>
    </xf>
    <xf numFmtId="0" fontId="6" fillId="4" borderId="0" xfId="0" applyFont="1" applyFill="1" applyBorder="1" applyAlignment="1">
      <alignment/>
    </xf>
    <xf numFmtId="0" fontId="0" fillId="4" borderId="0" xfId="0" applyFont="1" applyFill="1" applyAlignment="1">
      <alignment/>
    </xf>
    <xf numFmtId="173" fontId="7" fillId="4" borderId="14" xfId="0" applyNumberFormat="1" applyFont="1" applyFill="1" applyBorder="1" applyAlignment="1">
      <alignment/>
    </xf>
    <xf numFmtId="0" fontId="7" fillId="4" borderId="0" xfId="0" applyFont="1" applyFill="1" applyAlignment="1">
      <alignment wrapText="1"/>
    </xf>
    <xf numFmtId="164" fontId="6" fillId="3" borderId="63" xfId="50" applyNumberFormat="1" applyFont="1" applyFill="1" applyBorder="1">
      <alignment/>
      <protection/>
    </xf>
    <xf numFmtId="164" fontId="6" fillId="4" borderId="63" xfId="50" applyNumberFormat="1" applyFont="1" applyFill="1" applyBorder="1">
      <alignment/>
      <protection/>
    </xf>
    <xf numFmtId="166" fontId="7" fillId="6" borderId="14" xfId="0" applyNumberFormat="1" applyFont="1" applyFill="1" applyBorder="1" applyAlignment="1">
      <alignment/>
    </xf>
    <xf numFmtId="166" fontId="7" fillId="3" borderId="14" xfId="0" applyNumberFormat="1" applyFont="1" applyFill="1" applyBorder="1" applyAlignment="1">
      <alignment/>
    </xf>
    <xf numFmtId="166" fontId="6" fillId="0" borderId="7" xfId="0" applyNumberFormat="1" applyFont="1" applyFill="1" applyBorder="1" applyAlignment="1">
      <alignment/>
    </xf>
    <xf numFmtId="173" fontId="6" fillId="4" borderId="0" xfId="0" applyNumberFormat="1" applyFont="1" applyFill="1" applyAlignment="1">
      <alignment horizontal="center"/>
    </xf>
    <xf numFmtId="173" fontId="6" fillId="3" borderId="0" xfId="0" applyNumberFormat="1" applyFont="1" applyFill="1" applyAlignment="1">
      <alignment horizontal="center"/>
    </xf>
    <xf numFmtId="0" fontId="7" fillId="4" borderId="0" xfId="0" applyFont="1" applyFill="1" applyBorder="1" applyAlignment="1">
      <alignment horizontal="center"/>
    </xf>
    <xf numFmtId="0" fontId="6" fillId="4" borderId="14" xfId="0" applyFont="1" applyFill="1" applyBorder="1" applyAlignment="1">
      <alignment horizontal="center"/>
    </xf>
    <xf numFmtId="0" fontId="18" fillId="4" borderId="14" xfId="0" applyFont="1" applyFill="1" applyBorder="1" applyAlignment="1">
      <alignment/>
    </xf>
    <xf numFmtId="179" fontId="7" fillId="4" borderId="0" xfId="0" applyNumberFormat="1" applyFont="1" applyFill="1" applyBorder="1" applyAlignment="1">
      <alignment/>
    </xf>
    <xf numFmtId="166" fontId="7" fillId="4" borderId="0" xfId="0" applyNumberFormat="1" applyFont="1" applyFill="1" applyAlignment="1">
      <alignment/>
    </xf>
    <xf numFmtId="166" fontId="7" fillId="4" borderId="0" xfId="0" applyNumberFormat="1" applyFont="1" applyFill="1" applyBorder="1" applyAlignment="1">
      <alignment/>
    </xf>
    <xf numFmtId="166" fontId="6" fillId="3" borderId="14" xfId="0" applyNumberFormat="1" applyFont="1" applyFill="1" applyBorder="1" applyAlignment="1">
      <alignment/>
    </xf>
    <xf numFmtId="164" fontId="6" fillId="0" borderId="0" xfId="50" applyNumberFormat="1" applyFont="1" applyFill="1" applyBorder="1">
      <alignment/>
      <protection/>
    </xf>
    <xf numFmtId="0" fontId="6" fillId="4" borderId="14" xfId="0" applyFont="1" applyFill="1" applyBorder="1" applyAlignment="1">
      <alignment/>
    </xf>
    <xf numFmtId="165" fontId="6" fillId="4" borderId="14" xfId="50" applyFont="1" applyFill="1" applyBorder="1" applyAlignment="1" quotePrefix="1">
      <alignment horizontal="center"/>
      <protection/>
    </xf>
    <xf numFmtId="0" fontId="6" fillId="0" borderId="0" xfId="0" applyFont="1" applyFill="1" applyBorder="1" applyAlignment="1">
      <alignment wrapText="1"/>
    </xf>
    <xf numFmtId="0" fontId="6" fillId="4" borderId="7" xfId="0" applyFont="1" applyFill="1" applyBorder="1" applyAlignment="1">
      <alignment horizontal="center" wrapText="1"/>
    </xf>
    <xf numFmtId="173" fontId="6" fillId="0" borderId="0" xfId="0" applyNumberFormat="1" applyFont="1" applyFill="1" applyAlignment="1" quotePrefix="1">
      <alignment horizontal="center"/>
    </xf>
    <xf numFmtId="0" fontId="18" fillId="4" borderId="0" xfId="0" applyFont="1" applyFill="1" applyAlignment="1">
      <alignment horizontal="left"/>
    </xf>
    <xf numFmtId="0" fontId="18" fillId="6" borderId="0" xfId="0" applyFont="1" applyFill="1" applyAlignment="1">
      <alignment horizontal="left"/>
    </xf>
    <xf numFmtId="0" fontId="18" fillId="4" borderId="0" xfId="0" applyFont="1" applyFill="1" applyBorder="1" applyAlignment="1">
      <alignment/>
    </xf>
    <xf numFmtId="0" fontId="48" fillId="4" borderId="0" xfId="0" applyFont="1" applyFill="1" applyAlignment="1">
      <alignment/>
    </xf>
    <xf numFmtId="0" fontId="13" fillId="0" borderId="0" xfId="0" applyFont="1" applyFill="1" applyAlignment="1" quotePrefix="1">
      <alignment horizontal="center" vertical="top"/>
    </xf>
    <xf numFmtId="0" fontId="6" fillId="0" borderId="0" xfId="0" applyFont="1" applyFill="1" applyAlignment="1">
      <alignment horizontal="left" wrapText="1"/>
    </xf>
    <xf numFmtId="171" fontId="6" fillId="0" borderId="0" xfId="0" applyNumberFormat="1" applyFont="1" applyFill="1" applyBorder="1" applyAlignment="1">
      <alignment/>
    </xf>
    <xf numFmtId="44" fontId="13" fillId="22" borderId="28" xfId="87" applyNumberFormat="1" applyFont="1" applyFill="1" applyBorder="1">
      <alignment/>
      <protection/>
    </xf>
    <xf numFmtId="44" fontId="13" fillId="22" borderId="11" xfId="87" applyNumberFormat="1" applyFont="1" applyFill="1" applyBorder="1">
      <alignment/>
      <protection/>
    </xf>
    <xf numFmtId="44" fontId="6" fillId="0" borderId="23" xfId="49" applyNumberFormat="1" applyFont="1" applyBorder="1" applyAlignment="1" quotePrefix="1">
      <alignment/>
    </xf>
    <xf numFmtId="180" fontId="6" fillId="0" borderId="0" xfId="49" applyNumberFormat="1" applyFont="1" applyBorder="1" applyAlignment="1">
      <alignment/>
    </xf>
    <xf numFmtId="3" fontId="13" fillId="23" borderId="11" xfId="87" applyNumberFormat="1" applyFont="1" applyFill="1" applyBorder="1">
      <alignment/>
      <protection/>
    </xf>
    <xf numFmtId="3" fontId="13" fillId="23" borderId="28" xfId="87" applyNumberFormat="1" applyFont="1" applyFill="1" applyBorder="1">
      <alignment/>
      <protection/>
    </xf>
    <xf numFmtId="3" fontId="13" fillId="23" borderId="13" xfId="87" applyNumberFormat="1" applyFont="1" applyFill="1" applyBorder="1">
      <alignment/>
      <protection/>
    </xf>
    <xf numFmtId="180" fontId="21" fillId="0" borderId="0" xfId="87" applyNumberFormat="1" applyFont="1">
      <alignment/>
      <protection/>
    </xf>
    <xf numFmtId="44" fontId="21" fillId="0" borderId="0" xfId="87" applyNumberFormat="1" applyFont="1" applyFill="1" applyBorder="1">
      <alignment/>
      <protection/>
    </xf>
    <xf numFmtId="41" fontId="13" fillId="20" borderId="54" xfId="87" applyNumberFormat="1" applyFont="1" applyFill="1" applyBorder="1">
      <alignment/>
      <protection/>
    </xf>
    <xf numFmtId="44" fontId="13" fillId="20" borderId="0" xfId="87" applyNumberFormat="1" applyFont="1" applyFill="1" applyBorder="1">
      <alignment/>
      <protection/>
    </xf>
    <xf numFmtId="44" fontId="13" fillId="20" borderId="58" xfId="87" applyNumberFormat="1" applyFont="1" applyFill="1" applyBorder="1">
      <alignment/>
      <protection/>
    </xf>
    <xf numFmtId="0" fontId="1" fillId="0" borderId="0" xfId="87" applyFill="1" applyBorder="1">
      <alignment/>
      <protection/>
    </xf>
    <xf numFmtId="0" fontId="0" fillId="0" borderId="0" xfId="0" applyFont="1" applyFill="1" applyAlignment="1" quotePrefix="1">
      <alignment/>
    </xf>
    <xf numFmtId="179" fontId="7" fillId="0" borderId="0" xfId="0" applyNumberFormat="1" applyFont="1" applyFill="1" applyBorder="1" applyAlignment="1">
      <alignment/>
    </xf>
    <xf numFmtId="0" fontId="49" fillId="3" borderId="76" xfId="0" applyFont="1" applyFill="1" applyBorder="1" applyAlignment="1">
      <alignment/>
    </xf>
    <xf numFmtId="164" fontId="49" fillId="3" borderId="77" xfId="50" applyNumberFormat="1" applyFont="1" applyFill="1" applyBorder="1">
      <alignment/>
      <protection/>
    </xf>
    <xf numFmtId="0" fontId="49" fillId="3" borderId="78" xfId="0" applyFont="1" applyFill="1" applyBorder="1" applyAlignment="1">
      <alignment/>
    </xf>
    <xf numFmtId="181" fontId="6" fillId="0" borderId="0" xfId="0" applyNumberFormat="1" applyFont="1" applyFill="1" applyAlignment="1">
      <alignment/>
    </xf>
    <xf numFmtId="3" fontId="7" fillId="19" borderId="29" xfId="0" applyNumberFormat="1" applyFont="1" applyFill="1" applyBorder="1" applyAlignment="1">
      <alignment horizontal="center" wrapText="1"/>
    </xf>
    <xf numFmtId="166" fontId="6" fillId="19" borderId="29" xfId="0" applyNumberFormat="1" applyFont="1" applyFill="1" applyBorder="1" applyAlignment="1">
      <alignment horizontal="right"/>
    </xf>
    <xf numFmtId="173" fontId="6" fillId="19" borderId="29" xfId="0" applyNumberFormat="1" applyFont="1" applyFill="1" applyBorder="1" applyAlignment="1">
      <alignment horizontal="right"/>
    </xf>
    <xf numFmtId="173" fontId="6" fillId="19" borderId="29" xfId="0" applyNumberFormat="1" applyFont="1" applyFill="1" applyBorder="1" applyAlignment="1">
      <alignment/>
    </xf>
    <xf numFmtId="166" fontId="6" fillId="19" borderId="79" xfId="0" applyNumberFormat="1" applyFont="1" applyFill="1" applyBorder="1" applyAlignment="1">
      <alignment/>
    </xf>
    <xf numFmtId="3" fontId="7" fillId="19" borderId="10" xfId="0" applyNumberFormat="1" applyFont="1" applyFill="1" applyBorder="1" applyAlignment="1">
      <alignment horizontal="center" wrapText="1"/>
    </xf>
    <xf numFmtId="166" fontId="6" fillId="19" borderId="10" xfId="0" applyNumberFormat="1" applyFont="1" applyFill="1" applyBorder="1" applyAlignment="1">
      <alignment horizontal="right"/>
    </xf>
    <xf numFmtId="173" fontId="6" fillId="19" borderId="10" xfId="0" applyNumberFormat="1" applyFont="1" applyFill="1" applyBorder="1" applyAlignment="1">
      <alignment horizontal="right"/>
    </xf>
    <xf numFmtId="0" fontId="6" fillId="2" borderId="0" xfId="0" applyFont="1" applyFill="1" applyAlignment="1">
      <alignment vertical="top" wrapText="1"/>
    </xf>
    <xf numFmtId="0" fontId="0" fillId="2" borderId="0" xfId="0" applyFill="1" applyAlignment="1">
      <alignment vertical="top" wrapText="1"/>
    </xf>
    <xf numFmtId="173" fontId="6" fillId="19" borderId="10" xfId="0" applyNumberFormat="1" applyFont="1" applyFill="1" applyBorder="1" applyAlignment="1">
      <alignment/>
    </xf>
    <xf numFmtId="166" fontId="6" fillId="19" borderId="80" xfId="0" applyNumberFormat="1" applyFont="1" applyFill="1" applyBorder="1" applyAlignment="1">
      <alignment/>
    </xf>
    <xf numFmtId="173" fontId="6" fillId="19" borderId="10" xfId="0" applyNumberFormat="1" applyFont="1" applyFill="1" applyBorder="1" applyAlignment="1">
      <alignment horizontal="center"/>
    </xf>
    <xf numFmtId="0" fontId="29" fillId="0" borderId="0" xfId="0" applyFont="1" applyFill="1" applyBorder="1" applyAlignment="1">
      <alignment/>
    </xf>
    <xf numFmtId="0" fontId="31" fillId="0" borderId="0" xfId="73" applyFont="1" applyFill="1" applyBorder="1" applyAlignment="1">
      <alignment horizontal="center"/>
      <protection/>
    </xf>
    <xf numFmtId="0" fontId="31" fillId="17" borderId="0" xfId="0" applyFont="1" applyFill="1" applyAlignment="1">
      <alignment horizontal="right" vertical="center"/>
    </xf>
    <xf numFmtId="3" fontId="6" fillId="2" borderId="14" xfId="0" applyNumberFormat="1" applyFont="1" applyFill="1" applyBorder="1" applyAlignment="1">
      <alignment horizontal="center"/>
    </xf>
    <xf numFmtId="0" fontId="32" fillId="0" borderId="0" xfId="84" applyFont="1" applyFill="1" applyBorder="1" applyAlignment="1">
      <alignment/>
      <protection/>
    </xf>
    <xf numFmtId="0" fontId="19" fillId="0" borderId="0" xfId="84" applyFont="1" applyFill="1" applyBorder="1" applyAlignment="1">
      <alignment horizontal="center"/>
      <protection/>
    </xf>
    <xf numFmtId="170" fontId="6" fillId="4" borderId="81" xfId="44" applyNumberFormat="1" applyFont="1" applyFill="1" applyBorder="1" applyAlignment="1">
      <alignment horizontal="center" wrapText="1"/>
    </xf>
    <xf numFmtId="170" fontId="19" fillId="4" borderId="74" xfId="44" applyNumberFormat="1" applyFont="1" applyFill="1" applyBorder="1" applyAlignment="1">
      <alignment horizontal="center" wrapText="1"/>
    </xf>
    <xf numFmtId="0" fontId="6" fillId="0" borderId="16" xfId="84" applyFont="1" applyBorder="1" applyAlignment="1">
      <alignment horizontal="center"/>
      <protection/>
    </xf>
    <xf numFmtId="0" fontId="6" fillId="0" borderId="19" xfId="84" applyFont="1" applyBorder="1" applyAlignment="1">
      <alignment horizontal="center"/>
      <protection/>
    </xf>
    <xf numFmtId="0" fontId="40" fillId="0" borderId="0" xfId="0" applyFont="1" applyFill="1" applyBorder="1" applyAlignment="1">
      <alignment/>
    </xf>
    <xf numFmtId="0" fontId="40" fillId="11" borderId="37" xfId="0" applyFont="1" applyFill="1" applyBorder="1" applyAlignment="1">
      <alignment/>
    </xf>
    <xf numFmtId="0" fontId="16" fillId="0" borderId="0" xfId="0" applyFont="1" applyFill="1" applyBorder="1" applyAlignment="1">
      <alignment/>
    </xf>
    <xf numFmtId="0" fontId="0" fillId="0" borderId="32" xfId="0" applyFill="1" applyBorder="1" applyAlignment="1">
      <alignment/>
    </xf>
    <xf numFmtId="0" fontId="6" fillId="0" borderId="32" xfId="0" applyFont="1" applyFill="1" applyBorder="1" applyAlignment="1">
      <alignment/>
    </xf>
    <xf numFmtId="0" fontId="11" fillId="0" borderId="32" xfId="0" applyFont="1" applyFill="1" applyBorder="1" applyAlignment="1">
      <alignment/>
    </xf>
    <xf numFmtId="10" fontId="6" fillId="0" borderId="0" xfId="0" applyNumberFormat="1" applyFont="1" applyFill="1" applyBorder="1" applyAlignment="1">
      <alignment horizontal="left"/>
    </xf>
    <xf numFmtId="0" fontId="42" fillId="0" borderId="0" xfId="0" applyFont="1" applyFill="1" applyBorder="1" applyAlignment="1">
      <alignment/>
    </xf>
    <xf numFmtId="0" fontId="40" fillId="11" borderId="82" xfId="0" applyFont="1" applyFill="1" applyBorder="1" applyAlignment="1">
      <alignment/>
    </xf>
    <xf numFmtId="0" fontId="11" fillId="0" borderId="83" xfId="0" applyFont="1" applyFill="1" applyBorder="1" applyAlignment="1">
      <alignment/>
    </xf>
    <xf numFmtId="0" fontId="6" fillId="4" borderId="40" xfId="0" applyFont="1" applyFill="1" applyBorder="1" applyAlignment="1">
      <alignment horizontal="center" wrapText="1"/>
    </xf>
    <xf numFmtId="0" fontId="38" fillId="11" borderId="84" xfId="62" applyFont="1" applyFill="1" applyBorder="1" applyAlignment="1" applyProtection="1">
      <alignment/>
      <protection/>
    </xf>
    <xf numFmtId="0" fontId="40" fillId="11" borderId="85" xfId="0" applyFont="1" applyFill="1" applyBorder="1" applyAlignment="1">
      <alignment/>
    </xf>
    <xf numFmtId="0" fontId="0" fillId="4" borderId="0" xfId="0" applyFill="1" applyAlignment="1">
      <alignment/>
    </xf>
    <xf numFmtId="0" fontId="6" fillId="4" borderId="0" xfId="0" applyFont="1" applyFill="1" applyAlignment="1" quotePrefix="1">
      <alignment horizontal="center"/>
    </xf>
    <xf numFmtId="0" fontId="6" fillId="3" borderId="7" xfId="0" applyFont="1" applyFill="1" applyBorder="1" applyAlignment="1">
      <alignment horizontal="center"/>
    </xf>
    <xf numFmtId="0" fontId="6" fillId="3" borderId="40" xfId="0" applyFont="1" applyFill="1" applyBorder="1" applyAlignment="1">
      <alignment horizontal="center"/>
    </xf>
    <xf numFmtId="0" fontId="42" fillId="0" borderId="86" xfId="0" applyFont="1" applyFill="1" applyBorder="1" applyAlignment="1">
      <alignment/>
    </xf>
    <xf numFmtId="0" fontId="0" fillId="0" borderId="86" xfId="0" applyFill="1" applyBorder="1" applyAlignment="1">
      <alignment/>
    </xf>
    <xf numFmtId="164" fontId="23" fillId="20" borderId="87" xfId="50" applyNumberFormat="1" applyFont="1" applyFill="1" applyBorder="1">
      <alignment/>
      <protection/>
    </xf>
    <xf numFmtId="173" fontId="23" fillId="20" borderId="87" xfId="0" applyNumberFormat="1" applyFont="1" applyFill="1" applyBorder="1" applyAlignment="1">
      <alignment/>
    </xf>
    <xf numFmtId="0" fontId="42" fillId="0" borderId="88" xfId="0" applyFont="1" applyFill="1" applyBorder="1" applyAlignment="1">
      <alignment/>
    </xf>
    <xf numFmtId="0" fontId="0" fillId="0" borderId="88" xfId="0" applyFill="1" applyBorder="1" applyAlignment="1">
      <alignment/>
    </xf>
    <xf numFmtId="164" fontId="23" fillId="20" borderId="89" xfId="50" applyNumberFormat="1" applyFont="1" applyFill="1" applyBorder="1">
      <alignment/>
      <protection/>
    </xf>
    <xf numFmtId="0" fontId="0" fillId="0" borderId="0" xfId="66">
      <alignment/>
      <protection/>
    </xf>
    <xf numFmtId="0" fontId="12" fillId="0" borderId="0" xfId="66" applyFont="1" applyFill="1" applyBorder="1" applyAlignment="1">
      <alignment horizontal="left"/>
      <protection/>
    </xf>
    <xf numFmtId="0" fontId="11" fillId="0" borderId="0" xfId="84" applyFont="1" quotePrefix="1">
      <alignment/>
      <protection/>
    </xf>
    <xf numFmtId="0" fontId="6" fillId="0" borderId="0" xfId="66" applyFont="1" applyFill="1" applyBorder="1" applyAlignment="1">
      <alignment horizontal="left"/>
      <protection/>
    </xf>
    <xf numFmtId="0" fontId="53" fillId="0" borderId="0" xfId="66" applyFont="1">
      <alignment/>
      <protection/>
    </xf>
    <xf numFmtId="49" fontId="54" fillId="0" borderId="90" xfId="66" applyNumberFormat="1" applyFont="1" applyBorder="1" applyAlignment="1">
      <alignment horizontal="center"/>
      <protection/>
    </xf>
    <xf numFmtId="49" fontId="53" fillId="0" borderId="0" xfId="66" applyNumberFormat="1" applyFont="1" applyAlignment="1">
      <alignment horizontal="center"/>
      <protection/>
    </xf>
    <xf numFmtId="49" fontId="54" fillId="0" borderId="0" xfId="66" applyNumberFormat="1" applyFont="1">
      <alignment/>
      <protection/>
    </xf>
    <xf numFmtId="183" fontId="54" fillId="0" borderId="0" xfId="66" applyNumberFormat="1" applyFont="1">
      <alignment/>
      <protection/>
    </xf>
    <xf numFmtId="184" fontId="54" fillId="0" borderId="0" xfId="66" applyNumberFormat="1" applyFont="1">
      <alignment/>
      <protection/>
    </xf>
    <xf numFmtId="49" fontId="55" fillId="0" borderId="0" xfId="66" applyNumberFormat="1" applyFont="1">
      <alignment/>
      <protection/>
    </xf>
    <xf numFmtId="183" fontId="55" fillId="0" borderId="0" xfId="66" applyNumberFormat="1" applyFont="1">
      <alignment/>
      <protection/>
    </xf>
    <xf numFmtId="184" fontId="55" fillId="0" borderId="0" xfId="66" applyNumberFormat="1" applyFont="1">
      <alignment/>
      <protection/>
    </xf>
    <xf numFmtId="184" fontId="55" fillId="0" borderId="42" xfId="66" applyNumberFormat="1" applyFont="1" applyBorder="1">
      <alignment/>
      <protection/>
    </xf>
    <xf numFmtId="184" fontId="54" fillId="0" borderId="42" xfId="66" applyNumberFormat="1" applyFont="1" applyBorder="1">
      <alignment/>
      <protection/>
    </xf>
    <xf numFmtId="184" fontId="55" fillId="0" borderId="9" xfId="66" applyNumberFormat="1" applyFont="1" applyBorder="1">
      <alignment/>
      <protection/>
    </xf>
    <xf numFmtId="10" fontId="6" fillId="0" borderId="0" xfId="66" applyNumberFormat="1" applyFont="1" applyBorder="1" applyAlignment="1">
      <alignment horizontal="right"/>
      <protection/>
    </xf>
    <xf numFmtId="0" fontId="0" fillId="0" borderId="0" xfId="66" applyAlignment="1">
      <alignment/>
      <protection/>
    </xf>
    <xf numFmtId="49" fontId="54" fillId="0" borderId="0" xfId="0" applyNumberFormat="1" applyFont="1" applyAlignment="1">
      <alignment/>
    </xf>
    <xf numFmtId="183" fontId="54" fillId="0" borderId="0" xfId="0" applyNumberFormat="1" applyFont="1" applyAlignment="1">
      <alignment/>
    </xf>
    <xf numFmtId="184" fontId="54" fillId="0" borderId="0" xfId="0" applyNumberFormat="1" applyFont="1" applyAlignment="1">
      <alignment/>
    </xf>
    <xf numFmtId="49" fontId="53" fillId="0" borderId="0" xfId="0" applyNumberFormat="1" applyFont="1" applyAlignment="1">
      <alignment/>
    </xf>
    <xf numFmtId="49" fontId="55" fillId="0" borderId="0" xfId="0" applyNumberFormat="1" applyFont="1" applyAlignment="1">
      <alignment/>
    </xf>
    <xf numFmtId="183" fontId="55" fillId="0" borderId="0" xfId="0" applyNumberFormat="1" applyFont="1" applyAlignment="1">
      <alignment/>
    </xf>
    <xf numFmtId="184" fontId="55" fillId="0" borderId="42" xfId="0" applyNumberFormat="1" applyFont="1" applyBorder="1" applyAlignment="1">
      <alignment/>
    </xf>
    <xf numFmtId="184" fontId="55" fillId="0" borderId="0" xfId="0" applyNumberFormat="1" applyFont="1" applyAlignment="1">
      <alignment/>
    </xf>
    <xf numFmtId="0" fontId="5" fillId="0" borderId="0" xfId="66" applyFont="1">
      <alignment/>
      <protection/>
    </xf>
    <xf numFmtId="0" fontId="56" fillId="0" borderId="0" xfId="66" applyFont="1">
      <alignment/>
      <protection/>
    </xf>
    <xf numFmtId="184" fontId="0" fillId="0" borderId="0" xfId="66" applyNumberFormat="1">
      <alignment/>
      <protection/>
    </xf>
    <xf numFmtId="4" fontId="6" fillId="0" borderId="0" xfId="0" applyNumberFormat="1" applyFont="1" applyFill="1" applyBorder="1" applyAlignment="1">
      <alignment/>
    </xf>
    <xf numFmtId="0" fontId="59" fillId="4" borderId="76" xfId="0" applyFont="1" applyFill="1" applyBorder="1" applyAlignment="1">
      <alignment/>
    </xf>
    <xf numFmtId="0" fontId="7" fillId="4" borderId="78" xfId="0" applyFont="1" applyFill="1" applyBorder="1" applyAlignment="1">
      <alignment/>
    </xf>
    <xf numFmtId="164" fontId="49" fillId="4" borderId="77" xfId="50" applyNumberFormat="1" applyFont="1" applyFill="1" applyBorder="1">
      <alignment/>
      <protection/>
    </xf>
    <xf numFmtId="166" fontId="7" fillId="0" borderId="14" xfId="0" applyNumberFormat="1" applyFont="1" applyFill="1" applyBorder="1" applyAlignment="1">
      <alignment/>
    </xf>
    <xf numFmtId="166" fontId="7" fillId="4" borderId="14" xfId="0" applyNumberFormat="1" applyFont="1" applyFill="1" applyBorder="1" applyAlignment="1">
      <alignment/>
    </xf>
    <xf numFmtId="166" fontId="6" fillId="4" borderId="14" xfId="0" applyNumberFormat="1" applyFont="1" applyFill="1" applyBorder="1" applyAlignment="1">
      <alignment/>
    </xf>
    <xf numFmtId="166" fontId="6" fillId="4" borderId="65" xfId="0" applyNumberFormat="1" applyFont="1" applyFill="1" applyBorder="1" applyAlignment="1">
      <alignment/>
    </xf>
    <xf numFmtId="182" fontId="35" fillId="0" borderId="0" xfId="0" applyNumberFormat="1" applyFont="1" applyFill="1" applyAlignment="1">
      <alignment/>
    </xf>
    <xf numFmtId="0" fontId="35" fillId="0" borderId="0" xfId="0" applyFont="1" applyFill="1" applyAlignment="1">
      <alignment/>
    </xf>
    <xf numFmtId="0" fontId="31" fillId="0" borderId="0" xfId="0" applyFont="1" applyFill="1" applyAlignment="1">
      <alignment/>
    </xf>
    <xf numFmtId="44" fontId="31" fillId="0" borderId="0" xfId="0" applyNumberFormat="1" applyFont="1" applyFill="1" applyAlignment="1">
      <alignment/>
    </xf>
    <xf numFmtId="0" fontId="6" fillId="0" borderId="0" xfId="0" applyFont="1" applyFill="1" applyAlignment="1">
      <alignment horizontal="right"/>
    </xf>
    <xf numFmtId="0" fontId="0" fillId="2" borderId="0" xfId="0" applyFill="1" applyAlignment="1">
      <alignment horizontal="right"/>
    </xf>
    <xf numFmtId="0" fontId="6" fillId="4" borderId="84" xfId="44" applyNumberFormat="1" applyFont="1" applyFill="1" applyBorder="1" applyAlignment="1">
      <alignment horizontal="center"/>
    </xf>
    <xf numFmtId="0" fontId="6" fillId="4" borderId="9" xfId="84" applyFont="1" applyFill="1" applyBorder="1" applyAlignment="1">
      <alignment horizontal="center"/>
      <protection/>
    </xf>
    <xf numFmtId="0" fontId="6" fillId="4" borderId="85" xfId="84" applyFont="1" applyFill="1" applyBorder="1" applyAlignment="1">
      <alignment horizontal="center"/>
      <protection/>
    </xf>
    <xf numFmtId="0" fontId="47" fillId="0" borderId="0" xfId="0" applyFont="1" applyFill="1" applyAlignment="1">
      <alignment/>
    </xf>
    <xf numFmtId="0" fontId="6" fillId="0" borderId="50" xfId="84" applyFont="1" applyBorder="1" applyAlignment="1">
      <alignment horizontal="center" vertical="center"/>
      <protection/>
    </xf>
    <xf numFmtId="0" fontId="6" fillId="0" borderId="19" xfId="84" applyFont="1" applyBorder="1" applyAlignment="1">
      <alignment horizontal="center" vertical="center"/>
      <protection/>
    </xf>
    <xf numFmtId="0" fontId="46" fillId="0" borderId="0" xfId="62" applyFont="1" applyFill="1" applyBorder="1" applyAlignment="1" applyProtection="1">
      <alignment horizontal="left"/>
      <protection/>
    </xf>
    <xf numFmtId="0" fontId="47" fillId="2" borderId="0" xfId="0" applyFont="1" applyFill="1" applyAlignment="1">
      <alignment/>
    </xf>
    <xf numFmtId="0" fontId="50" fillId="0" borderId="0" xfId="0" applyFont="1" applyFill="1" applyAlignment="1" quotePrefix="1">
      <alignment horizontal="center" vertical="center"/>
    </xf>
    <xf numFmtId="0" fontId="51" fillId="2" borderId="0" xfId="0" applyFont="1" applyFill="1" applyAlignment="1">
      <alignment/>
    </xf>
    <xf numFmtId="0" fontId="46" fillId="3" borderId="0" xfId="62" applyFont="1" applyFill="1" applyBorder="1" applyAlignment="1" applyProtection="1">
      <alignment horizontal="left"/>
      <protection/>
    </xf>
    <xf numFmtId="0" fontId="47" fillId="2" borderId="0" xfId="0" applyFont="1" applyFill="1" applyAlignment="1">
      <alignment/>
    </xf>
    <xf numFmtId="3" fontId="7" fillId="19" borderId="91" xfId="0" applyNumberFormat="1" applyFont="1" applyFill="1" applyBorder="1" applyAlignment="1">
      <alignment horizontal="center" wrapText="1"/>
    </xf>
    <xf numFmtId="3" fontId="7" fillId="19" borderId="17" xfId="0" applyNumberFormat="1" applyFont="1" applyFill="1" applyBorder="1" applyAlignment="1">
      <alignment horizontal="center" wrapText="1"/>
    </xf>
    <xf numFmtId="0" fontId="6" fillId="0" borderId="0" xfId="0" applyFont="1" applyFill="1" applyBorder="1" applyAlignment="1">
      <alignment wrapText="1"/>
    </xf>
    <xf numFmtId="0" fontId="6" fillId="0" borderId="0" xfId="0" applyFont="1" applyFill="1" applyAlignment="1">
      <alignment wrapText="1"/>
    </xf>
    <xf numFmtId="10" fontId="7" fillId="4" borderId="65" xfId="0" applyNumberFormat="1" applyFont="1" applyFill="1" applyBorder="1" applyAlignment="1">
      <alignment horizontal="center" wrapText="1"/>
    </xf>
    <xf numFmtId="0" fontId="7" fillId="4" borderId="0" xfId="0" applyFont="1" applyFill="1" applyBorder="1" applyAlignment="1">
      <alignment horizontal="center" wrapText="1"/>
    </xf>
    <xf numFmtId="0" fontId="7" fillId="4" borderId="7" xfId="0" applyFont="1" applyFill="1" applyBorder="1" applyAlignment="1">
      <alignment horizontal="center" wrapText="1"/>
    </xf>
    <xf numFmtId="3" fontId="7" fillId="19" borderId="92" xfId="0" applyNumberFormat="1" applyFont="1" applyFill="1" applyBorder="1" applyAlignment="1">
      <alignment horizontal="center" wrapText="1"/>
    </xf>
    <xf numFmtId="3" fontId="7" fillId="19" borderId="93" xfId="0" applyNumberFormat="1" applyFont="1" applyFill="1" applyBorder="1" applyAlignment="1">
      <alignment horizontal="center" wrapText="1"/>
    </xf>
    <xf numFmtId="3" fontId="7" fillId="19" borderId="51" xfId="0" applyNumberFormat="1" applyFont="1" applyFill="1" applyBorder="1" applyAlignment="1">
      <alignment horizontal="center" wrapText="1"/>
    </xf>
    <xf numFmtId="3" fontId="7" fillId="19" borderId="20" xfId="0" applyNumberFormat="1" applyFont="1" applyFill="1" applyBorder="1" applyAlignment="1">
      <alignment horizontal="center" wrapText="1"/>
    </xf>
    <xf numFmtId="10" fontId="6" fillId="0" borderId="0" xfId="0" applyNumberFormat="1" applyFont="1" applyFill="1" applyAlignment="1">
      <alignment horizontal="right"/>
    </xf>
    <xf numFmtId="0" fontId="0" fillId="0" borderId="0" xfId="0" applyFill="1" applyAlignment="1">
      <alignment horizontal="right"/>
    </xf>
    <xf numFmtId="3" fontId="7" fillId="4" borderId="65" xfId="0" applyNumberFormat="1" applyFont="1" applyFill="1" applyBorder="1" applyAlignment="1">
      <alignment horizontal="center" wrapText="1"/>
    </xf>
    <xf numFmtId="0" fontId="7" fillId="4" borderId="65" xfId="0" applyFont="1" applyFill="1" applyBorder="1" applyAlignment="1">
      <alignment horizontal="center" wrapText="1"/>
    </xf>
    <xf numFmtId="0" fontId="31" fillId="0" borderId="0" xfId="0" applyFont="1" applyFill="1" applyAlignment="1">
      <alignment horizontal="center"/>
    </xf>
    <xf numFmtId="0" fontId="46" fillId="0" borderId="0" xfId="62" applyFont="1" applyFill="1" applyBorder="1" applyAlignment="1" applyProtection="1">
      <alignment horizontal="left"/>
      <protection/>
    </xf>
    <xf numFmtId="10" fontId="6" fillId="0" borderId="0" xfId="0" applyNumberFormat="1" applyFont="1" applyBorder="1" applyAlignment="1">
      <alignment horizontal="right"/>
    </xf>
    <xf numFmtId="0" fontId="6" fillId="2" borderId="0" xfId="0" applyFont="1" applyFill="1" applyAlignment="1">
      <alignment horizontal="right"/>
    </xf>
    <xf numFmtId="0" fontId="14" fillId="3" borderId="65" xfId="0" applyFont="1" applyFill="1" applyBorder="1" applyAlignment="1">
      <alignment horizontal="center" wrapText="1"/>
    </xf>
    <xf numFmtId="0" fontId="14" fillId="4" borderId="65" xfId="0" applyFont="1" applyFill="1" applyBorder="1" applyAlignment="1">
      <alignment horizontal="center" wrapText="1"/>
    </xf>
    <xf numFmtId="10" fontId="6" fillId="0" borderId="52" xfId="44" applyNumberFormat="1" applyFont="1" applyBorder="1" applyAlignment="1">
      <alignment horizontal="center" vertical="center"/>
    </xf>
    <xf numFmtId="10" fontId="6" fillId="0" borderId="18" xfId="44" applyNumberFormat="1" applyFont="1" applyBorder="1" applyAlignment="1">
      <alignment horizontal="center" vertical="center"/>
    </xf>
    <xf numFmtId="176" fontId="13" fillId="0" borderId="94" xfId="44" applyNumberFormat="1" applyFont="1" applyBorder="1" applyAlignment="1">
      <alignment vertical="center"/>
    </xf>
    <xf numFmtId="0" fontId="6" fillId="0" borderId="95" xfId="84" applyFont="1" applyBorder="1" applyAlignment="1">
      <alignment vertical="center"/>
      <protection/>
    </xf>
    <xf numFmtId="3" fontId="10" fillId="19" borderId="51" xfId="0" applyNumberFormat="1" applyFont="1" applyFill="1" applyBorder="1" applyAlignment="1">
      <alignment horizontal="center" wrapText="1"/>
    </xf>
    <xf numFmtId="3" fontId="10" fillId="19" borderId="20" xfId="0" applyNumberFormat="1" applyFont="1" applyFill="1" applyBorder="1" applyAlignment="1">
      <alignment horizontal="center" wrapText="1"/>
    </xf>
    <xf numFmtId="0" fontId="23" fillId="4" borderId="37" xfId="87" applyFont="1" applyFill="1" applyBorder="1" applyAlignment="1">
      <alignment horizontal="center"/>
      <protection/>
    </xf>
    <xf numFmtId="0" fontId="21" fillId="0" borderId="0" xfId="87" applyFont="1" applyAlignment="1">
      <alignment horizontal="center"/>
      <protection/>
    </xf>
    <xf numFmtId="0" fontId="21" fillId="0" borderId="32" xfId="87" applyFont="1" applyBorder="1" applyAlignment="1">
      <alignment horizontal="center"/>
      <protection/>
    </xf>
    <xf numFmtId="0" fontId="21" fillId="19" borderId="0" xfId="87" applyFont="1" applyFill="1" applyBorder="1" applyAlignment="1">
      <alignment horizontal="center"/>
      <protection/>
    </xf>
    <xf numFmtId="0" fontId="21" fillId="0" borderId="0" xfId="87" applyFont="1" applyBorder="1" applyAlignment="1">
      <alignment wrapText="1"/>
      <protection/>
    </xf>
    <xf numFmtId="0" fontId="13" fillId="0" borderId="0" xfId="87" applyFont="1" applyBorder="1" applyAlignment="1">
      <alignment horizontal="right"/>
      <protection/>
    </xf>
    <xf numFmtId="0" fontId="23" fillId="7" borderId="37" xfId="87" applyFont="1" applyFill="1" applyBorder="1" applyAlignment="1">
      <alignment horizontal="center"/>
      <protection/>
    </xf>
    <xf numFmtId="0" fontId="19" fillId="2" borderId="0" xfId="0" applyFont="1" applyFill="1" applyAlignment="1">
      <alignment horizontal="center"/>
    </xf>
    <xf numFmtId="0" fontId="21" fillId="4" borderId="0" xfId="87" applyFont="1" applyFill="1" applyBorder="1" applyAlignment="1">
      <alignment horizontal="center"/>
      <protection/>
    </xf>
    <xf numFmtId="0" fontId="13" fillId="0" borderId="0" xfId="87" applyFont="1" applyFill="1" applyBorder="1" applyAlignment="1">
      <alignment vertical="center" wrapText="1"/>
      <protection/>
    </xf>
    <xf numFmtId="0" fontId="0" fillId="2" borderId="0" xfId="0" applyFill="1" applyAlignment="1">
      <alignment wrapText="1"/>
    </xf>
    <xf numFmtId="0" fontId="13" fillId="6" borderId="21" xfId="87" applyFont="1" applyFill="1" applyBorder="1" applyAlignment="1">
      <alignment vertical="center" wrapText="1"/>
      <protection/>
    </xf>
    <xf numFmtId="0" fontId="13" fillId="6" borderId="43" xfId="87" applyFont="1" applyFill="1" applyBorder="1" applyAlignment="1">
      <alignment vertical="center" wrapText="1"/>
      <protection/>
    </xf>
    <xf numFmtId="0" fontId="21" fillId="4" borderId="96" xfId="87" applyFont="1" applyFill="1" applyBorder="1" applyAlignment="1">
      <alignment vertical="center" wrapText="1"/>
      <protection/>
    </xf>
    <xf numFmtId="0" fontId="21" fillId="4" borderId="97" xfId="87" applyFont="1" applyFill="1" applyBorder="1" applyAlignment="1">
      <alignment vertical="center" wrapText="1"/>
      <protection/>
    </xf>
    <xf numFmtId="0" fontId="21" fillId="6" borderId="96" xfId="87" applyFont="1" applyFill="1" applyBorder="1" applyAlignment="1">
      <alignment vertical="center" wrapText="1"/>
      <protection/>
    </xf>
    <xf numFmtId="0" fontId="21" fillId="6" borderId="97" xfId="87" applyFont="1" applyFill="1" applyBorder="1" applyAlignment="1">
      <alignment vertical="center" wrapText="1"/>
      <protection/>
    </xf>
    <xf numFmtId="0" fontId="21" fillId="0" borderId="96" xfId="87" applyFont="1" applyBorder="1" applyAlignment="1">
      <alignment wrapText="1"/>
      <protection/>
    </xf>
    <xf numFmtId="0" fontId="21" fillId="0" borderId="97" xfId="87" applyFont="1" applyBorder="1" applyAlignment="1">
      <alignment wrapText="1"/>
      <protection/>
    </xf>
    <xf numFmtId="0" fontId="13" fillId="4" borderId="21" xfId="87" applyFont="1" applyFill="1" applyBorder="1" applyAlignment="1">
      <alignment vertical="center" wrapText="1"/>
      <protection/>
    </xf>
    <xf numFmtId="0" fontId="13" fillId="4" borderId="43" xfId="87" applyFont="1" applyFill="1" applyBorder="1" applyAlignment="1">
      <alignment vertical="center" wrapText="1"/>
      <protection/>
    </xf>
    <xf numFmtId="0" fontId="13" fillId="0" borderId="14" xfId="87" applyFont="1" applyBorder="1" applyAlignment="1">
      <alignment horizontal="right" vertical="center"/>
      <protection/>
    </xf>
  </cellXfs>
  <cellStyles count="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0" xfId="46"/>
    <cellStyle name="Currency" xfId="47"/>
    <cellStyle name="Currency [0]" xfId="48"/>
    <cellStyle name="Currency 2" xfId="49"/>
    <cellStyle name="Currency0" xfId="50"/>
    <cellStyle name="Currency0 2" xfId="51"/>
    <cellStyle name="Date" xfId="52"/>
    <cellStyle name="Explanatory Text" xfId="53"/>
    <cellStyle name="Fixed" xfId="54"/>
    <cellStyle name="Good" xfId="55"/>
    <cellStyle name="Heading 1" xfId="56"/>
    <cellStyle name="Heading 1 2" xfId="57"/>
    <cellStyle name="Heading 2" xfId="58"/>
    <cellStyle name="Heading 2 2" xfId="59"/>
    <cellStyle name="Heading 3" xfId="60"/>
    <cellStyle name="Heading 4" xfId="61"/>
    <cellStyle name="Hyperlink" xfId="62"/>
    <cellStyle name="Input" xfId="63"/>
    <cellStyle name="Linked Cell" xfId="64"/>
    <cellStyle name="Neutral" xfId="65"/>
    <cellStyle name="Normal 11" xfId="66"/>
    <cellStyle name="Normal 12" xfId="67"/>
    <cellStyle name="Normal 13" xfId="68"/>
    <cellStyle name="Normal 14" xfId="69"/>
    <cellStyle name="Normal 17" xfId="70"/>
    <cellStyle name="Normal 18" xfId="71"/>
    <cellStyle name="Normal 19" xfId="72"/>
    <cellStyle name="Normal 2" xfId="73"/>
    <cellStyle name="Normal 20" xfId="74"/>
    <cellStyle name="Normal 21" xfId="75"/>
    <cellStyle name="Normal 22" xfId="76"/>
    <cellStyle name="Normal 23" xfId="77"/>
    <cellStyle name="Normal 24" xfId="78"/>
    <cellStyle name="Normal 25" xfId="79"/>
    <cellStyle name="Normal 26" xfId="80"/>
    <cellStyle name="Normal 27" xfId="81"/>
    <cellStyle name="Normal 28" xfId="82"/>
    <cellStyle name="Normal 29" xfId="83"/>
    <cellStyle name="Normal 3" xfId="84"/>
    <cellStyle name="Normal 30" xfId="85"/>
    <cellStyle name="Normal 31" xfId="86"/>
    <cellStyle name="Normal 4" xfId="87"/>
    <cellStyle name="Normal 4 2" xfId="88"/>
    <cellStyle name="Normal 5" xfId="89"/>
    <cellStyle name="Normal 7" xfId="90"/>
    <cellStyle name="Normal 8" xfId="91"/>
    <cellStyle name="Normal 9" xfId="92"/>
    <cellStyle name="Note" xfId="93"/>
    <cellStyle name="Output" xfId="94"/>
    <cellStyle name="Percent" xfId="95"/>
    <cellStyle name="Percent 2" xfId="96"/>
    <cellStyle name="Percent 2 2" xfId="97"/>
    <cellStyle name="Title" xfId="98"/>
    <cellStyle name="Total" xfId="99"/>
    <cellStyle name="Total 2" xfId="100"/>
    <cellStyle name="Warning Text" xfId="101"/>
  </cellStyles>
  <dxfs count="4">
    <dxf>
      <font>
        <color theme="1"/>
      </font>
      <fill>
        <patternFill>
          <bgColor theme="3" tint="0.5999600291252136"/>
        </patternFill>
      </fill>
    </dxf>
    <dxf>
      <font>
        <color theme="0"/>
      </font>
      <fill>
        <patternFill>
          <bgColor rgb="FFC00000"/>
        </patternFill>
      </fill>
    </dxf>
    <dxf>
      <font>
        <color theme="1"/>
      </font>
      <fill>
        <patternFill>
          <bgColor theme="6" tint="0.3999499976634979"/>
        </patternFill>
      </fill>
    </dxf>
    <dxf>
      <font>
        <color theme="1"/>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FFFFFF"/>
      <rgbColor rgb="00FF0000"/>
      <rgbColor rgb="00FF8000"/>
      <rgbColor rgb="00FFFF00"/>
      <rgbColor rgb="0080FF00"/>
      <rgbColor rgb="0000FFFF"/>
      <rgbColor rgb="00FF00FF"/>
      <rgbColor rgb="00FFFF00"/>
      <rgbColor rgb="00800080"/>
      <rgbColor rgb="00008000"/>
      <rgbColor rgb="00808000"/>
      <rgbColor rgb="00000080"/>
      <rgbColor rgb="00800000"/>
      <rgbColor rgb="00008080"/>
      <rgbColor rgb="00FFFFFF"/>
      <rgbColor rgb="00000050"/>
      <rgbColor rgb="00FFE0C0"/>
      <rgbColor rgb="00B0B0FF"/>
      <rgbColor rgb="00C890FF"/>
      <rgbColor rgb="00A040FF"/>
      <rgbColor rgb="006000C0"/>
      <rgbColor rgb="00005050"/>
      <rgbColor rgb="000080FF"/>
      <rgbColor rgb="00A0D0FF"/>
      <rgbColor rgb="00B0FFFF"/>
      <rgbColor rgb="0070FFFF"/>
      <rgbColor rgb="00005000"/>
      <rgbColor rgb="00B0FFB0"/>
      <rgbColor rgb="00FFFF90"/>
      <rgbColor rgb="00FFCC00"/>
      <rgbColor rgb="00500000"/>
      <rgbColor rgb="00FFB0B0"/>
      <rgbColor rgb="00FFB870"/>
      <rgbColor rgb="00FF8000"/>
      <rgbColor rgb="00FF6000"/>
      <rgbColor rgb="00500050"/>
      <rgbColor rgb="00FFB0FF"/>
      <rgbColor rgb="00FFA0D0"/>
      <rgbColor rgb="00FF80C0"/>
      <rgbColor rgb="00FF0080"/>
      <rgbColor rgb="00909090"/>
      <rgbColor rgb="00E0B090"/>
      <rgbColor rgb="00B07050"/>
      <rgbColor rgb="00FFFFFF"/>
      <rgbColor rgb="00FFFFFF"/>
      <rgbColor rgb="00FFFFFF"/>
      <rgbColor rgb="00804040"/>
      <rgbColor rgb="00200000"/>
      <rgbColor rgb="00400000"/>
      <rgbColor rgb="00600000"/>
      <rgbColor rgb="00800000"/>
      <rgbColor rgb="009F0000"/>
      <rgbColor rgb="00BF0000"/>
      <rgbColor rgb="00D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12</xdr:row>
      <xdr:rowOff>133350</xdr:rowOff>
    </xdr:from>
    <xdr:to>
      <xdr:col>2</xdr:col>
      <xdr:colOff>781050</xdr:colOff>
      <xdr:row>12</xdr:row>
      <xdr:rowOff>133350</xdr:rowOff>
    </xdr:to>
    <xdr:sp>
      <xdr:nvSpPr>
        <xdr:cNvPr id="1" name="Straight Arrow Connector 2"/>
        <xdr:cNvSpPr>
          <a:spLocks/>
        </xdr:cNvSpPr>
      </xdr:nvSpPr>
      <xdr:spPr>
        <a:xfrm>
          <a:off x="4810125" y="2867025"/>
          <a:ext cx="276225" cy="0"/>
        </a:xfrm>
        <a:prstGeom prst="straightConnector1">
          <a:avLst/>
        </a:prstGeom>
        <a:noFill/>
        <a:ln w="15875" cmpd="sng">
          <a:solidFill>
            <a:srgbClr val="4F6228"/>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88</xdr:row>
      <xdr:rowOff>190500</xdr:rowOff>
    </xdr:from>
    <xdr:to>
      <xdr:col>10</xdr:col>
      <xdr:colOff>57150</xdr:colOff>
      <xdr:row>143</xdr:row>
      <xdr:rowOff>76200</xdr:rowOff>
    </xdr:to>
    <xdr:sp>
      <xdr:nvSpPr>
        <xdr:cNvPr id="1" name="TextBox 2"/>
        <xdr:cNvSpPr txBox="1">
          <a:spLocks noChangeArrowheads="1"/>
        </xdr:cNvSpPr>
      </xdr:nvSpPr>
      <xdr:spPr>
        <a:xfrm>
          <a:off x="28575" y="18002250"/>
          <a:ext cx="8791575" cy="11572875"/>
        </a:xfrm>
        <a:prstGeom prst="rect">
          <a:avLst/>
        </a:prstGeom>
        <a:solidFill>
          <a:srgbClr val="FFFFFF"/>
        </a:solidFill>
        <a:ln w="9525" cmpd="sng">
          <a:noFill/>
        </a:ln>
      </xdr:spPr>
      <xdr:txBody>
        <a:bodyPr vertOverflow="clip" wrap="square" lIns="91440" tIns="45720" rIns="91440" bIns="45720"/>
        <a:p>
          <a:pPr algn="l">
            <a:defRPr/>
          </a:pPr>
          <a:r>
            <a:rPr lang="en-US" cap="none" sz="1200" b="0" i="0" u="none" baseline="0">
              <a:solidFill>
                <a:srgbClr val="000000"/>
              </a:solidFill>
              <a:latin typeface="Times New Roman"/>
              <a:ea typeface="Times New Roman"/>
              <a:cs typeface="Times New Roman"/>
            </a:rPr>
            <a:t>Footnotes: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  Additional revenue based on 2009 forecasted amounts, </a:t>
          </a:r>
          <a:r>
            <a:rPr lang="en-US" cap="none" sz="1200" b="0" i="1" u="none" baseline="0">
              <a:solidFill>
                <a:srgbClr val="000000"/>
              </a:solidFill>
              <a:latin typeface="Times New Roman"/>
              <a:ea typeface="Times New Roman"/>
              <a:cs typeface="Times New Roman"/>
            </a:rPr>
            <a:t>line 6, column D</a:t>
          </a:r>
          <a:r>
            <a:rPr lang="en-US" cap="none" sz="1200" b="0" i="0" u="none" baseline="0">
              <a:solidFill>
                <a:srgbClr val="000000"/>
              </a:solidFill>
              <a:latin typeface="Times New Roman"/>
              <a:ea typeface="Times New Roman"/>
              <a:cs typeface="Times New Roman"/>
            </a:rPr>
            <a:t>.  [2009 forecasted water sale revenues / projected connections</a:t>
          </a:r>
          <a:r>
            <a:rPr lang="en-US" cap="none" sz="1200" b="0" i="0" u="none" baseline="0">
              <a:solidFill>
                <a:srgbClr val="000000"/>
              </a:solidFill>
              <a:latin typeface="Times New Roman"/>
              <a:ea typeface="Times New Roman"/>
              <a:cs typeface="Times New Roman"/>
            </a:rPr>
            <a:t> X  </a:t>
          </a:r>
          <a:r>
            <a:rPr lang="en-US" cap="none" sz="1200" b="0" i="0" u="none" baseline="0">
              <a:solidFill>
                <a:srgbClr val="000000"/>
              </a:solidFill>
              <a:latin typeface="Times New Roman"/>
              <a:ea typeface="Times New Roman"/>
              <a:cs typeface="Times New Roman"/>
            </a:rPr>
            <a:t>projected customer growth of three (3) new connections annually.  Refer to </a:t>
          </a:r>
          <a:r>
            <a:rPr lang="en-US" cap="none" sz="1200" b="0" i="1" u="none" baseline="0">
              <a:solidFill>
                <a:srgbClr val="000000"/>
              </a:solidFill>
              <a:latin typeface="Times New Roman"/>
              <a:ea typeface="Times New Roman"/>
              <a:cs typeface="Times New Roman"/>
            </a:rPr>
            <a:t>Exh. 1.3, line 1, column G and projected </a:t>
          </a:r>
          <a:r>
            <a:rPr lang="en-US" cap="none" sz="1200" b="0" i="0" u="none" baseline="0">
              <a:solidFill>
                <a:srgbClr val="000000"/>
              </a:solidFill>
              <a:latin typeface="Times New Roman"/>
              <a:ea typeface="Times New Roman"/>
              <a:cs typeface="Times New Roman"/>
            </a:rPr>
            <a:t>.</a:t>
          </a:r>
          <a:r>
            <a:rPr lang="en-US" cap="none" sz="1200" b="0"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(b)  </a:t>
          </a:r>
          <a:r>
            <a:rPr lang="en-US" cap="none" sz="1200" b="0" i="0" u="none" baseline="0">
              <a:solidFill>
                <a:srgbClr val="000000"/>
              </a:solidFill>
              <a:latin typeface="Times New Roman"/>
              <a:ea typeface="Times New Roman"/>
              <a:cs typeface="Times New Roman"/>
            </a:rPr>
            <a:t>The $900 annual expense is to cover the costs of the meters, which is offset by the associated expense of $900, see footnote (g) below.  </a:t>
          </a:r>
          <a:r>
            <a:rPr lang="en-US" cap="none" sz="1200" b="0" i="0" u="none" baseline="0">
              <a:solidFill>
                <a:srgbClr val="000000"/>
              </a:solidFill>
              <a:latin typeface="Times New Roman"/>
              <a:ea typeface="Times New Roman"/>
              <a:cs typeface="Times New Roman"/>
            </a:rPr>
            <a:t>This has no impact on rates since they are off-setting amounts.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  Amount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based on 54 stand-by connections with a $20 monthly fee.</a:t>
          </a:r>
          <a:r>
            <a:rPr lang="en-US" cap="none" sz="1200" b="0" i="0" u="none" baseline="0">
              <a:solidFill>
                <a:srgbClr val="000000"/>
              </a:solidFill>
              <a:latin typeface="Times New Roman"/>
              <a:ea typeface="Times New Roman"/>
              <a:cs typeface="Times New Roman"/>
            </a:rPr>
            <a:t>  [54 X $15 X 12 months]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(d)  </a:t>
          </a:r>
          <a:r>
            <a:rPr lang="en-US" cap="none" sz="1200" b="0" i="0" u="none" baseline="0">
              <a:solidFill>
                <a:srgbClr val="000000"/>
              </a:solidFill>
              <a:latin typeface="Times New Roman"/>
              <a:ea typeface="Times New Roman"/>
              <a:cs typeface="Times New Roman"/>
            </a:rPr>
            <a:t>Secondary (Irrigation) water revenues are included here because the water company's culinary and secondary expenses are co-mingled, therefore the secondary water revenues must also be included.  The same revenue amount from company's 2008 Annual Report was used.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  Estimated amount to cover water company’s office/bookkeeping personnel costs.  These are to performed by Board Members who will be paid as independent contractors, therefore will be responsible for filing</a:t>
          </a:r>
          <a:r>
            <a:rPr lang="en-US" cap="none" sz="1200" b="0" i="0" u="none" baseline="0">
              <a:solidFill>
                <a:srgbClr val="000000"/>
              </a:solidFill>
              <a:latin typeface="Times New Roman"/>
              <a:ea typeface="Times New Roman"/>
              <a:cs typeface="Times New Roman"/>
            </a:rPr>
            <a:t> and remitting their own </a:t>
          </a:r>
          <a:r>
            <a:rPr lang="en-US" cap="none" sz="1200" b="0" i="0" u="none" baseline="0">
              <a:solidFill>
                <a:srgbClr val="000000"/>
              </a:solidFill>
              <a:latin typeface="Times New Roman"/>
              <a:ea typeface="Times New Roman"/>
              <a:cs typeface="Times New Roman"/>
            </a:rPr>
            <a:t>income taxes.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(f)  Purchased water</a:t>
          </a:r>
          <a:r>
            <a:rPr lang="en-US" cap="none" sz="1200" b="0" i="0" u="none" baseline="0">
              <a:solidFill>
                <a:srgbClr val="000000"/>
              </a:solidFill>
              <a:latin typeface="Times New Roman"/>
              <a:ea typeface="Times New Roman"/>
              <a:cs typeface="Times New Roman"/>
            </a:rPr>
            <a:t> is projected to be less than previous time periods due to the re-engineering of the water system that should eliminate much of the need for purchased water.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(g)  Estimated cost to furnish three (3) meters, at a</a:t>
          </a:r>
          <a:r>
            <a:rPr lang="en-US" cap="none" sz="1200" b="0" i="0" u="none" baseline="0">
              <a:solidFill>
                <a:srgbClr val="000000"/>
              </a:solidFill>
              <a:latin typeface="Times New Roman"/>
              <a:ea typeface="Times New Roman"/>
              <a:cs typeface="Times New Roman"/>
            </a:rPr>
            <a:t> average projected cost of  $300 each, </a:t>
          </a:r>
          <a:r>
            <a:rPr lang="en-US" cap="none" sz="1200" b="0" i="0" u="none" baseline="0">
              <a:solidFill>
                <a:srgbClr val="000000"/>
              </a:solidFill>
              <a:latin typeface="Times New Roman"/>
              <a:ea typeface="Times New Roman"/>
              <a:cs typeface="Times New Roman"/>
            </a:rPr>
            <a:t>annually for the projected customer growth of three (3) new connections annually.  Refer to </a:t>
          </a:r>
          <a:r>
            <a:rPr lang="en-US" cap="none" sz="1200" b="0" i="1" u="none" baseline="0">
              <a:solidFill>
                <a:srgbClr val="000000"/>
              </a:solidFill>
              <a:latin typeface="Times New Roman"/>
              <a:ea typeface="Times New Roman"/>
              <a:cs typeface="Times New Roman"/>
            </a:rPr>
            <a:t>Exh. 1.3, line 1, column G</a:t>
          </a:r>
          <a:r>
            <a:rPr lang="en-US" cap="none" sz="1200" b="0" i="0" u="none" baseline="0">
              <a:solidFill>
                <a:srgbClr val="000000"/>
              </a:solidFill>
              <a:latin typeface="Times New Roman"/>
              <a:ea typeface="Times New Roman"/>
              <a:cs typeface="Times New Roman"/>
            </a:rPr>
            <a:t>.  Also refer to footnote (b) above.  </a:t>
          </a:r>
          <a:r>
            <a:rPr lang="en-US" cap="none" sz="1200" b="0" i="0" u="none" baseline="0">
              <a:solidFill>
                <a:srgbClr val="000000"/>
              </a:solidFill>
              <a:latin typeface="Times New Roman"/>
              <a:ea typeface="Times New Roman"/>
              <a:cs typeface="Times New Roman"/>
            </a:rPr>
            <a:t>This has no impact on rates since they are off-setting amounts.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  Although the</a:t>
          </a:r>
          <a:r>
            <a:rPr lang="en-US" cap="none" sz="1200" b="0" i="0" u="none" baseline="0">
              <a:solidFill>
                <a:srgbClr val="000000"/>
              </a:solidFill>
              <a:latin typeface="Times New Roman"/>
              <a:ea typeface="Times New Roman"/>
              <a:cs typeface="Times New Roman"/>
            </a:rPr>
            <a:t> tariff lists connection fees as $3,500 and the projected growth is three (3) new connections per year there is no financial impact on Pineview West Water Company because  upon  review it was determined that the developer(s) have already installed the necessary infrastructure to the unfinished lots and the water company's only connection activity is to install a meter (</a:t>
          </a:r>
          <a:r>
            <a:rPr lang="en-US" cap="none" sz="1200" b="0" i="1" u="none" baseline="0">
              <a:solidFill>
                <a:srgbClr val="000000"/>
              </a:solidFill>
              <a:latin typeface="Times New Roman"/>
              <a:ea typeface="Times New Roman"/>
              <a:cs typeface="Times New Roman"/>
            </a:rPr>
            <a:t>see footnotes  (b) and (g) above for meter revenues and the off-setting expenses.</a:t>
          </a:r>
          <a:r>
            <a:rPr lang="en-US" cap="none" sz="1200" b="0" i="0" u="none" baseline="0">
              <a:solidFill>
                <a:srgbClr val="000000"/>
              </a:solidFill>
              <a:latin typeface="Times New Roman"/>
              <a:ea typeface="Times New Roman"/>
              <a:cs typeface="Times New Roman"/>
            </a:rPr>
            <a:t>).   The one-time service connection fee is shown as revenue on line 7 and the off-setting remittance to Mr. Radford on line 35.  This has no impact on rates since they are off-setting amounts, which as also the reason they are not shown as either fa ixed or variable cost.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a:t>
          </a:r>
          <a:r>
            <a:rPr lang="en-US" cap="none" sz="1200" b="0" i="0" u="none" baseline="0">
              <a:solidFill>
                <a:srgbClr val="000000"/>
              </a:solidFill>
              <a:latin typeface="Times New Roman"/>
              <a:ea typeface="Times New Roman"/>
              <a:cs typeface="Times New Roman"/>
            </a:rPr>
            <a:t>  Billing expenses are projected to be slightly less than previous due to Board Members volunteering some of their time.</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(j) The professional water services are projected to be reduced based on the </a:t>
          </a:r>
          <a:r>
            <a:rPr lang="en-US" cap="none" sz="1200" b="0" i="0" u="none" baseline="0">
              <a:solidFill>
                <a:srgbClr val="000000"/>
              </a:solidFill>
              <a:latin typeface="Times New Roman"/>
              <a:ea typeface="Times New Roman"/>
              <a:cs typeface="Times New Roman"/>
            </a:rPr>
            <a:t> engineering and improvements to the water system, refer to  footnote (h) 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(k)  Attorney fees of $9,825 incurred by Nate</a:t>
          </a:r>
          <a:r>
            <a:rPr lang="en-US" cap="none" sz="1200" b="0" i="0" u="none" baseline="0">
              <a:solidFill>
                <a:srgbClr val="000000"/>
              </a:solidFill>
              <a:latin typeface="Times New Roman"/>
              <a:ea typeface="Times New Roman"/>
              <a:cs typeface="Times New Roman"/>
            </a:rPr>
            <a:t> Brockbank, the prior owner of Pineview West Water Company  a</a:t>
          </a:r>
          <a:r>
            <a:rPr lang="en-US" cap="none" sz="1200" b="0" i="0" u="none" baseline="0">
              <a:solidFill>
                <a:srgbClr val="000000"/>
              </a:solidFill>
              <a:latin typeface="Times New Roman"/>
              <a:ea typeface="Times New Roman"/>
              <a:cs typeface="Times New Roman"/>
            </a:rPr>
            <a:t>re past due and owing.  The Board</a:t>
          </a:r>
          <a:r>
            <a:rPr lang="en-US" cap="none" sz="1200" b="0" i="0" u="none" baseline="0">
              <a:solidFill>
                <a:srgbClr val="000000"/>
              </a:solidFill>
              <a:latin typeface="Times New Roman"/>
              <a:ea typeface="Times New Roman"/>
              <a:cs typeface="Times New Roman"/>
            </a:rPr>
            <a:t> of Pineview West Water Company does not believe that these legal fees are a legal obligation of Pineview West Water Company and therefore request that no funds be set aside for this debt.  The division is projecting $1,000 annually to be budgeted for any future legal work.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(l)  Certified operator costs are projected to increase slightly.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(m)  Projected Regulatory fees based on same rate as previous year of .2640%.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  Bad debt expense projected to be zero ($0) because the water service will be terminated  for failure to pay water bills.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(o)  Bank Charges increased by $24.</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(p)  Office supplies increased to cover anticipated supplies and office utilities.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(q)  Increased a reasonable amount due to rising postage prices and increased number of billings for special assessment and other notices.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(r)  Although </a:t>
          </a:r>
          <a:r>
            <a:rPr lang="en-US" cap="none" sz="1200" b="0" i="0" u="none" baseline="0">
              <a:solidFill>
                <a:srgbClr val="000000"/>
              </a:solidFill>
              <a:latin typeface="Times New Roman"/>
              <a:ea typeface="Times New Roman"/>
              <a:cs typeface="Times New Roman"/>
            </a:rPr>
            <a:t>Growth Projections,</a:t>
          </a:r>
          <a:r>
            <a:rPr lang="en-US" cap="none" sz="1200" b="0"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Refer to </a:t>
          </a:r>
          <a:r>
            <a:rPr lang="en-US" cap="none" sz="1200" b="0" i="1" u="none" baseline="0">
              <a:solidFill>
                <a:srgbClr val="000000"/>
              </a:solidFill>
              <a:latin typeface="Times New Roman"/>
              <a:ea typeface="Times New Roman"/>
              <a:cs typeface="Times New Roman"/>
            </a:rPr>
            <a:t>Exh 1.3, line 4, column F)</a:t>
          </a:r>
          <a:r>
            <a:rPr lang="en-US" cap="none" sz="1200" b="0"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indicates a much higher percentage (146%) for future repairs and maintenance,</a:t>
          </a:r>
          <a:r>
            <a:rPr lang="en-US" cap="none" sz="1200" b="0" i="0" u="none" baseline="0">
              <a:solidFill>
                <a:srgbClr val="000000"/>
              </a:solidFill>
              <a:latin typeface="Times New Roman"/>
              <a:ea typeface="Times New Roman"/>
              <a:cs typeface="Times New Roman"/>
            </a:rPr>
            <a:t> Pineview West Water Company feel that they can adequately maintain the water system for $7,500 per year.  The Division recommends an annual increase of $383, a 5.38% increase.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  Adjustment to correct Depreciation Expense for 2008.  Refer to</a:t>
          </a:r>
          <a:r>
            <a:rPr lang="en-US" cap="none" sz="1200" b="0" i="0"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Exh.</a:t>
          </a:r>
          <a:r>
            <a:rPr lang="en-US" cap="none" sz="1200" b="0" i="1" u="none" baseline="0">
              <a:solidFill>
                <a:srgbClr val="000000"/>
              </a:solidFill>
              <a:latin typeface="Times New Roman"/>
              <a:ea typeface="Times New Roman"/>
              <a:cs typeface="Times New Roman"/>
            </a:rPr>
            <a:t> 1.4, line 33, column P</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  Adjustment to correct Contribution in Aid of Construction (CIAC) for 2008.  Refer to</a:t>
          </a:r>
          <a:r>
            <a:rPr lang="en-US" cap="none" sz="1200" b="0" i="0"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Exh.</a:t>
          </a:r>
          <a:r>
            <a:rPr lang="en-US" cap="none" sz="1200" b="0" i="1" u="none" baseline="0">
              <a:solidFill>
                <a:srgbClr val="000000"/>
              </a:solidFill>
              <a:latin typeface="Times New Roman"/>
              <a:ea typeface="Times New Roman"/>
              <a:cs typeface="Times New Roman"/>
            </a:rPr>
            <a:t> 1.4, line 37, column P</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(u)  </a:t>
          </a:r>
          <a:r>
            <a:rPr lang="en-US" cap="none" sz="1200" b="0" i="0" u="none" baseline="0">
              <a:solidFill>
                <a:srgbClr val="000000"/>
              </a:solidFill>
              <a:latin typeface="Times New Roman"/>
              <a:ea typeface="Times New Roman"/>
              <a:cs typeface="Times New Roman"/>
            </a:rPr>
            <a:t>Total</a:t>
          </a:r>
          <a:r>
            <a:rPr lang="en-US" cap="none" sz="1200" b="0" i="0" u="none" baseline="0">
              <a:solidFill>
                <a:srgbClr val="000000"/>
              </a:solidFill>
              <a:latin typeface="Times New Roman"/>
              <a:ea typeface="Times New Roman"/>
              <a:cs typeface="Times New Roman"/>
            </a:rPr>
            <a:t> annual revenue from minimum billings plus overage charges.  Refer to </a:t>
          </a:r>
          <a:r>
            <a:rPr lang="en-US" cap="none" sz="1200" b="0" i="1" u="none" baseline="0">
              <a:solidFill>
                <a:srgbClr val="000000"/>
              </a:solidFill>
              <a:latin typeface="Times New Roman"/>
              <a:ea typeface="Times New Roman"/>
              <a:cs typeface="Times New Roman"/>
            </a:rPr>
            <a:t>Exh. 1.7, lines 12 + 17 + 19, column 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(v)  </a:t>
          </a:r>
          <a:r>
            <a:rPr lang="en-US" cap="none" sz="1200" b="0" i="0" u="none" baseline="0">
              <a:solidFill>
                <a:srgbClr val="000000"/>
              </a:solidFill>
              <a:latin typeface="Times New Roman"/>
              <a:ea typeface="Times New Roman"/>
              <a:cs typeface="Times New Roman"/>
            </a:rPr>
            <a:t>Power Costs are broken up into the same proportion of gallons projected to be used as calculated on </a:t>
          </a:r>
          <a:r>
            <a:rPr lang="en-US" cap="none" sz="1200" b="0" i="1" u="none" baseline="0">
              <a:solidFill>
                <a:srgbClr val="000000"/>
              </a:solidFill>
              <a:latin typeface="Times New Roman"/>
              <a:ea typeface="Times New Roman"/>
              <a:cs typeface="Times New Roman"/>
            </a:rPr>
            <a:t>Exh. 1.7, lines 30 and 31, column B.</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19</xdr:row>
      <xdr:rowOff>0</xdr:rowOff>
    </xdr:from>
    <xdr:to>
      <xdr:col>11</xdr:col>
      <xdr:colOff>723900</xdr:colOff>
      <xdr:row>22</xdr:row>
      <xdr:rowOff>66675</xdr:rowOff>
    </xdr:to>
    <xdr:sp>
      <xdr:nvSpPr>
        <xdr:cNvPr id="1" name="TextBox 1"/>
        <xdr:cNvSpPr txBox="1">
          <a:spLocks noChangeArrowheads="1"/>
        </xdr:cNvSpPr>
      </xdr:nvSpPr>
      <xdr:spPr>
        <a:xfrm>
          <a:off x="314325" y="3886200"/>
          <a:ext cx="9496425" cy="666750"/>
        </a:xfrm>
        <a:prstGeom prst="rect">
          <a:avLst/>
        </a:prstGeom>
        <a:solidFill>
          <a:srgbClr val="FFFFFF"/>
        </a:solidFill>
        <a:ln w="9525" cmpd="sng">
          <a:noFill/>
        </a:ln>
      </xdr:spPr>
      <xdr:txBody>
        <a:bodyPr vertOverflow="clip" wrap="square" lIns="91440" tIns="45720" rIns="91440" bIns="45720"/>
        <a:p>
          <a:pPr algn="l">
            <a:defRPr/>
          </a:pPr>
          <a:r>
            <a:rPr lang="en-US" cap="none" sz="1200" b="1"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This exhibit only attempts to estimate future amounts based on historical data only.  Other factors known to the Division may change these estimates and an explanation will be provided.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28575</xdr:rowOff>
    </xdr:from>
    <xdr:to>
      <xdr:col>11</xdr:col>
      <xdr:colOff>600075</xdr:colOff>
      <xdr:row>81</xdr:row>
      <xdr:rowOff>114300</xdr:rowOff>
    </xdr:to>
    <xdr:sp>
      <xdr:nvSpPr>
        <xdr:cNvPr id="1" name="TextBox 2"/>
        <xdr:cNvSpPr txBox="1">
          <a:spLocks noChangeArrowheads="1"/>
        </xdr:cNvSpPr>
      </xdr:nvSpPr>
      <xdr:spPr>
        <a:xfrm>
          <a:off x="371475" y="13239750"/>
          <a:ext cx="10325100" cy="3286125"/>
        </a:xfrm>
        <a:prstGeom prst="rect">
          <a:avLst/>
        </a:prstGeom>
        <a:solidFill>
          <a:srgbClr val="FFFFFF"/>
        </a:solidFill>
        <a:ln w="9525" cmpd="sng">
          <a:noFill/>
        </a:ln>
      </xdr:spPr>
      <xdr:txBody>
        <a:bodyPr vertOverflow="clip" wrap="square" lIns="91440" tIns="45720" rIns="91440" bIns="45720"/>
        <a:p>
          <a:pPr algn="l">
            <a:defRPr/>
          </a:pPr>
          <a:r>
            <a:rPr lang="en-US" cap="none" sz="1200" b="0" i="0" u="none" baseline="0">
              <a:solidFill>
                <a:srgbClr val="000000"/>
              </a:solidFill>
              <a:latin typeface="Times New Roman"/>
              <a:ea typeface="Times New Roman"/>
              <a:cs typeface="Times New Roman"/>
            </a:rPr>
            <a:t>Footnotes: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  Part of calculating the rate base is</a:t>
          </a:r>
          <a:r>
            <a:rPr lang="en-US" cap="none" sz="1200" b="0" i="0" u="none" baseline="0">
              <a:solidFill>
                <a:srgbClr val="000000"/>
              </a:solidFill>
              <a:latin typeface="Times New Roman"/>
              <a:ea typeface="Times New Roman"/>
              <a:cs typeface="Times New Roman"/>
            </a:rPr>
            <a:t> ensuring that the minimum billing amount will cover the fixed costs  as calculated in </a:t>
          </a:r>
          <a:r>
            <a:rPr lang="en-US" cap="none" sz="1200" b="0" i="1" u="none" baseline="0">
              <a:solidFill>
                <a:srgbClr val="000000"/>
              </a:solidFill>
              <a:latin typeface="Times New Roman"/>
              <a:ea typeface="Times New Roman"/>
              <a:cs typeface="Times New Roman"/>
            </a:rPr>
            <a:t>Exh. 1.2, line 47, column E</a:t>
          </a:r>
          <a:r>
            <a:rPr lang="en-US" cap="none" sz="1200" b="0" i="0" u="none" baseline="0">
              <a:solidFill>
                <a:srgbClr val="000000"/>
              </a:solidFill>
              <a:latin typeface="Times New Roman"/>
              <a:ea typeface="Times New Roman"/>
              <a:cs typeface="Times New Roman"/>
            </a:rPr>
            <a:t>.   The more connections that a water company has the easier it is to spread the fixed costs among all of the users.  Unfortunately, Pineview West Water Company has relatively few connections to spread the fixed costs among creating a relatively high minimum charge.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(b)  The remaining revenue needed to meet the annual revenue requirement as calculated in </a:t>
          </a:r>
          <a:r>
            <a:rPr lang="en-US" cap="none" sz="1200" b="0" i="1" u="none" baseline="0">
              <a:solidFill>
                <a:srgbClr val="000000"/>
              </a:solidFill>
              <a:latin typeface="Times New Roman"/>
              <a:ea typeface="Times New Roman"/>
              <a:cs typeface="Times New Roman"/>
            </a:rPr>
            <a:t>Exh. 1.6, line 7, column A</a:t>
          </a:r>
          <a:r>
            <a:rPr lang="en-US" cap="none" sz="1200" b="0" i="0" u="none" baseline="0">
              <a:solidFill>
                <a:srgbClr val="000000"/>
              </a:solidFill>
              <a:latin typeface="Times New Roman"/>
              <a:ea typeface="Times New Roman"/>
              <a:cs typeface="Times New Roman"/>
            </a:rPr>
            <a:t> is from the overage billings.  The amount required to be charged per thousand gallons is calculated by using the past 12 months water usage amounts as a basis for future use,</a:t>
          </a:r>
          <a:r>
            <a:rPr lang="en-US" cap="none" sz="1200" b="0" i="0" u="none" baseline="0">
              <a:solidFill>
                <a:srgbClr val="000000"/>
              </a:solidFill>
              <a:latin typeface="Times New Roman"/>
              <a:ea typeface="Times New Roman"/>
              <a:cs typeface="Times New Roman"/>
            </a:rPr>
            <a:t> making certain adjustments  (see below), and determining what overage billing amount is required to meet the revenue requirements.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Comments: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These figures</a:t>
          </a:r>
          <a:r>
            <a:rPr lang="en-US" cap="none" sz="1200" b="0" i="0" u="none" baseline="0">
              <a:solidFill>
                <a:srgbClr val="000000"/>
              </a:solidFill>
              <a:latin typeface="Times New Roman"/>
              <a:ea typeface="Times New Roman"/>
              <a:cs typeface="Times New Roman"/>
            </a:rPr>
            <a:t> are based on the water consumption for the last 12 months.  To project the consumption and billings more accurately for 2009, the following allowances were made in the 2009 model:</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Those connections without a full year's history were considered to use the maximum minimum amount.  i.e. 7,500 gallons per month.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The two connections handling the landscape watering that were previously using large amounts of water are now using secondary water and the annual consumption for these two  (2) connections was decreased to more accurately represent future usage.  </a:t>
          </a:r>
        </a:p>
      </xdr:txBody>
    </xdr:sp>
    <xdr:clientData/>
  </xdr:twoCellAnchor>
  <xdr:twoCellAnchor>
    <xdr:from>
      <xdr:col>7</xdr:col>
      <xdr:colOff>57150</xdr:colOff>
      <xdr:row>23</xdr:row>
      <xdr:rowOff>114300</xdr:rowOff>
    </xdr:from>
    <xdr:to>
      <xdr:col>8</xdr:col>
      <xdr:colOff>190500</xdr:colOff>
      <xdr:row>23</xdr:row>
      <xdr:rowOff>114300</xdr:rowOff>
    </xdr:to>
    <xdr:sp>
      <xdr:nvSpPr>
        <xdr:cNvPr id="2" name="Straight Arrow Connector 4"/>
        <xdr:cNvSpPr>
          <a:spLocks/>
        </xdr:cNvSpPr>
      </xdr:nvSpPr>
      <xdr:spPr>
        <a:xfrm>
          <a:off x="7286625" y="4829175"/>
          <a:ext cx="419100" cy="0"/>
        </a:xfrm>
        <a:prstGeom prst="straightConnector1">
          <a:avLst/>
        </a:prstGeom>
        <a:noFill/>
        <a:ln w="12700" cmpd="sng">
          <a:solidFill>
            <a:srgbClr val="C00000"/>
          </a:solidFill>
          <a:headEnd type="oval"/>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28575</xdr:colOff>
      <xdr:row>17</xdr:row>
      <xdr:rowOff>133350</xdr:rowOff>
    </xdr:from>
    <xdr:to>
      <xdr:col>6</xdr:col>
      <xdr:colOff>152400</xdr:colOff>
      <xdr:row>23</xdr:row>
      <xdr:rowOff>95250</xdr:rowOff>
    </xdr:to>
    <xdr:sp>
      <xdr:nvSpPr>
        <xdr:cNvPr id="3" name="Straight Arrow Connector 6"/>
        <xdr:cNvSpPr>
          <a:spLocks/>
        </xdr:cNvSpPr>
      </xdr:nvSpPr>
      <xdr:spPr>
        <a:xfrm>
          <a:off x="5200650" y="3648075"/>
          <a:ext cx="1247775" cy="1162050"/>
        </a:xfrm>
        <a:prstGeom prst="straightConnector1">
          <a:avLst/>
        </a:prstGeom>
        <a:noFill/>
        <a:ln w="12700" cmpd="sng">
          <a:solidFill>
            <a:srgbClr val="C00000"/>
          </a:solidFill>
          <a:headEnd type="oval"/>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J64"/>
  <sheetViews>
    <sheetView zoomScalePageLayoutView="0" workbookViewId="0" topLeftCell="A1">
      <selection activeCell="F7" sqref="F7"/>
    </sheetView>
  </sheetViews>
  <sheetFormatPr defaultColWidth="9.140625" defaultRowHeight="12.75"/>
  <cols>
    <col min="1" max="1" width="15.8515625" style="13" customWidth="1"/>
    <col min="2" max="2" width="48.7109375" style="13" customWidth="1"/>
    <col min="3" max="4" width="14.7109375" style="13" customWidth="1"/>
    <col min="5" max="5" width="1.7109375" style="13" customWidth="1"/>
    <col min="6" max="6" width="12.57421875" style="13" bestFit="1" customWidth="1"/>
    <col min="7" max="16384" width="9.140625" style="13" customWidth="1"/>
  </cols>
  <sheetData>
    <row r="1" ht="22.5">
      <c r="A1" s="523" t="s">
        <v>508</v>
      </c>
    </row>
    <row r="2" spans="1:10" ht="9.75" customHeight="1" thickBot="1">
      <c r="A2" s="515"/>
      <c r="B2" s="515"/>
      <c r="C2" s="515"/>
      <c r="D2" s="515"/>
      <c r="E2" s="515"/>
      <c r="F2" s="515"/>
      <c r="G2" s="515"/>
      <c r="H2" s="515"/>
      <c r="I2" s="515"/>
      <c r="J2" s="515"/>
    </row>
    <row r="3" spans="1:10" ht="19.5" thickBot="1">
      <c r="A3" s="681" t="s">
        <v>383</v>
      </c>
      <c r="B3" s="520" t="str">
        <f>'1.2 INC STMT'!A2</f>
        <v>Income Statement Analysis</v>
      </c>
      <c r="C3" s="521"/>
      <c r="D3" s="521"/>
      <c r="E3" s="682"/>
      <c r="F3" s="517"/>
      <c r="G3" s="517"/>
      <c r="H3" s="517"/>
      <c r="I3" s="515"/>
      <c r="J3" s="515"/>
    </row>
    <row r="4" spans="1:10" ht="32.25">
      <c r="A4" s="671"/>
      <c r="B4" s="672"/>
      <c r="C4" s="619" t="s">
        <v>538</v>
      </c>
      <c r="D4" s="619" t="s">
        <v>539</v>
      </c>
      <c r="E4" s="680"/>
      <c r="F4" s="234"/>
      <c r="G4" s="234"/>
      <c r="H4" s="517"/>
      <c r="I4" s="515"/>
      <c r="J4" s="515"/>
    </row>
    <row r="5" spans="1:10" ht="18.75">
      <c r="A5" s="671"/>
      <c r="B5" s="83" t="s">
        <v>483</v>
      </c>
      <c r="C5" s="34">
        <f>'1.2 INC STMT'!C27</f>
        <v>27345</v>
      </c>
      <c r="D5" s="34">
        <f>'1.2 INC STMT'!G27</f>
        <v>82558</v>
      </c>
      <c r="E5" s="673"/>
      <c r="F5" s="670"/>
      <c r="G5" s="517"/>
      <c r="H5" s="517"/>
      <c r="I5" s="515"/>
      <c r="J5" s="515"/>
    </row>
    <row r="6" spans="1:10" ht="18.75">
      <c r="A6" s="671"/>
      <c r="B6" s="83" t="s">
        <v>484</v>
      </c>
      <c r="C6" s="37">
        <f>'1.2 INC STMT'!C73+'1.2 INC STMT'!C79</f>
        <v>74386</v>
      </c>
      <c r="D6" s="37">
        <f>'1.2 INC STMT'!G73+'1.2 INC STMT'!G79</f>
        <v>82122.95312</v>
      </c>
      <c r="E6" s="674"/>
      <c r="F6" s="83"/>
      <c r="G6" s="517"/>
      <c r="H6" s="517"/>
      <c r="I6" s="515"/>
      <c r="J6" s="515"/>
    </row>
    <row r="7" spans="1:10" ht="19.5" thickBot="1">
      <c r="A7" s="671"/>
      <c r="B7" s="83" t="s">
        <v>486</v>
      </c>
      <c r="C7" s="80">
        <f>C5-C6</f>
        <v>-47041</v>
      </c>
      <c r="D7" s="80">
        <f>D5-D6</f>
        <v>435.0468799999944</v>
      </c>
      <c r="E7" s="674"/>
      <c r="F7" s="28"/>
      <c r="G7" s="515"/>
      <c r="H7" s="515"/>
      <c r="I7" s="515"/>
      <c r="J7" s="515"/>
    </row>
    <row r="8" spans="1:10" ht="7.5" customHeight="1" thickTop="1">
      <c r="A8" s="671"/>
      <c r="B8" s="517"/>
      <c r="C8" s="517"/>
      <c r="D8" s="517"/>
      <c r="E8" s="675"/>
      <c r="F8" s="515"/>
      <c r="G8" s="515"/>
      <c r="H8" s="515"/>
      <c r="I8" s="515"/>
      <c r="J8" s="515"/>
    </row>
    <row r="9" spans="1:10" ht="18.75">
      <c r="A9" s="671"/>
      <c r="B9" s="15"/>
      <c r="C9" s="685" t="s">
        <v>493</v>
      </c>
      <c r="D9" s="685" t="s">
        <v>494</v>
      </c>
      <c r="E9" s="686"/>
      <c r="F9" s="515"/>
      <c r="G9" s="515"/>
      <c r="H9" s="515"/>
      <c r="I9" s="515"/>
      <c r="J9" s="515"/>
    </row>
    <row r="10" spans="1:10" ht="18.75">
      <c r="A10" s="671"/>
      <c r="B10" s="83" t="s">
        <v>495</v>
      </c>
      <c r="C10" s="34">
        <f>'1.2 INC STMT'!J63</f>
        <v>25277.373119999997</v>
      </c>
      <c r="D10" s="34">
        <f>'1.2 INC STMT'!K63</f>
        <v>29349.58</v>
      </c>
      <c r="E10" s="675"/>
      <c r="F10" s="516"/>
      <c r="G10" s="515"/>
      <c r="H10" s="515"/>
      <c r="I10" s="515"/>
      <c r="J10" s="515"/>
    </row>
    <row r="11" spans="1:10" ht="9.75" customHeight="1" thickBot="1">
      <c r="A11" s="671"/>
      <c r="B11" s="517"/>
      <c r="C11" s="517"/>
      <c r="D11" s="517"/>
      <c r="E11" s="675"/>
      <c r="F11" s="515"/>
      <c r="G11" s="515"/>
      <c r="H11" s="515"/>
      <c r="I11" s="515"/>
      <c r="J11" s="515"/>
    </row>
    <row r="12" spans="1:10" ht="19.5" thickBot="1">
      <c r="A12" s="681" t="s">
        <v>384</v>
      </c>
      <c r="B12" s="520" t="str">
        <f>'1.3 Grth Proj'!A2</f>
        <v>Growth Projections</v>
      </c>
      <c r="C12" s="521"/>
      <c r="D12" s="521"/>
      <c r="E12" s="682"/>
      <c r="F12" s="515"/>
      <c r="G12" s="515"/>
      <c r="H12" s="515"/>
      <c r="I12" s="515"/>
      <c r="J12" s="515"/>
    </row>
    <row r="13" spans="1:10" ht="18.75">
      <c r="A13" s="671"/>
      <c r="B13" s="83" t="s">
        <v>487</v>
      </c>
      <c r="C13" s="676">
        <v>0.05</v>
      </c>
      <c r="D13" s="83" t="s">
        <v>512</v>
      </c>
      <c r="E13" s="675"/>
      <c r="F13" s="515"/>
      <c r="G13" s="515"/>
      <c r="H13" s="515"/>
      <c r="I13" s="515"/>
      <c r="J13" s="515"/>
    </row>
    <row r="14" spans="1:10" ht="9.75" customHeight="1" thickBot="1">
      <c r="A14" s="671"/>
      <c r="B14" s="517"/>
      <c r="C14" s="517"/>
      <c r="D14" s="517"/>
      <c r="E14" s="675"/>
      <c r="F14" s="515"/>
      <c r="G14" s="515"/>
      <c r="H14" s="515"/>
      <c r="I14" s="515"/>
      <c r="J14" s="515"/>
    </row>
    <row r="15" spans="1:10" ht="19.5" thickBot="1">
      <c r="A15" s="681" t="s">
        <v>385</v>
      </c>
      <c r="B15" s="520" t="s">
        <v>507</v>
      </c>
      <c r="C15" s="521"/>
      <c r="D15" s="521"/>
      <c r="E15" s="682"/>
      <c r="F15" s="515"/>
      <c r="G15" s="515"/>
      <c r="H15" s="515"/>
      <c r="I15" s="515"/>
      <c r="J15" s="515"/>
    </row>
    <row r="16" spans="1:10" ht="32.25">
      <c r="A16" s="671"/>
      <c r="B16" s="672"/>
      <c r="C16" s="619" t="s">
        <v>538</v>
      </c>
      <c r="D16" s="619" t="s">
        <v>540</v>
      </c>
      <c r="E16" s="680"/>
      <c r="F16" s="515"/>
      <c r="G16" s="515"/>
      <c r="H16" s="515"/>
      <c r="I16" s="515"/>
      <c r="J16" s="515"/>
    </row>
    <row r="17" spans="1:10" ht="18.75">
      <c r="A17" s="671"/>
      <c r="B17" s="83" t="s">
        <v>497</v>
      </c>
      <c r="C17" s="34">
        <f>'1.4 Dep &amp; CIAC'!R37</f>
        <v>872651</v>
      </c>
      <c r="D17" s="34">
        <f>'1.4 Dep &amp; CIAC'!R37</f>
        <v>872651</v>
      </c>
      <c r="E17" s="675"/>
      <c r="F17" s="515"/>
      <c r="G17" s="515"/>
      <c r="H17" s="515"/>
      <c r="I17" s="515"/>
      <c r="J17" s="515"/>
    </row>
    <row r="18" spans="1:10" ht="18.75">
      <c r="A18" s="671"/>
      <c r="B18" s="83" t="s">
        <v>498</v>
      </c>
      <c r="C18" s="37">
        <f>'1.5 RATEBASE'!C9</f>
        <v>-125446</v>
      </c>
      <c r="D18" s="37">
        <f>'1.5 RATEBASE'!E9</f>
        <v>-115532</v>
      </c>
      <c r="E18" s="675"/>
      <c r="F18" s="515"/>
      <c r="G18" s="515"/>
      <c r="H18" s="515"/>
      <c r="I18" s="515"/>
      <c r="J18" s="515"/>
    </row>
    <row r="19" spans="1:10" ht="19.5" thickBot="1">
      <c r="A19" s="671"/>
      <c r="B19" s="83" t="s">
        <v>499</v>
      </c>
      <c r="C19" s="80">
        <f>C17+C18</f>
        <v>747205</v>
      </c>
      <c r="D19" s="80">
        <f>D17+D18</f>
        <v>757119</v>
      </c>
      <c r="E19" s="675"/>
      <c r="F19" s="515"/>
      <c r="G19" s="515"/>
      <c r="H19" s="515"/>
      <c r="I19" s="515"/>
      <c r="J19" s="515"/>
    </row>
    <row r="20" spans="1:10" ht="7.5" customHeight="1" thickTop="1">
      <c r="A20" s="671"/>
      <c r="B20" s="83"/>
      <c r="C20" s="34"/>
      <c r="D20" s="34"/>
      <c r="E20" s="675"/>
      <c r="F20" s="515"/>
      <c r="G20" s="515"/>
      <c r="H20" s="515"/>
      <c r="I20" s="515"/>
      <c r="J20" s="515"/>
    </row>
    <row r="21" spans="1:10" ht="18.75">
      <c r="A21" s="671"/>
      <c r="B21" s="83" t="s">
        <v>500</v>
      </c>
      <c r="C21" s="34">
        <f>'1.4 Dep &amp; CIAC'!R37</f>
        <v>872651</v>
      </c>
      <c r="D21" s="34">
        <f>'1.4 Dep &amp; CIAC'!T43</f>
        <v>53132</v>
      </c>
      <c r="E21" s="675"/>
      <c r="F21" s="516"/>
      <c r="G21" s="515"/>
      <c r="H21" s="515"/>
      <c r="I21" s="515"/>
      <c r="J21" s="515"/>
    </row>
    <row r="22" spans="1:10" ht="18.75">
      <c r="A22" s="671"/>
      <c r="B22" s="179" t="s">
        <v>501</v>
      </c>
      <c r="C22" s="37">
        <f>'1.5 RATEBASE'!C9</f>
        <v>-125446</v>
      </c>
      <c r="D22" s="37">
        <f>'1.4 Dep &amp; CIAC'!T45</f>
        <v>-8891.246752157927</v>
      </c>
      <c r="E22" s="675"/>
      <c r="F22" s="515"/>
      <c r="G22" s="515"/>
      <c r="H22" s="515"/>
      <c r="I22" s="515"/>
      <c r="J22" s="515"/>
    </row>
    <row r="23" spans="1:10" ht="19.5" thickBot="1">
      <c r="A23" s="671"/>
      <c r="B23" s="179" t="s">
        <v>502</v>
      </c>
      <c r="C23" s="80">
        <f>C21+C22</f>
        <v>747205</v>
      </c>
      <c r="D23" s="80">
        <f>D21+D22</f>
        <v>44240.753247842076</v>
      </c>
      <c r="E23" s="675"/>
      <c r="F23" s="515"/>
      <c r="G23" s="515"/>
      <c r="H23" s="515"/>
      <c r="I23" s="515"/>
      <c r="J23" s="515"/>
    </row>
    <row r="24" spans="1:10" ht="7.5" customHeight="1" thickTop="1">
      <c r="A24" s="671"/>
      <c r="B24" s="83"/>
      <c r="C24" s="34"/>
      <c r="D24" s="34"/>
      <c r="E24" s="675"/>
      <c r="F24" s="515"/>
      <c r="G24" s="515"/>
      <c r="H24" s="515"/>
      <c r="I24" s="515"/>
      <c r="J24" s="515"/>
    </row>
    <row r="25" spans="1:10" ht="18.75">
      <c r="A25" s="671"/>
      <c r="B25" s="83" t="s">
        <v>503</v>
      </c>
      <c r="C25" s="34">
        <v>0</v>
      </c>
      <c r="D25" s="34">
        <f>'1.4 Dep &amp; CIAC'!T48</f>
        <v>819519</v>
      </c>
      <c r="E25" s="675"/>
      <c r="F25" s="515"/>
      <c r="G25" s="515"/>
      <c r="H25" s="515"/>
      <c r="I25" s="515"/>
      <c r="J25" s="515"/>
    </row>
    <row r="26" spans="1:10" ht="18.75">
      <c r="A26" s="671"/>
      <c r="B26" s="179" t="s">
        <v>504</v>
      </c>
      <c r="C26" s="37">
        <v>0</v>
      </c>
      <c r="D26" s="37">
        <f>'1.4 Dep &amp; CIAC'!T50</f>
        <v>-106640.75324784206</v>
      </c>
      <c r="E26" s="675"/>
      <c r="F26" s="515"/>
      <c r="G26" s="515"/>
      <c r="H26" s="515"/>
      <c r="I26" s="515"/>
      <c r="J26" s="515"/>
    </row>
    <row r="27" spans="1:10" ht="19.5" thickBot="1">
      <c r="A27" s="671"/>
      <c r="B27" s="179" t="s">
        <v>505</v>
      </c>
      <c r="C27" s="80">
        <f>C25+C26</f>
        <v>0</v>
      </c>
      <c r="D27" s="80">
        <f>D25+D26</f>
        <v>712878.2467521579</v>
      </c>
      <c r="E27" s="675"/>
      <c r="F27" s="515"/>
      <c r="G27" s="515"/>
      <c r="H27" s="515"/>
      <c r="I27" s="515"/>
      <c r="J27" s="515"/>
    </row>
    <row r="28" spans="1:10" ht="9.75" customHeight="1" thickBot="1" thickTop="1">
      <c r="A28" s="671"/>
      <c r="B28" s="517"/>
      <c r="C28" s="517"/>
      <c r="D28" s="517"/>
      <c r="E28" s="675"/>
      <c r="F28" s="515"/>
      <c r="G28" s="515"/>
      <c r="H28" s="515"/>
      <c r="I28" s="515"/>
      <c r="J28" s="515"/>
    </row>
    <row r="29" spans="1:10" ht="19.5" thickBot="1">
      <c r="A29" s="681" t="s">
        <v>386</v>
      </c>
      <c r="B29" s="520" t="str">
        <f>'1.5 RATEBASE'!A2</f>
        <v>Ratebase Analysis</v>
      </c>
      <c r="C29" s="521"/>
      <c r="D29" s="521"/>
      <c r="E29" s="682"/>
      <c r="F29" s="515"/>
      <c r="G29" s="515"/>
      <c r="H29" s="515"/>
      <c r="I29" s="515"/>
      <c r="J29" s="515"/>
    </row>
    <row r="30" spans="1:10" ht="32.25">
      <c r="A30" s="671"/>
      <c r="B30" s="517"/>
      <c r="C30" s="619" t="s">
        <v>538</v>
      </c>
      <c r="D30" s="619" t="s">
        <v>540</v>
      </c>
      <c r="E30" s="680"/>
      <c r="F30" s="515"/>
      <c r="G30" s="515"/>
      <c r="H30" s="515"/>
      <c r="I30" s="515"/>
      <c r="J30" s="515"/>
    </row>
    <row r="31" spans="1:10" ht="18.75">
      <c r="A31" s="671"/>
      <c r="B31" s="83" t="s">
        <v>506</v>
      </c>
      <c r="C31" s="34">
        <f>'1.5 RATEBASE'!C18</f>
        <v>754508.0684931506</v>
      </c>
      <c r="D31" s="34">
        <f>'1.5 RATEBASE'!E18</f>
        <v>52497.692673595506</v>
      </c>
      <c r="E31" s="675"/>
      <c r="F31" s="515"/>
      <c r="G31" s="515"/>
      <c r="H31" s="515"/>
      <c r="I31" s="515"/>
      <c r="J31" s="515"/>
    </row>
    <row r="32" spans="1:10" ht="9.75" customHeight="1" thickBot="1">
      <c r="A32" s="671"/>
      <c r="B32" s="517"/>
      <c r="C32" s="517"/>
      <c r="D32" s="517"/>
      <c r="E32" s="675"/>
      <c r="F32" s="515"/>
      <c r="G32" s="515"/>
      <c r="H32" s="515"/>
      <c r="I32" s="515"/>
      <c r="J32" s="515"/>
    </row>
    <row r="33" spans="1:10" ht="19.5" thickBot="1">
      <c r="A33" s="681" t="s">
        <v>480</v>
      </c>
      <c r="B33" s="520" t="str">
        <f>'1.6 Rev Req'!A2</f>
        <v>Revenue Requirements</v>
      </c>
      <c r="C33" s="521"/>
      <c r="D33" s="521"/>
      <c r="E33" s="682"/>
      <c r="F33" s="515"/>
      <c r="G33" s="515"/>
      <c r="H33" s="515"/>
      <c r="I33" s="515"/>
      <c r="J33" s="515"/>
    </row>
    <row r="34" spans="1:10" ht="18.75">
      <c r="A34" s="671"/>
      <c r="B34" s="83" t="s">
        <v>492</v>
      </c>
      <c r="C34" s="15"/>
      <c r="D34" s="34">
        <f>'1.6 Rev Req'!C15</f>
        <v>82122.95312</v>
      </c>
      <c r="E34" s="675"/>
      <c r="F34" s="670"/>
      <c r="G34" s="515"/>
      <c r="H34" s="515"/>
      <c r="I34" s="515"/>
      <c r="J34" s="515"/>
    </row>
    <row r="35" spans="1:10" ht="18.75">
      <c r="A35" s="671"/>
      <c r="B35" s="83" t="s">
        <v>491</v>
      </c>
      <c r="C35" s="15"/>
      <c r="D35" s="33">
        <f>'1.6 Rev Req'!C8</f>
        <v>0</v>
      </c>
      <c r="E35" s="675"/>
      <c r="F35" s="515"/>
      <c r="J35" s="515"/>
    </row>
    <row r="36" spans="1:10" ht="9.75" customHeight="1" thickBot="1">
      <c r="A36" s="671"/>
      <c r="B36" s="517"/>
      <c r="C36" s="517"/>
      <c r="D36" s="517"/>
      <c r="E36" s="675"/>
      <c r="F36" s="515"/>
      <c r="G36" s="515"/>
      <c r="H36" s="515"/>
      <c r="I36" s="515"/>
      <c r="J36" s="515"/>
    </row>
    <row r="37" spans="1:10" ht="19.5" thickBot="1">
      <c r="A37" s="681" t="s">
        <v>479</v>
      </c>
      <c r="B37" s="520" t="str">
        <f>'1.7 RATE Design'!A2</f>
        <v>Rate Design</v>
      </c>
      <c r="C37" s="521"/>
      <c r="D37" s="521"/>
      <c r="E37" s="682"/>
      <c r="F37" s="515"/>
      <c r="G37" s="515"/>
      <c r="H37" s="515"/>
      <c r="I37" s="515"/>
      <c r="J37" s="515"/>
    </row>
    <row r="38" spans="1:10" ht="7.5" customHeight="1" thickBot="1">
      <c r="A38" s="671"/>
      <c r="B38" s="517"/>
      <c r="C38" s="518"/>
      <c r="D38" s="517"/>
      <c r="E38" s="675"/>
      <c r="F38" s="515"/>
      <c r="G38" s="515"/>
      <c r="H38" s="515"/>
      <c r="I38" s="515"/>
      <c r="J38" s="515"/>
    </row>
    <row r="39" spans="1:10" ht="19.5" thickBot="1">
      <c r="A39" s="671"/>
      <c r="B39" s="687" t="s">
        <v>541</v>
      </c>
      <c r="C39" s="688"/>
      <c r="D39" s="689">
        <f>'1.7 RATE Design'!D35</f>
        <v>55</v>
      </c>
      <c r="E39" s="675"/>
      <c r="F39" s="515"/>
      <c r="G39" s="515"/>
      <c r="H39" s="515"/>
      <c r="I39" s="515"/>
      <c r="J39" s="515"/>
    </row>
    <row r="40" spans="1:10" ht="7.5" customHeight="1" thickBot="1">
      <c r="A40" s="671"/>
      <c r="B40" s="677"/>
      <c r="C40" s="15"/>
      <c r="D40" s="518"/>
      <c r="E40" s="675"/>
      <c r="F40" s="515"/>
      <c r="G40" s="515"/>
      <c r="H40" s="515"/>
      <c r="I40" s="515"/>
      <c r="J40" s="515"/>
    </row>
    <row r="41" spans="1:10" ht="19.5" thickBot="1">
      <c r="A41" s="671"/>
      <c r="B41" s="687" t="s">
        <v>542</v>
      </c>
      <c r="C41" s="688"/>
      <c r="D41" s="690">
        <f>'1.7 RATE Design'!C20</f>
        <v>7500</v>
      </c>
      <c r="E41" s="675"/>
      <c r="F41" s="515"/>
      <c r="G41" s="515"/>
      <c r="H41" s="515"/>
      <c r="I41" s="515"/>
      <c r="J41" s="515"/>
    </row>
    <row r="42" spans="1:10" ht="7.5" customHeight="1" thickBot="1">
      <c r="A42" s="671"/>
      <c r="B42" s="677"/>
      <c r="C42" s="15"/>
      <c r="D42" s="519"/>
      <c r="E42" s="675"/>
      <c r="F42" s="515"/>
      <c r="G42" s="515"/>
      <c r="H42" s="515"/>
      <c r="I42" s="515"/>
      <c r="J42" s="515"/>
    </row>
    <row r="43" spans="1:10" ht="19.5" thickBot="1">
      <c r="A43" s="671"/>
      <c r="B43" s="687" t="s">
        <v>496</v>
      </c>
      <c r="C43" s="688"/>
      <c r="D43" s="689">
        <f>'1.7 RATE Design'!D41</f>
        <v>5</v>
      </c>
      <c r="E43" s="675"/>
      <c r="F43" s="515"/>
      <c r="G43" s="515"/>
      <c r="H43" s="515"/>
      <c r="I43" s="515"/>
      <c r="J43" s="515"/>
    </row>
    <row r="44" spans="1:10" ht="7.5" customHeight="1" thickBot="1">
      <c r="A44" s="671"/>
      <c r="B44" s="517"/>
      <c r="C44" s="517"/>
      <c r="D44" s="517"/>
      <c r="E44" s="675"/>
      <c r="F44" s="515"/>
      <c r="G44" s="515"/>
      <c r="H44" s="515"/>
      <c r="I44" s="515"/>
      <c r="J44" s="515"/>
    </row>
    <row r="45" spans="1:10" ht="19.5" thickBot="1">
      <c r="A45" s="678"/>
      <c r="B45" s="691" t="s">
        <v>543</v>
      </c>
      <c r="C45" s="692"/>
      <c r="D45" s="693">
        <f>'1.7 RATE Design'!D10</f>
        <v>20</v>
      </c>
      <c r="E45" s="679"/>
      <c r="F45" s="515"/>
      <c r="G45" s="515"/>
      <c r="H45" s="515"/>
      <c r="I45" s="515"/>
      <c r="J45" s="515"/>
    </row>
    <row r="46" spans="1:10" ht="19.5" thickBot="1">
      <c r="A46" s="681" t="s">
        <v>647</v>
      </c>
      <c r="B46" s="520" t="s">
        <v>648</v>
      </c>
      <c r="C46" s="521"/>
      <c r="D46" s="521"/>
      <c r="E46" s="682"/>
      <c r="F46" s="515"/>
      <c r="G46" s="515"/>
      <c r="H46" s="515"/>
      <c r="I46" s="515"/>
      <c r="J46" s="515"/>
    </row>
    <row r="47" spans="1:4" ht="23.25">
      <c r="A47" s="533" t="s">
        <v>509</v>
      </c>
      <c r="B47" s="534"/>
      <c r="C47" s="534"/>
      <c r="D47" s="534"/>
    </row>
    <row r="48" ht="12.75">
      <c r="A48" s="490"/>
    </row>
    <row r="50" spans="1:7" ht="15.75">
      <c r="A50" s="745" t="s">
        <v>572</v>
      </c>
      <c r="B50" s="746"/>
      <c r="C50" s="746"/>
      <c r="D50" s="746"/>
      <c r="E50" s="746"/>
      <c r="F50" s="746"/>
      <c r="G50" s="746"/>
    </row>
    <row r="51" ht="12.75">
      <c r="A51" s="492"/>
    </row>
    <row r="58" spans="7:9" ht="12.75">
      <c r="G58" s="492"/>
      <c r="I58" s="492"/>
    </row>
    <row r="59" ht="12.75">
      <c r="A59" s="492"/>
    </row>
    <row r="61" ht="12.75">
      <c r="A61" s="492"/>
    </row>
    <row r="64" ht="12.75">
      <c r="A64" s="512"/>
    </row>
  </sheetData>
  <sheetProtection/>
  <mergeCells count="1">
    <mergeCell ref="A50:G50"/>
  </mergeCells>
  <hyperlinks>
    <hyperlink ref="A3" location="'1.2 INC STMT'!A4" display="Exhibit 1.2"/>
    <hyperlink ref="A12" location="'1.3 Grth Proj'!A1" display="Exhibit 1.3"/>
    <hyperlink ref="A15" location="'1.4 Dep &amp; CIAC'!A1" display="Exhibit 1.4"/>
    <hyperlink ref="A29" location="'1.5 RATEBASE'!A1" display="Exhibit 1.5"/>
    <hyperlink ref="A33" location="'1.6 Rev Req'!A1" display="Exhibit 1.6"/>
    <hyperlink ref="A37" location="'1.7 RATE Design'!A1" display="Exhibit 1.7"/>
    <hyperlink ref="A46" location="'1.8 Gen Ledger'!A1" display="Exhibit 1.8"/>
  </hyperlinks>
  <printOptions horizontalCentered="1" verticalCentered="1"/>
  <pageMargins left="0.7" right="0.7" top="0.75" bottom="0.75" header="0.3" footer="0.3"/>
  <pageSetup fitToHeight="1" fitToWidth="1"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sheetPr>
    <tabColor indexed="11"/>
  </sheetPr>
  <dimension ref="A1:AO213"/>
  <sheetViews>
    <sheetView tabSelected="1" zoomScalePageLayoutView="0" workbookViewId="0" topLeftCell="A130">
      <selection activeCell="B146" sqref="B146:H146"/>
    </sheetView>
  </sheetViews>
  <sheetFormatPr defaultColWidth="9.140625" defaultRowHeight="12.75"/>
  <cols>
    <col min="1" max="1" width="4.00390625" style="4" customWidth="1"/>
    <col min="2" max="2" width="40.00390625" style="0" customWidth="1"/>
    <col min="3" max="3" width="16.7109375" style="1" customWidth="1"/>
    <col min="4" max="4" width="13.7109375" style="0" customWidth="1"/>
    <col min="5" max="5" width="4.7109375" style="3" customWidth="1"/>
    <col min="6" max="7" width="16.7109375" style="2" customWidth="1"/>
    <col min="8" max="8" width="4.7109375" style="2" customWidth="1"/>
    <col min="9" max="9" width="3.421875" style="2" bestFit="1" customWidth="1"/>
    <col min="10" max="12" width="10.7109375" style="2" customWidth="1"/>
    <col min="13" max="13" width="10.7109375" style="480" customWidth="1"/>
    <col min="14" max="41" width="9.140625" style="13" customWidth="1"/>
    <col min="243" max="243" width="13.57421875" style="0" customWidth="1"/>
  </cols>
  <sheetData>
    <row r="1" spans="1:13" ht="20.25">
      <c r="A1" s="476" t="s">
        <v>113</v>
      </c>
      <c r="B1" s="28"/>
      <c r="C1" s="477"/>
      <c r="D1" s="478"/>
      <c r="E1" s="29"/>
      <c r="F1" s="479"/>
      <c r="G1" s="480"/>
      <c r="H1" s="760" t="s">
        <v>477</v>
      </c>
      <c r="I1" s="760"/>
      <c r="J1" s="761"/>
      <c r="K1" s="761"/>
      <c r="L1" s="479"/>
      <c r="M1" s="479"/>
    </row>
    <row r="2" spans="1:13" ht="18.75">
      <c r="A2" s="481" t="s">
        <v>21</v>
      </c>
      <c r="B2" s="28"/>
      <c r="C2" s="477"/>
      <c r="D2" s="478"/>
      <c r="E2" s="29"/>
      <c r="F2" s="479"/>
      <c r="G2" s="480"/>
      <c r="H2" s="760" t="s">
        <v>383</v>
      </c>
      <c r="I2" s="760"/>
      <c r="J2" s="761"/>
      <c r="K2" s="761"/>
      <c r="L2" s="479"/>
      <c r="M2" s="479"/>
    </row>
    <row r="3" spans="1:13" ht="15.75">
      <c r="A3" s="443" t="s">
        <v>380</v>
      </c>
      <c r="B3" s="28"/>
      <c r="C3" s="477"/>
      <c r="D3" s="478"/>
      <c r="E3" s="29"/>
      <c r="F3" s="479"/>
      <c r="G3" s="482"/>
      <c r="H3" s="760" t="s">
        <v>478</v>
      </c>
      <c r="I3" s="760"/>
      <c r="J3" s="761"/>
      <c r="K3" s="761"/>
      <c r="L3" s="482"/>
      <c r="M3" s="482"/>
    </row>
    <row r="4" spans="1:13" ht="15.75">
      <c r="A4" s="747" t="s">
        <v>482</v>
      </c>
      <c r="B4" s="748"/>
      <c r="C4" s="477"/>
      <c r="D4" s="478"/>
      <c r="E4" s="29"/>
      <c r="F4" s="479"/>
      <c r="G4" s="482"/>
      <c r="H4" s="505"/>
      <c r="I4" s="505"/>
      <c r="J4" s="494"/>
      <c r="K4" s="494"/>
      <c r="L4" s="482"/>
      <c r="M4" s="482"/>
    </row>
    <row r="5" spans="1:13" ht="15.75">
      <c r="A5" s="513"/>
      <c r="B5" s="514"/>
      <c r="C5" s="451" t="s">
        <v>1</v>
      </c>
      <c r="D5" s="764" t="s">
        <v>5</v>
      </c>
      <c r="E5" s="764"/>
      <c r="F5" s="452" t="s">
        <v>7</v>
      </c>
      <c r="G5" s="453" t="s">
        <v>69</v>
      </c>
      <c r="H5" s="24"/>
      <c r="I5" s="24"/>
      <c r="J5" s="453"/>
      <c r="K5" s="453"/>
      <c r="L5" s="24"/>
      <c r="M5" s="24"/>
    </row>
    <row r="6" spans="1:13" ht="15.75">
      <c r="A6" s="561"/>
      <c r="B6" s="561"/>
      <c r="C6" s="762" t="s">
        <v>104</v>
      </c>
      <c r="D6" s="763" t="s">
        <v>90</v>
      </c>
      <c r="E6" s="763"/>
      <c r="F6" s="753" t="s">
        <v>91</v>
      </c>
      <c r="G6" s="753" t="s">
        <v>382</v>
      </c>
      <c r="H6" s="562"/>
      <c r="I6" s="562"/>
      <c r="J6" s="562"/>
      <c r="K6" s="562"/>
      <c r="L6" s="25"/>
      <c r="M6" s="25"/>
    </row>
    <row r="7" spans="1:13" ht="15.75">
      <c r="A7" s="563"/>
      <c r="B7" s="564"/>
      <c r="C7" s="754"/>
      <c r="D7" s="754"/>
      <c r="E7" s="754"/>
      <c r="F7" s="754"/>
      <c r="G7" s="754"/>
      <c r="H7" s="565"/>
      <c r="I7" s="565"/>
      <c r="J7" s="565"/>
      <c r="K7" s="565"/>
      <c r="L7" s="26"/>
      <c r="M7" s="26"/>
    </row>
    <row r="8" spans="1:13" ht="15.75">
      <c r="A8" s="566"/>
      <c r="B8" s="251" t="s">
        <v>17</v>
      </c>
      <c r="C8" s="755"/>
      <c r="D8" s="755"/>
      <c r="E8" s="755"/>
      <c r="F8" s="755"/>
      <c r="G8" s="755"/>
      <c r="H8" s="567"/>
      <c r="I8" s="567"/>
      <c r="J8" s="567"/>
      <c r="K8" s="567"/>
      <c r="L8" s="26"/>
      <c r="M8" s="26"/>
    </row>
    <row r="9" spans="1:13" ht="15.75">
      <c r="A9" s="29"/>
      <c r="B9" s="483" t="s">
        <v>389</v>
      </c>
      <c r="C9" s="27"/>
      <c r="D9" s="28"/>
      <c r="E9" s="29"/>
      <c r="F9" s="27"/>
      <c r="G9" s="27"/>
      <c r="H9" s="31"/>
      <c r="I9" s="31"/>
      <c r="J9" s="30"/>
      <c r="K9" s="30"/>
      <c r="L9" s="30"/>
      <c r="M9" s="30"/>
    </row>
    <row r="10" spans="1:13" ht="15.75">
      <c r="A10" s="484"/>
      <c r="B10" s="483" t="s">
        <v>387</v>
      </c>
      <c r="C10" s="27"/>
      <c r="D10" s="27"/>
      <c r="E10" s="31"/>
      <c r="F10" s="32"/>
      <c r="G10" s="32"/>
      <c r="H10" s="133"/>
      <c r="I10" s="133"/>
      <c r="J10" s="33"/>
      <c r="K10" s="33"/>
      <c r="L10" s="33"/>
      <c r="M10" s="33"/>
    </row>
    <row r="11" spans="1:13" ht="15.75">
      <c r="A11" s="456">
        <v>1</v>
      </c>
      <c r="B11" s="485" t="s">
        <v>666</v>
      </c>
      <c r="C11" s="34">
        <v>4876</v>
      </c>
      <c r="D11" s="27"/>
      <c r="E11" s="31"/>
      <c r="F11" s="34">
        <f>C11+D11</f>
        <v>4876</v>
      </c>
      <c r="G11" s="34"/>
      <c r="H11" s="56"/>
      <c r="I11" s="56"/>
      <c r="J11" s="34"/>
      <c r="K11" s="34"/>
      <c r="L11" s="34"/>
      <c r="M11" s="34"/>
    </row>
    <row r="12" spans="1:13" ht="15.75">
      <c r="A12" s="456">
        <v>2</v>
      </c>
      <c r="B12" s="485" t="s">
        <v>93</v>
      </c>
      <c r="C12" s="35">
        <v>375</v>
      </c>
      <c r="D12" s="35"/>
      <c r="E12" s="36"/>
      <c r="F12" s="35">
        <f>C12+D12</f>
        <v>375</v>
      </c>
      <c r="G12" s="35"/>
      <c r="H12" s="36"/>
      <c r="I12" s="36"/>
      <c r="J12" s="37"/>
      <c r="K12" s="37"/>
      <c r="L12" s="37"/>
      <c r="M12" s="37"/>
    </row>
    <row r="13" spans="1:13" ht="15.75">
      <c r="A13" s="456">
        <v>3</v>
      </c>
      <c r="B13" s="485" t="s">
        <v>667</v>
      </c>
      <c r="C13" s="35">
        <v>14117</v>
      </c>
      <c r="D13" s="34">
        <f>G16/'1.3 Grth Proj'!J8*'1.3 Grth Proj'!I8</f>
        <v>2596.622950819672</v>
      </c>
      <c r="E13" s="36" t="s">
        <v>62</v>
      </c>
      <c r="F13" s="35">
        <f>C13+D13</f>
        <v>16713.62295081967</v>
      </c>
      <c r="G13" s="35"/>
      <c r="H13" s="36"/>
      <c r="I13" s="36"/>
      <c r="J13" s="37"/>
      <c r="K13" s="37"/>
      <c r="L13" s="37"/>
      <c r="M13" s="37"/>
    </row>
    <row r="14" spans="1:13" ht="15.75">
      <c r="A14" s="456">
        <v>4</v>
      </c>
      <c r="B14" s="486" t="s">
        <v>668</v>
      </c>
      <c r="C14" s="35">
        <v>3520</v>
      </c>
      <c r="D14" s="35"/>
      <c r="E14" s="36"/>
      <c r="F14" s="35">
        <f>C14+D14</f>
        <v>3520</v>
      </c>
      <c r="G14" s="35"/>
      <c r="H14" s="36"/>
      <c r="I14" s="36"/>
      <c r="J14" s="37"/>
      <c r="K14" s="37"/>
      <c r="L14" s="37"/>
      <c r="M14" s="37"/>
    </row>
    <row r="15" spans="1:13" ht="15.75">
      <c r="A15" s="456">
        <v>5</v>
      </c>
      <c r="B15" s="486" t="s">
        <v>44</v>
      </c>
      <c r="C15" s="39">
        <v>0</v>
      </c>
      <c r="D15" s="39"/>
      <c r="E15" s="40"/>
      <c r="F15" s="39">
        <f>C15+D15</f>
        <v>0</v>
      </c>
      <c r="G15" s="39"/>
      <c r="H15" s="134"/>
      <c r="I15" s="134"/>
      <c r="J15" s="37"/>
      <c r="K15" s="37"/>
      <c r="L15" s="37"/>
      <c r="M15" s="37"/>
    </row>
    <row r="16" spans="1:13" ht="15.75">
      <c r="A16" s="456">
        <v>6</v>
      </c>
      <c r="B16" s="483" t="s">
        <v>56</v>
      </c>
      <c r="C16" s="129">
        <f>SUM(C11:C15)</f>
        <v>22888</v>
      </c>
      <c r="D16" s="129">
        <f>SUM(D11:D15)</f>
        <v>2596.622950819672</v>
      </c>
      <c r="E16" s="130"/>
      <c r="F16" s="129">
        <f>SUM(F11:F15)</f>
        <v>25484.62295081967</v>
      </c>
      <c r="G16" s="129">
        <f>'1.7 RATE Design'!G24+'1.7 RATE Design'!G32+'1.7 RATE Design'!G39</f>
        <v>52798</v>
      </c>
      <c r="H16" s="36" t="s">
        <v>568</v>
      </c>
      <c r="I16" s="36"/>
      <c r="J16" s="34"/>
      <c r="K16" s="34"/>
      <c r="L16" s="34"/>
      <c r="M16" s="34"/>
    </row>
    <row r="17" spans="1:13" ht="15.75">
      <c r="A17" s="456"/>
      <c r="B17" s="486"/>
      <c r="C17" s="35" t="s">
        <v>61</v>
      </c>
      <c r="D17" s="35" t="s">
        <v>61</v>
      </c>
      <c r="E17" s="36"/>
      <c r="F17" s="35" t="s">
        <v>61</v>
      </c>
      <c r="G17" s="35"/>
      <c r="H17" s="36"/>
      <c r="I17" s="36"/>
      <c r="J17" s="37"/>
      <c r="K17" s="37"/>
      <c r="L17" s="37"/>
      <c r="M17" s="37"/>
    </row>
    <row r="18" spans="1:13" ht="15.75">
      <c r="A18" s="456"/>
      <c r="B18" s="483" t="s">
        <v>35</v>
      </c>
      <c r="C18" s="35"/>
      <c r="D18" s="35"/>
      <c r="E18" s="36"/>
      <c r="F18" s="35"/>
      <c r="G18" s="35"/>
      <c r="H18" s="36"/>
      <c r="I18" s="36"/>
      <c r="J18" s="37"/>
      <c r="K18" s="37"/>
      <c r="L18" s="37"/>
      <c r="M18" s="37"/>
    </row>
    <row r="19" spans="1:13" ht="15.75">
      <c r="A19" s="456">
        <v>7</v>
      </c>
      <c r="B19" s="486" t="s">
        <v>659</v>
      </c>
      <c r="C19" s="35"/>
      <c r="D19" s="34">
        <f>3500*3</f>
        <v>10500</v>
      </c>
      <c r="E19" s="36" t="s">
        <v>67</v>
      </c>
      <c r="F19" s="34">
        <f>C19+D19</f>
        <v>10500</v>
      </c>
      <c r="G19" s="34">
        <f>F19</f>
        <v>10500</v>
      </c>
      <c r="H19" s="36"/>
      <c r="I19" s="36"/>
      <c r="J19" s="37"/>
      <c r="K19" s="37"/>
      <c r="L19" s="37"/>
      <c r="M19" s="37"/>
    </row>
    <row r="20" spans="1:13" ht="15.75">
      <c r="A20" s="456">
        <v>8</v>
      </c>
      <c r="B20" s="486" t="s">
        <v>658</v>
      </c>
      <c r="C20" s="35"/>
      <c r="D20" s="35">
        <v>900</v>
      </c>
      <c r="E20" s="36" t="s">
        <v>63</v>
      </c>
      <c r="F20" s="35">
        <f>C20+D20</f>
        <v>900</v>
      </c>
      <c r="G20" s="34">
        <f>F20</f>
        <v>900</v>
      </c>
      <c r="H20" s="56"/>
      <c r="I20" s="56"/>
      <c r="J20" s="34"/>
      <c r="K20" s="34"/>
      <c r="L20" s="34"/>
      <c r="M20" s="34"/>
    </row>
    <row r="21" spans="1:13" ht="15.75">
      <c r="A21" s="456">
        <v>9</v>
      </c>
      <c r="B21" s="486" t="s">
        <v>47</v>
      </c>
      <c r="C21" s="34">
        <v>4357</v>
      </c>
      <c r="D21" s="35">
        <f>F21-C21</f>
        <v>8603</v>
      </c>
      <c r="E21" s="36" t="s">
        <v>101</v>
      </c>
      <c r="F21" s="35">
        <f>'1.7 RATE Design'!G10</f>
        <v>12960</v>
      </c>
      <c r="G21" s="35">
        <f>F21</f>
        <v>12960</v>
      </c>
      <c r="H21" s="36"/>
      <c r="I21" s="36"/>
      <c r="J21" s="37"/>
      <c r="K21" s="37"/>
      <c r="L21" s="37"/>
      <c r="M21" s="37"/>
    </row>
    <row r="22" spans="1:13" ht="15.75">
      <c r="A22" s="456">
        <v>10</v>
      </c>
      <c r="B22" s="486" t="s">
        <v>25</v>
      </c>
      <c r="C22" s="35"/>
      <c r="D22" s="35"/>
      <c r="E22" s="36"/>
      <c r="F22" s="35"/>
      <c r="G22" s="35"/>
      <c r="H22" s="36"/>
      <c r="I22" s="36"/>
      <c r="J22" s="37"/>
      <c r="K22" s="37"/>
      <c r="L22" s="37"/>
      <c r="M22" s="37"/>
    </row>
    <row r="23" spans="1:13" ht="15.75">
      <c r="A23" s="456">
        <v>11</v>
      </c>
      <c r="B23" s="486" t="s">
        <v>33</v>
      </c>
      <c r="C23" s="35">
        <v>100</v>
      </c>
      <c r="D23" s="35"/>
      <c r="E23" s="36"/>
      <c r="F23" s="35">
        <f>C23+D23</f>
        <v>100</v>
      </c>
      <c r="G23" s="35">
        <f>F23</f>
        <v>100</v>
      </c>
      <c r="H23" s="36"/>
      <c r="I23" s="36"/>
      <c r="J23" s="37"/>
      <c r="K23" s="37"/>
      <c r="L23" s="37"/>
      <c r="M23" s="37"/>
    </row>
    <row r="24" spans="1:13" ht="15.75">
      <c r="A24" s="456">
        <v>12</v>
      </c>
      <c r="B24" s="486" t="s">
        <v>550</v>
      </c>
      <c r="C24" s="39">
        <v>0</v>
      </c>
      <c r="D24" s="39">
        <v>5300</v>
      </c>
      <c r="E24" s="36" t="s">
        <v>64</v>
      </c>
      <c r="F24" s="35">
        <f>C24+D24</f>
        <v>5300</v>
      </c>
      <c r="G24" s="35">
        <f>F24</f>
        <v>5300</v>
      </c>
      <c r="H24" s="134"/>
      <c r="I24" s="134"/>
      <c r="J24" s="37"/>
      <c r="K24" s="37"/>
      <c r="L24" s="37"/>
      <c r="M24" s="37"/>
    </row>
    <row r="25" spans="1:13" ht="15.75">
      <c r="A25" s="456">
        <v>13</v>
      </c>
      <c r="B25" s="483" t="s">
        <v>388</v>
      </c>
      <c r="C25" s="129">
        <f>SUM(C18:C24)</f>
        <v>4457</v>
      </c>
      <c r="D25" s="129">
        <f>SUM(D19:D24)</f>
        <v>25303</v>
      </c>
      <c r="E25" s="130"/>
      <c r="F25" s="129">
        <f>SUM(F19:F24)</f>
        <v>29760</v>
      </c>
      <c r="G25" s="129">
        <f>SUM(G19:G24)</f>
        <v>29760</v>
      </c>
      <c r="H25" s="56"/>
      <c r="I25" s="56"/>
      <c r="J25" s="34"/>
      <c r="K25" s="34"/>
      <c r="L25" s="34"/>
      <c r="M25" s="34"/>
    </row>
    <row r="26" spans="1:13" ht="16.5" thickBot="1">
      <c r="A26" s="456"/>
      <c r="B26" s="83"/>
      <c r="C26" s="30" t="s">
        <v>61</v>
      </c>
      <c r="D26" s="30" t="s">
        <v>61</v>
      </c>
      <c r="E26" s="43" t="s">
        <v>61</v>
      </c>
      <c r="F26" s="30" t="s">
        <v>61</v>
      </c>
      <c r="G26" s="30"/>
      <c r="H26" s="43"/>
      <c r="I26" s="43"/>
      <c r="J26" s="30"/>
      <c r="K26" s="30"/>
      <c r="L26" s="30"/>
      <c r="M26" s="30"/>
    </row>
    <row r="27" spans="1:41" s="5" customFormat="1" ht="16.5" thickBot="1">
      <c r="A27" s="464">
        <v>14</v>
      </c>
      <c r="B27" s="487" t="s">
        <v>55</v>
      </c>
      <c r="C27" s="44">
        <f>C16+C25</f>
        <v>27345</v>
      </c>
      <c r="D27" s="44">
        <f>D25+D16</f>
        <v>27899.62295081967</v>
      </c>
      <c r="E27" s="45"/>
      <c r="F27" s="44">
        <f>F16+F25</f>
        <v>55244.62295081967</v>
      </c>
      <c r="G27" s="44">
        <f>G16+G25</f>
        <v>82558</v>
      </c>
      <c r="H27" s="56"/>
      <c r="I27" s="56"/>
      <c r="J27" s="453" t="s">
        <v>435</v>
      </c>
      <c r="K27" s="453" t="s">
        <v>436</v>
      </c>
      <c r="L27" s="34"/>
      <c r="M27" s="34"/>
      <c r="N27" s="496"/>
      <c r="O27" s="496"/>
      <c r="P27" s="496"/>
      <c r="Q27" s="496"/>
      <c r="R27" s="496"/>
      <c r="S27" s="496"/>
      <c r="T27" s="496"/>
      <c r="U27" s="496"/>
      <c r="V27" s="496"/>
      <c r="W27" s="496"/>
      <c r="X27" s="496"/>
      <c r="Y27" s="496"/>
      <c r="Z27" s="496"/>
      <c r="AA27" s="496"/>
      <c r="AB27" s="496"/>
      <c r="AC27" s="496"/>
      <c r="AD27" s="496"/>
      <c r="AE27" s="496"/>
      <c r="AF27" s="496"/>
      <c r="AG27" s="496"/>
      <c r="AH27" s="496"/>
      <c r="AI27" s="496"/>
      <c r="AJ27" s="496"/>
      <c r="AK27" s="496"/>
      <c r="AL27" s="496"/>
      <c r="AM27" s="496"/>
      <c r="AN27" s="496"/>
      <c r="AO27" s="496"/>
    </row>
    <row r="28" spans="1:13" ht="15.75">
      <c r="A28" s="456"/>
      <c r="B28" s="83"/>
      <c r="C28" s="30" t="s">
        <v>61</v>
      </c>
      <c r="D28" s="30" t="s">
        <v>61</v>
      </c>
      <c r="E28" s="43"/>
      <c r="F28" s="30" t="s">
        <v>61</v>
      </c>
      <c r="G28" s="30"/>
      <c r="H28" s="43"/>
      <c r="I28" s="749"/>
      <c r="J28" s="756" t="s">
        <v>105</v>
      </c>
      <c r="K28" s="758" t="s">
        <v>106</v>
      </c>
      <c r="L28" s="46"/>
      <c r="M28" s="46"/>
    </row>
    <row r="29" spans="1:13" ht="15.75">
      <c r="A29" s="456"/>
      <c r="B29" s="124" t="s">
        <v>391</v>
      </c>
      <c r="C29" s="27"/>
      <c r="D29" s="27"/>
      <c r="E29" s="31"/>
      <c r="F29" s="27"/>
      <c r="G29" s="27"/>
      <c r="H29" s="31"/>
      <c r="I29" s="750"/>
      <c r="J29" s="757"/>
      <c r="K29" s="759"/>
      <c r="L29" s="46"/>
      <c r="M29" s="46"/>
    </row>
    <row r="30" spans="1:13" ht="15.75">
      <c r="A30" s="456"/>
      <c r="B30" s="124" t="s">
        <v>390</v>
      </c>
      <c r="C30" s="27"/>
      <c r="D30" s="27"/>
      <c r="E30" s="31"/>
      <c r="F30" s="27"/>
      <c r="G30" s="27"/>
      <c r="H30" s="31"/>
      <c r="I30" s="652"/>
      <c r="J30" s="647"/>
      <c r="K30" s="132"/>
      <c r="L30" s="46"/>
      <c r="M30" s="46"/>
    </row>
    <row r="31" spans="1:13" ht="15.75">
      <c r="A31" s="456">
        <v>15</v>
      </c>
      <c r="B31" s="28" t="s">
        <v>45</v>
      </c>
      <c r="C31" s="47"/>
      <c r="D31" s="34">
        <v>3000</v>
      </c>
      <c r="E31" s="36" t="s">
        <v>66</v>
      </c>
      <c r="F31" s="34">
        <f>C31+D31</f>
        <v>3000</v>
      </c>
      <c r="G31" s="34">
        <f>F31</f>
        <v>3000</v>
      </c>
      <c r="H31" s="56"/>
      <c r="I31" s="653"/>
      <c r="J31" s="648">
        <f>IF(F31&gt;0,F31,"")</f>
        <v>3000</v>
      </c>
      <c r="K31" s="120"/>
      <c r="L31" s="34"/>
      <c r="M31" s="34"/>
    </row>
    <row r="32" spans="1:13" ht="15.75">
      <c r="A32" s="456">
        <v>16</v>
      </c>
      <c r="B32" s="28" t="s">
        <v>46</v>
      </c>
      <c r="C32" s="47"/>
      <c r="D32" s="35">
        <v>5000</v>
      </c>
      <c r="E32" s="36" t="s">
        <v>66</v>
      </c>
      <c r="F32" s="35">
        <f aca="true" t="shared" si="0" ref="F32:F62">C32+D32</f>
        <v>5000</v>
      </c>
      <c r="G32" s="35">
        <f aca="true" t="shared" si="1" ref="G32:G61">F32</f>
        <v>5000</v>
      </c>
      <c r="H32" s="36"/>
      <c r="I32" s="654"/>
      <c r="J32" s="649">
        <f>IF(F32&gt;0,F32,"")</f>
        <v>5000</v>
      </c>
      <c r="K32" s="122"/>
      <c r="L32" s="37"/>
      <c r="M32" s="37"/>
    </row>
    <row r="33" spans="1:13" ht="15.75">
      <c r="A33" s="456">
        <v>17</v>
      </c>
      <c r="B33" s="28" t="s">
        <v>19</v>
      </c>
      <c r="C33" s="47"/>
      <c r="D33" s="35"/>
      <c r="E33" s="36"/>
      <c r="F33" s="35">
        <f t="shared" si="0"/>
        <v>0</v>
      </c>
      <c r="G33" s="35">
        <f t="shared" si="1"/>
        <v>0</v>
      </c>
      <c r="H33" s="36"/>
      <c r="I33" s="654"/>
      <c r="J33" s="649">
        <f>IF(F33&gt;0,F33,"")</f>
      </c>
      <c r="K33" s="122"/>
      <c r="L33" s="37"/>
      <c r="M33" s="37"/>
    </row>
    <row r="34" spans="1:13" ht="15.75">
      <c r="A34" s="456">
        <v>18</v>
      </c>
      <c r="B34" s="28" t="s">
        <v>18</v>
      </c>
      <c r="C34" s="47"/>
      <c r="D34" s="35"/>
      <c r="E34" s="36"/>
      <c r="F34" s="35">
        <f t="shared" si="0"/>
        <v>0</v>
      </c>
      <c r="G34" s="35">
        <f t="shared" si="1"/>
        <v>0</v>
      </c>
      <c r="H34" s="36"/>
      <c r="I34" s="654"/>
      <c r="J34" s="649">
        <f>IF(F34&gt;0,F34,"")</f>
      </c>
      <c r="K34" s="122"/>
      <c r="L34" s="37"/>
      <c r="M34" s="37"/>
    </row>
    <row r="35" spans="1:13" ht="15.75">
      <c r="A35" s="456">
        <v>19</v>
      </c>
      <c r="B35" s="28" t="s">
        <v>107</v>
      </c>
      <c r="C35" s="34">
        <v>12240</v>
      </c>
      <c r="D35" s="35">
        <v>-7240</v>
      </c>
      <c r="E35" s="36" t="s">
        <v>65</v>
      </c>
      <c r="F35" s="35">
        <f t="shared" si="0"/>
        <v>5000</v>
      </c>
      <c r="G35" s="35">
        <f t="shared" si="1"/>
        <v>5000</v>
      </c>
      <c r="H35" s="36"/>
      <c r="I35" s="654"/>
      <c r="J35" s="649"/>
      <c r="K35" s="120">
        <f>IF(F35&gt;0,F35,"")</f>
        <v>5000</v>
      </c>
      <c r="L35" s="34"/>
      <c r="M35" s="34"/>
    </row>
    <row r="36" spans="1:13" ht="15.75">
      <c r="A36" s="456">
        <v>20</v>
      </c>
      <c r="B36" s="28" t="s">
        <v>108</v>
      </c>
      <c r="C36" s="35">
        <v>2910</v>
      </c>
      <c r="D36" s="35"/>
      <c r="E36" s="36"/>
      <c r="F36" s="35">
        <f t="shared" si="0"/>
        <v>2910</v>
      </c>
      <c r="G36" s="35">
        <f t="shared" si="1"/>
        <v>2910</v>
      </c>
      <c r="H36" s="36"/>
      <c r="I36" s="657"/>
      <c r="J36" s="650"/>
      <c r="K36" s="121">
        <f aca="true" t="shared" si="2" ref="K36:K41">IF(F36&gt;0,F36,"")</f>
        <v>2910</v>
      </c>
      <c r="L36" s="48"/>
      <c r="M36" s="48"/>
    </row>
    <row r="37" spans="1:13" ht="15.75">
      <c r="A37" s="456">
        <v>21</v>
      </c>
      <c r="B37" s="28" t="s">
        <v>39</v>
      </c>
      <c r="C37" s="35">
        <v>6806</v>
      </c>
      <c r="D37" s="35"/>
      <c r="E37" s="36"/>
      <c r="F37" s="35">
        <f t="shared" si="0"/>
        <v>6806</v>
      </c>
      <c r="G37" s="35">
        <f t="shared" si="1"/>
        <v>6806</v>
      </c>
      <c r="H37" s="620"/>
      <c r="I37" s="659" t="s">
        <v>569</v>
      </c>
      <c r="J37" s="650">
        <f>G37*0.57</f>
        <v>3879.4199999999996</v>
      </c>
      <c r="K37" s="121">
        <f>G37*0.43</f>
        <v>2926.58</v>
      </c>
      <c r="L37" s="48"/>
      <c r="M37" s="48"/>
    </row>
    <row r="38" spans="1:13" ht="15.75">
      <c r="A38" s="456">
        <v>22</v>
      </c>
      <c r="B38" s="28" t="s">
        <v>9</v>
      </c>
      <c r="C38" s="35"/>
      <c r="D38" s="35"/>
      <c r="E38" s="36"/>
      <c r="F38" s="35">
        <f t="shared" si="0"/>
        <v>0</v>
      </c>
      <c r="G38" s="35">
        <f t="shared" si="1"/>
        <v>0</v>
      </c>
      <c r="H38" s="36"/>
      <c r="I38" s="657"/>
      <c r="J38" s="650"/>
      <c r="K38" s="121">
        <f t="shared" si="2"/>
      </c>
      <c r="L38" s="48"/>
      <c r="M38" s="48"/>
    </row>
    <row r="39" spans="1:13" ht="15.75">
      <c r="A39" s="456">
        <v>23</v>
      </c>
      <c r="B39" s="28" t="s">
        <v>551</v>
      </c>
      <c r="C39" s="35"/>
      <c r="D39" s="35">
        <v>900</v>
      </c>
      <c r="E39" s="36" t="s">
        <v>102</v>
      </c>
      <c r="F39" s="35">
        <f t="shared" si="0"/>
        <v>900</v>
      </c>
      <c r="G39" s="35">
        <f t="shared" si="1"/>
        <v>900</v>
      </c>
      <c r="H39" s="36"/>
      <c r="I39" s="657"/>
      <c r="J39" s="650"/>
      <c r="K39" s="121">
        <f>G39</f>
        <v>900</v>
      </c>
      <c r="L39" s="48"/>
      <c r="M39" s="48"/>
    </row>
    <row r="40" spans="1:13" ht="15.75">
      <c r="A40" s="456">
        <v>24</v>
      </c>
      <c r="B40" s="28" t="s">
        <v>12</v>
      </c>
      <c r="C40" s="35"/>
      <c r="D40" s="35"/>
      <c r="E40" s="36"/>
      <c r="F40" s="35">
        <f t="shared" si="0"/>
        <v>0</v>
      </c>
      <c r="G40" s="35">
        <f t="shared" si="1"/>
        <v>0</v>
      </c>
      <c r="H40" s="36"/>
      <c r="I40" s="654"/>
      <c r="J40" s="649">
        <f aca="true" t="shared" si="3" ref="J40:J55">IF(F40&gt;0,F40,"")</f>
      </c>
      <c r="K40" s="122"/>
      <c r="L40" s="37"/>
      <c r="M40" s="37"/>
    </row>
    <row r="41" spans="1:13" ht="15.75">
      <c r="A41" s="456">
        <v>25</v>
      </c>
      <c r="B41" s="28" t="s">
        <v>109</v>
      </c>
      <c r="C41" s="35">
        <v>2677</v>
      </c>
      <c r="D41" s="35">
        <v>-277</v>
      </c>
      <c r="E41" s="36" t="s">
        <v>68</v>
      </c>
      <c r="F41" s="35">
        <f t="shared" si="0"/>
        <v>2400</v>
      </c>
      <c r="G41" s="35">
        <f t="shared" si="1"/>
        <v>2400</v>
      </c>
      <c r="H41" s="36"/>
      <c r="I41" s="654"/>
      <c r="J41" s="649"/>
      <c r="K41" s="121">
        <f t="shared" si="2"/>
        <v>2400</v>
      </c>
      <c r="L41" s="37"/>
      <c r="M41" s="37"/>
    </row>
    <row r="42" spans="1:13" ht="15.75">
      <c r="A42" s="456">
        <v>26</v>
      </c>
      <c r="B42" s="28" t="s">
        <v>15</v>
      </c>
      <c r="C42" s="35"/>
      <c r="D42" s="35"/>
      <c r="E42" s="36"/>
      <c r="F42" s="35">
        <f t="shared" si="0"/>
        <v>0</v>
      </c>
      <c r="G42" s="35">
        <f t="shared" si="1"/>
        <v>0</v>
      </c>
      <c r="H42" s="36"/>
      <c r="I42" s="654"/>
      <c r="J42" s="649">
        <f t="shared" si="3"/>
      </c>
      <c r="K42" s="122"/>
      <c r="L42" s="37"/>
      <c r="M42" s="37"/>
    </row>
    <row r="43" spans="1:13" ht="15.75">
      <c r="A43" s="456">
        <v>27</v>
      </c>
      <c r="B43" s="28" t="s">
        <v>110</v>
      </c>
      <c r="C43" s="35">
        <v>6811</v>
      </c>
      <c r="D43" s="35">
        <v>-5811</v>
      </c>
      <c r="E43" s="36" t="s">
        <v>103</v>
      </c>
      <c r="F43" s="35">
        <f t="shared" si="0"/>
        <v>1000</v>
      </c>
      <c r="G43" s="35">
        <f t="shared" si="1"/>
        <v>1000</v>
      </c>
      <c r="H43" s="36"/>
      <c r="I43" s="654"/>
      <c r="J43" s="649">
        <f t="shared" si="3"/>
        <v>1000</v>
      </c>
      <c r="K43" s="122"/>
      <c r="L43" s="37"/>
      <c r="M43" s="37"/>
    </row>
    <row r="44" spans="1:13" ht="15.75">
      <c r="A44" s="456">
        <v>28</v>
      </c>
      <c r="B44" s="28" t="s">
        <v>13</v>
      </c>
      <c r="C44" s="35"/>
      <c r="D44" s="35">
        <v>1000</v>
      </c>
      <c r="E44" s="36" t="s">
        <v>392</v>
      </c>
      <c r="F44" s="35">
        <f t="shared" si="0"/>
        <v>1000</v>
      </c>
      <c r="G44" s="35">
        <f t="shared" si="1"/>
        <v>1000</v>
      </c>
      <c r="H44" s="36"/>
      <c r="I44" s="654"/>
      <c r="J44" s="649">
        <f t="shared" si="3"/>
        <v>1000</v>
      </c>
      <c r="K44" s="122"/>
      <c r="L44" s="37"/>
      <c r="M44" s="37"/>
    </row>
    <row r="45" spans="1:13" ht="15.75">
      <c r="A45" s="456">
        <v>29</v>
      </c>
      <c r="B45" s="28" t="s">
        <v>14</v>
      </c>
      <c r="C45" s="35"/>
      <c r="D45" s="35"/>
      <c r="E45" s="36"/>
      <c r="F45" s="35">
        <f t="shared" si="0"/>
        <v>0</v>
      </c>
      <c r="G45" s="35">
        <f t="shared" si="1"/>
        <v>0</v>
      </c>
      <c r="H45" s="36"/>
      <c r="I45" s="654"/>
      <c r="J45" s="649">
        <f t="shared" si="3"/>
      </c>
      <c r="K45" s="122"/>
      <c r="L45" s="37"/>
      <c r="M45" s="37"/>
    </row>
    <row r="46" spans="1:13" ht="15.75">
      <c r="A46" s="456">
        <v>30</v>
      </c>
      <c r="B46" s="28" t="s">
        <v>70</v>
      </c>
      <c r="C46" s="35"/>
      <c r="D46" s="35"/>
      <c r="E46" s="36"/>
      <c r="F46" s="35">
        <f t="shared" si="0"/>
        <v>0</v>
      </c>
      <c r="G46" s="35">
        <f t="shared" si="1"/>
        <v>0</v>
      </c>
      <c r="H46" s="36"/>
      <c r="I46" s="654"/>
      <c r="J46" s="649">
        <f t="shared" si="3"/>
      </c>
      <c r="K46" s="122"/>
      <c r="L46" s="37"/>
      <c r="M46" s="37"/>
    </row>
    <row r="47" spans="1:13" ht="15.75">
      <c r="A47" s="456">
        <v>31</v>
      </c>
      <c r="B47" s="28" t="s">
        <v>111</v>
      </c>
      <c r="C47" s="35">
        <v>3300</v>
      </c>
      <c r="D47" s="35">
        <v>300</v>
      </c>
      <c r="E47" s="36" t="s">
        <v>393</v>
      </c>
      <c r="F47" s="35">
        <f t="shared" si="0"/>
        <v>3600</v>
      </c>
      <c r="G47" s="35">
        <f t="shared" si="1"/>
        <v>3600</v>
      </c>
      <c r="H47" s="36"/>
      <c r="I47" s="654"/>
      <c r="J47" s="649">
        <f t="shared" si="3"/>
        <v>3600</v>
      </c>
      <c r="K47" s="122"/>
      <c r="L47" s="37"/>
      <c r="M47" s="37"/>
    </row>
    <row r="48" spans="1:13" ht="15.75">
      <c r="A48" s="456">
        <v>32</v>
      </c>
      <c r="B48" s="28" t="s">
        <v>71</v>
      </c>
      <c r="C48" s="35"/>
      <c r="D48" s="35"/>
      <c r="E48" s="36"/>
      <c r="F48" s="35">
        <f t="shared" si="0"/>
        <v>0</v>
      </c>
      <c r="G48" s="35">
        <f t="shared" si="1"/>
        <v>0</v>
      </c>
      <c r="H48" s="36"/>
      <c r="I48" s="654"/>
      <c r="J48" s="649">
        <f t="shared" si="3"/>
      </c>
      <c r="K48" s="122"/>
      <c r="L48" s="37"/>
      <c r="M48" s="37"/>
    </row>
    <row r="49" spans="1:13" ht="15.75">
      <c r="A49" s="456">
        <v>33</v>
      </c>
      <c r="B49" s="28" t="s">
        <v>42</v>
      </c>
      <c r="C49" s="35"/>
      <c r="D49" s="35"/>
      <c r="E49" s="36"/>
      <c r="F49" s="35">
        <f t="shared" si="0"/>
        <v>0</v>
      </c>
      <c r="G49" s="35">
        <f t="shared" si="1"/>
        <v>0</v>
      </c>
      <c r="H49" s="36"/>
      <c r="I49" s="654"/>
      <c r="J49" s="649">
        <f t="shared" si="3"/>
      </c>
      <c r="K49" s="122"/>
      <c r="L49" s="37"/>
      <c r="M49" s="37"/>
    </row>
    <row r="50" spans="1:13" ht="15.75">
      <c r="A50" s="456">
        <v>34</v>
      </c>
      <c r="B50" s="28" t="s">
        <v>43</v>
      </c>
      <c r="C50" s="35"/>
      <c r="D50" s="35"/>
      <c r="E50" s="36"/>
      <c r="F50" s="35">
        <f t="shared" si="0"/>
        <v>0</v>
      </c>
      <c r="G50" s="35">
        <f t="shared" si="1"/>
        <v>0</v>
      </c>
      <c r="H50" s="36"/>
      <c r="I50" s="654"/>
      <c r="J50" s="649">
        <f t="shared" si="3"/>
      </c>
      <c r="K50" s="122"/>
      <c r="L50" s="37"/>
      <c r="M50" s="37"/>
    </row>
    <row r="51" spans="1:13" ht="15.75">
      <c r="A51" s="456">
        <v>35</v>
      </c>
      <c r="B51" s="28" t="s">
        <v>660</v>
      </c>
      <c r="C51" s="35"/>
      <c r="D51" s="35">
        <f>D19</f>
        <v>10500</v>
      </c>
      <c r="E51" s="36" t="s">
        <v>67</v>
      </c>
      <c r="F51" s="35">
        <f t="shared" si="0"/>
        <v>10500</v>
      </c>
      <c r="G51" s="35">
        <f t="shared" si="1"/>
        <v>10500</v>
      </c>
      <c r="H51" s="36"/>
      <c r="I51" s="657"/>
      <c r="J51" s="650"/>
      <c r="K51" s="121">
        <f>G51</f>
        <v>10500</v>
      </c>
      <c r="L51" s="48"/>
      <c r="M51" s="48"/>
    </row>
    <row r="52" spans="1:13" ht="15.75">
      <c r="A52" s="456">
        <v>36</v>
      </c>
      <c r="B52" s="28" t="s">
        <v>22</v>
      </c>
      <c r="C52" s="35">
        <v>2880</v>
      </c>
      <c r="D52" s="35"/>
      <c r="E52" s="36"/>
      <c r="F52" s="35">
        <f t="shared" si="0"/>
        <v>2880</v>
      </c>
      <c r="G52" s="35">
        <f t="shared" si="1"/>
        <v>2880</v>
      </c>
      <c r="H52" s="36"/>
      <c r="I52" s="654"/>
      <c r="J52" s="649">
        <f t="shared" si="3"/>
        <v>2880</v>
      </c>
      <c r="K52" s="122"/>
      <c r="L52" s="37"/>
      <c r="M52" s="37"/>
    </row>
    <row r="53" spans="1:13" ht="15.75">
      <c r="A53" s="456">
        <v>37</v>
      </c>
      <c r="B53" s="28" t="s">
        <v>669</v>
      </c>
      <c r="C53" s="35">
        <v>52</v>
      </c>
      <c r="D53" s="35">
        <f>(G27*0.00264)-C53</f>
        <v>165.95312</v>
      </c>
      <c r="E53" s="36" t="s">
        <v>395</v>
      </c>
      <c r="F53" s="35">
        <f t="shared" si="0"/>
        <v>217.95312</v>
      </c>
      <c r="G53" s="35">
        <f t="shared" si="1"/>
        <v>217.95312</v>
      </c>
      <c r="H53" s="36"/>
      <c r="I53" s="654"/>
      <c r="J53" s="649">
        <f t="shared" si="3"/>
        <v>217.95312</v>
      </c>
      <c r="K53" s="122"/>
      <c r="L53" s="37"/>
      <c r="M53" s="37"/>
    </row>
    <row r="54" spans="1:13" ht="15.75">
      <c r="A54" s="456">
        <v>38</v>
      </c>
      <c r="B54" s="28" t="s">
        <v>94</v>
      </c>
      <c r="C54" s="35">
        <v>858</v>
      </c>
      <c r="D54" s="35">
        <v>-858</v>
      </c>
      <c r="E54" s="36" t="s">
        <v>520</v>
      </c>
      <c r="F54" s="35">
        <f t="shared" si="0"/>
        <v>0</v>
      </c>
      <c r="G54" s="35">
        <f t="shared" si="1"/>
        <v>0</v>
      </c>
      <c r="H54" s="36"/>
      <c r="I54" s="657"/>
      <c r="J54" s="650"/>
      <c r="K54" s="121">
        <f>IF(F54&gt;0,F54,"")</f>
      </c>
      <c r="L54" s="48"/>
      <c r="M54" s="48"/>
    </row>
    <row r="55" spans="1:13" ht="15.75">
      <c r="A55" s="456">
        <v>39</v>
      </c>
      <c r="B55" s="28" t="s">
        <v>95</v>
      </c>
      <c r="C55" s="35">
        <v>150</v>
      </c>
      <c r="D55" s="35"/>
      <c r="E55" s="36"/>
      <c r="F55" s="35">
        <f t="shared" si="0"/>
        <v>150</v>
      </c>
      <c r="G55" s="35">
        <f t="shared" si="1"/>
        <v>150</v>
      </c>
      <c r="H55" s="36"/>
      <c r="I55" s="654"/>
      <c r="J55" s="649">
        <f t="shared" si="3"/>
        <v>150</v>
      </c>
      <c r="K55" s="122"/>
      <c r="L55" s="37"/>
      <c r="M55" s="37"/>
    </row>
    <row r="56" spans="1:13" ht="15.75">
      <c r="A56" s="456">
        <v>40</v>
      </c>
      <c r="B56" s="28" t="s">
        <v>6</v>
      </c>
      <c r="C56" s="35">
        <v>1</v>
      </c>
      <c r="D56" s="35">
        <v>24</v>
      </c>
      <c r="E56" s="36" t="s">
        <v>522</v>
      </c>
      <c r="F56" s="35">
        <f t="shared" si="0"/>
        <v>25</v>
      </c>
      <c r="G56" s="35">
        <f t="shared" si="1"/>
        <v>25</v>
      </c>
      <c r="H56" s="36"/>
      <c r="I56" s="657"/>
      <c r="J56" s="650"/>
      <c r="K56" s="121">
        <f>IF(F56&gt;0,F56,"")</f>
        <v>25</v>
      </c>
      <c r="L56" s="48"/>
      <c r="M56" s="48"/>
    </row>
    <row r="57" spans="1:13" ht="15.75">
      <c r="A57" s="456">
        <v>41</v>
      </c>
      <c r="B57" s="28" t="s">
        <v>28</v>
      </c>
      <c r="C57" s="35"/>
      <c r="D57" s="35"/>
      <c r="E57" s="36"/>
      <c r="F57" s="35">
        <f t="shared" si="0"/>
        <v>0</v>
      </c>
      <c r="G57" s="35">
        <f t="shared" si="1"/>
        <v>0</v>
      </c>
      <c r="H57" s="36"/>
      <c r="I57" s="657"/>
      <c r="J57" s="650"/>
      <c r="K57" s="121">
        <f>IF(F57&gt;0,F57,"")</f>
      </c>
      <c r="L57" s="48"/>
      <c r="M57" s="48"/>
    </row>
    <row r="58" spans="1:13" ht="15.75">
      <c r="A58" s="456">
        <v>42</v>
      </c>
      <c r="B58" s="28" t="s">
        <v>29</v>
      </c>
      <c r="C58" s="35">
        <v>30</v>
      </c>
      <c r="D58" s="35">
        <v>500</v>
      </c>
      <c r="E58" s="36" t="s">
        <v>563</v>
      </c>
      <c r="F58" s="35">
        <f t="shared" si="0"/>
        <v>530</v>
      </c>
      <c r="G58" s="35">
        <f t="shared" si="1"/>
        <v>530</v>
      </c>
      <c r="H58" s="36"/>
      <c r="I58" s="657"/>
      <c r="J58" s="650"/>
      <c r="K58" s="121">
        <f>IF(F58&gt;0,F58,"")</f>
        <v>530</v>
      </c>
      <c r="L58" s="48"/>
      <c r="M58" s="48"/>
    </row>
    <row r="59" spans="1:13" ht="15.75">
      <c r="A59" s="456">
        <v>43</v>
      </c>
      <c r="B59" s="28" t="s">
        <v>37</v>
      </c>
      <c r="C59" s="35">
        <v>208</v>
      </c>
      <c r="D59" s="35">
        <v>200</v>
      </c>
      <c r="E59" s="36" t="s">
        <v>564</v>
      </c>
      <c r="F59" s="35">
        <f t="shared" si="0"/>
        <v>408</v>
      </c>
      <c r="G59" s="35">
        <f t="shared" si="1"/>
        <v>408</v>
      </c>
      <c r="H59" s="36"/>
      <c r="I59" s="657"/>
      <c r="J59" s="650"/>
      <c r="K59" s="121">
        <f>IF(F59&gt;0,F59,"")</f>
        <v>408</v>
      </c>
      <c r="L59" s="48"/>
      <c r="M59" s="48"/>
    </row>
    <row r="60" spans="1:13" ht="15.75">
      <c r="A60" s="456">
        <v>44</v>
      </c>
      <c r="B60" s="28" t="s">
        <v>87</v>
      </c>
      <c r="C60" s="35"/>
      <c r="D60" s="35"/>
      <c r="E60" s="36"/>
      <c r="F60" s="35">
        <f t="shared" si="0"/>
        <v>0</v>
      </c>
      <c r="G60" s="35">
        <f t="shared" si="1"/>
        <v>0</v>
      </c>
      <c r="H60" s="36"/>
      <c r="I60" s="657"/>
      <c r="J60" s="650"/>
      <c r="K60" s="121">
        <f>IF(F60&gt;0,F60,"")</f>
      </c>
      <c r="L60" s="48"/>
      <c r="M60" s="48"/>
    </row>
    <row r="61" spans="1:13" ht="15.75">
      <c r="A61" s="456">
        <v>45</v>
      </c>
      <c r="B61" s="28" t="s">
        <v>72</v>
      </c>
      <c r="C61" s="35">
        <v>7117</v>
      </c>
      <c r="D61" s="35">
        <v>383</v>
      </c>
      <c r="E61" s="36" t="s">
        <v>565</v>
      </c>
      <c r="F61" s="35">
        <f t="shared" si="0"/>
        <v>7500</v>
      </c>
      <c r="G61" s="35">
        <f t="shared" si="1"/>
        <v>7500</v>
      </c>
      <c r="H61" s="36"/>
      <c r="I61" s="654"/>
      <c r="J61" s="649">
        <f>F61*0.5</f>
        <v>3750</v>
      </c>
      <c r="K61" s="121">
        <f>J61</f>
        <v>3750</v>
      </c>
      <c r="L61" s="37"/>
      <c r="M61" s="37"/>
    </row>
    <row r="62" spans="1:13" ht="15.75">
      <c r="A62" s="456">
        <v>46</v>
      </c>
      <c r="B62" s="28" t="s">
        <v>58</v>
      </c>
      <c r="C62" s="39">
        <v>800</v>
      </c>
      <c r="D62" s="39"/>
      <c r="E62" s="40"/>
      <c r="F62" s="39">
        <f t="shared" si="0"/>
        <v>800</v>
      </c>
      <c r="G62" s="39">
        <f>F62</f>
        <v>800</v>
      </c>
      <c r="H62" s="134"/>
      <c r="I62" s="654"/>
      <c r="J62" s="649">
        <f>IF(F62&gt;0,F62,"")</f>
        <v>800</v>
      </c>
      <c r="K62" s="122"/>
      <c r="L62" s="49"/>
      <c r="M62" s="37"/>
    </row>
    <row r="63" spans="1:41" s="5" customFormat="1" ht="16.5" thickBot="1">
      <c r="A63" s="456">
        <v>47</v>
      </c>
      <c r="B63" s="124" t="s">
        <v>51</v>
      </c>
      <c r="C63" s="129">
        <f>SUM(C31:C62)</f>
        <v>46840</v>
      </c>
      <c r="D63" s="129">
        <f>F63-C63</f>
        <v>7786.953119999998</v>
      </c>
      <c r="E63" s="130"/>
      <c r="F63" s="129">
        <f>SUM(F31:F62)</f>
        <v>54626.95312</v>
      </c>
      <c r="G63" s="129">
        <f>SUM(G31:G62)</f>
        <v>54626.95312</v>
      </c>
      <c r="H63" s="56"/>
      <c r="I63" s="658"/>
      <c r="J63" s="651">
        <f>SUM(J31:J62)</f>
        <v>25277.373119999997</v>
      </c>
      <c r="K63" s="123">
        <f>SUM(K31:K62)</f>
        <v>29349.58</v>
      </c>
      <c r="L63" s="34"/>
      <c r="M63" s="34"/>
      <c r="N63" s="496"/>
      <c r="O63" s="496"/>
      <c r="P63" s="496"/>
      <c r="Q63" s="496"/>
      <c r="R63" s="496"/>
      <c r="S63" s="496"/>
      <c r="T63" s="496"/>
      <c r="U63" s="496"/>
      <c r="V63" s="496"/>
      <c r="W63" s="496"/>
      <c r="X63" s="496"/>
      <c r="Y63" s="496"/>
      <c r="Z63" s="496"/>
      <c r="AA63" s="496"/>
      <c r="AB63" s="496"/>
      <c r="AC63" s="496"/>
      <c r="AD63" s="496"/>
      <c r="AE63" s="496"/>
      <c r="AF63" s="496"/>
      <c r="AG63" s="496"/>
      <c r="AH63" s="496"/>
      <c r="AI63" s="496"/>
      <c r="AJ63" s="496"/>
      <c r="AK63" s="496"/>
      <c r="AL63" s="496"/>
      <c r="AM63" s="496"/>
      <c r="AN63" s="496"/>
      <c r="AO63" s="496"/>
    </row>
    <row r="64" spans="1:13" ht="16.5" thickTop="1">
      <c r="A64" s="456"/>
      <c r="B64" s="28"/>
      <c r="C64" s="30"/>
      <c r="D64" s="30"/>
      <c r="E64" s="43"/>
      <c r="F64" s="30"/>
      <c r="G64" s="30"/>
      <c r="H64" s="43"/>
      <c r="I64" s="43"/>
      <c r="J64" s="30"/>
      <c r="K64" s="30"/>
      <c r="L64" s="30"/>
      <c r="M64" s="30"/>
    </row>
    <row r="65" spans="1:13" ht="15.75">
      <c r="A65" s="456"/>
      <c r="B65" s="124" t="s">
        <v>31</v>
      </c>
      <c r="C65" s="27"/>
      <c r="D65" s="27"/>
      <c r="E65" s="31"/>
      <c r="F65" s="27"/>
      <c r="G65" s="27"/>
      <c r="H65" s="31"/>
      <c r="I65" s="31"/>
      <c r="J65" s="30">
        <f>G63-K63-Fixed_Exp</f>
        <v>0</v>
      </c>
      <c r="K65" s="30"/>
      <c r="L65" s="30"/>
      <c r="M65" s="30"/>
    </row>
    <row r="66" spans="1:13" ht="15.75">
      <c r="A66" s="456">
        <v>48</v>
      </c>
      <c r="B66" s="28" t="s">
        <v>16</v>
      </c>
      <c r="C66" s="34">
        <v>27546</v>
      </c>
      <c r="D66" s="34">
        <f>F66-C66</f>
        <v>-25871.885752723596</v>
      </c>
      <c r="E66" s="36" t="s">
        <v>566</v>
      </c>
      <c r="F66" s="34">
        <f>-'1.4 Dep &amp; CIAC'!S44</f>
        <v>1674.1142472764027</v>
      </c>
      <c r="G66" s="34">
        <f>F66</f>
        <v>1674.1142472764027</v>
      </c>
      <c r="H66" s="56"/>
      <c r="I66" s="56"/>
      <c r="J66" s="34"/>
      <c r="K66" s="34"/>
      <c r="L66" s="34"/>
      <c r="M66" s="34"/>
    </row>
    <row r="67" spans="1:13" ht="15.75">
      <c r="A67" s="456">
        <v>49</v>
      </c>
      <c r="B67" s="28" t="s">
        <v>521</v>
      </c>
      <c r="C67" s="34">
        <v>0</v>
      </c>
      <c r="D67" s="34">
        <f>F67-C67</f>
        <v>25821.8857527236</v>
      </c>
      <c r="E67" s="36" t="s">
        <v>567</v>
      </c>
      <c r="F67" s="34">
        <f>-'1.4 Dep &amp; CIAC'!S49</f>
        <v>25821.8857527236</v>
      </c>
      <c r="G67" s="34">
        <f>F67</f>
        <v>25821.8857527236</v>
      </c>
      <c r="H67" s="56"/>
      <c r="I67" s="56"/>
      <c r="J67" s="34"/>
      <c r="K67" s="34"/>
      <c r="L67" s="34"/>
      <c r="M67" s="34"/>
    </row>
    <row r="68" spans="1:13" ht="15.75">
      <c r="A68" s="456">
        <v>50</v>
      </c>
      <c r="B68" s="28" t="s">
        <v>36</v>
      </c>
      <c r="C68" s="47"/>
      <c r="D68" s="52"/>
      <c r="E68" s="51"/>
      <c r="F68" s="52">
        <f>C68+D68</f>
        <v>0</v>
      </c>
      <c r="G68" s="35">
        <f>F68</f>
        <v>0</v>
      </c>
      <c r="H68" s="50"/>
      <c r="I68" s="50"/>
      <c r="J68" s="47"/>
      <c r="K68" s="47"/>
      <c r="L68" s="47"/>
      <c r="M68" s="47"/>
    </row>
    <row r="69" spans="1:13" ht="15.75">
      <c r="A69" s="456">
        <v>51</v>
      </c>
      <c r="B69" s="28" t="s">
        <v>38</v>
      </c>
      <c r="C69" s="47"/>
      <c r="D69" s="52"/>
      <c r="E69" s="50"/>
      <c r="F69" s="52">
        <f>C69+D69</f>
        <v>0</v>
      </c>
      <c r="G69" s="35">
        <f>F69</f>
        <v>0</v>
      </c>
      <c r="H69" s="50"/>
      <c r="I69" s="50"/>
      <c r="J69" s="47"/>
      <c r="K69" s="47"/>
      <c r="L69" s="47"/>
      <c r="M69" s="47"/>
    </row>
    <row r="70" spans="1:13" ht="15.75">
      <c r="A70" s="456">
        <v>52</v>
      </c>
      <c r="B70" s="28" t="s">
        <v>34</v>
      </c>
      <c r="C70" s="53"/>
      <c r="D70" s="53"/>
      <c r="E70" s="54"/>
      <c r="F70" s="53">
        <f>C70+D70</f>
        <v>0</v>
      </c>
      <c r="G70" s="53">
        <f>F70</f>
        <v>0</v>
      </c>
      <c r="H70" s="55"/>
      <c r="I70" s="55"/>
      <c r="J70" s="47"/>
      <c r="K70" s="47"/>
      <c r="L70" s="47"/>
      <c r="M70" s="47"/>
    </row>
    <row r="71" spans="1:13" ht="15.75">
      <c r="A71" s="456">
        <v>53</v>
      </c>
      <c r="B71" s="124" t="s">
        <v>53</v>
      </c>
      <c r="C71" s="129">
        <f>SUM(C66:C70)</f>
        <v>27546</v>
      </c>
      <c r="D71" s="129">
        <f>SUM(D66:D70)</f>
        <v>-49.99999999999636</v>
      </c>
      <c r="E71" s="130"/>
      <c r="F71" s="129">
        <f>SUM(F66:F70)</f>
        <v>27496.000000000004</v>
      </c>
      <c r="G71" s="129">
        <f>SUM(G66:G70)</f>
        <v>27496.000000000004</v>
      </c>
      <c r="H71" s="56"/>
      <c r="I71" s="56"/>
      <c r="J71" s="34">
        <f>K63+Fixed_Exp+G71</f>
        <v>82122.95312</v>
      </c>
      <c r="K71" s="34"/>
      <c r="L71" s="34"/>
      <c r="M71" s="34"/>
    </row>
    <row r="72" spans="1:13" ht="16.5" thickBot="1">
      <c r="A72" s="456"/>
      <c r="B72" s="28"/>
      <c r="C72" s="30" t="s">
        <v>61</v>
      </c>
      <c r="D72" s="30" t="s">
        <v>61</v>
      </c>
      <c r="E72" s="43" t="s">
        <v>61</v>
      </c>
      <c r="F72" s="30" t="s">
        <v>61</v>
      </c>
      <c r="G72" s="30"/>
      <c r="H72" s="43"/>
      <c r="I72" s="43"/>
      <c r="J72" s="30"/>
      <c r="K72" s="30"/>
      <c r="L72" s="30"/>
      <c r="M72" s="30"/>
    </row>
    <row r="73" spans="1:13" ht="16.5" thickBot="1">
      <c r="A73" s="456">
        <v>54</v>
      </c>
      <c r="B73" s="487" t="s">
        <v>50</v>
      </c>
      <c r="C73" s="44">
        <f>C63+C71</f>
        <v>74386</v>
      </c>
      <c r="D73" s="44">
        <f>F73-C73</f>
        <v>7736.953120000006</v>
      </c>
      <c r="E73" s="45"/>
      <c r="F73" s="44">
        <f>F63+F71</f>
        <v>82122.95312</v>
      </c>
      <c r="G73" s="44">
        <f>G63+G71</f>
        <v>82122.95312</v>
      </c>
      <c r="H73" s="56"/>
      <c r="I73" s="56"/>
      <c r="J73" s="34"/>
      <c r="K73" s="34"/>
      <c r="L73" s="34"/>
      <c r="M73" s="34"/>
    </row>
    <row r="74" spans="1:13" ht="15.75">
      <c r="A74" s="456"/>
      <c r="B74" s="83"/>
      <c r="C74" s="30" t="s">
        <v>61</v>
      </c>
      <c r="D74" s="30" t="s">
        <v>61</v>
      </c>
      <c r="E74" s="43" t="s">
        <v>61</v>
      </c>
      <c r="F74" s="30" t="s">
        <v>61</v>
      </c>
      <c r="G74" s="30"/>
      <c r="H74" s="43"/>
      <c r="I74" s="43"/>
      <c r="J74" s="30"/>
      <c r="K74" s="30"/>
      <c r="L74" s="30"/>
      <c r="M74" s="30"/>
    </row>
    <row r="75" spans="1:13" ht="16.5" thickBot="1">
      <c r="A75" s="464">
        <v>55</v>
      </c>
      <c r="B75" s="128" t="s">
        <v>30</v>
      </c>
      <c r="C75" s="41">
        <f>C27-C73</f>
        <v>-47041</v>
      </c>
      <c r="D75" s="41">
        <f>F75-C75</f>
        <v>20162.669830819665</v>
      </c>
      <c r="E75" s="42"/>
      <c r="F75" s="41">
        <f>F27-F73</f>
        <v>-26878.330169180335</v>
      </c>
      <c r="G75" s="41">
        <f>G27-G73</f>
        <v>435.0468799999944</v>
      </c>
      <c r="H75" s="56"/>
      <c r="I75" s="56"/>
      <c r="J75" s="34"/>
      <c r="K75" s="34"/>
      <c r="L75" s="34"/>
      <c r="M75" s="34"/>
    </row>
    <row r="76" spans="1:13" ht="16.5" thickTop="1">
      <c r="A76" s="456"/>
      <c r="B76" s="83"/>
      <c r="C76" s="30" t="s">
        <v>61</v>
      </c>
      <c r="D76" s="30" t="s">
        <v>61</v>
      </c>
      <c r="E76" s="43" t="s">
        <v>61</v>
      </c>
      <c r="F76" s="30" t="s">
        <v>61</v>
      </c>
      <c r="G76" s="30"/>
      <c r="H76" s="43"/>
      <c r="I76" s="43"/>
      <c r="J76" s="30"/>
      <c r="K76" s="30"/>
      <c r="L76" s="30"/>
      <c r="M76" s="30"/>
    </row>
    <row r="77" spans="1:13" ht="15.75">
      <c r="A77" s="456">
        <v>56</v>
      </c>
      <c r="B77" s="28" t="s">
        <v>20</v>
      </c>
      <c r="C77" s="34">
        <v>0</v>
      </c>
      <c r="D77" s="34">
        <v>0</v>
      </c>
      <c r="E77" s="34"/>
      <c r="F77" s="34">
        <v>0</v>
      </c>
      <c r="G77" s="34"/>
      <c r="H77" s="50"/>
      <c r="I77" s="50"/>
      <c r="J77" s="47"/>
      <c r="K77" s="47"/>
      <c r="L77" s="47"/>
      <c r="M77" s="47"/>
    </row>
    <row r="78" spans="1:13" ht="15.75">
      <c r="A78" s="456">
        <v>57</v>
      </c>
      <c r="B78" s="28" t="s">
        <v>48</v>
      </c>
      <c r="C78" s="47">
        <v>0</v>
      </c>
      <c r="D78" s="52">
        <v>0</v>
      </c>
      <c r="E78" s="50"/>
      <c r="F78" s="52">
        <v>0</v>
      </c>
      <c r="G78" s="53"/>
      <c r="J78" s="47"/>
      <c r="K78" s="47"/>
      <c r="L78" s="47"/>
      <c r="M78" s="47"/>
    </row>
    <row r="79" spans="1:13" ht="15.75">
      <c r="A79" s="456">
        <v>58</v>
      </c>
      <c r="B79" s="28" t="s">
        <v>49</v>
      </c>
      <c r="C79" s="129">
        <f>SUM(C77:C78)</f>
        <v>0</v>
      </c>
      <c r="D79" s="129">
        <f>F79-C79</f>
        <v>0</v>
      </c>
      <c r="E79" s="130"/>
      <c r="F79" s="129">
        <f>SUM(F77:F78)</f>
        <v>0</v>
      </c>
      <c r="G79" s="129">
        <f>'1.6 Rev Req'!C29</f>
        <v>0</v>
      </c>
      <c r="H79" s="50" t="s">
        <v>570</v>
      </c>
      <c r="I79" s="50"/>
      <c r="J79" s="34"/>
      <c r="K79" s="34"/>
      <c r="L79" s="34"/>
      <c r="M79" s="34"/>
    </row>
    <row r="80" spans="1:13" ht="15.75">
      <c r="A80" s="456"/>
      <c r="B80" s="28"/>
      <c r="C80" s="30" t="s">
        <v>61</v>
      </c>
      <c r="D80" s="30" t="s">
        <v>61</v>
      </c>
      <c r="E80" s="43" t="s">
        <v>61</v>
      </c>
      <c r="F80" s="30" t="s">
        <v>61</v>
      </c>
      <c r="G80" s="30"/>
      <c r="H80" s="43"/>
      <c r="I80" s="43"/>
      <c r="J80" s="30"/>
      <c r="K80" s="30"/>
      <c r="L80" s="30"/>
      <c r="M80" s="30"/>
    </row>
    <row r="81" spans="1:13" ht="16.5" thickBot="1">
      <c r="A81" s="456">
        <v>59</v>
      </c>
      <c r="B81" s="128" t="s">
        <v>27</v>
      </c>
      <c r="C81" s="80">
        <f>C75-C79</f>
        <v>-47041</v>
      </c>
      <c r="D81" s="80">
        <f>F81-C81</f>
        <v>20162.669830819665</v>
      </c>
      <c r="E81" s="131"/>
      <c r="F81" s="80">
        <f>F75-F79</f>
        <v>-26878.330169180335</v>
      </c>
      <c r="G81" s="80">
        <f>G75-G79</f>
        <v>435.0468799999944</v>
      </c>
      <c r="H81" s="56"/>
      <c r="I81" s="56"/>
      <c r="J81" s="34"/>
      <c r="K81" s="34"/>
      <c r="L81" s="34"/>
      <c r="M81" s="34"/>
    </row>
    <row r="82" spans="1:13" ht="16.5" thickTop="1">
      <c r="A82" s="456"/>
      <c r="B82" s="83"/>
      <c r="C82" s="30"/>
      <c r="D82" s="30"/>
      <c r="E82" s="43"/>
      <c r="F82" s="30"/>
      <c r="G82" s="30"/>
      <c r="H82" s="43"/>
      <c r="I82" s="43"/>
      <c r="J82" s="30"/>
      <c r="K82" s="30"/>
      <c r="L82" s="30"/>
      <c r="M82" s="30"/>
    </row>
    <row r="83" spans="1:13" ht="15.75">
      <c r="A83" s="456"/>
      <c r="B83" s="128" t="s">
        <v>32</v>
      </c>
      <c r="C83" s="34"/>
      <c r="D83" s="34"/>
      <c r="E83" s="56"/>
      <c r="F83" s="57"/>
      <c r="G83" s="57"/>
      <c r="H83" s="135"/>
      <c r="I83" s="135"/>
      <c r="J83" s="57"/>
      <c r="K83" s="57"/>
      <c r="L83" s="57"/>
      <c r="M83" s="57"/>
    </row>
    <row r="84" spans="1:13" ht="15.75">
      <c r="A84" s="456">
        <v>60</v>
      </c>
      <c r="B84" s="83" t="s">
        <v>23</v>
      </c>
      <c r="C84" s="34">
        <v>0</v>
      </c>
      <c r="D84" s="34">
        <v>0</v>
      </c>
      <c r="E84" s="34"/>
      <c r="F84" s="34">
        <v>0</v>
      </c>
      <c r="G84" s="34">
        <v>0</v>
      </c>
      <c r="H84" s="50"/>
      <c r="I84" s="50"/>
      <c r="J84" s="47"/>
      <c r="K84" s="47"/>
      <c r="L84" s="47"/>
      <c r="M84" s="47"/>
    </row>
    <row r="85" spans="1:13" ht="15.75">
      <c r="A85" s="456">
        <v>61</v>
      </c>
      <c r="B85" s="28" t="s">
        <v>24</v>
      </c>
      <c r="C85" s="47">
        <v>0</v>
      </c>
      <c r="D85" s="52">
        <v>0</v>
      </c>
      <c r="E85" s="50"/>
      <c r="F85" s="52">
        <v>0</v>
      </c>
      <c r="G85" s="52">
        <v>0</v>
      </c>
      <c r="H85" s="55"/>
      <c r="I85" s="55"/>
      <c r="J85" s="47"/>
      <c r="K85" s="47"/>
      <c r="L85" s="47"/>
      <c r="M85" s="47"/>
    </row>
    <row r="86" spans="1:13" ht="15.75">
      <c r="A86" s="456">
        <v>62</v>
      </c>
      <c r="B86" s="124" t="s">
        <v>54</v>
      </c>
      <c r="C86" s="129">
        <f>SUM(C84:C85)</f>
        <v>0</v>
      </c>
      <c r="D86" s="129">
        <f>F86-C86</f>
        <v>0</v>
      </c>
      <c r="E86" s="129"/>
      <c r="F86" s="129">
        <f>SUM(F84:F85)</f>
        <v>0</v>
      </c>
      <c r="G86" s="129">
        <f>SUM(G84:G85)</f>
        <v>0</v>
      </c>
      <c r="H86" s="56"/>
      <c r="I86" s="56"/>
      <c r="J86" s="34"/>
      <c r="K86" s="34"/>
      <c r="L86" s="34"/>
      <c r="M86" s="34"/>
    </row>
    <row r="87" spans="1:13" ht="16.5" thickBot="1">
      <c r="A87" s="464"/>
      <c r="B87" s="83"/>
      <c r="C87" s="30" t="s">
        <v>61</v>
      </c>
      <c r="D87" s="30" t="s">
        <v>61</v>
      </c>
      <c r="E87" s="43" t="s">
        <v>61</v>
      </c>
      <c r="F87" s="30" t="s">
        <v>61</v>
      </c>
      <c r="G87" s="30"/>
      <c r="H87" s="43"/>
      <c r="I87" s="43"/>
      <c r="J87" s="30"/>
      <c r="K87" s="30"/>
      <c r="L87" s="30"/>
      <c r="M87" s="30"/>
    </row>
    <row r="88" spans="1:13" ht="16.5" thickBot="1">
      <c r="A88" s="464">
        <v>63</v>
      </c>
      <c r="B88" s="487" t="s">
        <v>485</v>
      </c>
      <c r="C88" s="44">
        <f>C81-C86</f>
        <v>-47041</v>
      </c>
      <c r="D88" s="44">
        <f>F88-C88</f>
        <v>20162.669830819665</v>
      </c>
      <c r="E88" s="44"/>
      <c r="F88" s="44">
        <f>F81-F86</f>
        <v>-26878.330169180335</v>
      </c>
      <c r="G88" s="44">
        <f>G81-G86</f>
        <v>435.0468799999944</v>
      </c>
      <c r="H88" s="56"/>
      <c r="I88" s="56"/>
      <c r="J88" s="34"/>
      <c r="K88" s="34"/>
      <c r="L88" s="34"/>
      <c r="M88" s="34"/>
    </row>
    <row r="89" spans="1:13" ht="15.75">
      <c r="A89" s="464"/>
      <c r="B89" s="83"/>
      <c r="C89" s="30" t="s">
        <v>61</v>
      </c>
      <c r="D89" s="30" t="s">
        <v>61</v>
      </c>
      <c r="E89" s="43" t="s">
        <v>61</v>
      </c>
      <c r="F89" s="30" t="s">
        <v>61</v>
      </c>
      <c r="G89" s="30"/>
      <c r="H89" s="30"/>
      <c r="I89" s="30"/>
      <c r="J89" s="30"/>
      <c r="K89" s="30"/>
      <c r="L89" s="30"/>
      <c r="M89" s="30"/>
    </row>
    <row r="90" spans="1:13" ht="15.75">
      <c r="A90" s="82"/>
      <c r="B90" s="83"/>
      <c r="C90" s="30"/>
      <c r="D90" s="30"/>
      <c r="E90" s="43"/>
      <c r="F90" s="30"/>
      <c r="G90" s="30"/>
      <c r="H90" s="30"/>
      <c r="I90" s="30"/>
      <c r="J90" s="30"/>
      <c r="K90" s="30"/>
      <c r="L90" s="30"/>
      <c r="M90" s="30"/>
    </row>
    <row r="91" spans="1:13" ht="15.75">
      <c r="A91" s="21"/>
      <c r="B91" s="22"/>
      <c r="C91" s="38"/>
      <c r="D91" s="38"/>
      <c r="E91" s="58"/>
      <c r="F91" s="38"/>
      <c r="G91" s="38"/>
      <c r="H91" s="38"/>
      <c r="I91" s="38"/>
      <c r="J91" s="38"/>
      <c r="K91" s="38"/>
      <c r="L91" s="38"/>
      <c r="M91" s="30"/>
    </row>
    <row r="92" spans="1:13" ht="15.75">
      <c r="A92" s="21"/>
      <c r="B92" s="22"/>
      <c r="C92" s="38"/>
      <c r="D92" s="38"/>
      <c r="E92" s="58"/>
      <c r="F92" s="38"/>
      <c r="G92" s="38"/>
      <c r="H92" s="38"/>
      <c r="I92" s="38"/>
      <c r="J92" s="38"/>
      <c r="K92" s="38"/>
      <c r="L92" s="38"/>
      <c r="M92" s="30"/>
    </row>
    <row r="93" spans="1:13" ht="15.75">
      <c r="A93" s="21"/>
      <c r="B93" s="22"/>
      <c r="C93" s="38"/>
      <c r="D93" s="38"/>
      <c r="E93" s="58"/>
      <c r="F93" s="38"/>
      <c r="G93" s="38"/>
      <c r="H93" s="38"/>
      <c r="I93" s="38"/>
      <c r="J93" s="38"/>
      <c r="K93" s="38"/>
      <c r="L93" s="38"/>
      <c r="M93" s="30"/>
    </row>
    <row r="94" spans="1:13" ht="15.75">
      <c r="A94" s="21"/>
      <c r="B94" s="22"/>
      <c r="C94" s="38"/>
      <c r="D94" s="38"/>
      <c r="E94" s="58"/>
      <c r="F94" s="38"/>
      <c r="G94" s="38"/>
      <c r="H94" s="38"/>
      <c r="I94" s="38"/>
      <c r="J94" s="38"/>
      <c r="K94" s="38"/>
      <c r="L94" s="38"/>
      <c r="M94" s="30"/>
    </row>
    <row r="95" spans="1:13" ht="15.75">
      <c r="A95" s="21"/>
      <c r="B95" s="22"/>
      <c r="C95" s="38"/>
      <c r="D95" s="38"/>
      <c r="E95" s="58"/>
      <c r="F95" s="38"/>
      <c r="G95" s="38"/>
      <c r="H95" s="38"/>
      <c r="I95" s="38"/>
      <c r="J95" s="38"/>
      <c r="K95" s="38"/>
      <c r="L95" s="38"/>
      <c r="M95" s="30"/>
    </row>
    <row r="96" spans="1:13" ht="15.75">
      <c r="A96" s="21"/>
      <c r="B96" s="22"/>
      <c r="C96" s="38"/>
      <c r="D96" s="38"/>
      <c r="E96" s="58"/>
      <c r="F96" s="38"/>
      <c r="G96" s="38"/>
      <c r="H96" s="38"/>
      <c r="I96" s="38"/>
      <c r="J96" s="38"/>
      <c r="K96" s="38"/>
      <c r="L96" s="38"/>
      <c r="M96" s="30"/>
    </row>
    <row r="97" spans="1:13" ht="15.75">
      <c r="A97" s="21"/>
      <c r="B97" s="22"/>
      <c r="C97" s="38"/>
      <c r="D97" s="38"/>
      <c r="E97" s="58"/>
      <c r="F97" s="38"/>
      <c r="G97" s="38"/>
      <c r="H97" s="38"/>
      <c r="I97" s="38"/>
      <c r="J97" s="38"/>
      <c r="K97" s="38"/>
      <c r="L97" s="38"/>
      <c r="M97" s="30"/>
    </row>
    <row r="98" spans="1:13" ht="15.75">
      <c r="A98" s="21"/>
      <c r="B98" s="22"/>
      <c r="C98" s="38"/>
      <c r="D98" s="38"/>
      <c r="E98" s="58"/>
      <c r="F98" s="38"/>
      <c r="G98" s="38"/>
      <c r="H98" s="38"/>
      <c r="I98" s="38"/>
      <c r="J98" s="38"/>
      <c r="K98" s="38"/>
      <c r="L98" s="38"/>
      <c r="M98" s="30"/>
    </row>
    <row r="99" spans="1:13" ht="15.75">
      <c r="A99" s="21"/>
      <c r="B99" s="22"/>
      <c r="C99" s="38"/>
      <c r="D99" s="38"/>
      <c r="E99" s="58"/>
      <c r="F99" s="38"/>
      <c r="G99" s="38"/>
      <c r="H99" s="38"/>
      <c r="I99" s="38"/>
      <c r="J99" s="38"/>
      <c r="K99" s="38"/>
      <c r="L99" s="38"/>
      <c r="M99" s="30"/>
    </row>
    <row r="100" spans="1:13" ht="15.75">
      <c r="A100" s="21"/>
      <c r="B100" s="22"/>
      <c r="C100" s="38"/>
      <c r="D100" s="38"/>
      <c r="E100" s="58"/>
      <c r="F100" s="38"/>
      <c r="G100" s="38"/>
      <c r="H100" s="38"/>
      <c r="I100" s="38"/>
      <c r="J100" s="38"/>
      <c r="K100" s="38"/>
      <c r="L100" s="38"/>
      <c r="M100" s="30"/>
    </row>
    <row r="101" spans="1:13" ht="15.75">
      <c r="A101" s="21"/>
      <c r="B101" s="22"/>
      <c r="C101" s="38"/>
      <c r="D101" s="38"/>
      <c r="E101" s="58"/>
      <c r="F101" s="38"/>
      <c r="G101" s="38"/>
      <c r="H101" s="38"/>
      <c r="I101" s="38"/>
      <c r="J101" s="38"/>
      <c r="K101" s="38"/>
      <c r="L101" s="38"/>
      <c r="M101" s="30"/>
    </row>
    <row r="102" spans="1:13" ht="15.75">
      <c r="A102" s="21"/>
      <c r="B102" s="22"/>
      <c r="C102" s="38"/>
      <c r="D102" s="38"/>
      <c r="E102" s="58"/>
      <c r="F102" s="38"/>
      <c r="G102" s="38"/>
      <c r="H102" s="38"/>
      <c r="I102" s="38"/>
      <c r="J102" s="38"/>
      <c r="K102" s="38"/>
      <c r="L102" s="38"/>
      <c r="M102" s="30"/>
    </row>
    <row r="103" spans="1:13" ht="15.75">
      <c r="A103" s="21"/>
      <c r="B103" s="22"/>
      <c r="C103" s="38"/>
      <c r="D103" s="38"/>
      <c r="E103" s="58"/>
      <c r="F103" s="38"/>
      <c r="G103" s="38"/>
      <c r="H103" s="38"/>
      <c r="I103" s="38"/>
      <c r="J103" s="38"/>
      <c r="K103" s="38"/>
      <c r="L103" s="38"/>
      <c r="M103" s="30"/>
    </row>
    <row r="104" spans="1:13" ht="15.75">
      <c r="A104" s="21"/>
      <c r="B104" s="22"/>
      <c r="C104" s="38"/>
      <c r="D104" s="38"/>
      <c r="E104" s="58"/>
      <c r="F104" s="38"/>
      <c r="G104" s="38"/>
      <c r="H104" s="38"/>
      <c r="I104" s="38"/>
      <c r="J104" s="38"/>
      <c r="K104" s="38"/>
      <c r="L104" s="38"/>
      <c r="M104" s="30"/>
    </row>
    <row r="105" spans="1:13" ht="15.75">
      <c r="A105" s="21"/>
      <c r="B105" s="22"/>
      <c r="C105" s="38"/>
      <c r="D105" s="38"/>
      <c r="E105" s="58"/>
      <c r="F105" s="38"/>
      <c r="G105" s="38"/>
      <c r="H105" s="38"/>
      <c r="I105" s="38"/>
      <c r="J105" s="38"/>
      <c r="K105" s="38"/>
      <c r="L105" s="38"/>
      <c r="M105" s="30"/>
    </row>
    <row r="106" spans="1:13" ht="15.75">
      <c r="A106" s="21"/>
      <c r="B106" s="22"/>
      <c r="C106" s="38"/>
      <c r="D106" s="38"/>
      <c r="E106" s="58"/>
      <c r="F106" s="38"/>
      <c r="G106" s="38"/>
      <c r="H106" s="38"/>
      <c r="I106" s="38"/>
      <c r="J106" s="38"/>
      <c r="K106" s="38"/>
      <c r="L106" s="38"/>
      <c r="M106" s="30"/>
    </row>
    <row r="107" spans="1:13" ht="15.75">
      <c r="A107" s="21"/>
      <c r="B107" s="22"/>
      <c r="C107" s="38"/>
      <c r="D107" s="38"/>
      <c r="E107" s="58"/>
      <c r="F107" s="38"/>
      <c r="G107" s="38"/>
      <c r="H107" s="38"/>
      <c r="I107" s="38"/>
      <c r="J107" s="38"/>
      <c r="K107" s="38"/>
      <c r="L107" s="38"/>
      <c r="M107" s="30"/>
    </row>
    <row r="108" spans="1:13" ht="15.75">
      <c r="A108" s="21"/>
      <c r="B108" s="22"/>
      <c r="C108" s="38"/>
      <c r="D108" s="38"/>
      <c r="E108" s="58"/>
      <c r="F108" s="38"/>
      <c r="G108" s="38"/>
      <c r="H108" s="38"/>
      <c r="I108" s="38"/>
      <c r="J108" s="38"/>
      <c r="K108" s="38"/>
      <c r="L108" s="38"/>
      <c r="M108" s="30"/>
    </row>
    <row r="109" spans="1:13" ht="15.75">
      <c r="A109" s="21"/>
      <c r="B109" s="22"/>
      <c r="C109" s="38"/>
      <c r="D109" s="38"/>
      <c r="E109" s="58"/>
      <c r="F109" s="38"/>
      <c r="G109" s="38"/>
      <c r="H109" s="38"/>
      <c r="I109" s="38"/>
      <c r="J109" s="38"/>
      <c r="K109" s="38"/>
      <c r="L109" s="38"/>
      <c r="M109" s="30"/>
    </row>
    <row r="110" spans="1:13" ht="15.75">
      <c r="A110" s="21"/>
      <c r="B110" s="22"/>
      <c r="C110" s="38"/>
      <c r="D110" s="38"/>
      <c r="E110" s="58"/>
      <c r="F110" s="38"/>
      <c r="G110" s="38"/>
      <c r="H110" s="38"/>
      <c r="I110" s="38"/>
      <c r="J110" s="38"/>
      <c r="K110" s="38"/>
      <c r="L110" s="38"/>
      <c r="M110" s="30"/>
    </row>
    <row r="111" spans="1:13" ht="15.75">
      <c r="A111" s="21"/>
      <c r="B111" s="22"/>
      <c r="C111" s="38"/>
      <c r="D111" s="38"/>
      <c r="E111" s="58"/>
      <c r="F111" s="38"/>
      <c r="G111" s="38"/>
      <c r="H111" s="38"/>
      <c r="I111" s="38"/>
      <c r="J111" s="38"/>
      <c r="K111" s="38"/>
      <c r="L111" s="38"/>
      <c r="M111" s="30"/>
    </row>
    <row r="112" spans="1:13" ht="15.75">
      <c r="A112" s="21"/>
      <c r="B112" s="22"/>
      <c r="C112" s="38"/>
      <c r="D112" s="38"/>
      <c r="E112" s="58"/>
      <c r="F112" s="38"/>
      <c r="G112" s="38"/>
      <c r="H112" s="38"/>
      <c r="I112" s="38"/>
      <c r="J112" s="38"/>
      <c r="K112" s="38"/>
      <c r="L112" s="38"/>
      <c r="M112" s="30"/>
    </row>
    <row r="113" spans="1:13" ht="15.75">
      <c r="A113" s="21"/>
      <c r="B113" s="22"/>
      <c r="C113" s="38"/>
      <c r="D113" s="38"/>
      <c r="E113" s="58"/>
      <c r="F113" s="38"/>
      <c r="G113" s="38"/>
      <c r="H113" s="38"/>
      <c r="I113" s="38"/>
      <c r="J113" s="38"/>
      <c r="K113" s="38"/>
      <c r="L113" s="38"/>
      <c r="M113" s="30"/>
    </row>
    <row r="114" spans="1:13" ht="15.75">
      <c r="A114" s="21"/>
      <c r="B114" s="22"/>
      <c r="C114" s="38"/>
      <c r="D114" s="38"/>
      <c r="E114" s="58"/>
      <c r="F114" s="38"/>
      <c r="G114" s="38"/>
      <c r="H114" s="38"/>
      <c r="I114" s="38"/>
      <c r="J114" s="38"/>
      <c r="K114" s="38"/>
      <c r="L114" s="38"/>
      <c r="M114" s="30"/>
    </row>
    <row r="115" spans="1:13" ht="15.75">
      <c r="A115" s="82"/>
      <c r="B115" s="83"/>
      <c r="C115" s="30"/>
      <c r="D115" s="30"/>
      <c r="E115" s="43"/>
      <c r="F115" s="30"/>
      <c r="G115" s="30"/>
      <c r="H115" s="30"/>
      <c r="I115" s="30"/>
      <c r="J115" s="30"/>
      <c r="K115" s="30"/>
      <c r="L115" s="30"/>
      <c r="M115" s="30"/>
    </row>
    <row r="116" spans="1:13" ht="15.75">
      <c r="A116" s="82"/>
      <c r="B116" s="83"/>
      <c r="C116" s="30"/>
      <c r="D116" s="30"/>
      <c r="E116" s="43"/>
      <c r="F116" s="30"/>
      <c r="G116" s="30"/>
      <c r="H116" s="30"/>
      <c r="I116" s="30"/>
      <c r="J116" s="30"/>
      <c r="K116" s="30"/>
      <c r="L116" s="30"/>
      <c r="M116" s="30"/>
    </row>
    <row r="117" spans="1:13" ht="15.75">
      <c r="A117" s="82"/>
      <c r="B117" s="83"/>
      <c r="C117" s="30"/>
      <c r="D117" s="30"/>
      <c r="E117" s="43"/>
      <c r="F117" s="30"/>
      <c r="G117" s="30"/>
      <c r="H117" s="30"/>
      <c r="I117" s="30"/>
      <c r="J117" s="30"/>
      <c r="K117" s="30"/>
      <c r="L117" s="30"/>
      <c r="M117" s="30"/>
    </row>
    <row r="118" spans="1:13" ht="15.75">
      <c r="A118" s="82"/>
      <c r="B118" s="83"/>
      <c r="C118" s="30"/>
      <c r="D118" s="30"/>
      <c r="E118" s="43"/>
      <c r="F118" s="30"/>
      <c r="G118" s="30"/>
      <c r="H118" s="30"/>
      <c r="I118" s="30"/>
      <c r="J118" s="30"/>
      <c r="K118" s="30"/>
      <c r="L118" s="30"/>
      <c r="M118" s="30"/>
    </row>
    <row r="119" spans="1:13" ht="15.75">
      <c r="A119" s="82"/>
      <c r="B119" s="83"/>
      <c r="C119" s="30"/>
      <c r="D119" s="30"/>
      <c r="E119" s="43"/>
      <c r="F119" s="30"/>
      <c r="G119" s="30"/>
      <c r="H119" s="30"/>
      <c r="I119" s="30"/>
      <c r="J119" s="30"/>
      <c r="K119" s="30"/>
      <c r="L119" s="30"/>
      <c r="M119" s="30"/>
    </row>
    <row r="120" spans="1:13" ht="15.75">
      <c r="A120" s="29"/>
      <c r="B120" s="28"/>
      <c r="C120" s="27"/>
      <c r="D120" s="27"/>
      <c r="E120" s="31"/>
      <c r="F120" s="32"/>
      <c r="G120" s="32"/>
      <c r="H120" s="32"/>
      <c r="I120" s="32"/>
      <c r="J120" s="32"/>
      <c r="K120" s="32"/>
      <c r="L120" s="32"/>
      <c r="M120" s="32"/>
    </row>
    <row r="121" spans="1:13" ht="15.75">
      <c r="A121" s="29"/>
      <c r="B121" s="28"/>
      <c r="C121" s="27"/>
      <c r="D121" s="27"/>
      <c r="E121" s="31"/>
      <c r="F121" s="32"/>
      <c r="G121" s="32"/>
      <c r="H121" s="32"/>
      <c r="I121" s="32"/>
      <c r="J121" s="32"/>
      <c r="K121" s="32"/>
      <c r="L121" s="32"/>
      <c r="M121" s="32"/>
    </row>
    <row r="122" spans="1:13" ht="15.75">
      <c r="A122" s="29"/>
      <c r="B122" s="28"/>
      <c r="C122" s="27"/>
      <c r="D122" s="27"/>
      <c r="E122" s="31"/>
      <c r="F122" s="32"/>
      <c r="G122" s="32"/>
      <c r="H122" s="32"/>
      <c r="I122" s="32"/>
      <c r="J122" s="32"/>
      <c r="K122" s="32"/>
      <c r="L122" s="32"/>
      <c r="M122" s="32"/>
    </row>
    <row r="123" spans="1:13" ht="15.75">
      <c r="A123" s="29"/>
      <c r="B123" s="28"/>
      <c r="C123" s="27"/>
      <c r="D123" s="27"/>
      <c r="E123" s="31"/>
      <c r="F123" s="32"/>
      <c r="G123" s="32"/>
      <c r="H123" s="32"/>
      <c r="I123" s="32"/>
      <c r="J123" s="32"/>
      <c r="K123" s="32"/>
      <c r="L123" s="32"/>
      <c r="M123" s="32"/>
    </row>
    <row r="124" spans="1:13" ht="15.75">
      <c r="A124" s="29"/>
      <c r="B124" s="28"/>
      <c r="C124" s="27"/>
      <c r="D124" s="27"/>
      <c r="E124" s="31"/>
      <c r="F124" s="32"/>
      <c r="G124" s="32"/>
      <c r="H124" s="32"/>
      <c r="I124" s="32"/>
      <c r="J124" s="32"/>
      <c r="K124" s="32"/>
      <c r="L124" s="32"/>
      <c r="M124" s="32"/>
    </row>
    <row r="125" spans="1:13" ht="15.75">
      <c r="A125" s="29"/>
      <c r="B125" s="28"/>
      <c r="C125" s="27"/>
      <c r="D125" s="27"/>
      <c r="E125" s="31"/>
      <c r="F125" s="32"/>
      <c r="G125" s="32"/>
      <c r="H125" s="32"/>
      <c r="I125" s="32"/>
      <c r="J125" s="32"/>
      <c r="K125" s="32"/>
      <c r="L125" s="32"/>
      <c r="M125" s="32"/>
    </row>
    <row r="126" spans="1:13" ht="15.75">
      <c r="A126" s="29"/>
      <c r="B126" s="28"/>
      <c r="C126" s="27"/>
      <c r="D126" s="27"/>
      <c r="E126" s="31"/>
      <c r="F126" s="32"/>
      <c r="G126" s="32"/>
      <c r="H126" s="32"/>
      <c r="I126" s="32"/>
      <c r="J126" s="32"/>
      <c r="K126" s="32"/>
      <c r="L126" s="32"/>
      <c r="M126" s="32"/>
    </row>
    <row r="127" spans="1:13" ht="15.75">
      <c r="A127" s="29"/>
      <c r="B127" s="28"/>
      <c r="C127" s="27"/>
      <c r="D127" s="27"/>
      <c r="E127" s="31"/>
      <c r="F127" s="32"/>
      <c r="G127" s="32"/>
      <c r="H127" s="32"/>
      <c r="I127" s="32"/>
      <c r="J127" s="32"/>
      <c r="K127" s="32"/>
      <c r="L127" s="32"/>
      <c r="M127" s="32"/>
    </row>
    <row r="128" spans="1:13" ht="15.75">
      <c r="A128" s="29"/>
      <c r="B128" s="28"/>
      <c r="C128" s="27"/>
      <c r="D128" s="27"/>
      <c r="E128" s="31"/>
      <c r="F128" s="32"/>
      <c r="G128" s="32"/>
      <c r="H128" s="32"/>
      <c r="I128" s="32"/>
      <c r="J128" s="32"/>
      <c r="K128" s="32"/>
      <c r="L128" s="32"/>
      <c r="M128" s="32"/>
    </row>
    <row r="129" spans="1:13" ht="15.75">
      <c r="A129" s="29"/>
      <c r="B129" s="28"/>
      <c r="C129" s="27"/>
      <c r="D129" s="27"/>
      <c r="E129" s="31"/>
      <c r="F129" s="32"/>
      <c r="G129" s="32"/>
      <c r="H129" s="32"/>
      <c r="I129" s="32"/>
      <c r="J129" s="32"/>
      <c r="K129" s="32"/>
      <c r="L129" s="32"/>
      <c r="M129" s="32"/>
    </row>
    <row r="130" spans="1:13" ht="15.75">
      <c r="A130" s="29"/>
      <c r="B130" s="28"/>
      <c r="C130" s="27"/>
      <c r="D130" s="27"/>
      <c r="E130" s="31"/>
      <c r="F130" s="32"/>
      <c r="G130" s="32"/>
      <c r="H130" s="32"/>
      <c r="I130" s="32"/>
      <c r="J130" s="32"/>
      <c r="K130" s="32"/>
      <c r="L130" s="32"/>
      <c r="M130" s="32"/>
    </row>
    <row r="131" spans="1:13" ht="15.75">
      <c r="A131" s="488"/>
      <c r="B131" s="489"/>
      <c r="C131" s="27"/>
      <c r="D131" s="27"/>
      <c r="E131" s="31"/>
      <c r="F131" s="32"/>
      <c r="G131" s="32"/>
      <c r="H131" s="32"/>
      <c r="I131" s="32"/>
      <c r="J131" s="32"/>
      <c r="K131" s="32"/>
      <c r="L131" s="32"/>
      <c r="M131" s="32"/>
    </row>
    <row r="132" spans="1:13" ht="15.75">
      <c r="A132" s="488"/>
      <c r="B132" s="490"/>
      <c r="C132" s="27"/>
      <c r="D132" s="27"/>
      <c r="E132" s="31"/>
      <c r="F132" s="32"/>
      <c r="G132" s="32"/>
      <c r="H132" s="32"/>
      <c r="I132" s="32"/>
      <c r="J132" s="32"/>
      <c r="K132" s="32"/>
      <c r="L132" s="32"/>
      <c r="M132" s="32"/>
    </row>
    <row r="133" spans="1:13" ht="15.75">
      <c r="A133" s="488"/>
      <c r="B133" s="490"/>
      <c r="C133" s="27"/>
      <c r="D133" s="27"/>
      <c r="E133" s="31"/>
      <c r="F133" s="32"/>
      <c r="G133" s="32"/>
      <c r="H133" s="32"/>
      <c r="I133" s="32"/>
      <c r="J133" s="32"/>
      <c r="K133" s="32"/>
      <c r="L133" s="32"/>
      <c r="M133" s="32"/>
    </row>
    <row r="134" spans="1:13" ht="26.25" customHeight="1">
      <c r="A134" s="488"/>
      <c r="B134" s="751"/>
      <c r="C134" s="752"/>
      <c r="D134" s="752"/>
      <c r="E134" s="752"/>
      <c r="F134" s="752"/>
      <c r="G134" s="752"/>
      <c r="H134" s="752"/>
      <c r="I134" s="752"/>
      <c r="J134" s="752"/>
      <c r="K134" s="752"/>
      <c r="L134" s="752"/>
      <c r="M134" s="752"/>
    </row>
    <row r="135" spans="1:13" ht="15.75">
      <c r="A135" s="488"/>
      <c r="B135" s="485"/>
      <c r="C135" s="27"/>
      <c r="D135" s="27"/>
      <c r="E135" s="31"/>
      <c r="F135" s="32"/>
      <c r="G135" s="32"/>
      <c r="H135" s="32"/>
      <c r="I135" s="32"/>
      <c r="J135" s="32"/>
      <c r="K135" s="32"/>
      <c r="L135" s="32"/>
      <c r="M135" s="32"/>
    </row>
    <row r="136" spans="1:13" ht="15.75">
      <c r="A136" s="491"/>
      <c r="B136" s="485"/>
      <c r="C136" s="27"/>
      <c r="D136" s="27"/>
      <c r="E136" s="31"/>
      <c r="F136" s="32"/>
      <c r="G136" s="32"/>
      <c r="H136" s="32"/>
      <c r="I136" s="32"/>
      <c r="J136" s="32"/>
      <c r="K136" s="32"/>
      <c r="L136" s="32"/>
      <c r="M136" s="32"/>
    </row>
    <row r="137" spans="1:13" ht="29.25" customHeight="1">
      <c r="A137" s="488"/>
      <c r="B137" s="751"/>
      <c r="C137" s="752"/>
      <c r="D137" s="752"/>
      <c r="E137" s="752"/>
      <c r="F137" s="752"/>
      <c r="G137" s="752"/>
      <c r="H137" s="752"/>
      <c r="I137" s="752"/>
      <c r="J137" s="752"/>
      <c r="K137" s="752"/>
      <c r="L137" s="752"/>
      <c r="M137" s="752"/>
    </row>
    <row r="138" spans="1:13" ht="45.75" customHeight="1">
      <c r="A138" s="488"/>
      <c r="B138" s="751"/>
      <c r="C138" s="752"/>
      <c r="D138" s="752"/>
      <c r="E138" s="752"/>
      <c r="F138" s="752"/>
      <c r="G138" s="752"/>
      <c r="H138" s="752"/>
      <c r="I138" s="752"/>
      <c r="J138" s="752"/>
      <c r="K138" s="752"/>
      <c r="L138" s="752"/>
      <c r="M138" s="752"/>
    </row>
    <row r="139" spans="1:13" ht="15.75">
      <c r="A139" s="488"/>
      <c r="B139" s="492"/>
      <c r="C139" s="27"/>
      <c r="D139" s="27"/>
      <c r="E139" s="31"/>
      <c r="F139" s="32"/>
      <c r="G139" s="32"/>
      <c r="H139" s="32"/>
      <c r="I139" s="32"/>
      <c r="J139" s="32"/>
      <c r="K139" s="32"/>
      <c r="L139" s="32"/>
      <c r="M139" s="32"/>
    </row>
    <row r="140" spans="1:13" ht="15.75">
      <c r="A140" s="488"/>
      <c r="B140" s="13"/>
      <c r="C140" s="13"/>
      <c r="D140" s="13"/>
      <c r="E140" s="13"/>
      <c r="F140" s="13"/>
      <c r="G140" s="13"/>
      <c r="H140" s="13"/>
      <c r="I140" s="32"/>
      <c r="J140" s="32"/>
      <c r="K140" s="32"/>
      <c r="L140" s="32"/>
      <c r="M140" s="32"/>
    </row>
    <row r="141" spans="1:13" ht="15.75">
      <c r="A141" s="488"/>
      <c r="B141" s="28"/>
      <c r="C141" s="27"/>
      <c r="D141" s="27"/>
      <c r="E141" s="31"/>
      <c r="F141" s="32"/>
      <c r="G141" s="32"/>
      <c r="H141" s="32"/>
      <c r="I141" s="32"/>
      <c r="J141" s="32"/>
      <c r="K141" s="32"/>
      <c r="L141" s="32"/>
      <c r="M141" s="32"/>
    </row>
    <row r="142" spans="1:13" ht="15.75">
      <c r="A142" s="488"/>
      <c r="B142" s="13"/>
      <c r="C142" s="13"/>
      <c r="D142" s="13"/>
      <c r="E142" s="13"/>
      <c r="F142" s="13"/>
      <c r="G142" s="13"/>
      <c r="H142" s="13"/>
      <c r="I142" s="32"/>
      <c r="J142" s="32"/>
      <c r="K142" s="32"/>
      <c r="L142" s="32"/>
      <c r="M142" s="32"/>
    </row>
    <row r="143" spans="1:13" ht="15.75">
      <c r="A143" s="488"/>
      <c r="B143" s="13"/>
      <c r="C143" s="13"/>
      <c r="D143" s="13"/>
      <c r="E143" s="13"/>
      <c r="F143" s="13"/>
      <c r="G143" s="13"/>
      <c r="H143" s="13"/>
      <c r="I143" s="32"/>
      <c r="J143" s="32"/>
      <c r="K143" s="32"/>
      <c r="L143" s="32"/>
      <c r="M143" s="32"/>
    </row>
    <row r="144" spans="1:13" ht="15.75">
      <c r="A144" s="488"/>
      <c r="B144" s="28"/>
      <c r="C144" s="27"/>
      <c r="D144" s="27"/>
      <c r="E144" s="31"/>
      <c r="F144" s="32"/>
      <c r="G144" s="32"/>
      <c r="H144" s="32"/>
      <c r="I144" s="32"/>
      <c r="J144" s="32"/>
      <c r="K144" s="32"/>
      <c r="L144" s="32"/>
      <c r="M144" s="32"/>
    </row>
    <row r="145" spans="1:13" ht="15.75">
      <c r="A145" s="488"/>
      <c r="B145" s="124"/>
      <c r="C145" s="27"/>
      <c r="D145" s="27"/>
      <c r="E145" s="31"/>
      <c r="F145" s="32"/>
      <c r="G145" s="32"/>
      <c r="H145" s="32"/>
      <c r="I145" s="32"/>
      <c r="J145" s="32"/>
      <c r="K145" s="32"/>
      <c r="L145" s="32"/>
      <c r="M145" s="32"/>
    </row>
    <row r="146" spans="1:13" ht="15.75">
      <c r="A146" s="488"/>
      <c r="B146" s="745" t="s">
        <v>572</v>
      </c>
      <c r="C146" s="746"/>
      <c r="D146" s="746"/>
      <c r="E146" s="746"/>
      <c r="F146" s="746"/>
      <c r="G146" s="746"/>
      <c r="H146" s="746"/>
      <c r="I146" s="32"/>
      <c r="J146" s="32"/>
      <c r="K146" s="32"/>
      <c r="L146" s="32"/>
      <c r="M146" s="32"/>
    </row>
    <row r="147" spans="1:13" ht="15.75">
      <c r="A147" s="488"/>
      <c r="B147" s="124"/>
      <c r="C147" s="27"/>
      <c r="D147" s="27"/>
      <c r="E147" s="31"/>
      <c r="F147" s="32"/>
      <c r="G147" s="32"/>
      <c r="H147" s="32"/>
      <c r="I147" s="32"/>
      <c r="J147" s="32"/>
      <c r="K147" s="32"/>
      <c r="L147" s="32"/>
      <c r="M147" s="32"/>
    </row>
    <row r="148" spans="1:13" ht="15.75">
      <c r="A148" s="488"/>
      <c r="B148" s="493"/>
      <c r="C148" s="27"/>
      <c r="D148" s="27"/>
      <c r="E148" s="31"/>
      <c r="F148" s="32"/>
      <c r="G148" s="32"/>
      <c r="H148" s="32"/>
      <c r="I148" s="32"/>
      <c r="J148" s="32"/>
      <c r="K148" s="32"/>
      <c r="L148" s="32"/>
      <c r="M148" s="32"/>
    </row>
    <row r="149" spans="1:13" ht="15.75">
      <c r="A149" s="488"/>
      <c r="B149" s="28"/>
      <c r="C149" s="27"/>
      <c r="D149" s="27"/>
      <c r="E149" s="31"/>
      <c r="F149" s="32"/>
      <c r="G149" s="32"/>
      <c r="H149" s="32"/>
      <c r="I149" s="32"/>
      <c r="J149" s="32"/>
      <c r="K149" s="32"/>
      <c r="L149" s="32"/>
      <c r="M149" s="32"/>
    </row>
    <row r="150" spans="1:13" ht="15.75">
      <c r="A150" s="488"/>
      <c r="B150" s="28"/>
      <c r="C150" s="27"/>
      <c r="D150" s="27"/>
      <c r="E150" s="31"/>
      <c r="F150" s="32"/>
      <c r="G150" s="32"/>
      <c r="H150" s="32"/>
      <c r="I150" s="32"/>
      <c r="J150" s="32"/>
      <c r="K150" s="32"/>
      <c r="L150" s="32"/>
      <c r="M150" s="32"/>
    </row>
    <row r="151" spans="1:13" ht="15.75">
      <c r="A151" s="488"/>
      <c r="B151" s="28"/>
      <c r="C151" s="27"/>
      <c r="D151" s="27"/>
      <c r="E151" s="31"/>
      <c r="F151" s="32"/>
      <c r="G151" s="32"/>
      <c r="H151" s="32"/>
      <c r="I151" s="32"/>
      <c r="J151" s="32"/>
      <c r="K151" s="32"/>
      <c r="L151" s="32"/>
      <c r="M151" s="32"/>
    </row>
    <row r="152" spans="1:13" ht="15.75">
      <c r="A152" s="488"/>
      <c r="B152" s="28"/>
      <c r="C152" s="27"/>
      <c r="D152" s="27"/>
      <c r="E152" s="31"/>
      <c r="F152" s="32"/>
      <c r="G152" s="32"/>
      <c r="H152" s="32"/>
      <c r="I152" s="32"/>
      <c r="J152" s="32"/>
      <c r="K152" s="32"/>
      <c r="L152" s="32"/>
      <c r="M152" s="32"/>
    </row>
    <row r="153" spans="1:13" ht="15.75">
      <c r="A153" s="488"/>
      <c r="B153" s="28"/>
      <c r="C153" s="27"/>
      <c r="D153" s="27"/>
      <c r="E153" s="31"/>
      <c r="F153" s="32"/>
      <c r="G153" s="32"/>
      <c r="H153" s="32"/>
      <c r="I153" s="32"/>
      <c r="J153" s="32"/>
      <c r="K153" s="32"/>
      <c r="L153" s="32"/>
      <c r="M153" s="32"/>
    </row>
    <row r="154" spans="1:13" ht="15.75">
      <c r="A154" s="488"/>
      <c r="B154" s="28"/>
      <c r="C154" s="27"/>
      <c r="D154" s="27"/>
      <c r="E154" s="31"/>
      <c r="F154" s="32"/>
      <c r="G154" s="32"/>
      <c r="H154" s="32"/>
      <c r="I154" s="32"/>
      <c r="J154" s="32"/>
      <c r="K154" s="32"/>
      <c r="L154" s="32"/>
      <c r="M154" s="32"/>
    </row>
    <row r="155" spans="1:13" ht="15.75">
      <c r="A155" s="488"/>
      <c r="B155" s="28"/>
      <c r="C155" s="27"/>
      <c r="D155" s="27"/>
      <c r="E155" s="31"/>
      <c r="F155" s="32"/>
      <c r="G155" s="32"/>
      <c r="H155" s="32"/>
      <c r="I155" s="32"/>
      <c r="J155" s="32"/>
      <c r="K155" s="32"/>
      <c r="L155" s="32"/>
      <c r="M155" s="32"/>
    </row>
    <row r="156" spans="1:13" ht="15.75">
      <c r="A156" s="488"/>
      <c r="B156" s="28"/>
      <c r="C156" s="27"/>
      <c r="D156" s="27"/>
      <c r="E156" s="31"/>
      <c r="F156" s="32"/>
      <c r="G156" s="32"/>
      <c r="H156" s="32"/>
      <c r="I156" s="32"/>
      <c r="J156" s="32"/>
      <c r="K156" s="32"/>
      <c r="L156" s="32"/>
      <c r="M156" s="32"/>
    </row>
    <row r="157" spans="1:13" ht="15.75">
      <c r="A157" s="488"/>
      <c r="B157" s="28"/>
      <c r="C157" s="27"/>
      <c r="D157" s="27"/>
      <c r="E157" s="31"/>
      <c r="F157" s="32"/>
      <c r="G157" s="32"/>
      <c r="H157" s="32"/>
      <c r="I157" s="32"/>
      <c r="J157" s="32"/>
      <c r="K157" s="32"/>
      <c r="L157" s="32"/>
      <c r="M157" s="32"/>
    </row>
    <row r="158" spans="1:13" ht="15.75">
      <c r="A158" s="488"/>
      <c r="B158" s="28"/>
      <c r="C158" s="27"/>
      <c r="D158" s="27"/>
      <c r="E158" s="31"/>
      <c r="F158" s="32"/>
      <c r="G158" s="32"/>
      <c r="H158" s="32"/>
      <c r="I158" s="32"/>
      <c r="J158" s="32"/>
      <c r="K158" s="32"/>
      <c r="L158" s="32"/>
      <c r="M158" s="32"/>
    </row>
    <row r="159" spans="1:13" ht="15.75">
      <c r="A159" s="488"/>
      <c r="B159" s="485"/>
      <c r="C159" s="27"/>
      <c r="D159" s="27"/>
      <c r="E159" s="31"/>
      <c r="F159" s="32"/>
      <c r="G159" s="32"/>
      <c r="H159" s="32"/>
      <c r="I159" s="32"/>
      <c r="J159" s="32"/>
      <c r="K159" s="32"/>
      <c r="L159" s="32"/>
      <c r="M159" s="32"/>
    </row>
    <row r="160" spans="1:13" ht="15.75">
      <c r="A160" s="488"/>
      <c r="B160" s="485"/>
      <c r="C160" s="27"/>
      <c r="D160" s="32"/>
      <c r="E160" s="29"/>
      <c r="F160" s="32"/>
      <c r="G160" s="32"/>
      <c r="H160" s="32"/>
      <c r="I160" s="32"/>
      <c r="J160" s="32"/>
      <c r="K160" s="32"/>
      <c r="L160" s="32"/>
      <c r="M160" s="32"/>
    </row>
    <row r="161" spans="1:13" ht="15.75">
      <c r="A161" s="488"/>
      <c r="B161" s="485"/>
      <c r="C161" s="27"/>
      <c r="D161" s="32"/>
      <c r="E161" s="29"/>
      <c r="F161" s="32"/>
      <c r="G161" s="32"/>
      <c r="H161" s="32"/>
      <c r="I161" s="32"/>
      <c r="J161" s="32"/>
      <c r="K161" s="32"/>
      <c r="L161" s="32"/>
      <c r="M161" s="32"/>
    </row>
    <row r="162" spans="1:13" ht="15.75">
      <c r="A162" s="488"/>
      <c r="B162" s="485"/>
      <c r="C162" s="27"/>
      <c r="D162" s="32"/>
      <c r="E162" s="29"/>
      <c r="F162" s="32"/>
      <c r="G162" s="32"/>
      <c r="H162" s="32"/>
      <c r="I162" s="32"/>
      <c r="J162" s="32"/>
      <c r="K162" s="32"/>
      <c r="L162" s="32"/>
      <c r="M162" s="32"/>
    </row>
    <row r="163" spans="1:13" ht="15.75">
      <c r="A163" s="488"/>
      <c r="B163" s="486"/>
      <c r="C163" s="646"/>
      <c r="D163" s="32"/>
      <c r="E163" s="29"/>
      <c r="F163" s="32"/>
      <c r="G163" s="32"/>
      <c r="H163" s="32"/>
      <c r="I163" s="32"/>
      <c r="J163" s="32"/>
      <c r="K163" s="32"/>
      <c r="L163" s="32"/>
      <c r="M163" s="32"/>
    </row>
    <row r="164" spans="1:13" ht="15.75">
      <c r="A164" s="488"/>
      <c r="B164" s="486"/>
      <c r="C164" s="27"/>
      <c r="D164" s="28"/>
      <c r="E164" s="29"/>
      <c r="F164" s="32"/>
      <c r="G164" s="32"/>
      <c r="H164" s="32"/>
      <c r="I164" s="32"/>
      <c r="J164" s="32"/>
      <c r="K164" s="32"/>
      <c r="L164" s="32"/>
      <c r="M164" s="32"/>
    </row>
    <row r="165" spans="1:13" ht="15.75">
      <c r="A165" s="488"/>
      <c r="B165" s="486"/>
      <c r="C165" s="27"/>
      <c r="D165" s="28"/>
      <c r="E165" s="29"/>
      <c r="F165" s="32"/>
      <c r="G165" s="32"/>
      <c r="H165" s="32"/>
      <c r="I165" s="32"/>
      <c r="J165" s="32"/>
      <c r="K165" s="32"/>
      <c r="L165" s="32"/>
      <c r="M165" s="32"/>
    </row>
    <row r="166" spans="1:13" ht="15.75">
      <c r="A166" s="488"/>
      <c r="B166" s="28"/>
      <c r="C166" s="32"/>
      <c r="D166" s="28"/>
      <c r="E166" s="29"/>
      <c r="F166" s="32"/>
      <c r="G166" s="32"/>
      <c r="H166" s="32"/>
      <c r="I166" s="32"/>
      <c r="J166" s="32"/>
      <c r="K166" s="32"/>
      <c r="L166" s="32"/>
      <c r="M166" s="32"/>
    </row>
    <row r="167" spans="1:13" ht="15.75">
      <c r="A167" s="488"/>
      <c r="B167" s="28"/>
      <c r="C167" s="27"/>
      <c r="D167" s="28"/>
      <c r="E167" s="29"/>
      <c r="F167" s="32"/>
      <c r="G167" s="32"/>
      <c r="H167" s="32"/>
      <c r="I167" s="32"/>
      <c r="J167" s="32"/>
      <c r="K167" s="32"/>
      <c r="L167" s="32"/>
      <c r="M167" s="32"/>
    </row>
    <row r="168" spans="1:13" ht="15.75">
      <c r="A168" s="488"/>
      <c r="B168" s="28"/>
      <c r="C168" s="27"/>
      <c r="D168" s="28"/>
      <c r="E168" s="29"/>
      <c r="F168" s="32"/>
      <c r="G168" s="32"/>
      <c r="H168" s="32"/>
      <c r="I168" s="32"/>
      <c r="J168" s="32"/>
      <c r="K168" s="32"/>
      <c r="L168" s="32"/>
      <c r="M168" s="32"/>
    </row>
    <row r="169" spans="1:13" ht="15.75">
      <c r="A169" s="488"/>
      <c r="B169" s="28"/>
      <c r="C169" s="27"/>
      <c r="D169" s="28"/>
      <c r="E169" s="29"/>
      <c r="F169" s="32"/>
      <c r="G169" s="32"/>
      <c r="H169" s="32"/>
      <c r="I169" s="32"/>
      <c r="J169" s="32"/>
      <c r="K169" s="32"/>
      <c r="L169" s="32"/>
      <c r="M169" s="32"/>
    </row>
    <row r="170" spans="1:13" ht="15.75">
      <c r="A170" s="488"/>
      <c r="B170" s="28"/>
      <c r="C170" s="27"/>
      <c r="D170" s="28"/>
      <c r="E170" s="29"/>
      <c r="F170" s="32"/>
      <c r="G170" s="32"/>
      <c r="H170" s="32"/>
      <c r="I170" s="32"/>
      <c r="J170" s="32"/>
      <c r="K170" s="32"/>
      <c r="L170" s="32"/>
      <c r="M170" s="32"/>
    </row>
    <row r="171" spans="1:13" ht="15.75">
      <c r="A171" s="488"/>
      <c r="B171" s="28"/>
      <c r="C171" s="27"/>
      <c r="D171" s="28"/>
      <c r="E171" s="29"/>
      <c r="F171" s="32"/>
      <c r="G171" s="32"/>
      <c r="H171" s="32"/>
      <c r="I171" s="32"/>
      <c r="J171" s="32"/>
      <c r="K171" s="32"/>
      <c r="L171" s="32"/>
      <c r="M171" s="32"/>
    </row>
    <row r="172" spans="1:13" ht="15.75">
      <c r="A172" s="488"/>
      <c r="B172" s="28"/>
      <c r="C172" s="27"/>
      <c r="D172" s="28"/>
      <c r="E172" s="29"/>
      <c r="F172" s="32"/>
      <c r="G172" s="32"/>
      <c r="H172" s="32"/>
      <c r="I172" s="32"/>
      <c r="J172" s="32"/>
      <c r="K172" s="32"/>
      <c r="L172" s="32"/>
      <c r="M172" s="32"/>
    </row>
    <row r="173" spans="1:13" ht="15.75">
      <c r="A173" s="488"/>
      <c r="B173" s="28"/>
      <c r="C173" s="27"/>
      <c r="D173" s="28"/>
      <c r="E173" s="29"/>
      <c r="F173" s="32"/>
      <c r="G173" s="32"/>
      <c r="H173" s="32"/>
      <c r="I173" s="32"/>
      <c r="J173" s="32"/>
      <c r="K173" s="32"/>
      <c r="L173" s="32"/>
      <c r="M173" s="32"/>
    </row>
    <row r="174" spans="1:13" ht="15.75">
      <c r="A174" s="488"/>
      <c r="B174" s="28"/>
      <c r="C174" s="27"/>
      <c r="D174" s="28"/>
      <c r="E174" s="29"/>
      <c r="F174" s="32"/>
      <c r="G174" s="32"/>
      <c r="H174" s="32"/>
      <c r="I174" s="32"/>
      <c r="J174" s="32"/>
      <c r="K174" s="32"/>
      <c r="L174" s="32"/>
      <c r="M174" s="32"/>
    </row>
    <row r="175" spans="1:13" ht="15.75">
      <c r="A175" s="488"/>
      <c r="B175" s="28"/>
      <c r="C175" s="27"/>
      <c r="D175" s="28"/>
      <c r="E175" s="29"/>
      <c r="F175" s="32"/>
      <c r="G175" s="32"/>
      <c r="H175" s="32"/>
      <c r="I175" s="32"/>
      <c r="J175" s="32"/>
      <c r="K175" s="32"/>
      <c r="L175" s="32"/>
      <c r="M175" s="32"/>
    </row>
    <row r="176" spans="1:13" ht="15.75">
      <c r="A176" s="488"/>
      <c r="B176" s="28"/>
      <c r="C176" s="27"/>
      <c r="D176" s="28"/>
      <c r="E176" s="29"/>
      <c r="F176" s="32"/>
      <c r="G176" s="32"/>
      <c r="H176" s="32"/>
      <c r="I176" s="32"/>
      <c r="J176" s="32"/>
      <c r="K176" s="32"/>
      <c r="L176" s="32"/>
      <c r="M176" s="32"/>
    </row>
    <row r="177" spans="1:13" ht="15.75">
      <c r="A177" s="488"/>
      <c r="B177" s="28"/>
      <c r="C177" s="27"/>
      <c r="D177" s="28"/>
      <c r="E177" s="29"/>
      <c r="F177" s="32"/>
      <c r="G177" s="32"/>
      <c r="H177" s="32"/>
      <c r="I177" s="32"/>
      <c r="J177" s="32"/>
      <c r="K177" s="32"/>
      <c r="L177" s="32"/>
      <c r="M177" s="32"/>
    </row>
    <row r="178" spans="1:13" ht="15.75">
      <c r="A178" s="488"/>
      <c r="B178" s="28"/>
      <c r="C178" s="27"/>
      <c r="D178" s="28"/>
      <c r="E178" s="29"/>
      <c r="F178" s="32"/>
      <c r="G178" s="32"/>
      <c r="H178" s="32"/>
      <c r="I178" s="32"/>
      <c r="J178" s="32"/>
      <c r="K178" s="32"/>
      <c r="L178" s="32"/>
      <c r="M178" s="32"/>
    </row>
    <row r="179" spans="1:13" ht="15.75">
      <c r="A179" s="488"/>
      <c r="B179" s="28"/>
      <c r="C179" s="27"/>
      <c r="D179" s="28"/>
      <c r="E179" s="29"/>
      <c r="F179" s="32"/>
      <c r="G179" s="32"/>
      <c r="H179" s="32"/>
      <c r="I179" s="32"/>
      <c r="J179" s="32"/>
      <c r="K179" s="32"/>
      <c r="L179" s="32"/>
      <c r="M179" s="32"/>
    </row>
    <row r="180" spans="1:13" ht="15.75">
      <c r="A180" s="488"/>
      <c r="B180" s="28"/>
      <c r="C180" s="27"/>
      <c r="D180" s="28"/>
      <c r="E180" s="29"/>
      <c r="F180" s="32"/>
      <c r="G180" s="32"/>
      <c r="H180" s="32"/>
      <c r="I180" s="32"/>
      <c r="J180" s="32"/>
      <c r="K180" s="32"/>
      <c r="L180" s="32"/>
      <c r="M180" s="32"/>
    </row>
    <row r="181" spans="1:13" ht="15.75">
      <c r="A181" s="488"/>
      <c r="B181" s="28"/>
      <c r="C181" s="27"/>
      <c r="D181" s="28"/>
      <c r="E181" s="29"/>
      <c r="F181" s="32"/>
      <c r="G181" s="32"/>
      <c r="H181" s="32"/>
      <c r="I181" s="32"/>
      <c r="J181" s="32"/>
      <c r="K181" s="32"/>
      <c r="L181" s="32"/>
      <c r="M181" s="32"/>
    </row>
    <row r="182" spans="1:13" ht="15.75">
      <c r="A182" s="488"/>
      <c r="B182" s="28"/>
      <c r="C182" s="27"/>
      <c r="D182" s="28"/>
      <c r="E182" s="29"/>
      <c r="F182" s="32"/>
      <c r="G182" s="32"/>
      <c r="H182" s="32"/>
      <c r="I182" s="32"/>
      <c r="J182" s="32"/>
      <c r="K182" s="32"/>
      <c r="L182" s="32"/>
      <c r="M182" s="32"/>
    </row>
    <row r="183" spans="1:13" ht="15.75">
      <c r="A183" s="488"/>
      <c r="B183" s="28"/>
      <c r="C183" s="27"/>
      <c r="D183" s="28"/>
      <c r="E183" s="29"/>
      <c r="F183" s="32"/>
      <c r="G183" s="32"/>
      <c r="H183" s="32"/>
      <c r="I183" s="32"/>
      <c r="J183" s="32"/>
      <c r="K183" s="32"/>
      <c r="L183" s="32"/>
      <c r="M183" s="32"/>
    </row>
    <row r="184" spans="1:13" ht="15.75">
      <c r="A184" s="488"/>
      <c r="B184" s="28"/>
      <c r="C184" s="27"/>
      <c r="D184" s="28"/>
      <c r="E184" s="29"/>
      <c r="F184" s="32"/>
      <c r="G184" s="32"/>
      <c r="H184" s="32"/>
      <c r="I184" s="32"/>
      <c r="J184" s="32"/>
      <c r="K184" s="32"/>
      <c r="L184" s="32"/>
      <c r="M184" s="32"/>
    </row>
    <row r="185" spans="1:13" ht="15.75">
      <c r="A185" s="488"/>
      <c r="B185" s="28"/>
      <c r="C185" s="27"/>
      <c r="D185" s="28"/>
      <c r="E185" s="29"/>
      <c r="F185" s="32"/>
      <c r="G185" s="32"/>
      <c r="H185" s="32"/>
      <c r="I185" s="32"/>
      <c r="J185" s="32"/>
      <c r="K185" s="32"/>
      <c r="L185" s="32"/>
      <c r="M185" s="32"/>
    </row>
    <row r="186" spans="1:13" ht="15.75">
      <c r="A186" s="488"/>
      <c r="B186" s="28"/>
      <c r="C186" s="27"/>
      <c r="D186" s="28"/>
      <c r="E186" s="29"/>
      <c r="F186" s="32"/>
      <c r="G186" s="32"/>
      <c r="H186" s="32"/>
      <c r="I186" s="32"/>
      <c r="J186" s="32"/>
      <c r="K186" s="32"/>
      <c r="L186" s="32"/>
      <c r="M186" s="32"/>
    </row>
    <row r="187" spans="1:13" ht="15.75">
      <c r="A187" s="488"/>
      <c r="B187" s="28"/>
      <c r="C187" s="27"/>
      <c r="D187" s="28"/>
      <c r="E187" s="29"/>
      <c r="F187" s="32"/>
      <c r="G187" s="32"/>
      <c r="H187" s="32"/>
      <c r="I187" s="32"/>
      <c r="J187" s="32"/>
      <c r="K187" s="32"/>
      <c r="L187" s="32"/>
      <c r="M187" s="32"/>
    </row>
    <row r="188" spans="1:13" ht="15.75">
      <c r="A188" s="488"/>
      <c r="B188" s="28"/>
      <c r="C188" s="27"/>
      <c r="D188" s="28"/>
      <c r="E188" s="29"/>
      <c r="F188" s="32"/>
      <c r="G188" s="32"/>
      <c r="H188" s="32"/>
      <c r="I188" s="32"/>
      <c r="J188" s="32"/>
      <c r="K188" s="32"/>
      <c r="L188" s="32"/>
      <c r="M188" s="32"/>
    </row>
    <row r="189" spans="1:13" ht="15.75">
      <c r="A189" s="488"/>
      <c r="B189" s="28"/>
      <c r="C189" s="27"/>
      <c r="D189" s="28"/>
      <c r="E189" s="29"/>
      <c r="F189" s="32"/>
      <c r="G189" s="32"/>
      <c r="H189" s="32"/>
      <c r="I189" s="32"/>
      <c r="J189" s="32"/>
      <c r="K189" s="32"/>
      <c r="L189" s="32"/>
      <c r="M189" s="32"/>
    </row>
    <row r="190" spans="1:13" ht="15.75">
      <c r="A190" s="488"/>
      <c r="B190" s="28"/>
      <c r="C190" s="27"/>
      <c r="D190" s="28"/>
      <c r="E190" s="29"/>
      <c r="F190" s="32"/>
      <c r="G190" s="32"/>
      <c r="H190" s="32"/>
      <c r="I190" s="32"/>
      <c r="J190" s="32"/>
      <c r="K190" s="32"/>
      <c r="L190" s="32"/>
      <c r="M190" s="32"/>
    </row>
    <row r="191" spans="1:13" ht="15.75">
      <c r="A191" s="488"/>
      <c r="B191" s="28"/>
      <c r="C191" s="27"/>
      <c r="D191" s="28"/>
      <c r="E191" s="29"/>
      <c r="F191" s="32"/>
      <c r="G191" s="32"/>
      <c r="H191" s="32"/>
      <c r="I191" s="32"/>
      <c r="J191" s="32"/>
      <c r="K191" s="32"/>
      <c r="L191" s="32"/>
      <c r="M191" s="32"/>
    </row>
    <row r="192" spans="1:12" ht="12.75">
      <c r="A192" s="494"/>
      <c r="B192" s="13"/>
      <c r="C192" s="495"/>
      <c r="D192" s="13"/>
      <c r="E192" s="255"/>
      <c r="F192" s="480"/>
      <c r="G192" s="480"/>
      <c r="H192" s="480"/>
      <c r="I192" s="480"/>
      <c r="J192" s="480"/>
      <c r="K192" s="480"/>
      <c r="L192" s="480"/>
    </row>
    <row r="193" spans="1:12" ht="12.75">
      <c r="A193" s="494"/>
      <c r="B193" s="13"/>
      <c r="C193" s="495"/>
      <c r="D193" s="13"/>
      <c r="E193" s="255"/>
      <c r="F193" s="480"/>
      <c r="G193" s="480"/>
      <c r="H193" s="480"/>
      <c r="I193" s="480"/>
      <c r="J193" s="480"/>
      <c r="K193" s="480"/>
      <c r="L193" s="480"/>
    </row>
    <row r="194" spans="1:12" ht="12.75">
      <c r="A194" s="494"/>
      <c r="B194" s="13"/>
      <c r="C194" s="495"/>
      <c r="D194" s="13"/>
      <c r="E194" s="255"/>
      <c r="F194" s="480"/>
      <c r="G194" s="480"/>
      <c r="H194" s="480"/>
      <c r="I194" s="480"/>
      <c r="J194" s="480"/>
      <c r="K194" s="480"/>
      <c r="L194" s="480"/>
    </row>
    <row r="195" spans="1:12" ht="12.75">
      <c r="A195" s="494"/>
      <c r="B195" s="13"/>
      <c r="C195" s="495"/>
      <c r="D195" s="13"/>
      <c r="E195" s="255"/>
      <c r="F195" s="480"/>
      <c r="G195" s="480"/>
      <c r="H195" s="480"/>
      <c r="I195" s="480"/>
      <c r="J195" s="480"/>
      <c r="K195" s="480"/>
      <c r="L195" s="480"/>
    </row>
    <row r="196" spans="1:12" ht="12.75">
      <c r="A196" s="494"/>
      <c r="B196" s="13"/>
      <c r="C196" s="495"/>
      <c r="D196" s="13"/>
      <c r="E196" s="255"/>
      <c r="F196" s="480"/>
      <c r="G196" s="480"/>
      <c r="H196" s="480"/>
      <c r="I196" s="480"/>
      <c r="J196" s="480"/>
      <c r="K196" s="480"/>
      <c r="L196" s="480"/>
    </row>
    <row r="197" spans="1:12" ht="12.75">
      <c r="A197" s="494"/>
      <c r="B197" s="13"/>
      <c r="C197" s="495"/>
      <c r="D197" s="13"/>
      <c r="E197" s="255"/>
      <c r="F197" s="480"/>
      <c r="G197" s="480"/>
      <c r="H197" s="480"/>
      <c r="I197" s="480"/>
      <c r="J197" s="480"/>
      <c r="K197" s="480"/>
      <c r="L197" s="480"/>
    </row>
    <row r="198" spans="1:12" ht="12.75">
      <c r="A198" s="494"/>
      <c r="B198" s="13"/>
      <c r="C198" s="495"/>
      <c r="D198" s="13"/>
      <c r="E198" s="255"/>
      <c r="F198" s="480"/>
      <c r="G198" s="480"/>
      <c r="H198" s="480"/>
      <c r="I198" s="480"/>
      <c r="J198" s="480"/>
      <c r="K198" s="480"/>
      <c r="L198" s="480"/>
    </row>
    <row r="199" spans="1:12" ht="12.75">
      <c r="A199" s="494"/>
      <c r="B199" s="13"/>
      <c r="C199" s="495"/>
      <c r="D199" s="13"/>
      <c r="E199" s="255"/>
      <c r="F199" s="480"/>
      <c r="G199" s="480"/>
      <c r="H199" s="480"/>
      <c r="I199" s="480"/>
      <c r="J199" s="480"/>
      <c r="K199" s="480"/>
      <c r="L199" s="480"/>
    </row>
    <row r="200" spans="1:12" ht="12.75">
      <c r="A200" s="494"/>
      <c r="B200" s="13"/>
      <c r="C200" s="495"/>
      <c r="D200" s="13"/>
      <c r="E200" s="255"/>
      <c r="F200" s="480"/>
      <c r="G200" s="480"/>
      <c r="H200" s="480"/>
      <c r="I200" s="480"/>
      <c r="J200" s="480"/>
      <c r="K200" s="480"/>
      <c r="L200" s="480"/>
    </row>
    <row r="201" spans="1:12" ht="12.75">
      <c r="A201" s="494"/>
      <c r="B201" s="13"/>
      <c r="C201" s="495"/>
      <c r="D201" s="13"/>
      <c r="E201" s="255"/>
      <c r="F201" s="480"/>
      <c r="G201" s="480"/>
      <c r="H201" s="480"/>
      <c r="I201" s="480"/>
      <c r="J201" s="480"/>
      <c r="K201" s="480"/>
      <c r="L201" s="480"/>
    </row>
    <row r="202" spans="1:12" ht="12.75">
      <c r="A202" s="494"/>
      <c r="B202" s="13"/>
      <c r="C202" s="495"/>
      <c r="D202" s="13"/>
      <c r="E202" s="255"/>
      <c r="F202" s="480"/>
      <c r="G202" s="480"/>
      <c r="H202" s="480"/>
      <c r="I202" s="480"/>
      <c r="J202" s="480"/>
      <c r="K202" s="480"/>
      <c r="L202" s="480"/>
    </row>
    <row r="203" spans="1:12" ht="12.75">
      <c r="A203" s="494"/>
      <c r="B203" s="13"/>
      <c r="C203" s="495"/>
      <c r="D203" s="13"/>
      <c r="E203" s="255"/>
      <c r="F203" s="480"/>
      <c r="G203" s="480"/>
      <c r="H203" s="480"/>
      <c r="I203" s="480"/>
      <c r="J203" s="480"/>
      <c r="K203" s="480"/>
      <c r="L203" s="480"/>
    </row>
    <row r="204" spans="1:12" ht="12.75">
      <c r="A204" s="494"/>
      <c r="B204" s="13"/>
      <c r="C204" s="495"/>
      <c r="D204" s="13"/>
      <c r="E204" s="255"/>
      <c r="F204" s="480"/>
      <c r="G204" s="480"/>
      <c r="H204" s="480"/>
      <c r="I204" s="480"/>
      <c r="J204" s="480"/>
      <c r="K204" s="480"/>
      <c r="L204" s="480"/>
    </row>
    <row r="205" spans="1:12" ht="12.75">
      <c r="A205" s="494"/>
      <c r="B205" s="13"/>
      <c r="C205" s="495"/>
      <c r="D205" s="13"/>
      <c r="E205" s="255"/>
      <c r="F205" s="480"/>
      <c r="G205" s="480"/>
      <c r="H205" s="480"/>
      <c r="I205" s="480"/>
      <c r="J205" s="480"/>
      <c r="K205" s="480"/>
      <c r="L205" s="480"/>
    </row>
    <row r="213" ht="12.75">
      <c r="B213">
        <f>27345*0.003</f>
        <v>82.035</v>
      </c>
    </row>
  </sheetData>
  <sheetProtection/>
  <mergeCells count="16">
    <mergeCell ref="B146:H146"/>
    <mergeCell ref="H1:K1"/>
    <mergeCell ref="H2:K2"/>
    <mergeCell ref="H3:K3"/>
    <mergeCell ref="B137:M137"/>
    <mergeCell ref="B138:M138"/>
    <mergeCell ref="C6:C8"/>
    <mergeCell ref="D6:E8"/>
    <mergeCell ref="D5:E5"/>
    <mergeCell ref="F6:F8"/>
    <mergeCell ref="A4:B4"/>
    <mergeCell ref="I28:I29"/>
    <mergeCell ref="B134:M134"/>
    <mergeCell ref="G6:G8"/>
    <mergeCell ref="J28:J29"/>
    <mergeCell ref="K28:K29"/>
  </mergeCells>
  <hyperlinks>
    <hyperlink ref="A4" location="'1.1aSummary'!A1" display="Summary"/>
    <hyperlink ref="E21" location="'1.7 RATE Design'!D9" display="(c)"/>
    <hyperlink ref="E66" location="'1.4 Dep &amp; CIAC'!S44" display="(s)"/>
    <hyperlink ref="E67" location="'1.4 Dep &amp; CIAC'!S49" display="(t)"/>
    <hyperlink ref="H16" location="'1.7 RATE Design'!G42" display="(u)"/>
  </hyperlinks>
  <printOptions/>
  <pageMargins left="0.75" right="0.75" top="0.76" bottom="0.82" header="0.5" footer="0.5"/>
  <pageSetup fitToHeight="4" horizontalDpi="600" verticalDpi="600" orientation="landscape" scale="83" r:id="rId2"/>
  <headerFooter alignWithMargins="0">
    <oddFooter>&amp;L&amp;"Times New Roman,Regular"&amp;11&amp;F, Tab:&amp;A&amp;C&amp;"Times New Roman,Regular"&amp;11&amp;D&amp;R&amp;"Times New Roman,Regular"&amp;11&amp;P of &amp;N</oddFooter>
  </headerFooter>
  <rowBreaks count="3" manualBreakCount="3">
    <brk id="64" max="9" man="1"/>
    <brk id="89" max="9" man="1"/>
    <brk id="117" max="10" man="1"/>
  </rowBreaks>
  <drawing r:id="rId1"/>
</worksheet>
</file>

<file path=xl/worksheets/sheet3.xml><?xml version="1.0" encoding="utf-8"?>
<worksheet xmlns="http://schemas.openxmlformats.org/spreadsheetml/2006/main" xmlns:r="http://schemas.openxmlformats.org/officeDocument/2006/relationships">
  <sheetPr>
    <tabColor theme="9" tint="-0.24997000396251678"/>
    <pageSetUpPr fitToPage="1"/>
  </sheetPr>
  <dimension ref="A1:M71"/>
  <sheetViews>
    <sheetView zoomScalePageLayoutView="0" workbookViewId="0" topLeftCell="A1">
      <selection activeCell="C3" sqref="C3"/>
    </sheetView>
  </sheetViews>
  <sheetFormatPr defaultColWidth="9.140625" defaultRowHeight="12.75"/>
  <cols>
    <col min="1" max="1" width="3.8515625" style="6" customWidth="1"/>
    <col min="2" max="2" width="27.28125" style="6" customWidth="1"/>
    <col min="3" max="8" width="11.7109375" style="6" customWidth="1"/>
    <col min="9" max="9" width="11.421875" style="6" customWidth="1"/>
    <col min="10" max="12" width="11.7109375" style="6" customWidth="1"/>
    <col min="13" max="254" width="9.140625" style="6" customWidth="1"/>
    <col min="255" max="255" width="22.00390625" style="6" bestFit="1" customWidth="1"/>
    <col min="256" max="16384" width="10.7109375" style="6" customWidth="1"/>
  </cols>
  <sheetData>
    <row r="1" spans="1:12" ht="20.25">
      <c r="A1" s="60" t="s">
        <v>113</v>
      </c>
      <c r="I1" s="508"/>
      <c r="K1" s="766" t="s">
        <v>477</v>
      </c>
      <c r="L1" s="767"/>
    </row>
    <row r="2" spans="1:12" ht="18.75">
      <c r="A2" s="61" t="s">
        <v>97</v>
      </c>
      <c r="C2" s="6" t="s">
        <v>61</v>
      </c>
      <c r="I2" s="508"/>
      <c r="K2" s="766" t="s">
        <v>384</v>
      </c>
      <c r="L2" s="767"/>
    </row>
    <row r="3" spans="1:12" ht="15.75">
      <c r="A3" s="23" t="s">
        <v>380</v>
      </c>
      <c r="I3" s="508"/>
      <c r="J3" s="448"/>
      <c r="K3" s="766" t="s">
        <v>478</v>
      </c>
      <c r="L3" s="767"/>
    </row>
    <row r="4" spans="1:12" ht="15">
      <c r="A4" s="765" t="s">
        <v>482</v>
      </c>
      <c r="B4" s="748"/>
      <c r="F4" s="7"/>
      <c r="G4" s="7"/>
      <c r="I4" s="508"/>
      <c r="J4" s="508"/>
      <c r="K4" s="509"/>
      <c r="L4" s="509"/>
    </row>
    <row r="5" spans="1:12" ht="15.75">
      <c r="A5" s="422"/>
      <c r="B5" s="422"/>
      <c r="C5" s="457" t="s">
        <v>1</v>
      </c>
      <c r="D5" s="457" t="s">
        <v>5</v>
      </c>
      <c r="E5" s="457" t="s">
        <v>7</v>
      </c>
      <c r="F5" s="458" t="s">
        <v>69</v>
      </c>
      <c r="G5" s="458" t="s">
        <v>435</v>
      </c>
      <c r="H5" s="457" t="s">
        <v>436</v>
      </c>
      <c r="I5" s="457" t="s">
        <v>437</v>
      </c>
      <c r="J5" s="457" t="s">
        <v>438</v>
      </c>
      <c r="K5" s="457" t="s">
        <v>439</v>
      </c>
      <c r="L5" s="457" t="s">
        <v>440</v>
      </c>
    </row>
    <row r="6" spans="1:12" ht="30.75" customHeight="1">
      <c r="A6" s="424"/>
      <c r="B6" s="424"/>
      <c r="C6" s="768" t="s">
        <v>98</v>
      </c>
      <c r="D6" s="768"/>
      <c r="E6" s="768"/>
      <c r="F6" s="768"/>
      <c r="G6" s="768"/>
      <c r="H6" s="768"/>
      <c r="I6" s="424"/>
      <c r="J6" s="769" t="s">
        <v>96</v>
      </c>
      <c r="K6" s="769"/>
      <c r="L6" s="769"/>
    </row>
    <row r="7" spans="1:12" ht="32.25" customHeight="1">
      <c r="A7" s="425"/>
      <c r="B7" s="425" t="s">
        <v>78</v>
      </c>
      <c r="C7" s="426">
        <v>2004</v>
      </c>
      <c r="D7" s="426">
        <v>2005</v>
      </c>
      <c r="E7" s="426">
        <v>2006</v>
      </c>
      <c r="F7" s="426">
        <v>2007</v>
      </c>
      <c r="G7" s="426">
        <v>2008</v>
      </c>
      <c r="H7" s="427" t="s">
        <v>100</v>
      </c>
      <c r="I7" s="428" t="s">
        <v>99</v>
      </c>
      <c r="J7" s="535" t="s">
        <v>84</v>
      </c>
      <c r="K7" s="535" t="s">
        <v>85</v>
      </c>
      <c r="L7" s="535" t="s">
        <v>86</v>
      </c>
    </row>
    <row r="8" spans="1:12" ht="15.75">
      <c r="A8" s="457">
        <v>1</v>
      </c>
      <c r="B8" s="62" t="s">
        <v>79</v>
      </c>
      <c r="C8" s="63">
        <v>47</v>
      </c>
      <c r="D8" s="63">
        <v>47</v>
      </c>
      <c r="E8" s="63">
        <v>49</v>
      </c>
      <c r="F8" s="63">
        <v>54</v>
      </c>
      <c r="G8" s="63">
        <v>58</v>
      </c>
      <c r="H8" s="64" t="s">
        <v>83</v>
      </c>
      <c r="I8" s="65">
        <f>ROUND(G8*H9,0)</f>
        <v>3</v>
      </c>
      <c r="J8" s="536">
        <f>ROUND((G8*H9)+G8,0)</f>
        <v>61</v>
      </c>
      <c r="K8" s="536">
        <f>ROUND((J8*$H9)+J8,0)</f>
        <v>64</v>
      </c>
      <c r="L8" s="536">
        <f>ROUND((K8*$H9)+K8,0)</f>
        <v>67</v>
      </c>
    </row>
    <row r="9" spans="1:12" ht="15.75">
      <c r="A9" s="457">
        <v>2</v>
      </c>
      <c r="B9" s="66" t="s">
        <v>112</v>
      </c>
      <c r="C9" s="67"/>
      <c r="D9" s="68">
        <f>ROUND((D8/C8)-1,2)</f>
        <v>0</v>
      </c>
      <c r="E9" s="68">
        <f>ROUND((E8/D8)-1,2)</f>
        <v>0.04</v>
      </c>
      <c r="F9" s="68">
        <f>ROUND((F8/E8)-1,2)</f>
        <v>0.1</v>
      </c>
      <c r="G9" s="68">
        <f>ROUND((G8/F8)-1,2)</f>
        <v>0.07</v>
      </c>
      <c r="H9" s="68">
        <f>ROUND(AVERAGE(D9:G9),2)</f>
        <v>0.05</v>
      </c>
      <c r="I9" s="65"/>
      <c r="J9" s="28"/>
      <c r="K9" s="28"/>
      <c r="L9" s="28"/>
    </row>
    <row r="10" spans="1:12" s="9" customFormat="1" ht="15.75">
      <c r="A10" s="457">
        <v>3</v>
      </c>
      <c r="B10" s="69" t="s">
        <v>88</v>
      </c>
      <c r="C10" s="69">
        <v>762</v>
      </c>
      <c r="D10" s="69">
        <v>1967</v>
      </c>
      <c r="E10" s="69">
        <v>7958</v>
      </c>
      <c r="F10" s="69">
        <v>23070</v>
      </c>
      <c r="G10" s="69">
        <f>'1.2 INC STMT'!C61</f>
        <v>7117</v>
      </c>
      <c r="H10" s="69"/>
      <c r="I10" s="65">
        <f>ROUND(G10*H11,0)</f>
        <v>10391</v>
      </c>
      <c r="J10" s="537">
        <f>ROUND((G10*H11)+G10,0)</f>
        <v>17508</v>
      </c>
      <c r="K10" s="537">
        <f>ROUND((J10*$H11)+J10,0)</f>
        <v>43070</v>
      </c>
      <c r="L10" s="537">
        <f>ROUND((K10*$H11)+K10,0)</f>
        <v>105952</v>
      </c>
    </row>
    <row r="11" spans="1:12" s="8" customFormat="1" ht="15.75">
      <c r="A11" s="457">
        <v>4</v>
      </c>
      <c r="B11" s="66" t="s">
        <v>112</v>
      </c>
      <c r="C11" s="70"/>
      <c r="D11" s="68">
        <f>ROUND((D10/C10)-1,2)</f>
        <v>1.58</v>
      </c>
      <c r="E11" s="68">
        <f>ROUND((E10/D10)-1,2)</f>
        <v>3.05</v>
      </c>
      <c r="F11" s="68">
        <f>ROUND((F10/E10)-1,2)</f>
        <v>1.9</v>
      </c>
      <c r="G11" s="68">
        <f>ROUND((G10/F10)-1,2)</f>
        <v>-0.69</v>
      </c>
      <c r="H11" s="68">
        <f>ROUND(AVERAGE(D11:G11),2)</f>
        <v>1.46</v>
      </c>
      <c r="I11" s="71"/>
      <c r="J11" s="72"/>
      <c r="K11" s="72"/>
      <c r="L11" s="72"/>
    </row>
    <row r="12" spans="1:12" ht="15.75">
      <c r="A12" s="457">
        <v>5</v>
      </c>
      <c r="B12" s="62" t="s">
        <v>80</v>
      </c>
      <c r="C12" s="73">
        <v>15066</v>
      </c>
      <c r="D12" s="73">
        <v>16666</v>
      </c>
      <c r="E12" s="73">
        <v>17945</v>
      </c>
      <c r="F12" s="73">
        <v>19192</v>
      </c>
      <c r="G12" s="69">
        <f>'1.2 INC STMT'!C27</f>
        <v>27345</v>
      </c>
      <c r="H12" s="64" t="s">
        <v>83</v>
      </c>
      <c r="I12" s="65">
        <f>ROUND(G12*H13,0)</f>
        <v>4649</v>
      </c>
      <c r="J12" s="537">
        <f>ROUND((G12*H13)+G12,0)</f>
        <v>31994</v>
      </c>
      <c r="K12" s="537">
        <f>ROUND((J12*$H13)+J12,0)</f>
        <v>37433</v>
      </c>
      <c r="L12" s="537">
        <f>ROUND((K12*$H13)+K12,0)</f>
        <v>43797</v>
      </c>
    </row>
    <row r="13" spans="1:12" ht="15.75">
      <c r="A13" s="457">
        <v>6</v>
      </c>
      <c r="B13" s="66" t="s">
        <v>112</v>
      </c>
      <c r="C13" s="67"/>
      <c r="D13" s="68">
        <f>ROUND((D12/C12)-1,2)</f>
        <v>0.11</v>
      </c>
      <c r="E13" s="68">
        <f>ROUND((E12/D12)-1,2)</f>
        <v>0.08</v>
      </c>
      <c r="F13" s="68">
        <f>ROUND((F12/E12)-1,2)</f>
        <v>0.07</v>
      </c>
      <c r="G13" s="68">
        <f>ROUND((G12/F12)-1,2)</f>
        <v>0.42</v>
      </c>
      <c r="H13" s="68">
        <f>ROUND(AVERAGE(D13:G13),2)</f>
        <v>0.17</v>
      </c>
      <c r="I13" s="66"/>
      <c r="J13" s="72"/>
      <c r="K13" s="72"/>
      <c r="L13" s="72"/>
    </row>
    <row r="14" spans="1:12" ht="15.75">
      <c r="A14" s="457">
        <v>7</v>
      </c>
      <c r="B14" s="62" t="s">
        <v>81</v>
      </c>
      <c r="C14" s="73">
        <v>22295</v>
      </c>
      <c r="D14" s="73">
        <v>16963</v>
      </c>
      <c r="E14" s="73">
        <v>28975</v>
      </c>
      <c r="F14" s="73">
        <v>58571</v>
      </c>
      <c r="G14" s="69">
        <f>'1.2 INC STMT'!C63</f>
        <v>46840</v>
      </c>
      <c r="H14" s="64" t="s">
        <v>83</v>
      </c>
      <c r="I14" s="65">
        <f>ROUND(G14*H15,0)</f>
        <v>14989</v>
      </c>
      <c r="J14" s="537">
        <f>ROUND((G14*H15)+G14,0)</f>
        <v>61829</v>
      </c>
      <c r="K14" s="537">
        <f>ROUND((J14*$H15)+J14,0)</f>
        <v>81614</v>
      </c>
      <c r="L14" s="537">
        <f>ROUND((K14*$H15)+K14,0)</f>
        <v>107730</v>
      </c>
    </row>
    <row r="15" spans="1:12" ht="15.75">
      <c r="A15" s="457">
        <v>8</v>
      </c>
      <c r="B15" s="66" t="s">
        <v>112</v>
      </c>
      <c r="C15" s="67"/>
      <c r="D15" s="68">
        <f>ROUND((D14/C14)-1,2)</f>
        <v>-0.24</v>
      </c>
      <c r="E15" s="68">
        <f>ROUND((E14/D14)-1,2)</f>
        <v>0.71</v>
      </c>
      <c r="F15" s="68">
        <f>ROUND((F14/E14)-1,2)</f>
        <v>1.02</v>
      </c>
      <c r="G15" s="68">
        <f>ROUND((G14/F14)-1,2)</f>
        <v>-0.2</v>
      </c>
      <c r="H15" s="68">
        <f>ROUND(AVERAGE(D15:G15),2)</f>
        <v>0.32</v>
      </c>
      <c r="I15" s="66"/>
      <c r="J15" s="72"/>
      <c r="K15" s="72"/>
      <c r="L15" s="72"/>
    </row>
    <row r="16" spans="1:12" ht="15.75">
      <c r="A16" s="74"/>
      <c r="B16" s="66"/>
      <c r="C16" s="67"/>
      <c r="D16" s="67"/>
      <c r="E16" s="67"/>
      <c r="F16" s="67"/>
      <c r="G16" s="67"/>
      <c r="H16" s="67"/>
      <c r="I16" s="66"/>
      <c r="J16" s="72"/>
      <c r="K16" s="72"/>
      <c r="L16" s="72"/>
    </row>
    <row r="17" spans="1:13" ht="15.75" hidden="1">
      <c r="A17" s="74"/>
      <c r="B17" s="62" t="s">
        <v>82</v>
      </c>
      <c r="C17" s="73">
        <v>320490</v>
      </c>
      <c r="D17" s="73">
        <v>164068</v>
      </c>
      <c r="E17" s="73">
        <v>290000</v>
      </c>
      <c r="F17" s="73">
        <v>30000</v>
      </c>
      <c r="G17" s="73">
        <v>19171</v>
      </c>
      <c r="H17" s="73">
        <f>AVERAGE(D17:G17)</f>
        <v>125809.75</v>
      </c>
      <c r="I17" s="66"/>
      <c r="J17" s="72"/>
      <c r="K17" s="72"/>
      <c r="L17" s="72"/>
      <c r="M17" s="13"/>
    </row>
    <row r="18" spans="1:13" ht="15.75" hidden="1">
      <c r="A18" s="74"/>
      <c r="B18" s="66"/>
      <c r="C18" s="70"/>
      <c r="D18" s="70"/>
      <c r="E18" s="70"/>
      <c r="F18" s="70"/>
      <c r="G18" s="32"/>
      <c r="H18" s="70"/>
      <c r="I18" s="66"/>
      <c r="J18" s="28"/>
      <c r="K18" s="28"/>
      <c r="L18" s="28"/>
      <c r="M18" s="13"/>
    </row>
    <row r="19" spans="1:12" ht="15.75">
      <c r="A19" s="74"/>
      <c r="B19" s="66"/>
      <c r="C19" s="70"/>
      <c r="D19" s="70"/>
      <c r="E19" s="70"/>
      <c r="F19" s="70"/>
      <c r="G19" s="70"/>
      <c r="H19" s="70"/>
      <c r="I19" s="66"/>
      <c r="J19" s="66"/>
      <c r="K19" s="66"/>
      <c r="L19" s="66"/>
    </row>
    <row r="20" spans="1:12" ht="15.75">
      <c r="A20" s="74"/>
      <c r="B20" s="66"/>
      <c r="C20" s="70"/>
      <c r="D20" s="70"/>
      <c r="E20" s="70"/>
      <c r="F20" s="70"/>
      <c r="G20" s="70"/>
      <c r="H20" s="70"/>
      <c r="I20" s="66"/>
      <c r="J20" s="66"/>
      <c r="K20" s="66"/>
      <c r="L20" s="66"/>
    </row>
    <row r="21" spans="1:12" ht="15.75">
      <c r="A21" s="74"/>
      <c r="B21" s="66"/>
      <c r="C21" s="70"/>
      <c r="D21" s="70"/>
      <c r="E21" s="70"/>
      <c r="F21" s="70"/>
      <c r="G21" s="70"/>
      <c r="H21" s="70"/>
      <c r="I21" s="66"/>
      <c r="J21" s="66"/>
      <c r="K21" s="66"/>
      <c r="L21" s="66"/>
    </row>
    <row r="22" spans="1:12" ht="15.75">
      <c r="A22" s="74"/>
      <c r="B22" s="66"/>
      <c r="C22" s="70"/>
      <c r="D22" s="70"/>
      <c r="E22" s="70"/>
      <c r="F22" s="70"/>
      <c r="G22" s="70"/>
      <c r="H22" s="70"/>
      <c r="I22" s="66"/>
      <c r="J22" s="66"/>
      <c r="K22" s="66"/>
      <c r="L22" s="66"/>
    </row>
    <row r="23" spans="1:12" ht="15.75">
      <c r="A23" s="74"/>
      <c r="B23" s="66"/>
      <c r="C23" s="70"/>
      <c r="D23" s="70"/>
      <c r="E23" s="70"/>
      <c r="F23" s="70"/>
      <c r="G23" s="70"/>
      <c r="H23" s="70"/>
      <c r="I23" s="66"/>
      <c r="J23" s="66"/>
      <c r="K23" s="66"/>
      <c r="L23" s="66"/>
    </row>
    <row r="24" spans="1:12" ht="15.75">
      <c r="A24" s="74"/>
      <c r="B24" s="66"/>
      <c r="C24" s="70"/>
      <c r="D24" s="70"/>
      <c r="E24" s="70"/>
      <c r="F24" s="70"/>
      <c r="G24" s="70"/>
      <c r="H24" s="70"/>
      <c r="I24" s="66"/>
      <c r="J24" s="66"/>
      <c r="K24" s="66"/>
      <c r="L24" s="66"/>
    </row>
    <row r="25" spans="1:12" ht="15.75">
      <c r="A25" s="74"/>
      <c r="B25" s="745" t="s">
        <v>572</v>
      </c>
      <c r="C25" s="746"/>
      <c r="D25" s="746"/>
      <c r="E25" s="746"/>
      <c r="F25" s="746"/>
      <c r="G25" s="746"/>
      <c r="H25" s="746"/>
      <c r="I25" s="66"/>
      <c r="J25" s="66"/>
      <c r="K25" s="66"/>
      <c r="L25" s="66"/>
    </row>
    <row r="26" spans="1:12" ht="15.75">
      <c r="A26" s="74"/>
      <c r="B26" s="66"/>
      <c r="C26" s="70"/>
      <c r="D26" s="70"/>
      <c r="E26" s="70"/>
      <c r="F26" s="70"/>
      <c r="G26" s="70"/>
      <c r="H26" s="70"/>
      <c r="I26" s="66"/>
      <c r="J26" s="66"/>
      <c r="K26" s="66"/>
      <c r="L26" s="66"/>
    </row>
    <row r="27" spans="1:12" ht="15.75">
      <c r="A27" s="74"/>
      <c r="B27" s="66"/>
      <c r="C27" s="70"/>
      <c r="D27" s="70"/>
      <c r="E27" s="70"/>
      <c r="F27" s="70"/>
      <c r="G27" s="70"/>
      <c r="H27" s="70"/>
      <c r="I27" s="66"/>
      <c r="J27" s="66"/>
      <c r="K27" s="66"/>
      <c r="L27" s="66"/>
    </row>
    <row r="28" spans="1:12" ht="15.75">
      <c r="A28" s="74"/>
      <c r="B28" s="66"/>
      <c r="C28" s="70"/>
      <c r="D28" s="70"/>
      <c r="E28" s="70"/>
      <c r="F28" s="70"/>
      <c r="G28" s="70"/>
      <c r="H28" s="70"/>
      <c r="I28" s="66"/>
      <c r="J28" s="66"/>
      <c r="K28" s="66"/>
      <c r="L28" s="66"/>
    </row>
    <row r="29" spans="1:12" ht="15.75">
      <c r="A29" s="74"/>
      <c r="B29" s="66"/>
      <c r="C29" s="70"/>
      <c r="D29" s="70"/>
      <c r="E29" s="70"/>
      <c r="F29" s="70"/>
      <c r="G29" s="70"/>
      <c r="H29" s="70"/>
      <c r="I29" s="66"/>
      <c r="J29" s="66"/>
      <c r="K29" s="66"/>
      <c r="L29" s="66"/>
    </row>
    <row r="30" spans="1:12" ht="15.75">
      <c r="A30" s="74"/>
      <c r="B30" s="66"/>
      <c r="C30" s="70"/>
      <c r="D30" s="70"/>
      <c r="E30" s="70"/>
      <c r="F30" s="70"/>
      <c r="G30" s="70"/>
      <c r="H30" s="70"/>
      <c r="I30" s="66"/>
      <c r="J30" s="66"/>
      <c r="K30" s="66"/>
      <c r="L30" s="66"/>
    </row>
    <row r="31" spans="1:12" ht="15.75">
      <c r="A31" s="74"/>
      <c r="B31" s="66"/>
      <c r="C31" s="70"/>
      <c r="D31" s="70"/>
      <c r="E31" s="70"/>
      <c r="F31" s="70"/>
      <c r="G31" s="70"/>
      <c r="H31" s="70"/>
      <c r="I31" s="66"/>
      <c r="J31" s="66"/>
      <c r="K31" s="66"/>
      <c r="L31" s="66"/>
    </row>
    <row r="32" spans="1:12" ht="15.75">
      <c r="A32" s="74"/>
      <c r="B32" s="66"/>
      <c r="C32" s="70"/>
      <c r="D32" s="70"/>
      <c r="E32" s="70"/>
      <c r="F32" s="70"/>
      <c r="G32" s="70"/>
      <c r="H32" s="70"/>
      <c r="I32" s="66"/>
      <c r="J32" s="66"/>
      <c r="K32" s="66"/>
      <c r="L32" s="66"/>
    </row>
    <row r="33" spans="1:12" ht="15.75">
      <c r="A33" s="74"/>
      <c r="B33" s="66"/>
      <c r="C33" s="70"/>
      <c r="D33" s="70"/>
      <c r="E33" s="70"/>
      <c r="F33" s="70"/>
      <c r="G33" s="70"/>
      <c r="H33" s="70"/>
      <c r="I33" s="66"/>
      <c r="J33" s="66"/>
      <c r="K33" s="66"/>
      <c r="L33" s="66"/>
    </row>
    <row r="34" spans="2:12" ht="15.75">
      <c r="B34" s="66"/>
      <c r="C34" s="70"/>
      <c r="D34" s="70"/>
      <c r="E34" s="70"/>
      <c r="F34" s="70"/>
      <c r="G34" s="70"/>
      <c r="H34" s="70"/>
      <c r="I34" s="66"/>
      <c r="J34" s="66"/>
      <c r="K34" s="66"/>
      <c r="L34" s="66"/>
    </row>
    <row r="35" spans="2:12" ht="15.75">
      <c r="B35" s="66"/>
      <c r="C35" s="70"/>
      <c r="D35" s="70"/>
      <c r="E35" s="70"/>
      <c r="F35" s="70"/>
      <c r="G35" s="70"/>
      <c r="H35" s="70"/>
      <c r="I35" s="66"/>
      <c r="J35" s="66"/>
      <c r="K35" s="66"/>
      <c r="L35" s="66"/>
    </row>
    <row r="36" spans="2:12" ht="15.75">
      <c r="B36" s="66"/>
      <c r="C36" s="70"/>
      <c r="D36" s="70"/>
      <c r="E36" s="70"/>
      <c r="F36" s="70"/>
      <c r="G36" s="70"/>
      <c r="H36" s="70"/>
      <c r="I36" s="66"/>
      <c r="J36" s="66"/>
      <c r="K36" s="66"/>
      <c r="L36" s="66"/>
    </row>
    <row r="37" spans="3:8" ht="12.75">
      <c r="C37" s="8"/>
      <c r="D37" s="8"/>
      <c r="E37" s="8"/>
      <c r="F37" s="8"/>
      <c r="G37" s="8"/>
      <c r="H37" s="8"/>
    </row>
    <row r="38" spans="3:8" ht="12.75">
      <c r="C38" s="8"/>
      <c r="D38" s="8"/>
      <c r="E38" s="8"/>
      <c r="F38" s="8"/>
      <c r="G38" s="8"/>
      <c r="H38" s="8"/>
    </row>
    <row r="39" spans="3:8" ht="12.75">
      <c r="C39" s="8"/>
      <c r="D39" s="8"/>
      <c r="E39" s="8"/>
      <c r="F39" s="8"/>
      <c r="G39" s="8"/>
      <c r="H39" s="8"/>
    </row>
    <row r="40" spans="3:8" ht="12.75">
      <c r="C40" s="8"/>
      <c r="D40" s="8"/>
      <c r="E40" s="8"/>
      <c r="F40" s="8"/>
      <c r="G40" s="8"/>
      <c r="H40" s="8"/>
    </row>
    <row r="41" spans="3:8" ht="12.75">
      <c r="C41" s="8"/>
      <c r="D41" s="8"/>
      <c r="E41" s="8"/>
      <c r="F41" s="8"/>
      <c r="G41" s="8"/>
      <c r="H41" s="8"/>
    </row>
    <row r="42" spans="3:8" ht="12.75">
      <c r="C42" s="8"/>
      <c r="D42" s="8"/>
      <c r="E42" s="8"/>
      <c r="F42" s="8"/>
      <c r="G42" s="8"/>
      <c r="H42" s="8"/>
    </row>
    <row r="43" spans="3:8" ht="12.75">
      <c r="C43" s="8"/>
      <c r="D43" s="8"/>
      <c r="E43" s="8"/>
      <c r="F43" s="8"/>
      <c r="G43" s="8"/>
      <c r="H43" s="8"/>
    </row>
    <row r="44" spans="3:8" ht="12.75">
      <c r="C44" s="8"/>
      <c r="D44" s="8"/>
      <c r="E44" s="8"/>
      <c r="F44" s="8"/>
      <c r="G44" s="8"/>
      <c r="H44" s="8"/>
    </row>
    <row r="45" spans="3:8" ht="12.75">
      <c r="C45" s="8"/>
      <c r="D45" s="8"/>
      <c r="E45" s="8"/>
      <c r="F45" s="8"/>
      <c r="G45" s="8"/>
      <c r="H45" s="8"/>
    </row>
    <row r="46" spans="3:8" ht="12.75">
      <c r="C46" s="8"/>
      <c r="D46" s="8"/>
      <c r="E46" s="8"/>
      <c r="F46" s="8"/>
      <c r="G46" s="8"/>
      <c r="H46" s="8"/>
    </row>
    <row r="47" spans="3:8" ht="12.75">
      <c r="C47" s="8"/>
      <c r="D47" s="8"/>
      <c r="E47" s="8"/>
      <c r="F47" s="8"/>
      <c r="G47" s="8"/>
      <c r="H47" s="8"/>
    </row>
    <row r="48" spans="3:8" ht="12.75">
      <c r="C48" s="8"/>
      <c r="D48" s="8"/>
      <c r="E48" s="8"/>
      <c r="F48" s="8"/>
      <c r="G48" s="8"/>
      <c r="H48" s="8"/>
    </row>
    <row r="49" spans="2:8" ht="12.75">
      <c r="B49" s="6" t="s">
        <v>73</v>
      </c>
      <c r="C49" s="8"/>
      <c r="D49" s="8"/>
      <c r="E49" s="8"/>
      <c r="F49" s="8"/>
      <c r="G49" s="8"/>
      <c r="H49" s="8"/>
    </row>
    <row r="50" spans="2:8" ht="12.75">
      <c r="B50" s="6" t="s">
        <v>74</v>
      </c>
      <c r="C50" s="10">
        <f aca="true" t="shared" si="0" ref="C50:H50">C14/C12</f>
        <v>1.4798221160228329</v>
      </c>
      <c r="D50" s="10">
        <f t="shared" si="0"/>
        <v>1.017820712828513</v>
      </c>
      <c r="E50" s="10">
        <f t="shared" si="0"/>
        <v>1.6146558930064085</v>
      </c>
      <c r="F50" s="10">
        <f t="shared" si="0"/>
        <v>3.0518445185493954</v>
      </c>
      <c r="G50" s="10"/>
      <c r="H50" s="10" t="e">
        <f t="shared" si="0"/>
        <v>#VALUE!</v>
      </c>
    </row>
    <row r="51" spans="2:8" ht="12.75">
      <c r="B51" s="6" t="s">
        <v>75</v>
      </c>
      <c r="C51" s="11">
        <f>C14/C8</f>
        <v>474.36170212765956</v>
      </c>
      <c r="D51" s="11">
        <f>D14/D8</f>
        <v>360.9148936170213</v>
      </c>
      <c r="E51" s="11">
        <f>E14/E8</f>
        <v>591.3265306122449</v>
      </c>
      <c r="F51" s="11">
        <f>F14/F8</f>
        <v>1084.648148148148</v>
      </c>
      <c r="G51" s="11"/>
      <c r="H51" s="9">
        <f>AVERAGE(C51:F51)</f>
        <v>627.8128186262684</v>
      </c>
    </row>
    <row r="52" spans="2:8" ht="12.75">
      <c r="B52" s="6" t="s">
        <v>76</v>
      </c>
      <c r="C52" s="11">
        <f>C12/C8</f>
        <v>320.5531914893617</v>
      </c>
      <c r="D52" s="11">
        <f>D12/D8</f>
        <v>354.59574468085106</v>
      </c>
      <c r="E52" s="11">
        <f>E12/E8</f>
        <v>366.2244897959184</v>
      </c>
      <c r="F52" s="11">
        <f>F12/F8</f>
        <v>355.4074074074074</v>
      </c>
      <c r="G52" s="11"/>
      <c r="H52" s="9">
        <f>AVERAGE(C52:F52)</f>
        <v>349.19520834338465</v>
      </c>
    </row>
    <row r="53" spans="2:8" ht="12.75">
      <c r="B53" s="6" t="s">
        <v>77</v>
      </c>
      <c r="C53" s="11">
        <f aca="true" t="shared" si="1" ref="C53:H53">C10/C8</f>
        <v>16.21276595744681</v>
      </c>
      <c r="D53" s="11">
        <f t="shared" si="1"/>
        <v>41.851063829787236</v>
      </c>
      <c r="E53" s="11">
        <f t="shared" si="1"/>
        <v>162.40816326530611</v>
      </c>
      <c r="F53" s="11">
        <f t="shared" si="1"/>
        <v>427.22222222222223</v>
      </c>
      <c r="G53" s="11"/>
      <c r="H53" s="9" t="e">
        <f t="shared" si="1"/>
        <v>#VALUE!</v>
      </c>
    </row>
    <row r="54" spans="3:8" ht="12.75">
      <c r="C54" s="11"/>
      <c r="D54" s="11"/>
      <c r="E54" s="11"/>
      <c r="F54" s="11"/>
      <c r="G54" s="11"/>
      <c r="H54" s="9"/>
    </row>
    <row r="55" spans="3:8" ht="12.75">
      <c r="C55" s="11"/>
      <c r="D55" s="11"/>
      <c r="E55" s="11"/>
      <c r="F55" s="11"/>
      <c r="G55" s="11"/>
      <c r="H55" s="9"/>
    </row>
    <row r="58" ht="12.75">
      <c r="B58" s="12"/>
    </row>
    <row r="59" ht="12.75">
      <c r="B59" s="14"/>
    </row>
    <row r="60" ht="12.75">
      <c r="B60" s="14"/>
    </row>
    <row r="61" ht="12.75">
      <c r="B61" s="14"/>
    </row>
    <row r="62" ht="12.75">
      <c r="B62" s="14"/>
    </row>
    <row r="63" ht="12.75">
      <c r="B63" s="14"/>
    </row>
    <row r="64" ht="12.75">
      <c r="B64" s="14"/>
    </row>
    <row r="65" ht="12.75">
      <c r="B65" s="14"/>
    </row>
    <row r="66" ht="12.75">
      <c r="B66" s="14"/>
    </row>
    <row r="67" ht="12.75">
      <c r="B67" s="14"/>
    </row>
    <row r="68" ht="12.75">
      <c r="B68" s="14"/>
    </row>
    <row r="69" ht="12.75">
      <c r="B69" s="12"/>
    </row>
    <row r="70" ht="12.75">
      <c r="B70" s="12"/>
    </row>
    <row r="71" ht="12.75">
      <c r="B71" s="12"/>
    </row>
  </sheetData>
  <sheetProtection/>
  <mergeCells count="7">
    <mergeCell ref="B25:H25"/>
    <mergeCell ref="A4:B4"/>
    <mergeCell ref="K1:L1"/>
    <mergeCell ref="K2:L2"/>
    <mergeCell ref="K3:L3"/>
    <mergeCell ref="C6:H6"/>
    <mergeCell ref="J6:L6"/>
  </mergeCells>
  <hyperlinks>
    <hyperlink ref="A4" location="'1.1aSummary'!A1" display="Summary"/>
  </hyperlinks>
  <printOptions/>
  <pageMargins left="0.75" right="0.75" top="1" bottom="1" header="0.5" footer="0.5"/>
  <pageSetup fitToHeight="1" fitToWidth="1" horizontalDpi="600" verticalDpi="600" orientation="landscape" scale="83" r:id="rId2"/>
  <headerFooter alignWithMargins="0">
    <oddFooter>&amp;L&amp;"Times New Roman,Regular"&amp;11&amp;F, Tab:&amp;A&amp;C&amp;"Times New Roman,Regular"&amp;11&amp;D&amp;R&amp;"Times New Roman,Regular"&amp;11&amp;P of &amp;N</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BQ190"/>
  <sheetViews>
    <sheetView zoomScalePageLayoutView="0" workbookViewId="0" topLeftCell="A1">
      <selection activeCell="H7" sqref="H7"/>
    </sheetView>
  </sheetViews>
  <sheetFormatPr defaultColWidth="9.140625" defaultRowHeight="12.75"/>
  <cols>
    <col min="1" max="1" width="4.7109375" style="93" customWidth="1"/>
    <col min="2" max="2" width="4.57421875" style="93" customWidth="1"/>
    <col min="3" max="3" width="31.421875" style="93" customWidth="1"/>
    <col min="4" max="5" width="12.421875" style="94" customWidth="1"/>
    <col min="6" max="6" width="10.8515625" style="93" bestFit="1" customWidth="1"/>
    <col min="7" max="8" width="11.7109375" style="93" customWidth="1"/>
    <col min="9" max="9" width="10.8515625" style="93" bestFit="1" customWidth="1"/>
    <col min="10" max="11" width="11.7109375" style="93" customWidth="1"/>
    <col min="12" max="12" width="10.8515625" style="93" bestFit="1" customWidth="1"/>
    <col min="13" max="14" width="11.7109375" style="93" customWidth="1"/>
    <col min="15" max="15" width="10.57421875" style="93" bestFit="1" customWidth="1"/>
    <col min="16" max="17" width="11.7109375" style="93" customWidth="1"/>
    <col min="18" max="18" width="10.57421875" style="93" bestFit="1" customWidth="1"/>
    <col min="19" max="20" width="11.7109375" style="93" customWidth="1"/>
    <col min="21" max="21" width="9.8515625" style="93" bestFit="1" customWidth="1"/>
    <col min="22" max="34" width="9.140625" style="93" customWidth="1"/>
    <col min="35" max="35" width="14.57421875" style="93" customWidth="1"/>
    <col min="36" max="37" width="11.421875" style="93" customWidth="1"/>
    <col min="38" max="16384" width="9.140625" style="93" customWidth="1"/>
  </cols>
  <sheetData>
    <row r="1" spans="1:28" ht="20.25">
      <c r="A1" s="60" t="s">
        <v>113</v>
      </c>
      <c r="C1" s="137"/>
      <c r="D1" s="138"/>
      <c r="E1" s="138"/>
      <c r="F1" s="137"/>
      <c r="G1" s="137"/>
      <c r="H1" s="137"/>
      <c r="I1" s="137"/>
      <c r="J1" s="766" t="s">
        <v>477</v>
      </c>
      <c r="K1" s="767"/>
      <c r="L1" s="137"/>
      <c r="M1" s="137"/>
      <c r="N1" s="137"/>
      <c r="O1" s="137"/>
      <c r="P1" s="137"/>
      <c r="Q1" s="137"/>
      <c r="R1" s="137"/>
      <c r="S1" s="766"/>
      <c r="T1" s="767"/>
      <c r="U1" s="137"/>
      <c r="V1" s="137"/>
      <c r="W1" s="137"/>
      <c r="X1" s="137"/>
      <c r="Y1" s="137"/>
      <c r="Z1" s="137"/>
      <c r="AA1" s="137"/>
      <c r="AB1" s="137"/>
    </row>
    <row r="2" spans="1:28" ht="18.75">
      <c r="A2" s="226" t="s">
        <v>127</v>
      </c>
      <c r="C2" s="137"/>
      <c r="D2" s="138"/>
      <c r="E2" s="138"/>
      <c r="F2" s="137"/>
      <c r="G2" s="137"/>
      <c r="H2" s="137"/>
      <c r="I2" s="137"/>
      <c r="J2" s="766" t="s">
        <v>385</v>
      </c>
      <c r="K2" s="767"/>
      <c r="L2" s="137"/>
      <c r="M2" s="137"/>
      <c r="N2" s="137"/>
      <c r="O2" s="137"/>
      <c r="P2" s="137"/>
      <c r="Q2" s="137"/>
      <c r="R2" s="137"/>
      <c r="S2" s="766"/>
      <c r="T2" s="767"/>
      <c r="U2" s="137"/>
      <c r="V2" s="137"/>
      <c r="W2" s="137"/>
      <c r="X2" s="137"/>
      <c r="Y2" s="137"/>
      <c r="Z2" s="137"/>
      <c r="AA2" s="137"/>
      <c r="AB2" s="137"/>
    </row>
    <row r="3" spans="1:28" ht="15.75">
      <c r="A3" s="443" t="s">
        <v>380</v>
      </c>
      <c r="B3" s="580"/>
      <c r="C3" s="215"/>
      <c r="D3" s="138"/>
      <c r="E3" s="138"/>
      <c r="F3" s="137"/>
      <c r="G3" s="137"/>
      <c r="H3" s="137"/>
      <c r="I3" s="137"/>
      <c r="J3" s="766" t="s">
        <v>478</v>
      </c>
      <c r="K3" s="767"/>
      <c r="L3" s="137"/>
      <c r="M3" s="137"/>
      <c r="N3" s="137"/>
      <c r="O3" s="137"/>
      <c r="P3" s="137"/>
      <c r="Q3" s="137"/>
      <c r="R3" s="137"/>
      <c r="S3" s="766"/>
      <c r="T3" s="767"/>
      <c r="U3" s="137"/>
      <c r="V3" s="137"/>
      <c r="W3" s="137"/>
      <c r="X3" s="137"/>
      <c r="Y3" s="137"/>
      <c r="Z3" s="137"/>
      <c r="AA3" s="137"/>
      <c r="AB3" s="137"/>
    </row>
    <row r="4" spans="1:28" ht="15.75">
      <c r="A4" s="765" t="s">
        <v>482</v>
      </c>
      <c r="B4" s="740"/>
      <c r="C4" s="740"/>
      <c r="D4" s="138"/>
      <c r="E4" s="138"/>
      <c r="F4" s="137"/>
      <c r="G4" s="137"/>
      <c r="H4" s="137"/>
      <c r="I4" s="137"/>
      <c r="J4" s="137"/>
      <c r="K4" s="137"/>
      <c r="L4" s="137"/>
      <c r="M4" s="137"/>
      <c r="N4" s="137"/>
      <c r="O4" s="137"/>
      <c r="P4" s="137"/>
      <c r="Q4" s="137"/>
      <c r="R4" s="137"/>
      <c r="S4" s="137"/>
      <c r="T4" s="137"/>
      <c r="U4" s="137"/>
      <c r="V4" s="137"/>
      <c r="W4" s="137"/>
      <c r="X4" s="137"/>
      <c r="Y4" s="137"/>
      <c r="Z4" s="137"/>
      <c r="AA4" s="137"/>
      <c r="AB4" s="137"/>
    </row>
    <row r="5" spans="1:34" s="441" customFormat="1" ht="16.5" thickBot="1">
      <c r="A5" s="578"/>
      <c r="B5" s="664"/>
      <c r="C5" s="579"/>
      <c r="D5" s="459" t="s">
        <v>1</v>
      </c>
      <c r="E5" s="459" t="s">
        <v>448</v>
      </c>
      <c r="F5" s="459" t="s">
        <v>7</v>
      </c>
      <c r="G5" s="459" t="s">
        <v>69</v>
      </c>
      <c r="H5" s="459" t="s">
        <v>435</v>
      </c>
      <c r="I5" s="459" t="s">
        <v>436</v>
      </c>
      <c r="J5" s="459" t="s">
        <v>437</v>
      </c>
      <c r="K5" s="459" t="s">
        <v>438</v>
      </c>
      <c r="L5" s="459" t="s">
        <v>439</v>
      </c>
      <c r="M5" s="459" t="s">
        <v>440</v>
      </c>
      <c r="N5" s="459" t="s">
        <v>441</v>
      </c>
      <c r="O5" s="459" t="s">
        <v>442</v>
      </c>
      <c r="P5" s="459" t="s">
        <v>443</v>
      </c>
      <c r="Q5" s="459" t="s">
        <v>444</v>
      </c>
      <c r="R5" s="459" t="s">
        <v>445</v>
      </c>
      <c r="S5" s="459" t="s">
        <v>446</v>
      </c>
      <c r="T5" s="459" t="s">
        <v>447</v>
      </c>
      <c r="U5" s="438"/>
      <c r="V5" s="438"/>
      <c r="W5" s="438"/>
      <c r="X5" s="438"/>
      <c r="Y5" s="438"/>
      <c r="Z5" s="438"/>
      <c r="AA5" s="438"/>
      <c r="AB5" s="438"/>
      <c r="AC5" s="439"/>
      <c r="AD5" s="440"/>
      <c r="AE5" s="440"/>
      <c r="AF5" s="440"/>
      <c r="AG5" s="440"/>
      <c r="AH5" s="440"/>
    </row>
    <row r="6" spans="1:34" ht="16.5" thickBot="1">
      <c r="A6" s="665"/>
      <c r="B6" s="666"/>
      <c r="C6" s="568"/>
      <c r="D6" s="568"/>
      <c r="E6" s="569"/>
      <c r="F6" s="737" t="s">
        <v>128</v>
      </c>
      <c r="G6" s="738"/>
      <c r="H6" s="739"/>
      <c r="I6" s="737" t="s">
        <v>129</v>
      </c>
      <c r="J6" s="738"/>
      <c r="K6" s="739"/>
      <c r="L6" s="737" t="s">
        <v>130</v>
      </c>
      <c r="M6" s="738"/>
      <c r="N6" s="739"/>
      <c r="O6" s="737" t="s">
        <v>131</v>
      </c>
      <c r="P6" s="738"/>
      <c r="Q6" s="739"/>
      <c r="R6" s="737" t="s">
        <v>132</v>
      </c>
      <c r="S6" s="738"/>
      <c r="T6" s="739"/>
      <c r="U6" s="139"/>
      <c r="V6" s="139"/>
      <c r="W6" s="139"/>
      <c r="X6" s="139"/>
      <c r="Y6" s="139"/>
      <c r="Z6" s="139"/>
      <c r="AA6" s="139"/>
      <c r="AB6" s="139"/>
      <c r="AC6" s="96"/>
      <c r="AD6" s="95"/>
      <c r="AE6" s="95"/>
      <c r="AF6" s="95"/>
      <c r="AG6" s="95"/>
      <c r="AH6" s="95"/>
    </row>
    <row r="7" spans="1:69" ht="64.5" customHeight="1" thickBot="1">
      <c r="A7" s="665"/>
      <c r="B7" s="667" t="s">
        <v>133</v>
      </c>
      <c r="C7" s="570" t="s">
        <v>134</v>
      </c>
      <c r="D7" s="571" t="s">
        <v>135</v>
      </c>
      <c r="E7" s="572" t="s">
        <v>449</v>
      </c>
      <c r="F7" s="573" t="s">
        <v>92</v>
      </c>
      <c r="G7" s="574" t="s">
        <v>136</v>
      </c>
      <c r="H7" s="575" t="s">
        <v>137</v>
      </c>
      <c r="I7" s="576" t="s">
        <v>92</v>
      </c>
      <c r="J7" s="577" t="s">
        <v>136</v>
      </c>
      <c r="K7" s="571" t="s">
        <v>138</v>
      </c>
      <c r="L7" s="576" t="s">
        <v>92</v>
      </c>
      <c r="M7" s="577" t="s">
        <v>136</v>
      </c>
      <c r="N7" s="571" t="s">
        <v>139</v>
      </c>
      <c r="O7" s="576" t="s">
        <v>92</v>
      </c>
      <c r="P7" s="577" t="s">
        <v>136</v>
      </c>
      <c r="Q7" s="571" t="s">
        <v>140</v>
      </c>
      <c r="R7" s="576" t="s">
        <v>92</v>
      </c>
      <c r="S7" s="577" t="s">
        <v>136</v>
      </c>
      <c r="T7" s="571" t="s">
        <v>141</v>
      </c>
      <c r="U7" s="140"/>
      <c r="V7" s="140"/>
      <c r="W7" s="140"/>
      <c r="X7" s="140"/>
      <c r="Y7" s="140"/>
      <c r="Z7" s="140"/>
      <c r="AA7" s="140"/>
      <c r="AB7" s="140"/>
      <c r="AC7" s="98"/>
      <c r="AD7" s="97"/>
      <c r="AE7" s="97"/>
      <c r="AF7" s="97"/>
      <c r="AG7" s="97"/>
      <c r="AH7" s="97"/>
      <c r="AI7" s="99"/>
      <c r="AJ7" s="99"/>
      <c r="AK7" s="99"/>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row>
    <row r="8" spans="1:69" ht="3" customHeight="1">
      <c r="A8" s="665"/>
      <c r="B8" s="668"/>
      <c r="C8" s="429"/>
      <c r="D8" s="141"/>
      <c r="E8" s="142"/>
      <c r="F8" s="143"/>
      <c r="G8" s="144"/>
      <c r="H8" s="145"/>
      <c r="I8" s="143"/>
      <c r="J8" s="144"/>
      <c r="K8" s="145"/>
      <c r="L8" s="143"/>
      <c r="M8" s="144"/>
      <c r="N8" s="145"/>
      <c r="O8" s="143"/>
      <c r="P8" s="144"/>
      <c r="Q8" s="145"/>
      <c r="R8" s="143"/>
      <c r="S8" s="144"/>
      <c r="T8" s="145"/>
      <c r="U8" s="146"/>
      <c r="V8" s="146"/>
      <c r="W8" s="146"/>
      <c r="X8" s="146"/>
      <c r="Y8" s="146"/>
      <c r="Z8" s="146"/>
      <c r="AA8" s="147"/>
      <c r="AB8" s="147"/>
      <c r="AC8" s="102"/>
      <c r="AD8" s="101"/>
      <c r="AE8" s="101"/>
      <c r="AF8" s="101"/>
      <c r="AG8" s="101"/>
      <c r="AH8" s="101"/>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row>
    <row r="9" spans="1:69" ht="15.75">
      <c r="A9" s="460">
        <v>1</v>
      </c>
      <c r="B9" s="669">
        <v>301</v>
      </c>
      <c r="C9" s="148" t="s">
        <v>142</v>
      </c>
      <c r="D9" s="149"/>
      <c r="E9" s="150"/>
      <c r="F9" s="151">
        <v>0</v>
      </c>
      <c r="G9" s="152"/>
      <c r="H9" s="153"/>
      <c r="I9" s="151">
        <v>0</v>
      </c>
      <c r="J9" s="152"/>
      <c r="K9" s="153"/>
      <c r="L9" s="151">
        <v>0</v>
      </c>
      <c r="M9" s="152"/>
      <c r="N9" s="153"/>
      <c r="O9" s="151"/>
      <c r="P9" s="152"/>
      <c r="Q9" s="153"/>
      <c r="R9" s="151"/>
      <c r="S9" s="152"/>
      <c r="T9" s="153"/>
      <c r="U9" s="146"/>
      <c r="V9" s="146"/>
      <c r="W9" s="146"/>
      <c r="X9" s="146"/>
      <c r="Y9" s="146"/>
      <c r="Z9" s="146"/>
      <c r="AA9" s="147"/>
      <c r="AB9" s="147"/>
      <c r="AC9" s="102"/>
      <c r="AD9" s="101"/>
      <c r="AE9" s="101"/>
      <c r="AF9" s="101"/>
      <c r="AG9" s="101"/>
      <c r="AH9" s="101"/>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row>
    <row r="10" spans="1:69" ht="15.75">
      <c r="A10" s="460">
        <f>A9+1</f>
        <v>2</v>
      </c>
      <c r="B10" s="154">
        <v>302</v>
      </c>
      <c r="C10" s="155" t="s">
        <v>143</v>
      </c>
      <c r="D10" s="156"/>
      <c r="E10" s="157"/>
      <c r="F10" s="158">
        <v>0</v>
      </c>
      <c r="G10" s="159"/>
      <c r="H10" s="160"/>
      <c r="I10" s="158">
        <v>0</v>
      </c>
      <c r="J10" s="159"/>
      <c r="K10" s="160"/>
      <c r="L10" s="158">
        <v>0</v>
      </c>
      <c r="M10" s="159"/>
      <c r="N10" s="160"/>
      <c r="O10" s="158"/>
      <c r="P10" s="159"/>
      <c r="Q10" s="160"/>
      <c r="R10" s="158"/>
      <c r="S10" s="159"/>
      <c r="T10" s="160"/>
      <c r="U10" s="146"/>
      <c r="V10" s="146"/>
      <c r="W10" s="146"/>
      <c r="X10" s="146"/>
      <c r="Y10" s="146"/>
      <c r="Z10" s="146"/>
      <c r="AA10" s="147"/>
      <c r="AB10" s="147"/>
      <c r="AC10" s="102"/>
      <c r="AD10" s="101"/>
      <c r="AE10" s="101"/>
      <c r="AF10" s="101"/>
      <c r="AG10" s="101"/>
      <c r="AH10" s="101"/>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row>
    <row r="11" spans="1:69" ht="15.75">
      <c r="A11" s="460">
        <f aca="true" t="shared" si="0" ref="A11:A35">A10+1</f>
        <v>3</v>
      </c>
      <c r="B11" s="154">
        <v>303</v>
      </c>
      <c r="C11" s="155" t="s">
        <v>144</v>
      </c>
      <c r="D11" s="156"/>
      <c r="E11" s="157"/>
      <c r="F11" s="158">
        <v>0</v>
      </c>
      <c r="G11" s="159"/>
      <c r="H11" s="160"/>
      <c r="I11" s="158">
        <v>0</v>
      </c>
      <c r="J11" s="159"/>
      <c r="K11" s="160"/>
      <c r="L11" s="158">
        <v>0</v>
      </c>
      <c r="M11" s="159"/>
      <c r="N11" s="160"/>
      <c r="O11" s="158"/>
      <c r="P11" s="159"/>
      <c r="Q11" s="160"/>
      <c r="R11" s="158"/>
      <c r="S11" s="159"/>
      <c r="T11" s="160"/>
      <c r="U11" s="146"/>
      <c r="V11" s="146"/>
      <c r="W11" s="146"/>
      <c r="X11" s="146"/>
      <c r="Y11" s="146"/>
      <c r="Z11" s="146"/>
      <c r="AA11" s="147"/>
      <c r="AB11" s="147"/>
      <c r="AC11" s="102"/>
      <c r="AD11" s="101"/>
      <c r="AE11" s="101"/>
      <c r="AF11" s="101"/>
      <c r="AG11" s="101"/>
      <c r="AH11" s="101"/>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row>
    <row r="12" spans="1:69" ht="15.75">
      <c r="A12" s="460">
        <f t="shared" si="0"/>
        <v>4</v>
      </c>
      <c r="B12" s="154">
        <v>304</v>
      </c>
      <c r="C12" s="155" t="s">
        <v>145</v>
      </c>
      <c r="D12" s="156"/>
      <c r="E12" s="157"/>
      <c r="F12" s="158">
        <v>0</v>
      </c>
      <c r="G12" s="159"/>
      <c r="H12" s="160"/>
      <c r="I12" s="158">
        <v>0</v>
      </c>
      <c r="J12" s="159"/>
      <c r="K12" s="160"/>
      <c r="L12" s="158">
        <v>0</v>
      </c>
      <c r="M12" s="159"/>
      <c r="N12" s="160"/>
      <c r="O12" s="158"/>
      <c r="P12" s="159"/>
      <c r="Q12" s="160"/>
      <c r="R12" s="158"/>
      <c r="S12" s="159"/>
      <c r="T12" s="160"/>
      <c r="U12" s="146"/>
      <c r="V12" s="146"/>
      <c r="W12" s="146"/>
      <c r="X12" s="146"/>
      <c r="Y12" s="146"/>
      <c r="Z12" s="146"/>
      <c r="AA12" s="147"/>
      <c r="AB12" s="147"/>
      <c r="AC12" s="102"/>
      <c r="AD12" s="101"/>
      <c r="AE12" s="101"/>
      <c r="AF12" s="101"/>
      <c r="AG12" s="101"/>
      <c r="AH12" s="101"/>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row>
    <row r="13" spans="1:69" ht="15.75">
      <c r="A13" s="460">
        <f t="shared" si="0"/>
        <v>5</v>
      </c>
      <c r="B13" s="154">
        <v>305</v>
      </c>
      <c r="C13" s="155" t="s">
        <v>146</v>
      </c>
      <c r="D13" s="156"/>
      <c r="E13" s="157"/>
      <c r="F13" s="158">
        <v>0</v>
      </c>
      <c r="G13" s="159"/>
      <c r="H13" s="160"/>
      <c r="I13" s="158">
        <v>0</v>
      </c>
      <c r="J13" s="159"/>
      <c r="K13" s="160"/>
      <c r="L13" s="158">
        <v>0</v>
      </c>
      <c r="M13" s="159"/>
      <c r="N13" s="160"/>
      <c r="O13" s="158"/>
      <c r="P13" s="159"/>
      <c r="Q13" s="160"/>
      <c r="R13" s="158"/>
      <c r="S13" s="159"/>
      <c r="T13" s="160"/>
      <c r="U13" s="146"/>
      <c r="V13" s="146"/>
      <c r="W13" s="146"/>
      <c r="X13" s="146"/>
      <c r="Y13" s="146"/>
      <c r="Z13" s="146"/>
      <c r="AA13" s="147"/>
      <c r="AB13" s="147"/>
      <c r="AC13" s="102"/>
      <c r="AD13" s="101"/>
      <c r="AE13" s="101"/>
      <c r="AF13" s="101"/>
      <c r="AG13" s="101"/>
      <c r="AH13" s="101"/>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row>
    <row r="14" spans="1:69" ht="15.75">
      <c r="A14" s="460">
        <f t="shared" si="0"/>
        <v>6</v>
      </c>
      <c r="B14" s="154">
        <v>306</v>
      </c>
      <c r="C14" s="155" t="s">
        <v>454</v>
      </c>
      <c r="D14" s="156"/>
      <c r="E14" s="157"/>
      <c r="F14" s="158">
        <v>0</v>
      </c>
      <c r="G14" s="159"/>
      <c r="H14" s="160"/>
      <c r="I14" s="158">
        <v>0</v>
      </c>
      <c r="J14" s="159"/>
      <c r="K14" s="160"/>
      <c r="L14" s="158">
        <v>0</v>
      </c>
      <c r="M14" s="159"/>
      <c r="N14" s="160"/>
      <c r="O14" s="158"/>
      <c r="P14" s="159"/>
      <c r="Q14" s="160"/>
      <c r="R14" s="158"/>
      <c r="S14" s="159"/>
      <c r="T14" s="160"/>
      <c r="U14" s="146"/>
      <c r="V14" s="146"/>
      <c r="W14" s="146"/>
      <c r="X14" s="146"/>
      <c r="Y14" s="146"/>
      <c r="Z14" s="146"/>
      <c r="AA14" s="147"/>
      <c r="AB14" s="147"/>
      <c r="AC14" s="102"/>
      <c r="AD14" s="101"/>
      <c r="AE14" s="101"/>
      <c r="AF14" s="101"/>
      <c r="AG14" s="101"/>
      <c r="AH14" s="101"/>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row>
    <row r="15" spans="1:69" ht="15.75">
      <c r="A15" s="460">
        <f t="shared" si="0"/>
        <v>7</v>
      </c>
      <c r="B15" s="741">
        <v>307</v>
      </c>
      <c r="C15" s="155" t="s">
        <v>396</v>
      </c>
      <c r="D15" s="770">
        <v>0.04</v>
      </c>
      <c r="E15" s="772">
        <v>219666</v>
      </c>
      <c r="F15" s="161">
        <f>E15-F16</f>
        <v>206571</v>
      </c>
      <c r="G15" s="162">
        <f>ROUND(-F15*$D15,0)</f>
        <v>-8263</v>
      </c>
      <c r="H15" s="163">
        <f>G15</f>
        <v>-8263</v>
      </c>
      <c r="I15" s="161">
        <f>F15+89554</f>
        <v>296125</v>
      </c>
      <c r="J15" s="162">
        <f>ROUND(-I15*$D15,0)</f>
        <v>-11845</v>
      </c>
      <c r="K15" s="163">
        <f>H15+J15</f>
        <v>-20108</v>
      </c>
      <c r="L15" s="161">
        <f>I15</f>
        <v>296125</v>
      </c>
      <c r="M15" s="162">
        <f>ROUND(-L15*$D15,0)</f>
        <v>-11845</v>
      </c>
      <c r="N15" s="163">
        <f>K15+M15</f>
        <v>-31953</v>
      </c>
      <c r="O15" s="161">
        <f>L15</f>
        <v>296125</v>
      </c>
      <c r="P15" s="162">
        <f>ROUND(-O15*$D15,0)</f>
        <v>-11845</v>
      </c>
      <c r="Q15" s="163">
        <f>N15+P15</f>
        <v>-43798</v>
      </c>
      <c r="R15" s="161">
        <f>O15</f>
        <v>296125</v>
      </c>
      <c r="S15" s="162">
        <f>ROUND(-R15*$D15,0)</f>
        <v>-11845</v>
      </c>
      <c r="T15" s="163">
        <f>Q15+S15</f>
        <v>-55643</v>
      </c>
      <c r="U15" s="146"/>
      <c r="V15" s="146"/>
      <c r="W15" s="146"/>
      <c r="X15" s="146"/>
      <c r="Y15" s="146"/>
      <c r="Z15" s="146"/>
      <c r="AA15" s="147"/>
      <c r="AB15" s="147"/>
      <c r="AC15" s="102"/>
      <c r="AD15" s="101"/>
      <c r="AE15" s="101"/>
      <c r="AF15" s="101"/>
      <c r="AG15" s="101"/>
      <c r="AH15" s="101"/>
      <c r="AI15" s="101"/>
      <c r="AJ15" s="101"/>
      <c r="AK15" s="103"/>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row>
    <row r="16" spans="1:69" ht="15.75">
      <c r="A16" s="460">
        <f t="shared" si="0"/>
        <v>8</v>
      </c>
      <c r="B16" s="742"/>
      <c r="C16" s="155" t="s">
        <v>397</v>
      </c>
      <c r="D16" s="771"/>
      <c r="E16" s="773"/>
      <c r="F16" s="158">
        <v>13095</v>
      </c>
      <c r="G16" s="159">
        <f>ROUND(-F16*$D15,0)</f>
        <v>-524</v>
      </c>
      <c r="H16" s="159">
        <f>G16</f>
        <v>-524</v>
      </c>
      <c r="I16" s="158">
        <f>F16</f>
        <v>13095</v>
      </c>
      <c r="J16" s="159">
        <f>ROUND(-I16*$D15,0)</f>
        <v>-524</v>
      </c>
      <c r="K16" s="164">
        <f>H16+J16</f>
        <v>-1048</v>
      </c>
      <c r="L16" s="158">
        <f>I16</f>
        <v>13095</v>
      </c>
      <c r="M16" s="159">
        <f>ROUND(-L16*$D15,0)</f>
        <v>-524</v>
      </c>
      <c r="N16" s="164">
        <f>K16+M16</f>
        <v>-1572</v>
      </c>
      <c r="O16" s="158">
        <f>L16</f>
        <v>13095</v>
      </c>
      <c r="P16" s="159">
        <f>ROUND(-O16*$D15,0)</f>
        <v>-524</v>
      </c>
      <c r="Q16" s="164">
        <f>N16+P16</f>
        <v>-2096</v>
      </c>
      <c r="R16" s="158">
        <f>O16</f>
        <v>13095</v>
      </c>
      <c r="S16" s="159">
        <f>ROUND(-R16*$D15,0)</f>
        <v>-524</v>
      </c>
      <c r="T16" s="164">
        <f>Q16+S16</f>
        <v>-2620</v>
      </c>
      <c r="U16" s="146"/>
      <c r="V16" s="146"/>
      <c r="W16" s="146"/>
      <c r="X16" s="146"/>
      <c r="Y16" s="146"/>
      <c r="Z16" s="146"/>
      <c r="AA16" s="147"/>
      <c r="AB16" s="147"/>
      <c r="AC16" s="102"/>
      <c r="AD16" s="101"/>
      <c r="AE16" s="101"/>
      <c r="AF16" s="101"/>
      <c r="AG16" s="101"/>
      <c r="AH16" s="101"/>
      <c r="AI16" s="101"/>
      <c r="AJ16" s="101"/>
      <c r="AK16" s="103"/>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row>
    <row r="17" spans="1:69" ht="15.75">
      <c r="A17" s="460">
        <f t="shared" si="0"/>
        <v>9</v>
      </c>
      <c r="B17" s="154">
        <v>309</v>
      </c>
      <c r="C17" s="155" t="s">
        <v>147</v>
      </c>
      <c r="D17" s="165"/>
      <c r="E17" s="166"/>
      <c r="F17" s="158"/>
      <c r="G17" s="159"/>
      <c r="H17" s="164"/>
      <c r="I17" s="158"/>
      <c r="J17" s="159"/>
      <c r="K17" s="164"/>
      <c r="L17" s="158"/>
      <c r="M17" s="159"/>
      <c r="N17" s="164"/>
      <c r="O17" s="158"/>
      <c r="P17" s="159"/>
      <c r="Q17" s="164"/>
      <c r="R17" s="158"/>
      <c r="S17" s="159"/>
      <c r="T17" s="164"/>
      <c r="U17" s="146"/>
      <c r="V17" s="146"/>
      <c r="W17" s="146"/>
      <c r="X17" s="146"/>
      <c r="Y17" s="146"/>
      <c r="Z17" s="146"/>
      <c r="AA17" s="147"/>
      <c r="AB17" s="147"/>
      <c r="AC17" s="102"/>
      <c r="AD17" s="101"/>
      <c r="AE17" s="101"/>
      <c r="AF17" s="101"/>
      <c r="AG17" s="101"/>
      <c r="AH17" s="101"/>
      <c r="AI17" s="101"/>
      <c r="AJ17" s="101"/>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row>
    <row r="18" spans="1:69" ht="15.75">
      <c r="A18" s="460">
        <f t="shared" si="0"/>
        <v>10</v>
      </c>
      <c r="B18" s="154">
        <v>310</v>
      </c>
      <c r="C18" s="155" t="s">
        <v>148</v>
      </c>
      <c r="D18" s="165"/>
      <c r="E18" s="166"/>
      <c r="F18" s="158">
        <v>0</v>
      </c>
      <c r="G18" s="159"/>
      <c r="H18" s="164"/>
      <c r="I18" s="158">
        <v>0</v>
      </c>
      <c r="J18" s="159"/>
      <c r="K18" s="164"/>
      <c r="L18" s="158">
        <v>0</v>
      </c>
      <c r="M18" s="159"/>
      <c r="N18" s="164"/>
      <c r="O18" s="158">
        <v>0</v>
      </c>
      <c r="P18" s="159"/>
      <c r="Q18" s="164"/>
      <c r="R18" s="158">
        <v>0</v>
      </c>
      <c r="S18" s="159"/>
      <c r="T18" s="164"/>
      <c r="U18" s="146"/>
      <c r="V18" s="146"/>
      <c r="W18" s="146"/>
      <c r="X18" s="146"/>
      <c r="Y18" s="146"/>
      <c r="Z18" s="146"/>
      <c r="AA18" s="147"/>
      <c r="AB18" s="147"/>
      <c r="AC18" s="102"/>
      <c r="AD18" s="101"/>
      <c r="AE18" s="101"/>
      <c r="AF18" s="101"/>
      <c r="AG18" s="101"/>
      <c r="AH18" s="101"/>
      <c r="AI18" s="101"/>
      <c r="AJ18" s="101"/>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row>
    <row r="19" spans="1:69" ht="15.75">
      <c r="A19" s="460">
        <f t="shared" si="0"/>
        <v>11</v>
      </c>
      <c r="B19" s="741">
        <v>311</v>
      </c>
      <c r="C19" s="155" t="s">
        <v>398</v>
      </c>
      <c r="D19" s="770">
        <v>0.05</v>
      </c>
      <c r="E19" s="772">
        <v>20176</v>
      </c>
      <c r="F19" s="158">
        <v>0</v>
      </c>
      <c r="G19" s="159">
        <f>ROUND(-F19*$D19,0)</f>
        <v>0</v>
      </c>
      <c r="H19" s="159">
        <f aca="true" t="shared" si="1" ref="H19:H25">G19</f>
        <v>0</v>
      </c>
      <c r="I19" s="158">
        <f>F19+27911</f>
        <v>27911</v>
      </c>
      <c r="J19" s="159">
        <f>ROUND(-I19*$D19,0)</f>
        <v>-1396</v>
      </c>
      <c r="K19" s="164">
        <f>H19+J19</f>
        <v>-1396</v>
      </c>
      <c r="L19" s="158">
        <f>I19</f>
        <v>27911</v>
      </c>
      <c r="M19" s="159">
        <f>ROUND(-L19*$D19,0)</f>
        <v>-1396</v>
      </c>
      <c r="N19" s="164">
        <f>K19+M19</f>
        <v>-2792</v>
      </c>
      <c r="O19" s="158">
        <f>L19</f>
        <v>27911</v>
      </c>
      <c r="P19" s="159">
        <f>ROUND(-O19*$D19,0)</f>
        <v>-1396</v>
      </c>
      <c r="Q19" s="164">
        <f>N19+P19</f>
        <v>-4188</v>
      </c>
      <c r="R19" s="158">
        <f>O19+4171</f>
        <v>32082</v>
      </c>
      <c r="S19" s="159">
        <f>ROUND(-R19*$D19,0)</f>
        <v>-1604</v>
      </c>
      <c r="T19" s="164">
        <f>Q19+S19</f>
        <v>-5792</v>
      </c>
      <c r="U19" s="146"/>
      <c r="V19" s="146"/>
      <c r="W19" s="146"/>
      <c r="X19" s="146"/>
      <c r="Y19" s="146"/>
      <c r="Z19" s="146"/>
      <c r="AA19" s="147"/>
      <c r="AB19" s="147"/>
      <c r="AC19" s="102"/>
      <c r="AD19" s="101"/>
      <c r="AE19" s="101"/>
      <c r="AF19" s="101"/>
      <c r="AG19" s="101"/>
      <c r="AH19" s="101"/>
      <c r="AI19" s="101"/>
      <c r="AJ19" s="101"/>
      <c r="AK19" s="103"/>
      <c r="AL19" s="104"/>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row>
    <row r="20" spans="1:69" ht="15.75">
      <c r="A20" s="460">
        <f t="shared" si="0"/>
        <v>12</v>
      </c>
      <c r="B20" s="742"/>
      <c r="C20" s="155" t="s">
        <v>399</v>
      </c>
      <c r="D20" s="771"/>
      <c r="E20" s="773"/>
      <c r="F20" s="158">
        <v>20176</v>
      </c>
      <c r="G20" s="159">
        <f>ROUND(-F20*$D19,0)</f>
        <v>-1009</v>
      </c>
      <c r="H20" s="159">
        <f t="shared" si="1"/>
        <v>-1009</v>
      </c>
      <c r="I20" s="158">
        <f>F20</f>
        <v>20176</v>
      </c>
      <c r="J20" s="159">
        <f>ROUND(-I20*$D19,0)</f>
        <v>-1009</v>
      </c>
      <c r="K20" s="164">
        <f>H20+J20</f>
        <v>-2018</v>
      </c>
      <c r="L20" s="158">
        <f>I20</f>
        <v>20176</v>
      </c>
      <c r="M20" s="159">
        <f>ROUND(-L20*$D19,0)</f>
        <v>-1009</v>
      </c>
      <c r="N20" s="164">
        <f>K20+M20</f>
        <v>-3027</v>
      </c>
      <c r="O20" s="158">
        <f>L20</f>
        <v>20176</v>
      </c>
      <c r="P20" s="159">
        <f>ROUND(-O20*$D19,0)</f>
        <v>-1009</v>
      </c>
      <c r="Q20" s="164">
        <f>N20+P20</f>
        <v>-4036</v>
      </c>
      <c r="R20" s="158">
        <f>O20</f>
        <v>20176</v>
      </c>
      <c r="S20" s="159">
        <f>ROUND(-R20*$D19,0)</f>
        <v>-1009</v>
      </c>
      <c r="T20" s="164">
        <f>Q20+S20</f>
        <v>-5045</v>
      </c>
      <c r="U20" s="146"/>
      <c r="V20" s="146"/>
      <c r="W20" s="146"/>
      <c r="X20" s="146"/>
      <c r="Y20" s="146"/>
      <c r="Z20" s="146"/>
      <c r="AA20" s="147"/>
      <c r="AB20" s="147"/>
      <c r="AC20" s="102"/>
      <c r="AD20" s="101"/>
      <c r="AE20" s="101"/>
      <c r="AF20" s="101"/>
      <c r="AG20" s="101"/>
      <c r="AH20" s="101"/>
      <c r="AI20" s="101"/>
      <c r="AJ20" s="101"/>
      <c r="AK20" s="103"/>
      <c r="AL20" s="104"/>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row>
    <row r="21" spans="1:69" ht="15.75">
      <c r="A21" s="460">
        <f t="shared" si="0"/>
        <v>13</v>
      </c>
      <c r="B21" s="154">
        <v>320</v>
      </c>
      <c r="C21" s="155" t="s">
        <v>149</v>
      </c>
      <c r="D21" s="165"/>
      <c r="E21" s="166"/>
      <c r="F21" s="158">
        <v>0</v>
      </c>
      <c r="G21" s="159"/>
      <c r="H21" s="164">
        <f t="shared" si="1"/>
        <v>0</v>
      </c>
      <c r="I21" s="158">
        <v>0</v>
      </c>
      <c r="J21" s="159"/>
      <c r="K21" s="164"/>
      <c r="L21" s="158">
        <v>0</v>
      </c>
      <c r="M21" s="159"/>
      <c r="N21" s="164"/>
      <c r="O21" s="158">
        <v>0</v>
      </c>
      <c r="P21" s="159"/>
      <c r="Q21" s="164"/>
      <c r="R21" s="158">
        <v>0</v>
      </c>
      <c r="S21" s="159"/>
      <c r="T21" s="164"/>
      <c r="U21" s="146"/>
      <c r="V21" s="146"/>
      <c r="W21" s="146"/>
      <c r="X21" s="146"/>
      <c r="Y21" s="146"/>
      <c r="Z21" s="146"/>
      <c r="AA21" s="147"/>
      <c r="AB21" s="147"/>
      <c r="AC21" s="102"/>
      <c r="AD21" s="101"/>
      <c r="AE21" s="101"/>
      <c r="AF21" s="101"/>
      <c r="AG21" s="101"/>
      <c r="AH21" s="101"/>
      <c r="AI21" s="101"/>
      <c r="AJ21" s="101"/>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row>
    <row r="22" spans="1:69" s="109" customFormat="1" ht="31.5">
      <c r="A22" s="460">
        <f t="shared" si="0"/>
        <v>14</v>
      </c>
      <c r="B22" s="741">
        <v>330</v>
      </c>
      <c r="C22" s="167" t="s">
        <v>453</v>
      </c>
      <c r="D22" s="770">
        <v>0.033</v>
      </c>
      <c r="E22" s="772">
        <v>129590</v>
      </c>
      <c r="F22" s="168">
        <f>E22-F23</f>
        <v>113920</v>
      </c>
      <c r="G22" s="169">
        <f>ROUND(-F22*$D22,0)</f>
        <v>-3759</v>
      </c>
      <c r="H22" s="169">
        <f t="shared" si="1"/>
        <v>-3759</v>
      </c>
      <c r="I22" s="168">
        <f>F22+46603-20</f>
        <v>160503</v>
      </c>
      <c r="J22" s="169">
        <f>ROUND(-I22*$D22,0)</f>
        <v>-5297</v>
      </c>
      <c r="K22" s="170">
        <f>H22+J22</f>
        <v>-9056</v>
      </c>
      <c r="L22" s="168">
        <f>I22</f>
        <v>160503</v>
      </c>
      <c r="M22" s="169">
        <f>ROUND(-L22*$D22,0)</f>
        <v>-5297</v>
      </c>
      <c r="N22" s="170">
        <f>K22+M22</f>
        <v>-14353</v>
      </c>
      <c r="O22" s="168">
        <f>L22</f>
        <v>160503</v>
      </c>
      <c r="P22" s="169">
        <f>ROUND(-O22*$D22,0)</f>
        <v>-5297</v>
      </c>
      <c r="Q22" s="170">
        <f>N22+P22</f>
        <v>-19650</v>
      </c>
      <c r="R22" s="168">
        <f>O22</f>
        <v>160503</v>
      </c>
      <c r="S22" s="169">
        <f>ROUND(-R22*$D22,0)</f>
        <v>-5297</v>
      </c>
      <c r="T22" s="170">
        <f>Q22+S22</f>
        <v>-24947</v>
      </c>
      <c r="U22" s="171"/>
      <c r="V22" s="171"/>
      <c r="W22" s="171"/>
      <c r="X22" s="171"/>
      <c r="Y22" s="171"/>
      <c r="Z22" s="171"/>
      <c r="AA22" s="172"/>
      <c r="AB22" s="172"/>
      <c r="AC22" s="106"/>
      <c r="AD22" s="105"/>
      <c r="AE22" s="105"/>
      <c r="AF22" s="105"/>
      <c r="AG22" s="105"/>
      <c r="AH22" s="105"/>
      <c r="AI22" s="105"/>
      <c r="AJ22" s="105"/>
      <c r="AK22" s="107"/>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row>
    <row r="23" spans="1:69" s="109" customFormat="1" ht="31.5">
      <c r="A23" s="460">
        <f t="shared" si="0"/>
        <v>15</v>
      </c>
      <c r="B23" s="742"/>
      <c r="C23" s="167" t="s">
        <v>452</v>
      </c>
      <c r="D23" s="771"/>
      <c r="E23" s="773"/>
      <c r="F23" s="168">
        <v>15670</v>
      </c>
      <c r="G23" s="169">
        <f>ROUND(-F23*$D22,0)</f>
        <v>-517</v>
      </c>
      <c r="H23" s="169">
        <f t="shared" si="1"/>
        <v>-517</v>
      </c>
      <c r="I23" s="168">
        <f>F23</f>
        <v>15670</v>
      </c>
      <c r="J23" s="169">
        <f>ROUND(-I23*$D22,0)</f>
        <v>-517</v>
      </c>
      <c r="K23" s="170">
        <f>H23+J23</f>
        <v>-1034</v>
      </c>
      <c r="L23" s="168">
        <f>I23</f>
        <v>15670</v>
      </c>
      <c r="M23" s="169">
        <f>ROUND(-L23*$D22,0)</f>
        <v>-517</v>
      </c>
      <c r="N23" s="170">
        <f>K23+M23</f>
        <v>-1551</v>
      </c>
      <c r="O23" s="168">
        <f>L23</f>
        <v>15670</v>
      </c>
      <c r="P23" s="169">
        <f>ROUND(-O23*$D22,0)</f>
        <v>-517</v>
      </c>
      <c r="Q23" s="170">
        <f>N23+P23</f>
        <v>-2068</v>
      </c>
      <c r="R23" s="168">
        <f>O23</f>
        <v>15670</v>
      </c>
      <c r="S23" s="169">
        <f>ROUND(-R23*$D22,0)</f>
        <v>-517</v>
      </c>
      <c r="T23" s="170">
        <f>Q23+S23</f>
        <v>-2585</v>
      </c>
      <c r="U23" s="171"/>
      <c r="V23" s="171"/>
      <c r="W23" s="171"/>
      <c r="X23" s="171"/>
      <c r="Y23" s="171"/>
      <c r="Z23" s="171"/>
      <c r="AA23" s="172"/>
      <c r="AB23" s="172"/>
      <c r="AC23" s="106"/>
      <c r="AD23" s="105"/>
      <c r="AE23" s="105"/>
      <c r="AF23" s="105"/>
      <c r="AG23" s="105"/>
      <c r="AH23" s="105"/>
      <c r="AI23" s="105"/>
      <c r="AJ23" s="105"/>
      <c r="AK23" s="107"/>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row>
    <row r="24" spans="1:69" s="109" customFormat="1" ht="31.5">
      <c r="A24" s="460">
        <f t="shared" si="0"/>
        <v>16</v>
      </c>
      <c r="B24" s="741">
        <v>331</v>
      </c>
      <c r="C24" s="167" t="s">
        <v>400</v>
      </c>
      <c r="D24" s="770">
        <v>0.02</v>
      </c>
      <c r="E24" s="173"/>
      <c r="F24" s="168"/>
      <c r="G24" s="169">
        <f>ROUND(-F24*D24,0)</f>
        <v>0</v>
      </c>
      <c r="H24" s="169">
        <f t="shared" si="1"/>
        <v>0</v>
      </c>
      <c r="I24" s="168"/>
      <c r="J24" s="169"/>
      <c r="K24" s="170"/>
      <c r="L24" s="168">
        <f>I24+290000</f>
        <v>290000</v>
      </c>
      <c r="M24" s="169">
        <f>ROUND(-L24*$D24,0)</f>
        <v>-5800</v>
      </c>
      <c r="N24" s="170">
        <f>K24+M24</f>
        <v>-5800</v>
      </c>
      <c r="O24" s="168">
        <f>L24+30000</f>
        <v>320000</v>
      </c>
      <c r="P24" s="169">
        <f>ROUND(-O24*$D24,0)</f>
        <v>-6400</v>
      </c>
      <c r="Q24" s="170">
        <f>N24+P24</f>
        <v>-12200</v>
      </c>
      <c r="R24" s="168">
        <f>O24+15000</f>
        <v>335000</v>
      </c>
      <c r="S24" s="169">
        <f>ROUND(-R24*$D24,0)</f>
        <v>-6700</v>
      </c>
      <c r="T24" s="170">
        <f>Q24+S24</f>
        <v>-18900</v>
      </c>
      <c r="U24" s="171"/>
      <c r="V24" s="171"/>
      <c r="W24" s="171"/>
      <c r="X24" s="171"/>
      <c r="Y24" s="171"/>
      <c r="Z24" s="171"/>
      <c r="AA24" s="172"/>
      <c r="AB24" s="172"/>
      <c r="AC24" s="106"/>
      <c r="AD24" s="105"/>
      <c r="AE24" s="105"/>
      <c r="AF24" s="105"/>
      <c r="AG24" s="105"/>
      <c r="AH24" s="105"/>
      <c r="AI24" s="108"/>
      <c r="AJ24" s="105"/>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row>
    <row r="25" spans="1:69" s="109" customFormat="1" ht="31.5">
      <c r="A25" s="460">
        <f t="shared" si="0"/>
        <v>17</v>
      </c>
      <c r="B25" s="742"/>
      <c r="C25" s="167" t="s">
        <v>401</v>
      </c>
      <c r="D25" s="771"/>
      <c r="E25" s="173"/>
      <c r="F25" s="168"/>
      <c r="G25" s="169">
        <f>ROUND(-F25*D25,0)</f>
        <v>0</v>
      </c>
      <c r="H25" s="169">
        <f t="shared" si="1"/>
        <v>0</v>
      </c>
      <c r="I25" s="168">
        <f>F25</f>
        <v>0</v>
      </c>
      <c r="J25" s="169"/>
      <c r="K25" s="170"/>
      <c r="L25" s="168">
        <f>I25</f>
        <v>0</v>
      </c>
      <c r="M25" s="169">
        <f>ROUND(-L25*$D25,0)</f>
        <v>0</v>
      </c>
      <c r="N25" s="170">
        <f>K25+M25</f>
        <v>0</v>
      </c>
      <c r="O25" s="168">
        <f>L25</f>
        <v>0</v>
      </c>
      <c r="P25" s="169">
        <f>ROUND(-O25*$D25,0)</f>
        <v>0</v>
      </c>
      <c r="Q25" s="170">
        <f>N25+P25</f>
        <v>0</v>
      </c>
      <c r="R25" s="168">
        <f>O25</f>
        <v>0</v>
      </c>
      <c r="S25" s="169">
        <f>ROUND(-R25*$D25,0)</f>
        <v>0</v>
      </c>
      <c r="T25" s="170">
        <f>Q25+S25</f>
        <v>0</v>
      </c>
      <c r="U25" s="171"/>
      <c r="V25" s="171"/>
      <c r="W25" s="171"/>
      <c r="X25" s="171"/>
      <c r="Y25" s="171"/>
      <c r="Z25" s="171"/>
      <c r="AA25" s="172"/>
      <c r="AB25" s="172"/>
      <c r="AC25" s="106"/>
      <c r="AD25" s="105"/>
      <c r="AE25" s="105"/>
      <c r="AF25" s="105"/>
      <c r="AG25" s="105"/>
      <c r="AH25" s="105"/>
      <c r="AI25" s="108"/>
      <c r="AJ25" s="105"/>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row>
    <row r="26" spans="1:69" ht="15.75">
      <c r="A26" s="460">
        <f t="shared" si="0"/>
        <v>18</v>
      </c>
      <c r="B26" s="154">
        <v>333</v>
      </c>
      <c r="C26" s="155" t="s">
        <v>150</v>
      </c>
      <c r="D26" s="156"/>
      <c r="E26" s="157"/>
      <c r="F26" s="158">
        <v>0</v>
      </c>
      <c r="G26" s="159"/>
      <c r="H26" s="164"/>
      <c r="I26" s="158">
        <v>0</v>
      </c>
      <c r="J26" s="159"/>
      <c r="K26" s="164"/>
      <c r="L26" s="158">
        <v>0</v>
      </c>
      <c r="M26" s="159"/>
      <c r="N26" s="164"/>
      <c r="O26" s="158"/>
      <c r="P26" s="159"/>
      <c r="Q26" s="164"/>
      <c r="R26" s="158"/>
      <c r="S26" s="159"/>
      <c r="T26" s="164"/>
      <c r="U26" s="146"/>
      <c r="V26" s="146"/>
      <c r="W26" s="146"/>
      <c r="X26" s="146"/>
      <c r="Y26" s="146"/>
      <c r="Z26" s="146"/>
      <c r="AA26" s="147"/>
      <c r="AB26" s="147"/>
      <c r="AC26" s="102"/>
      <c r="AD26" s="101"/>
      <c r="AE26" s="101"/>
      <c r="AF26" s="101"/>
      <c r="AG26" s="101"/>
      <c r="AH26" s="101"/>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row>
    <row r="27" spans="1:69" ht="15.75">
      <c r="A27" s="460">
        <f t="shared" si="0"/>
        <v>19</v>
      </c>
      <c r="B27" s="154">
        <v>334</v>
      </c>
      <c r="C27" s="155" t="s">
        <v>151</v>
      </c>
      <c r="D27" s="156"/>
      <c r="E27" s="157"/>
      <c r="F27" s="158">
        <v>0</v>
      </c>
      <c r="G27" s="159"/>
      <c r="H27" s="164"/>
      <c r="I27" s="158">
        <v>0</v>
      </c>
      <c r="J27" s="159"/>
      <c r="K27" s="164"/>
      <c r="L27" s="158">
        <v>0</v>
      </c>
      <c r="M27" s="159"/>
      <c r="N27" s="164"/>
      <c r="O27" s="158"/>
      <c r="P27" s="159"/>
      <c r="Q27" s="164"/>
      <c r="R27" s="158"/>
      <c r="S27" s="159"/>
      <c r="T27" s="164"/>
      <c r="U27" s="146"/>
      <c r="V27" s="146"/>
      <c r="W27" s="146"/>
      <c r="X27" s="146"/>
      <c r="Y27" s="146"/>
      <c r="Z27" s="146"/>
      <c r="AA27" s="147"/>
      <c r="AB27" s="147"/>
      <c r="AC27" s="102"/>
      <c r="AD27" s="101"/>
      <c r="AE27" s="101"/>
      <c r="AF27" s="101"/>
      <c r="AG27" s="101"/>
      <c r="AH27" s="101"/>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row>
    <row r="28" spans="1:69" ht="15.75">
      <c r="A28" s="460">
        <f t="shared" si="0"/>
        <v>20</v>
      </c>
      <c r="B28" s="154">
        <v>335</v>
      </c>
      <c r="C28" s="155" t="s">
        <v>670</v>
      </c>
      <c r="D28" s="156"/>
      <c r="E28" s="157"/>
      <c r="F28" s="158">
        <v>0</v>
      </c>
      <c r="G28" s="159"/>
      <c r="H28" s="164"/>
      <c r="I28" s="158">
        <v>0</v>
      </c>
      <c r="J28" s="159"/>
      <c r="K28" s="164"/>
      <c r="L28" s="158">
        <v>0</v>
      </c>
      <c r="M28" s="159"/>
      <c r="N28" s="164"/>
      <c r="O28" s="158"/>
      <c r="P28" s="159"/>
      <c r="Q28" s="164"/>
      <c r="R28" s="158"/>
      <c r="S28" s="159"/>
      <c r="T28" s="164"/>
      <c r="U28" s="146"/>
      <c r="V28" s="146"/>
      <c r="W28" s="146"/>
      <c r="X28" s="146"/>
      <c r="Y28" s="146"/>
      <c r="Z28" s="146"/>
      <c r="AA28" s="147"/>
      <c r="AB28" s="147"/>
      <c r="AC28" s="102"/>
      <c r="AD28" s="101"/>
      <c r="AE28" s="101"/>
      <c r="AF28" s="101"/>
      <c r="AG28" s="101"/>
      <c r="AH28" s="101"/>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row>
    <row r="29" spans="1:69" ht="15.75">
      <c r="A29" s="460">
        <f t="shared" si="0"/>
        <v>21</v>
      </c>
      <c r="B29" s="154">
        <v>336</v>
      </c>
      <c r="C29" s="155" t="s">
        <v>152</v>
      </c>
      <c r="D29" s="156"/>
      <c r="E29" s="157"/>
      <c r="F29" s="158">
        <v>0</v>
      </c>
      <c r="G29" s="159"/>
      <c r="H29" s="164"/>
      <c r="I29" s="158">
        <v>0</v>
      </c>
      <c r="J29" s="159"/>
      <c r="K29" s="164"/>
      <c r="L29" s="158">
        <v>0</v>
      </c>
      <c r="M29" s="159"/>
      <c r="N29" s="164"/>
      <c r="O29" s="158"/>
      <c r="P29" s="159"/>
      <c r="Q29" s="164"/>
      <c r="R29" s="158"/>
      <c r="S29" s="159"/>
      <c r="T29" s="164"/>
      <c r="U29" s="146"/>
      <c r="V29" s="146"/>
      <c r="W29" s="146"/>
      <c r="X29" s="146"/>
      <c r="Y29" s="146"/>
      <c r="Z29" s="146"/>
      <c r="AA29" s="147"/>
      <c r="AB29" s="147"/>
      <c r="AC29" s="102"/>
      <c r="AD29" s="101"/>
      <c r="AE29" s="101"/>
      <c r="AF29" s="101"/>
      <c r="AG29" s="101"/>
      <c r="AH29" s="101"/>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row>
    <row r="30" spans="1:69" ht="15.75">
      <c r="A30" s="460">
        <f t="shared" si="0"/>
        <v>22</v>
      </c>
      <c r="B30" s="154">
        <v>339</v>
      </c>
      <c r="C30" s="155" t="s">
        <v>153</v>
      </c>
      <c r="D30" s="156"/>
      <c r="E30" s="157"/>
      <c r="F30" s="158">
        <v>0</v>
      </c>
      <c r="G30" s="159"/>
      <c r="H30" s="164"/>
      <c r="I30" s="158">
        <v>0</v>
      </c>
      <c r="J30" s="159"/>
      <c r="K30" s="164"/>
      <c r="L30" s="158">
        <v>0</v>
      </c>
      <c r="M30" s="159"/>
      <c r="N30" s="164"/>
      <c r="O30" s="158"/>
      <c r="P30" s="159"/>
      <c r="Q30" s="164"/>
      <c r="R30" s="158"/>
      <c r="S30" s="159"/>
      <c r="T30" s="164"/>
      <c r="U30" s="146"/>
      <c r="V30" s="146"/>
      <c r="W30" s="146"/>
      <c r="X30" s="146"/>
      <c r="Y30" s="146"/>
      <c r="Z30" s="146"/>
      <c r="AA30" s="147"/>
      <c r="AB30" s="147"/>
      <c r="AC30" s="102"/>
      <c r="AD30" s="101"/>
      <c r="AE30" s="101"/>
      <c r="AF30" s="101"/>
      <c r="AG30" s="101"/>
      <c r="AH30" s="101"/>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row>
    <row r="31" spans="1:69" ht="15.75">
      <c r="A31" s="460">
        <f t="shared" si="0"/>
        <v>23</v>
      </c>
      <c r="B31" s="154">
        <v>340</v>
      </c>
      <c r="C31" s="155" t="s">
        <v>154</v>
      </c>
      <c r="D31" s="156"/>
      <c r="E31" s="157"/>
      <c r="F31" s="158">
        <v>0</v>
      </c>
      <c r="G31" s="159"/>
      <c r="H31" s="164"/>
      <c r="I31" s="158">
        <v>0</v>
      </c>
      <c r="J31" s="159"/>
      <c r="K31" s="164"/>
      <c r="L31" s="158">
        <v>0</v>
      </c>
      <c r="M31" s="159"/>
      <c r="N31" s="164"/>
      <c r="O31" s="158"/>
      <c r="P31" s="159"/>
      <c r="Q31" s="164"/>
      <c r="R31" s="158"/>
      <c r="S31" s="159"/>
      <c r="T31" s="164"/>
      <c r="U31" s="146"/>
      <c r="V31" s="146"/>
      <c r="W31" s="146"/>
      <c r="X31" s="146"/>
      <c r="Y31" s="146"/>
      <c r="Z31" s="146"/>
      <c r="AA31" s="147"/>
      <c r="AB31" s="147"/>
      <c r="AC31" s="102"/>
      <c r="AD31" s="101"/>
      <c r="AE31" s="101"/>
      <c r="AF31" s="101"/>
      <c r="AG31" s="101"/>
      <c r="AH31" s="101"/>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row>
    <row r="32" spans="1:69" ht="15.75">
      <c r="A32" s="460">
        <f t="shared" si="0"/>
        <v>24</v>
      </c>
      <c r="B32" s="154">
        <v>341</v>
      </c>
      <c r="C32" s="155" t="s">
        <v>155</v>
      </c>
      <c r="D32" s="156"/>
      <c r="E32" s="157"/>
      <c r="F32" s="158">
        <v>0</v>
      </c>
      <c r="G32" s="159"/>
      <c r="H32" s="164"/>
      <c r="I32" s="158">
        <v>0</v>
      </c>
      <c r="J32" s="159"/>
      <c r="K32" s="164"/>
      <c r="L32" s="158">
        <v>0</v>
      </c>
      <c r="M32" s="159"/>
      <c r="N32" s="164"/>
      <c r="O32" s="158"/>
      <c r="P32" s="159"/>
      <c r="Q32" s="164"/>
      <c r="R32" s="158"/>
      <c r="S32" s="159"/>
      <c r="T32" s="164"/>
      <c r="U32" s="146"/>
      <c r="V32" s="146"/>
      <c r="W32" s="146"/>
      <c r="X32" s="146"/>
      <c r="Y32" s="146"/>
      <c r="Z32" s="146"/>
      <c r="AA32" s="147"/>
      <c r="AB32" s="147"/>
      <c r="AC32" s="102"/>
      <c r="AD32" s="101"/>
      <c r="AE32" s="101"/>
      <c r="AF32" s="101"/>
      <c r="AG32" s="101"/>
      <c r="AH32" s="101"/>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row>
    <row r="33" spans="1:69" ht="15.75">
      <c r="A33" s="460">
        <f t="shared" si="0"/>
        <v>25</v>
      </c>
      <c r="B33" s="154">
        <v>343</v>
      </c>
      <c r="C33" s="155" t="s">
        <v>671</v>
      </c>
      <c r="D33" s="156"/>
      <c r="E33" s="157"/>
      <c r="F33" s="158">
        <v>0</v>
      </c>
      <c r="G33" s="159"/>
      <c r="H33" s="164"/>
      <c r="I33" s="158">
        <v>0</v>
      </c>
      <c r="J33" s="159"/>
      <c r="K33" s="164"/>
      <c r="L33" s="158">
        <v>0</v>
      </c>
      <c r="M33" s="159"/>
      <c r="N33" s="164"/>
      <c r="O33" s="158"/>
      <c r="P33" s="159"/>
      <c r="Q33" s="164"/>
      <c r="R33" s="158"/>
      <c r="S33" s="159"/>
      <c r="T33" s="164"/>
      <c r="U33" s="146"/>
      <c r="V33" s="146"/>
      <c r="W33" s="146"/>
      <c r="X33" s="146"/>
      <c r="Y33" s="146"/>
      <c r="Z33" s="146"/>
      <c r="AA33" s="147"/>
      <c r="AB33" s="147"/>
      <c r="AC33" s="102"/>
      <c r="AD33" s="101"/>
      <c r="AE33" s="101"/>
      <c r="AF33" s="101"/>
      <c r="AG33" s="101"/>
      <c r="AH33" s="101"/>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row>
    <row r="34" spans="1:69" ht="15.75">
      <c r="A34" s="460">
        <f t="shared" si="0"/>
        <v>26</v>
      </c>
      <c r="B34" s="154">
        <v>345</v>
      </c>
      <c r="C34" s="155" t="s">
        <v>450</v>
      </c>
      <c r="D34" s="156"/>
      <c r="E34" s="157"/>
      <c r="F34" s="158">
        <v>0</v>
      </c>
      <c r="G34" s="159"/>
      <c r="H34" s="164"/>
      <c r="I34" s="158">
        <v>0</v>
      </c>
      <c r="J34" s="159"/>
      <c r="K34" s="164"/>
      <c r="L34" s="158">
        <v>0</v>
      </c>
      <c r="M34" s="159"/>
      <c r="N34" s="164"/>
      <c r="O34" s="158"/>
      <c r="P34" s="159"/>
      <c r="Q34" s="164"/>
      <c r="R34" s="158"/>
      <c r="S34" s="159"/>
      <c r="T34" s="164"/>
      <c r="U34" s="146"/>
      <c r="V34" s="146"/>
      <c r="W34" s="146"/>
      <c r="X34" s="146"/>
      <c r="Y34" s="146"/>
      <c r="Z34" s="146"/>
      <c r="AA34" s="147"/>
      <c r="AB34" s="147"/>
      <c r="AC34" s="102"/>
      <c r="AD34" s="101"/>
      <c r="AE34" s="101"/>
      <c r="AF34" s="101"/>
      <c r="AG34" s="101"/>
      <c r="AH34" s="101"/>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row>
    <row r="35" spans="1:69" ht="15.75">
      <c r="A35" s="460">
        <f t="shared" si="0"/>
        <v>27</v>
      </c>
      <c r="B35" s="154">
        <v>348</v>
      </c>
      <c r="C35" s="155" t="s">
        <v>451</v>
      </c>
      <c r="D35" s="156"/>
      <c r="E35" s="157"/>
      <c r="F35" s="158">
        <v>0</v>
      </c>
      <c r="G35" s="159"/>
      <c r="H35" s="164"/>
      <c r="I35" s="158">
        <v>0</v>
      </c>
      <c r="J35" s="159"/>
      <c r="K35" s="164"/>
      <c r="L35" s="158">
        <v>0</v>
      </c>
      <c r="M35" s="159"/>
      <c r="N35" s="164"/>
      <c r="O35" s="158"/>
      <c r="P35" s="159"/>
      <c r="Q35" s="164"/>
      <c r="R35" s="158"/>
      <c r="S35" s="159"/>
      <c r="T35" s="164"/>
      <c r="U35" s="146"/>
      <c r="V35" s="146"/>
      <c r="W35" s="146"/>
      <c r="X35" s="146"/>
      <c r="Y35" s="146"/>
      <c r="Z35" s="146"/>
      <c r="AA35" s="147"/>
      <c r="AB35" s="147"/>
      <c r="AC35" s="102"/>
      <c r="AD35" s="101"/>
      <c r="AE35" s="101"/>
      <c r="AF35" s="101"/>
      <c r="AG35" s="101"/>
      <c r="AH35" s="101"/>
      <c r="AI35" s="100"/>
      <c r="AJ35" s="110"/>
      <c r="AK35" s="11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row>
    <row r="36" spans="1:69" ht="15.75">
      <c r="A36" s="460"/>
      <c r="B36" s="178"/>
      <c r="C36" s="174"/>
      <c r="D36" s="142"/>
      <c r="E36" s="142"/>
      <c r="F36" s="175"/>
      <c r="G36" s="176"/>
      <c r="H36" s="177"/>
      <c r="I36" s="175"/>
      <c r="J36" s="176"/>
      <c r="K36" s="177"/>
      <c r="L36" s="175"/>
      <c r="M36" s="176"/>
      <c r="N36" s="177"/>
      <c r="O36" s="175"/>
      <c r="P36" s="176"/>
      <c r="Q36" s="177"/>
      <c r="R36" s="175"/>
      <c r="S36" s="176"/>
      <c r="T36" s="177"/>
      <c r="U36" s="146"/>
      <c r="V36" s="146"/>
      <c r="W36" s="146"/>
      <c r="X36" s="146"/>
      <c r="Y36" s="146"/>
      <c r="Z36" s="146"/>
      <c r="AA36" s="147"/>
      <c r="AB36" s="147"/>
      <c r="AC36" s="102"/>
      <c r="AD36" s="101"/>
      <c r="AE36" s="101"/>
      <c r="AF36" s="101"/>
      <c r="AG36" s="101"/>
      <c r="AH36" s="101"/>
      <c r="AI36" s="100"/>
      <c r="AJ36" s="110"/>
      <c r="AK36" s="11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row>
    <row r="37" spans="1:69" ht="16.5" thickBot="1">
      <c r="A37" s="460">
        <v>28</v>
      </c>
      <c r="B37" s="179" t="s">
        <v>402</v>
      </c>
      <c r="C37" s="179"/>
      <c r="D37" s="180"/>
      <c r="E37" s="227">
        <f>SUM(E9:E35)</f>
        <v>369432</v>
      </c>
      <c r="F37" s="181">
        <f>SUM(F9:F35)</f>
        <v>369432</v>
      </c>
      <c r="G37" s="176"/>
      <c r="H37" s="182"/>
      <c r="I37" s="181">
        <f>SUM(I9:I35)</f>
        <v>533480</v>
      </c>
      <c r="J37" s="176"/>
      <c r="K37" s="182"/>
      <c r="L37" s="181">
        <f>SUM(L9:L35)</f>
        <v>823480</v>
      </c>
      <c r="M37" s="176"/>
      <c r="N37" s="182"/>
      <c r="O37" s="181">
        <f>SUM(O9:O35)</f>
        <v>853480</v>
      </c>
      <c r="P37" s="176"/>
      <c r="Q37" s="182"/>
      <c r="R37" s="181">
        <f>SUM(R9:R35)</f>
        <v>872651</v>
      </c>
      <c r="S37" s="176"/>
      <c r="T37" s="182"/>
      <c r="U37" s="183"/>
      <c r="V37" s="183"/>
      <c r="W37" s="183"/>
      <c r="X37" s="183"/>
      <c r="Y37" s="183"/>
      <c r="Z37" s="183"/>
      <c r="AA37" s="184"/>
      <c r="AB37" s="184"/>
      <c r="AC37" s="112"/>
      <c r="AD37" s="111"/>
      <c r="AE37" s="111"/>
      <c r="AF37" s="111"/>
      <c r="AG37" s="111"/>
      <c r="AH37" s="111"/>
      <c r="AI37" s="111"/>
      <c r="AJ37" s="111"/>
      <c r="AK37" s="111"/>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row>
    <row r="38" spans="1:69" ht="17.25" thickBot="1" thickTop="1">
      <c r="A38" s="460">
        <v>29</v>
      </c>
      <c r="B38" s="179" t="s">
        <v>156</v>
      </c>
      <c r="C38" s="179"/>
      <c r="D38" s="180"/>
      <c r="E38" s="180"/>
      <c r="F38" s="175"/>
      <c r="G38" s="185">
        <f>SUM(G9:G35)</f>
        <v>-14072</v>
      </c>
      <c r="H38" s="186"/>
      <c r="I38" s="175"/>
      <c r="J38" s="185">
        <f>SUM(J9:J35)</f>
        <v>-20588</v>
      </c>
      <c r="K38" s="186"/>
      <c r="L38" s="175"/>
      <c r="M38" s="185">
        <f>SUM(M9:M35)</f>
        <v>-26388</v>
      </c>
      <c r="N38" s="186"/>
      <c r="O38" s="175"/>
      <c r="P38" s="185">
        <f>SUM(P9:P35)</f>
        <v>-26988</v>
      </c>
      <c r="Q38" s="186"/>
      <c r="R38" s="175"/>
      <c r="S38" s="185">
        <f>SUM(S9:S35)</f>
        <v>-27496</v>
      </c>
      <c r="T38" s="186"/>
      <c r="U38" s="183"/>
      <c r="V38" s="183"/>
      <c r="W38" s="183"/>
      <c r="X38" s="183"/>
      <c r="Y38" s="183"/>
      <c r="Z38" s="183"/>
      <c r="AA38" s="184"/>
      <c r="AB38" s="184"/>
      <c r="AC38" s="112"/>
      <c r="AD38" s="111"/>
      <c r="AE38" s="111"/>
      <c r="AF38" s="111"/>
      <c r="AG38" s="111"/>
      <c r="AH38" s="111"/>
      <c r="AI38" s="111"/>
      <c r="AJ38" s="111"/>
      <c r="AK38" s="111"/>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row>
    <row r="39" spans="1:69" ht="16.5" thickTop="1">
      <c r="A39" s="460">
        <v>30</v>
      </c>
      <c r="B39" s="179" t="s">
        <v>157</v>
      </c>
      <c r="C39" s="179"/>
      <c r="D39" s="180"/>
      <c r="E39" s="180"/>
      <c r="F39" s="187"/>
      <c r="G39" s="188"/>
      <c r="H39" s="189">
        <f>SUM(H9:H38)</f>
        <v>-14072</v>
      </c>
      <c r="I39" s="187"/>
      <c r="J39" s="188"/>
      <c r="K39" s="189">
        <f>SUM(K9:K38)</f>
        <v>-34660</v>
      </c>
      <c r="L39" s="187"/>
      <c r="M39" s="188"/>
      <c r="N39" s="189">
        <f>SUM(N9:N38)</f>
        <v>-61048</v>
      </c>
      <c r="O39" s="187"/>
      <c r="P39" s="188"/>
      <c r="Q39" s="189">
        <f>SUM(Q9:Q38)</f>
        <v>-88036</v>
      </c>
      <c r="R39" s="187"/>
      <c r="S39" s="188"/>
      <c r="T39" s="189">
        <f>SUM(T9:T38)</f>
        <v>-115532</v>
      </c>
      <c r="U39" s="183"/>
      <c r="V39" s="183"/>
      <c r="W39" s="183"/>
      <c r="X39" s="183"/>
      <c r="Y39" s="183"/>
      <c r="Z39" s="183"/>
      <c r="AA39" s="184"/>
      <c r="AB39" s="184"/>
      <c r="AC39" s="112"/>
      <c r="AD39" s="111"/>
      <c r="AE39" s="111"/>
      <c r="AF39" s="111"/>
      <c r="AG39" s="111"/>
      <c r="AH39" s="111"/>
      <c r="AI39" s="111"/>
      <c r="AJ39" s="111"/>
      <c r="AK39" s="111"/>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row>
    <row r="40" spans="1:69" ht="16.5" hidden="1" thickBot="1">
      <c r="A40" s="460"/>
      <c r="B40" s="179" t="s">
        <v>158</v>
      </c>
      <c r="C40" s="179"/>
      <c r="D40" s="180"/>
      <c r="E40" s="180"/>
      <c r="F40" s="190"/>
      <c r="G40" s="191">
        <f>G38/F37</f>
        <v>-0.03809090712228502</v>
      </c>
      <c r="H40" s="192"/>
      <c r="I40" s="190"/>
      <c r="J40" s="191">
        <f>J38/I37</f>
        <v>-0.03859188723101147</v>
      </c>
      <c r="K40" s="192"/>
      <c r="L40" s="190"/>
      <c r="M40" s="191">
        <f>M38/L37</f>
        <v>-0.03204449409821732</v>
      </c>
      <c r="N40" s="192"/>
      <c r="O40" s="190"/>
      <c r="P40" s="191">
        <f>P38/O37</f>
        <v>-0.031621127618690535</v>
      </c>
      <c r="Q40" s="192"/>
      <c r="R40" s="190"/>
      <c r="S40" s="191">
        <f>S38/R37</f>
        <v>-0.03150858705255595</v>
      </c>
      <c r="T40" s="192"/>
      <c r="U40" s="174"/>
      <c r="V40" s="174"/>
      <c r="W40" s="174"/>
      <c r="X40" s="174"/>
      <c r="Y40" s="174"/>
      <c r="Z40" s="174"/>
      <c r="AA40" s="179"/>
      <c r="AB40" s="179"/>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row>
    <row r="41" spans="1:69" ht="16.5" thickBot="1">
      <c r="A41" s="460">
        <v>31</v>
      </c>
      <c r="B41" s="137" t="s">
        <v>161</v>
      </c>
      <c r="C41" s="137"/>
      <c r="D41" s="178"/>
      <c r="E41" s="178"/>
      <c r="F41" s="190"/>
      <c r="G41" s="193"/>
      <c r="H41" s="185">
        <f>F37+H39</f>
        <v>355360</v>
      </c>
      <c r="I41" s="190"/>
      <c r="J41" s="193"/>
      <c r="K41" s="185">
        <f>I37+K39</f>
        <v>498820</v>
      </c>
      <c r="L41" s="190"/>
      <c r="M41" s="193"/>
      <c r="N41" s="185">
        <f>L37+N39</f>
        <v>762432</v>
      </c>
      <c r="O41" s="190"/>
      <c r="P41" s="193"/>
      <c r="Q41" s="185">
        <f>O37+Q39</f>
        <v>765444</v>
      </c>
      <c r="R41" s="190"/>
      <c r="S41" s="193"/>
      <c r="T41" s="185">
        <f>R37+T39</f>
        <v>757119</v>
      </c>
      <c r="U41" s="194"/>
      <c r="V41" s="194"/>
      <c r="W41" s="194"/>
      <c r="X41" s="194"/>
      <c r="Y41" s="194"/>
      <c r="Z41" s="194"/>
      <c r="AA41" s="179"/>
      <c r="AB41" s="179"/>
      <c r="AC41" s="100"/>
      <c r="AD41" s="100"/>
      <c r="AE41" s="100"/>
      <c r="AF41" s="100"/>
      <c r="AG41" s="100"/>
      <c r="AH41" s="100"/>
      <c r="AI41" s="100"/>
      <c r="AJ41" s="103"/>
      <c r="AK41" s="103"/>
      <c r="AL41" s="104"/>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row>
    <row r="42" spans="1:69" ht="16.5" thickTop="1">
      <c r="A42" s="460"/>
      <c r="B42" s="137"/>
      <c r="C42" s="137"/>
      <c r="D42" s="178"/>
      <c r="E42" s="178"/>
      <c r="F42" s="190"/>
      <c r="G42" s="220"/>
      <c r="H42" s="182"/>
      <c r="I42" s="190"/>
      <c r="J42" s="193"/>
      <c r="K42" s="182"/>
      <c r="L42" s="190"/>
      <c r="M42" s="193"/>
      <c r="N42" s="182"/>
      <c r="O42" s="190"/>
      <c r="P42" s="193"/>
      <c r="Q42" s="182"/>
      <c r="R42" s="190"/>
      <c r="S42" s="220"/>
      <c r="T42" s="182"/>
      <c r="U42" s="194"/>
      <c r="V42" s="194"/>
      <c r="W42" s="194"/>
      <c r="X42" s="194"/>
      <c r="Y42" s="194"/>
      <c r="Z42" s="194"/>
      <c r="AA42" s="179"/>
      <c r="AB42" s="179"/>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row>
    <row r="43" spans="1:69" ht="15.75">
      <c r="A43" s="460">
        <v>32</v>
      </c>
      <c r="B43" s="195" t="s">
        <v>488</v>
      </c>
      <c r="C43" s="195"/>
      <c r="D43" s="196"/>
      <c r="E43" s="196"/>
      <c r="F43" s="197">
        <f>F16+F20+F23+F25</f>
        <v>48941</v>
      </c>
      <c r="G43" s="221"/>
      <c r="H43" s="198">
        <f>F37-F48</f>
        <v>48941</v>
      </c>
      <c r="I43" s="197">
        <f>I16+I20+I23+I25</f>
        <v>48941</v>
      </c>
      <c r="J43" s="221"/>
      <c r="K43" s="198">
        <f>I43</f>
        <v>48941</v>
      </c>
      <c r="L43" s="197">
        <f>L37-L48</f>
        <v>48961</v>
      </c>
      <c r="M43" s="221"/>
      <c r="N43" s="198">
        <f>L43</f>
        <v>48961</v>
      </c>
      <c r="O43" s="197">
        <f>O37-O48</f>
        <v>48961</v>
      </c>
      <c r="P43" s="221"/>
      <c r="Q43" s="198">
        <f>O43</f>
        <v>48961</v>
      </c>
      <c r="R43" s="197">
        <f>R37-R48</f>
        <v>53132</v>
      </c>
      <c r="S43" s="221"/>
      <c r="T43" s="198">
        <f>R43</f>
        <v>53132</v>
      </c>
      <c r="U43" s="194"/>
      <c r="V43" s="194"/>
      <c r="W43" s="194"/>
      <c r="X43" s="194"/>
      <c r="Y43" s="194"/>
      <c r="Z43" s="194"/>
      <c r="AA43" s="179"/>
      <c r="AB43" s="179"/>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row>
    <row r="44" spans="1:69" ht="15.75">
      <c r="A44" s="460">
        <v>33</v>
      </c>
      <c r="B44" s="195" t="s">
        <v>404</v>
      </c>
      <c r="C44" s="195"/>
      <c r="D44" s="196"/>
      <c r="E44" s="196"/>
      <c r="F44" s="197"/>
      <c r="G44" s="222">
        <f>G16+G20+G23+G25</f>
        <v>-2050</v>
      </c>
      <c r="H44" s="199"/>
      <c r="I44" s="197"/>
      <c r="J44" s="222">
        <f>J16+J20+J23+J25</f>
        <v>-2050</v>
      </c>
      <c r="K44" s="199"/>
      <c r="L44" s="197"/>
      <c r="M44" s="222">
        <f>L43*M40</f>
        <v>-1568.9304755428184</v>
      </c>
      <c r="N44" s="199"/>
      <c r="O44" s="197"/>
      <c r="P44" s="222">
        <f>O43*P40</f>
        <v>-1548.2020293387072</v>
      </c>
      <c r="Q44" s="199"/>
      <c r="R44" s="197"/>
      <c r="S44" s="222">
        <f>R43*S40</f>
        <v>-1674.1142472764027</v>
      </c>
      <c r="T44" s="199"/>
      <c r="U44" s="200"/>
      <c r="V44" s="200"/>
      <c r="W44" s="194"/>
      <c r="X44" s="194"/>
      <c r="Y44" s="194"/>
      <c r="Z44" s="194"/>
      <c r="AA44" s="179"/>
      <c r="AB44" s="179"/>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row>
    <row r="45" spans="1:69" ht="15.75">
      <c r="A45" s="460">
        <v>34</v>
      </c>
      <c r="B45" s="195" t="s">
        <v>159</v>
      </c>
      <c r="C45" s="195"/>
      <c r="D45" s="196"/>
      <c r="E45" s="196"/>
      <c r="F45" s="197"/>
      <c r="G45" s="221"/>
      <c r="H45" s="201">
        <f>G44</f>
        <v>-2050</v>
      </c>
      <c r="I45" s="197"/>
      <c r="J45" s="221"/>
      <c r="K45" s="201">
        <f>H45+J44</f>
        <v>-4100</v>
      </c>
      <c r="L45" s="197"/>
      <c r="M45" s="221"/>
      <c r="N45" s="201">
        <f>K45+M44</f>
        <v>-5668.930475542818</v>
      </c>
      <c r="O45" s="197"/>
      <c r="P45" s="221"/>
      <c r="Q45" s="201">
        <f>N45+P44</f>
        <v>-7217.132504881525</v>
      </c>
      <c r="R45" s="197"/>
      <c r="S45" s="221"/>
      <c r="T45" s="201">
        <f>Q45+S44</f>
        <v>-8891.246752157927</v>
      </c>
      <c r="U45" s="200"/>
      <c r="V45" s="200"/>
      <c r="W45" s="194"/>
      <c r="X45" s="194"/>
      <c r="Y45" s="194"/>
      <c r="Z45" s="194"/>
      <c r="AA45" s="179"/>
      <c r="AB45" s="179"/>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row>
    <row r="46" spans="1:69" ht="16.5" thickBot="1">
      <c r="A46" s="460">
        <v>35</v>
      </c>
      <c r="B46" s="195" t="s">
        <v>489</v>
      </c>
      <c r="C46" s="195"/>
      <c r="D46" s="202"/>
      <c r="E46" s="202"/>
      <c r="F46" s="197"/>
      <c r="G46" s="221"/>
      <c r="H46" s="203">
        <f>H43+H45</f>
        <v>46891</v>
      </c>
      <c r="I46" s="197"/>
      <c r="J46" s="221"/>
      <c r="K46" s="203">
        <f>K43+K45</f>
        <v>44841</v>
      </c>
      <c r="L46" s="197"/>
      <c r="M46" s="221"/>
      <c r="N46" s="203">
        <f>N43+N45</f>
        <v>43292.06952445718</v>
      </c>
      <c r="O46" s="197"/>
      <c r="P46" s="221"/>
      <c r="Q46" s="203">
        <f>Q43+Q45</f>
        <v>41743.86749511847</v>
      </c>
      <c r="R46" s="197"/>
      <c r="S46" s="221"/>
      <c r="T46" s="203">
        <f>T43+T45</f>
        <v>44240.753247842076</v>
      </c>
      <c r="U46" s="200"/>
      <c r="V46" s="200"/>
      <c r="W46" s="194"/>
      <c r="X46" s="194"/>
      <c r="Y46" s="194"/>
      <c r="Z46" s="194"/>
      <c r="AA46" s="179"/>
      <c r="AB46" s="179"/>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row>
    <row r="47" spans="1:69" ht="16.5" thickTop="1">
      <c r="A47" s="460"/>
      <c r="B47" s="179"/>
      <c r="C47" s="179"/>
      <c r="D47" s="180"/>
      <c r="E47" s="180"/>
      <c r="F47" s="175"/>
      <c r="G47" s="223"/>
      <c r="H47" s="189"/>
      <c r="I47" s="175"/>
      <c r="J47" s="223"/>
      <c r="K47" s="189"/>
      <c r="L47" s="175"/>
      <c r="M47" s="223"/>
      <c r="N47" s="189"/>
      <c r="O47" s="175"/>
      <c r="P47" s="223"/>
      <c r="Q47" s="189"/>
      <c r="R47" s="175"/>
      <c r="S47" s="223"/>
      <c r="T47" s="189"/>
      <c r="U47" s="200"/>
      <c r="V47" s="200"/>
      <c r="W47" s="194"/>
      <c r="X47" s="194"/>
      <c r="Y47" s="194"/>
      <c r="Z47" s="194"/>
      <c r="AA47" s="179"/>
      <c r="AB47" s="179"/>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row>
    <row r="48" spans="1:69" ht="15.75">
      <c r="A48" s="460">
        <v>36</v>
      </c>
      <c r="B48" s="204" t="s">
        <v>403</v>
      </c>
      <c r="C48" s="204"/>
      <c r="D48" s="205"/>
      <c r="E48" s="205"/>
      <c r="F48" s="206">
        <f>F15+F19+F22+F24</f>
        <v>320491</v>
      </c>
      <c r="G48" s="224"/>
      <c r="H48" s="207">
        <f>F48</f>
        <v>320491</v>
      </c>
      <c r="I48" s="206">
        <f>I15+I19+I22+I24</f>
        <v>484539</v>
      </c>
      <c r="J48" s="224"/>
      <c r="K48" s="207">
        <f>I48</f>
        <v>484539</v>
      </c>
      <c r="L48" s="206">
        <f>I48+289980</f>
        <v>774519</v>
      </c>
      <c r="M48" s="224"/>
      <c r="N48" s="207">
        <f>L48</f>
        <v>774519</v>
      </c>
      <c r="O48" s="206">
        <f>L48+30000</f>
        <v>804519</v>
      </c>
      <c r="P48" s="224"/>
      <c r="Q48" s="207">
        <f>O48</f>
        <v>804519</v>
      </c>
      <c r="R48" s="206">
        <f>O48+15000</f>
        <v>819519</v>
      </c>
      <c r="S48" s="224"/>
      <c r="T48" s="207">
        <f>R48</f>
        <v>819519</v>
      </c>
      <c r="U48" s="200"/>
      <c r="V48" s="200"/>
      <c r="W48" s="194"/>
      <c r="X48" s="194"/>
      <c r="Y48" s="194"/>
      <c r="Z48" s="194"/>
      <c r="AA48" s="179"/>
      <c r="AB48" s="179"/>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row>
    <row r="49" spans="1:69" ht="15.75">
      <c r="A49" s="460">
        <v>37</v>
      </c>
      <c r="B49" s="204" t="s">
        <v>405</v>
      </c>
      <c r="C49" s="204"/>
      <c r="D49" s="205"/>
      <c r="E49" s="205"/>
      <c r="F49" s="206"/>
      <c r="G49" s="225">
        <f>G15+G19+G22+G24</f>
        <v>-12022</v>
      </c>
      <c r="H49" s="208"/>
      <c r="I49" s="206"/>
      <c r="J49" s="225">
        <f>J15+J19+J22+J24</f>
        <v>-18538</v>
      </c>
      <c r="K49" s="208"/>
      <c r="L49" s="206"/>
      <c r="M49" s="225">
        <f>L48*M40</f>
        <v>-24819.069524457183</v>
      </c>
      <c r="N49" s="208"/>
      <c r="O49" s="206"/>
      <c r="P49" s="225">
        <f>O48*P40</f>
        <v>-25439.79797066129</v>
      </c>
      <c r="Q49" s="208"/>
      <c r="R49" s="206"/>
      <c r="S49" s="225">
        <f>R48*S40</f>
        <v>-25821.8857527236</v>
      </c>
      <c r="T49" s="208"/>
      <c r="U49" s="200"/>
      <c r="V49" s="200"/>
      <c r="W49" s="194"/>
      <c r="X49" s="194"/>
      <c r="Y49" s="194"/>
      <c r="Z49" s="194"/>
      <c r="AA49" s="179"/>
      <c r="AB49" s="179"/>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row>
    <row r="50" spans="1:69" ht="15.75">
      <c r="A50" s="460">
        <v>38</v>
      </c>
      <c r="B50" s="204" t="s">
        <v>160</v>
      </c>
      <c r="C50" s="204"/>
      <c r="D50" s="205"/>
      <c r="E50" s="205"/>
      <c r="F50" s="206"/>
      <c r="G50" s="224"/>
      <c r="H50" s="209">
        <f>G49</f>
        <v>-12022</v>
      </c>
      <c r="I50" s="206"/>
      <c r="J50" s="224"/>
      <c r="K50" s="209">
        <f>H50+J49</f>
        <v>-30560</v>
      </c>
      <c r="L50" s="206"/>
      <c r="M50" s="224"/>
      <c r="N50" s="209">
        <f>K50+M49</f>
        <v>-55379.06952445718</v>
      </c>
      <c r="O50" s="206"/>
      <c r="P50" s="224"/>
      <c r="Q50" s="209">
        <f>N50+P49</f>
        <v>-80818.86749511847</v>
      </c>
      <c r="R50" s="206"/>
      <c r="S50" s="224"/>
      <c r="T50" s="209">
        <f>Q50+S49</f>
        <v>-106640.75324784206</v>
      </c>
      <c r="U50" s="200"/>
      <c r="V50" s="200"/>
      <c r="W50" s="194"/>
      <c r="X50" s="194"/>
      <c r="Y50" s="194"/>
      <c r="Z50" s="194"/>
      <c r="AA50" s="179"/>
      <c r="AB50" s="179"/>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row>
    <row r="51" spans="1:69" ht="16.5" thickBot="1">
      <c r="A51" s="460">
        <v>39</v>
      </c>
      <c r="B51" s="204" t="s">
        <v>490</v>
      </c>
      <c r="C51" s="204"/>
      <c r="D51" s="210"/>
      <c r="E51" s="210"/>
      <c r="F51" s="206"/>
      <c r="G51" s="224"/>
      <c r="H51" s="211">
        <f>H48+H50</f>
        <v>308469</v>
      </c>
      <c r="I51" s="206"/>
      <c r="J51" s="224"/>
      <c r="K51" s="211">
        <f>K48+K50</f>
        <v>453979</v>
      </c>
      <c r="L51" s="206"/>
      <c r="M51" s="224"/>
      <c r="N51" s="211">
        <f>N48+N50</f>
        <v>719139.9304755428</v>
      </c>
      <c r="O51" s="206"/>
      <c r="P51" s="224"/>
      <c r="Q51" s="211">
        <f>Q48+Q50</f>
        <v>723700.1325048816</v>
      </c>
      <c r="R51" s="206"/>
      <c r="S51" s="224"/>
      <c r="T51" s="211">
        <f>T48+T50</f>
        <v>712878.2467521579</v>
      </c>
      <c r="U51" s="200"/>
      <c r="V51" s="200"/>
      <c r="W51" s="194"/>
      <c r="X51" s="194"/>
      <c r="Y51" s="194"/>
      <c r="Z51" s="194"/>
      <c r="AA51" s="179"/>
      <c r="AB51" s="179"/>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row>
    <row r="52" spans="1:69" ht="16.5" thickTop="1">
      <c r="A52" s="460"/>
      <c r="B52" s="174"/>
      <c r="C52" s="174"/>
      <c r="D52" s="212"/>
      <c r="E52" s="212"/>
      <c r="F52" s="213"/>
      <c r="G52" s="179"/>
      <c r="H52" s="214"/>
      <c r="I52" s="213"/>
      <c r="J52" s="179"/>
      <c r="K52" s="214"/>
      <c r="L52" s="213"/>
      <c r="M52" s="179"/>
      <c r="N52" s="214"/>
      <c r="O52" s="213"/>
      <c r="P52" s="179"/>
      <c r="Q52" s="214"/>
      <c r="R52" s="213"/>
      <c r="S52" s="179"/>
      <c r="T52" s="214"/>
      <c r="U52" s="200"/>
      <c r="V52" s="200"/>
      <c r="W52" s="194"/>
      <c r="X52" s="194"/>
      <c r="Y52" s="194"/>
      <c r="Z52" s="194"/>
      <c r="AA52" s="179"/>
      <c r="AB52" s="179"/>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row>
    <row r="53" spans="1:69" ht="15.75">
      <c r="A53" s="460"/>
      <c r="B53" s="215"/>
      <c r="C53" s="215"/>
      <c r="D53" s="212"/>
      <c r="E53" s="212"/>
      <c r="F53" s="200"/>
      <c r="G53" s="200"/>
      <c r="H53" s="200"/>
      <c r="I53" s="200"/>
      <c r="J53" s="200"/>
      <c r="K53" s="200"/>
      <c r="L53" s="200"/>
      <c r="M53" s="200"/>
      <c r="N53" s="200"/>
      <c r="O53" s="200"/>
      <c r="P53" s="200"/>
      <c r="Q53" s="200"/>
      <c r="R53" s="200"/>
      <c r="S53" s="200"/>
      <c r="T53" s="200"/>
      <c r="U53" s="200"/>
      <c r="V53" s="200"/>
      <c r="W53" s="194"/>
      <c r="X53" s="194"/>
      <c r="Y53" s="194"/>
      <c r="Z53" s="194"/>
      <c r="AA53" s="179"/>
      <c r="AB53" s="179"/>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row>
    <row r="54" spans="1:69" ht="15.75">
      <c r="A54" s="461"/>
      <c r="B54" s="215"/>
      <c r="C54" s="745" t="s">
        <v>572</v>
      </c>
      <c r="D54" s="746"/>
      <c r="E54" s="746"/>
      <c r="F54" s="746"/>
      <c r="G54" s="746"/>
      <c r="H54" s="746"/>
      <c r="I54" s="746"/>
      <c r="J54" s="200"/>
      <c r="K54" s="200"/>
      <c r="L54" s="200"/>
      <c r="M54" s="200"/>
      <c r="N54" s="745" t="s">
        <v>572</v>
      </c>
      <c r="O54" s="746"/>
      <c r="P54" s="746"/>
      <c r="Q54" s="746"/>
      <c r="R54" s="746"/>
      <c r="S54" s="746"/>
      <c r="T54" s="746"/>
      <c r="U54" s="200"/>
      <c r="V54" s="200"/>
      <c r="W54" s="194"/>
      <c r="X54" s="194"/>
      <c r="Y54" s="194"/>
      <c r="Z54" s="194"/>
      <c r="AA54" s="179"/>
      <c r="AB54" s="179"/>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row>
    <row r="55" spans="1:69" ht="15.75">
      <c r="A55" s="461"/>
      <c r="B55" s="215"/>
      <c r="C55" s="215"/>
      <c r="D55" s="212"/>
      <c r="E55" s="212"/>
      <c r="F55" s="200"/>
      <c r="G55" s="200"/>
      <c r="H55" s="200"/>
      <c r="I55" s="200"/>
      <c r="J55" s="200"/>
      <c r="K55" s="200"/>
      <c r="L55" s="200"/>
      <c r="M55" s="200"/>
      <c r="N55" s="200"/>
      <c r="O55" s="200"/>
      <c r="P55" s="200"/>
      <c r="Q55" s="200"/>
      <c r="R55" s="200"/>
      <c r="S55" s="200"/>
      <c r="T55" s="200"/>
      <c r="U55" s="200"/>
      <c r="V55" s="200"/>
      <c r="W55" s="194"/>
      <c r="X55" s="194"/>
      <c r="Y55" s="194"/>
      <c r="Z55" s="194"/>
      <c r="AA55" s="179"/>
      <c r="AB55" s="179"/>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row>
    <row r="56" spans="1:69" ht="15.75">
      <c r="A56" s="461"/>
      <c r="B56" s="215"/>
      <c r="C56" s="215"/>
      <c r="D56" s="212"/>
      <c r="E56" s="212"/>
      <c r="F56" s="200"/>
      <c r="G56" s="200"/>
      <c r="H56" s="200"/>
      <c r="I56" s="200"/>
      <c r="J56" s="200"/>
      <c r="K56" s="200"/>
      <c r="L56" s="200"/>
      <c r="M56" s="200"/>
      <c r="N56" s="200"/>
      <c r="O56" s="200"/>
      <c r="P56" s="200"/>
      <c r="Q56" s="200"/>
      <c r="R56" s="200"/>
      <c r="S56" s="200"/>
      <c r="T56" s="200"/>
      <c r="U56" s="200"/>
      <c r="V56" s="194"/>
      <c r="W56" s="194"/>
      <c r="X56" s="194"/>
      <c r="Y56" s="194"/>
      <c r="Z56" s="194"/>
      <c r="AA56" s="179"/>
      <c r="AB56" s="179"/>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row>
    <row r="57" spans="1:69" ht="15.75">
      <c r="A57" s="461"/>
      <c r="B57" s="215"/>
      <c r="C57" s="215"/>
      <c r="D57" s="216"/>
      <c r="E57" s="216"/>
      <c r="F57" s="217"/>
      <c r="G57" s="215"/>
      <c r="H57" s="217"/>
      <c r="I57" s="217"/>
      <c r="J57" s="215"/>
      <c r="K57" s="217"/>
      <c r="L57" s="217"/>
      <c r="M57" s="215"/>
      <c r="N57" s="217"/>
      <c r="O57" s="217"/>
      <c r="P57" s="215"/>
      <c r="Q57" s="217"/>
      <c r="R57" s="217"/>
      <c r="S57" s="215"/>
      <c r="T57" s="217"/>
      <c r="U57" s="215"/>
      <c r="V57" s="137"/>
      <c r="W57" s="137"/>
      <c r="X57" s="137"/>
      <c r="Y57" s="137"/>
      <c r="Z57" s="137"/>
      <c r="AA57" s="179"/>
      <c r="AB57" s="179"/>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row>
    <row r="58" spans="1:69" ht="15.75">
      <c r="A58" s="461"/>
      <c r="B58" s="215"/>
      <c r="C58" s="215"/>
      <c r="D58" s="216"/>
      <c r="E58" s="216"/>
      <c r="F58" s="218"/>
      <c r="G58" s="218"/>
      <c r="H58" s="218"/>
      <c r="I58" s="218"/>
      <c r="J58" s="218"/>
      <c r="K58" s="218"/>
      <c r="L58" s="218"/>
      <c r="M58" s="218"/>
      <c r="N58" s="218"/>
      <c r="O58" s="218"/>
      <c r="P58" s="218"/>
      <c r="Q58" s="218"/>
      <c r="R58" s="218"/>
      <c r="S58" s="218"/>
      <c r="T58" s="218"/>
      <c r="U58" s="215"/>
      <c r="V58" s="137"/>
      <c r="W58" s="137"/>
      <c r="X58" s="137"/>
      <c r="Y58" s="137"/>
      <c r="Z58" s="137"/>
      <c r="AA58" s="179"/>
      <c r="AB58" s="179"/>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row>
    <row r="59" spans="1:69" ht="15.75">
      <c r="A59" s="461"/>
      <c r="B59" s="137"/>
      <c r="C59" s="137"/>
      <c r="D59" s="138"/>
      <c r="E59" s="138"/>
      <c r="F59" s="137"/>
      <c r="G59" s="137"/>
      <c r="H59" s="218"/>
      <c r="I59" s="137"/>
      <c r="J59" s="137"/>
      <c r="K59" s="218"/>
      <c r="L59" s="137"/>
      <c r="M59" s="137"/>
      <c r="N59" s="218"/>
      <c r="O59" s="137"/>
      <c r="P59" s="137"/>
      <c r="Q59" s="218"/>
      <c r="R59" s="137"/>
      <c r="S59" s="137"/>
      <c r="T59" s="218"/>
      <c r="U59" s="137"/>
      <c r="V59" s="137"/>
      <c r="W59" s="137"/>
      <c r="X59" s="137"/>
      <c r="Y59" s="137"/>
      <c r="Z59" s="137"/>
      <c r="AA59" s="179"/>
      <c r="AB59" s="179"/>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row>
    <row r="60" spans="1:69" ht="15.75">
      <c r="A60" s="461"/>
      <c r="B60" s="137"/>
      <c r="C60" s="137"/>
      <c r="D60" s="138"/>
      <c r="E60" s="138"/>
      <c r="F60" s="137"/>
      <c r="G60" s="137"/>
      <c r="H60" s="219"/>
      <c r="I60" s="137"/>
      <c r="J60" s="137"/>
      <c r="K60" s="219"/>
      <c r="L60" s="137"/>
      <c r="M60" s="137"/>
      <c r="N60" s="219"/>
      <c r="O60" s="137"/>
      <c r="P60" s="137"/>
      <c r="Q60" s="219"/>
      <c r="R60" s="137"/>
      <c r="S60" s="137"/>
      <c r="T60" s="219"/>
      <c r="U60" s="137"/>
      <c r="V60" s="137"/>
      <c r="W60" s="137"/>
      <c r="X60" s="137"/>
      <c r="Y60" s="137"/>
      <c r="Z60" s="137"/>
      <c r="AA60" s="179"/>
      <c r="AB60" s="179"/>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row>
    <row r="61" spans="1:69" ht="15.75">
      <c r="A61" s="461"/>
      <c r="B61" s="137"/>
      <c r="C61" s="137"/>
      <c r="D61" s="138"/>
      <c r="E61" s="138"/>
      <c r="F61" s="219"/>
      <c r="G61" s="137"/>
      <c r="H61" s="137"/>
      <c r="I61" s="219"/>
      <c r="J61" s="137"/>
      <c r="K61" s="137"/>
      <c r="L61" s="137"/>
      <c r="M61" s="137"/>
      <c r="N61" s="137"/>
      <c r="O61" s="137"/>
      <c r="P61" s="137"/>
      <c r="Q61" s="137"/>
      <c r="R61" s="137"/>
      <c r="S61" s="137"/>
      <c r="T61" s="137"/>
      <c r="U61" s="137"/>
      <c r="V61" s="137"/>
      <c r="W61" s="137"/>
      <c r="X61" s="137"/>
      <c r="Y61" s="137"/>
      <c r="Z61" s="137"/>
      <c r="AA61" s="179"/>
      <c r="AB61" s="179"/>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row>
    <row r="62" spans="1:69" ht="15.75">
      <c r="A62" s="461"/>
      <c r="B62" s="137"/>
      <c r="C62" s="137"/>
      <c r="D62" s="138"/>
      <c r="E62" s="138"/>
      <c r="F62" s="137"/>
      <c r="G62" s="137"/>
      <c r="H62" s="137"/>
      <c r="I62" s="219"/>
      <c r="J62" s="137"/>
      <c r="K62" s="137"/>
      <c r="L62" s="137"/>
      <c r="M62" s="137"/>
      <c r="N62" s="137"/>
      <c r="O62" s="137"/>
      <c r="P62" s="137"/>
      <c r="Q62" s="137"/>
      <c r="R62" s="137"/>
      <c r="S62" s="137"/>
      <c r="T62" s="137"/>
      <c r="U62" s="137"/>
      <c r="V62" s="137"/>
      <c r="W62" s="137"/>
      <c r="X62" s="137"/>
      <c r="Y62" s="137"/>
      <c r="Z62" s="137"/>
      <c r="AA62" s="179"/>
      <c r="AB62" s="179"/>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row>
    <row r="63" spans="1:28" ht="15.75">
      <c r="A63" s="462"/>
      <c r="B63" s="137"/>
      <c r="C63" s="137"/>
      <c r="D63" s="138"/>
      <c r="E63" s="138"/>
      <c r="F63" s="137"/>
      <c r="G63" s="137"/>
      <c r="H63" s="137"/>
      <c r="I63" s="137"/>
      <c r="J63" s="137"/>
      <c r="K63" s="137"/>
      <c r="L63" s="137"/>
      <c r="M63" s="137"/>
      <c r="N63" s="137"/>
      <c r="O63" s="137"/>
      <c r="P63" s="137"/>
      <c r="Q63" s="137"/>
      <c r="R63" s="137"/>
      <c r="S63" s="137"/>
      <c r="T63" s="137"/>
      <c r="U63" s="137"/>
      <c r="V63" s="137"/>
      <c r="W63" s="137"/>
      <c r="X63" s="137"/>
      <c r="Y63" s="137"/>
      <c r="Z63" s="137"/>
      <c r="AA63" s="137"/>
      <c r="AB63" s="137"/>
    </row>
    <row r="64" spans="1:28" ht="15.75">
      <c r="A64" s="462"/>
      <c r="B64" s="137"/>
      <c r="C64" s="137"/>
      <c r="D64" s="138"/>
      <c r="E64" s="138"/>
      <c r="F64" s="137"/>
      <c r="G64" s="137"/>
      <c r="H64" s="137"/>
      <c r="I64" s="137"/>
      <c r="J64" s="137"/>
      <c r="K64" s="137"/>
      <c r="L64" s="137"/>
      <c r="M64" s="137"/>
      <c r="N64" s="137"/>
      <c r="O64" s="137"/>
      <c r="P64" s="137"/>
      <c r="Q64" s="137"/>
      <c r="R64" s="137"/>
      <c r="S64" s="137"/>
      <c r="T64" s="137"/>
      <c r="U64" s="137"/>
      <c r="V64" s="137"/>
      <c r="W64" s="137"/>
      <c r="X64" s="137"/>
      <c r="Y64" s="137"/>
      <c r="Z64" s="137"/>
      <c r="AA64" s="137"/>
      <c r="AB64" s="137"/>
    </row>
    <row r="65" spans="1:28" ht="15.75">
      <c r="A65" s="462"/>
      <c r="B65" s="137"/>
      <c r="C65" s="137"/>
      <c r="D65" s="138"/>
      <c r="E65" s="138"/>
      <c r="F65" s="137"/>
      <c r="G65" s="137"/>
      <c r="H65" s="137"/>
      <c r="I65" s="137"/>
      <c r="J65" s="137"/>
      <c r="K65" s="137"/>
      <c r="L65" s="137"/>
      <c r="M65" s="137"/>
      <c r="N65" s="137"/>
      <c r="O65" s="137"/>
      <c r="P65" s="137"/>
      <c r="Q65" s="137"/>
      <c r="R65" s="137"/>
      <c r="S65" s="137"/>
      <c r="T65" s="137"/>
      <c r="U65" s="137"/>
      <c r="V65" s="137"/>
      <c r="W65" s="137"/>
      <c r="X65" s="137"/>
      <c r="Y65" s="137"/>
      <c r="Z65" s="137"/>
      <c r="AA65" s="137"/>
      <c r="AB65" s="137"/>
    </row>
    <row r="66" spans="1:28" ht="15.75">
      <c r="A66" s="462"/>
      <c r="B66" s="137"/>
      <c r="C66" s="137"/>
      <c r="D66" s="138"/>
      <c r="E66" s="138"/>
      <c r="F66" s="137"/>
      <c r="G66" s="137"/>
      <c r="H66" s="137"/>
      <c r="I66" s="137"/>
      <c r="J66" s="137"/>
      <c r="K66" s="137"/>
      <c r="L66" s="137"/>
      <c r="M66" s="137"/>
      <c r="N66" s="137"/>
      <c r="O66" s="137"/>
      <c r="P66" s="137"/>
      <c r="Q66" s="137"/>
      <c r="R66" s="137"/>
      <c r="S66" s="137"/>
      <c r="T66" s="137"/>
      <c r="U66" s="137"/>
      <c r="V66" s="137"/>
      <c r="W66" s="137"/>
      <c r="X66" s="137"/>
      <c r="Y66" s="137"/>
      <c r="Z66" s="137"/>
      <c r="AA66" s="137"/>
      <c r="AB66" s="137"/>
    </row>
    <row r="67" spans="1:28" ht="15.75">
      <c r="A67" s="462"/>
      <c r="B67" s="137"/>
      <c r="C67" s="137"/>
      <c r="D67" s="138"/>
      <c r="E67" s="138"/>
      <c r="F67" s="137"/>
      <c r="G67" s="137"/>
      <c r="H67" s="137"/>
      <c r="I67" s="137"/>
      <c r="J67" s="137"/>
      <c r="K67" s="137"/>
      <c r="L67" s="137"/>
      <c r="M67" s="137"/>
      <c r="N67" s="137"/>
      <c r="O67" s="137"/>
      <c r="P67" s="137"/>
      <c r="Q67" s="137"/>
      <c r="R67" s="137"/>
      <c r="S67" s="137"/>
      <c r="T67" s="137"/>
      <c r="U67" s="137"/>
      <c r="V67" s="137"/>
      <c r="W67" s="137"/>
      <c r="X67" s="137"/>
      <c r="Y67" s="137"/>
      <c r="Z67" s="137"/>
      <c r="AA67" s="137"/>
      <c r="AB67" s="137"/>
    </row>
    <row r="68" spans="1:28" ht="15.75">
      <c r="A68" s="462"/>
      <c r="B68" s="137"/>
      <c r="C68" s="137"/>
      <c r="D68" s="138"/>
      <c r="E68" s="138"/>
      <c r="F68" s="137"/>
      <c r="G68" s="137"/>
      <c r="H68" s="137"/>
      <c r="I68" s="137"/>
      <c r="J68" s="137"/>
      <c r="K68" s="137"/>
      <c r="L68" s="137"/>
      <c r="M68" s="137"/>
      <c r="N68" s="137"/>
      <c r="O68" s="137"/>
      <c r="P68" s="137"/>
      <c r="Q68" s="137"/>
      <c r="R68" s="137"/>
      <c r="S68" s="137"/>
      <c r="T68" s="137"/>
      <c r="U68" s="137"/>
      <c r="V68" s="137"/>
      <c r="W68" s="137"/>
      <c r="X68" s="137"/>
      <c r="Y68" s="137"/>
      <c r="Z68" s="137"/>
      <c r="AA68" s="137"/>
      <c r="AB68" s="137"/>
    </row>
    <row r="69" spans="1:28" ht="15.75">
      <c r="A69" s="462"/>
      <c r="B69" s="137"/>
      <c r="C69" s="137"/>
      <c r="D69" s="138"/>
      <c r="E69" s="138"/>
      <c r="F69" s="137"/>
      <c r="G69" s="137"/>
      <c r="H69" s="137"/>
      <c r="I69" s="137"/>
      <c r="J69" s="137"/>
      <c r="K69" s="137"/>
      <c r="L69" s="137"/>
      <c r="M69" s="137"/>
      <c r="N69" s="137"/>
      <c r="O69" s="137"/>
      <c r="P69" s="137"/>
      <c r="Q69" s="137"/>
      <c r="R69" s="137"/>
      <c r="S69" s="137"/>
      <c r="T69" s="137"/>
      <c r="U69" s="137"/>
      <c r="V69" s="137"/>
      <c r="W69" s="137"/>
      <c r="X69" s="137"/>
      <c r="Y69" s="137"/>
      <c r="Z69" s="137"/>
      <c r="AA69" s="137"/>
      <c r="AB69" s="137"/>
    </row>
    <row r="70" spans="1:28" ht="15.75">
      <c r="A70" s="462"/>
      <c r="B70" s="137"/>
      <c r="C70" s="137"/>
      <c r="D70" s="138"/>
      <c r="E70" s="138"/>
      <c r="F70" s="137"/>
      <c r="G70" s="137"/>
      <c r="H70" s="137"/>
      <c r="I70" s="137"/>
      <c r="J70" s="137"/>
      <c r="K70" s="137"/>
      <c r="L70" s="137"/>
      <c r="M70" s="137"/>
      <c r="N70" s="137"/>
      <c r="O70" s="137"/>
      <c r="P70" s="137"/>
      <c r="Q70" s="137"/>
      <c r="R70" s="137"/>
      <c r="S70" s="137"/>
      <c r="T70" s="137"/>
      <c r="U70" s="137"/>
      <c r="V70" s="137"/>
      <c r="W70" s="137"/>
      <c r="X70" s="137"/>
      <c r="Y70" s="137"/>
      <c r="Z70" s="137"/>
      <c r="AA70" s="137"/>
      <c r="AB70" s="137"/>
    </row>
    <row r="71" spans="1:28" ht="15.75">
      <c r="A71" s="462"/>
      <c r="B71" s="137"/>
      <c r="C71" s="137"/>
      <c r="D71" s="138"/>
      <c r="E71" s="138"/>
      <c r="F71" s="137"/>
      <c r="G71" s="137"/>
      <c r="H71" s="137"/>
      <c r="I71" s="137"/>
      <c r="J71" s="137"/>
      <c r="K71" s="137"/>
      <c r="L71" s="137"/>
      <c r="M71" s="137"/>
      <c r="N71" s="137"/>
      <c r="O71" s="137"/>
      <c r="P71" s="137"/>
      <c r="Q71" s="137"/>
      <c r="R71" s="137"/>
      <c r="S71" s="137"/>
      <c r="T71" s="137"/>
      <c r="U71" s="137"/>
      <c r="V71" s="137"/>
      <c r="W71" s="137"/>
      <c r="X71" s="137"/>
      <c r="Y71" s="137"/>
      <c r="Z71" s="137"/>
      <c r="AA71" s="137"/>
      <c r="AB71" s="137"/>
    </row>
    <row r="72" spans="1:28" ht="15.75">
      <c r="A72" s="462"/>
      <c r="B72" s="137"/>
      <c r="C72" s="137"/>
      <c r="D72" s="138"/>
      <c r="E72" s="138"/>
      <c r="F72" s="137"/>
      <c r="G72" s="137"/>
      <c r="H72" s="137"/>
      <c r="I72" s="137"/>
      <c r="J72" s="137"/>
      <c r="K72" s="137"/>
      <c r="L72" s="137"/>
      <c r="M72" s="137"/>
      <c r="N72" s="137"/>
      <c r="O72" s="137"/>
      <c r="P72" s="137"/>
      <c r="Q72" s="137"/>
      <c r="R72" s="137"/>
      <c r="S72" s="137"/>
      <c r="T72" s="137"/>
      <c r="U72" s="137"/>
      <c r="V72" s="137"/>
      <c r="W72" s="137"/>
      <c r="X72" s="137"/>
      <c r="Y72" s="137"/>
      <c r="Z72" s="137"/>
      <c r="AA72" s="137"/>
      <c r="AB72" s="137"/>
    </row>
    <row r="73" spans="1:28" ht="15.75">
      <c r="A73" s="462"/>
      <c r="B73" s="137"/>
      <c r="C73" s="137"/>
      <c r="D73" s="138"/>
      <c r="E73" s="138"/>
      <c r="F73" s="137"/>
      <c r="G73" s="137"/>
      <c r="H73" s="137"/>
      <c r="I73" s="137"/>
      <c r="J73" s="137"/>
      <c r="K73" s="137"/>
      <c r="L73" s="137"/>
      <c r="M73" s="137"/>
      <c r="N73" s="137"/>
      <c r="O73" s="137"/>
      <c r="P73" s="137"/>
      <c r="Q73" s="137"/>
      <c r="R73" s="137"/>
      <c r="S73" s="137"/>
      <c r="T73" s="137"/>
      <c r="U73" s="137"/>
      <c r="V73" s="137"/>
      <c r="W73" s="137"/>
      <c r="X73" s="137"/>
      <c r="Y73" s="137"/>
      <c r="Z73" s="137"/>
      <c r="AA73" s="137"/>
      <c r="AB73" s="137"/>
    </row>
    <row r="74" spans="1:28" ht="15.75">
      <c r="A74" s="462"/>
      <c r="B74" s="137"/>
      <c r="C74" s="137"/>
      <c r="D74" s="138"/>
      <c r="E74" s="138"/>
      <c r="F74" s="137"/>
      <c r="G74" s="137"/>
      <c r="H74" s="137"/>
      <c r="I74" s="137"/>
      <c r="J74" s="137"/>
      <c r="K74" s="137"/>
      <c r="L74" s="137"/>
      <c r="M74" s="137"/>
      <c r="N74" s="137"/>
      <c r="O74" s="137"/>
      <c r="P74" s="137"/>
      <c r="Q74" s="137"/>
      <c r="R74" s="137"/>
      <c r="S74" s="137"/>
      <c r="T74" s="137"/>
      <c r="U74" s="137"/>
      <c r="V74" s="137"/>
      <c r="W74" s="137"/>
      <c r="X74" s="137"/>
      <c r="Y74" s="137"/>
      <c r="Z74" s="137"/>
      <c r="AA74" s="137"/>
      <c r="AB74" s="137"/>
    </row>
    <row r="75" spans="1:28" ht="15.75">
      <c r="A75" s="462"/>
      <c r="B75" s="137"/>
      <c r="C75" s="137"/>
      <c r="D75" s="138"/>
      <c r="E75" s="138"/>
      <c r="F75" s="137"/>
      <c r="G75" s="137"/>
      <c r="H75" s="137"/>
      <c r="I75" s="137"/>
      <c r="J75" s="137"/>
      <c r="K75" s="137"/>
      <c r="L75" s="137"/>
      <c r="M75" s="137"/>
      <c r="N75" s="137"/>
      <c r="O75" s="137"/>
      <c r="P75" s="137"/>
      <c r="Q75" s="137"/>
      <c r="R75" s="137"/>
      <c r="S75" s="137"/>
      <c r="T75" s="137"/>
      <c r="U75" s="137"/>
      <c r="V75" s="137"/>
      <c r="W75" s="137"/>
      <c r="X75" s="137"/>
      <c r="Y75" s="137"/>
      <c r="Z75" s="137"/>
      <c r="AA75" s="137"/>
      <c r="AB75" s="137"/>
    </row>
    <row r="76" spans="1:28" ht="15.75">
      <c r="A76" s="462"/>
      <c r="B76" s="137"/>
      <c r="C76" s="137"/>
      <c r="D76" s="138"/>
      <c r="E76" s="138"/>
      <c r="F76" s="137"/>
      <c r="G76" s="137"/>
      <c r="H76" s="137"/>
      <c r="I76" s="137"/>
      <c r="J76" s="137"/>
      <c r="K76" s="137"/>
      <c r="L76" s="137"/>
      <c r="M76" s="137"/>
      <c r="N76" s="137"/>
      <c r="O76" s="137"/>
      <c r="P76" s="137"/>
      <c r="Q76" s="137"/>
      <c r="R76" s="137"/>
      <c r="S76" s="137"/>
      <c r="T76" s="137"/>
      <c r="U76" s="137"/>
      <c r="V76" s="137"/>
      <c r="W76" s="137"/>
      <c r="X76" s="137"/>
      <c r="Y76" s="137"/>
      <c r="Z76" s="137"/>
      <c r="AA76" s="137"/>
      <c r="AB76" s="137"/>
    </row>
    <row r="77" spans="1:28" ht="15.75">
      <c r="A77" s="462"/>
      <c r="B77" s="137"/>
      <c r="C77" s="137"/>
      <c r="D77" s="138"/>
      <c r="E77" s="138"/>
      <c r="F77" s="137"/>
      <c r="G77" s="137"/>
      <c r="H77" s="137"/>
      <c r="I77" s="137"/>
      <c r="J77" s="137"/>
      <c r="K77" s="137"/>
      <c r="L77" s="137"/>
      <c r="M77" s="137"/>
      <c r="N77" s="137"/>
      <c r="O77" s="137"/>
      <c r="P77" s="137"/>
      <c r="Q77" s="137"/>
      <c r="R77" s="137"/>
      <c r="S77" s="137"/>
      <c r="T77" s="137"/>
      <c r="U77" s="137"/>
      <c r="V77" s="137"/>
      <c r="W77" s="137"/>
      <c r="X77" s="137"/>
      <c r="Y77" s="137"/>
      <c r="Z77" s="137"/>
      <c r="AA77" s="137"/>
      <c r="AB77" s="137"/>
    </row>
    <row r="78" spans="1:28" ht="15.75">
      <c r="A78" s="462"/>
      <c r="B78" s="137"/>
      <c r="C78" s="137"/>
      <c r="D78" s="138"/>
      <c r="E78" s="138"/>
      <c r="F78" s="137"/>
      <c r="G78" s="137"/>
      <c r="H78" s="137"/>
      <c r="I78" s="137"/>
      <c r="J78" s="137"/>
      <c r="K78" s="137"/>
      <c r="L78" s="137"/>
      <c r="M78" s="137"/>
      <c r="N78" s="137"/>
      <c r="O78" s="137"/>
      <c r="P78" s="137"/>
      <c r="Q78" s="137"/>
      <c r="R78" s="137"/>
      <c r="S78" s="137"/>
      <c r="T78" s="137"/>
      <c r="U78" s="137"/>
      <c r="V78" s="137"/>
      <c r="W78" s="137"/>
      <c r="X78" s="137"/>
      <c r="Y78" s="137"/>
      <c r="Z78" s="137"/>
      <c r="AA78" s="137"/>
      <c r="AB78" s="137"/>
    </row>
    <row r="79" spans="1:28" ht="15.75">
      <c r="A79" s="462"/>
      <c r="B79" s="137"/>
      <c r="C79" s="137"/>
      <c r="D79" s="138"/>
      <c r="E79" s="138"/>
      <c r="F79" s="137"/>
      <c r="G79" s="137"/>
      <c r="H79" s="137"/>
      <c r="I79" s="137"/>
      <c r="J79" s="137"/>
      <c r="K79" s="137"/>
      <c r="L79" s="137"/>
      <c r="M79" s="137"/>
      <c r="N79" s="137"/>
      <c r="O79" s="137"/>
      <c r="P79" s="137"/>
      <c r="Q79" s="137"/>
      <c r="R79" s="137"/>
      <c r="S79" s="137"/>
      <c r="T79" s="137"/>
      <c r="U79" s="137"/>
      <c r="V79" s="137"/>
      <c r="W79" s="137"/>
      <c r="X79" s="137"/>
      <c r="Y79" s="137"/>
      <c r="Z79" s="137"/>
      <c r="AA79" s="137"/>
      <c r="AB79" s="137"/>
    </row>
    <row r="80" spans="1:28" ht="15.75">
      <c r="A80" s="462"/>
      <c r="B80" s="137"/>
      <c r="C80" s="137"/>
      <c r="D80" s="138"/>
      <c r="E80" s="138"/>
      <c r="F80" s="137"/>
      <c r="G80" s="137"/>
      <c r="H80" s="137"/>
      <c r="I80" s="137"/>
      <c r="J80" s="137"/>
      <c r="K80" s="137"/>
      <c r="L80" s="137"/>
      <c r="M80" s="137"/>
      <c r="N80" s="137"/>
      <c r="O80" s="137"/>
      <c r="P80" s="137"/>
      <c r="Q80" s="137"/>
      <c r="R80" s="137"/>
      <c r="S80" s="137"/>
      <c r="T80" s="137"/>
      <c r="U80" s="137"/>
      <c r="V80" s="137"/>
      <c r="W80" s="137"/>
      <c r="X80" s="137"/>
      <c r="Y80" s="137"/>
      <c r="Z80" s="137"/>
      <c r="AA80" s="137"/>
      <c r="AB80" s="137"/>
    </row>
    <row r="81" spans="1:28" ht="15.75">
      <c r="A81" s="462"/>
      <c r="B81" s="137"/>
      <c r="C81" s="137"/>
      <c r="D81" s="138"/>
      <c r="E81" s="138"/>
      <c r="F81" s="137"/>
      <c r="G81" s="137"/>
      <c r="H81" s="137"/>
      <c r="I81" s="137"/>
      <c r="J81" s="137"/>
      <c r="K81" s="137"/>
      <c r="L81" s="137"/>
      <c r="M81" s="137"/>
      <c r="N81" s="137"/>
      <c r="O81" s="137"/>
      <c r="P81" s="137"/>
      <c r="Q81" s="137"/>
      <c r="R81" s="137"/>
      <c r="S81" s="137"/>
      <c r="T81" s="137"/>
      <c r="U81" s="137"/>
      <c r="V81" s="137"/>
      <c r="W81" s="137"/>
      <c r="X81" s="137"/>
      <c r="Y81" s="137"/>
      <c r="Z81" s="137"/>
      <c r="AA81" s="137"/>
      <c r="AB81" s="137"/>
    </row>
    <row r="82" spans="1:28" ht="15.75">
      <c r="A82" s="462"/>
      <c r="B82" s="137"/>
      <c r="C82" s="137"/>
      <c r="D82" s="138"/>
      <c r="E82" s="138"/>
      <c r="F82" s="137"/>
      <c r="G82" s="137"/>
      <c r="H82" s="137"/>
      <c r="I82" s="137"/>
      <c r="J82" s="137"/>
      <c r="K82" s="137"/>
      <c r="L82" s="137"/>
      <c r="M82" s="137"/>
      <c r="N82" s="137"/>
      <c r="O82" s="137"/>
      <c r="P82" s="137"/>
      <c r="Q82" s="137"/>
      <c r="R82" s="137"/>
      <c r="S82" s="137"/>
      <c r="T82" s="137"/>
      <c r="U82" s="137"/>
      <c r="V82" s="137"/>
      <c r="W82" s="137"/>
      <c r="X82" s="137"/>
      <c r="Y82" s="137"/>
      <c r="Z82" s="137"/>
      <c r="AA82" s="137"/>
      <c r="AB82" s="137"/>
    </row>
    <row r="83" spans="1:28" ht="15.75">
      <c r="A83" s="462"/>
      <c r="B83" s="137"/>
      <c r="C83" s="137"/>
      <c r="D83" s="138"/>
      <c r="E83" s="138"/>
      <c r="F83" s="137"/>
      <c r="G83" s="137"/>
      <c r="H83" s="137"/>
      <c r="I83" s="137"/>
      <c r="J83" s="137"/>
      <c r="K83" s="137"/>
      <c r="L83" s="137"/>
      <c r="M83" s="137"/>
      <c r="N83" s="137"/>
      <c r="O83" s="137"/>
      <c r="P83" s="137"/>
      <c r="Q83" s="137"/>
      <c r="R83" s="137"/>
      <c r="S83" s="137"/>
      <c r="T83" s="137"/>
      <c r="U83" s="137"/>
      <c r="V83" s="137"/>
      <c r="W83" s="137"/>
      <c r="X83" s="137"/>
      <c r="Y83" s="137"/>
      <c r="Z83" s="137"/>
      <c r="AA83" s="137"/>
      <c r="AB83" s="137"/>
    </row>
    <row r="84" spans="1:28" ht="15.75">
      <c r="A84" s="462"/>
      <c r="B84" s="137"/>
      <c r="C84" s="137"/>
      <c r="D84" s="138"/>
      <c r="E84" s="138"/>
      <c r="F84" s="137"/>
      <c r="G84" s="137"/>
      <c r="H84" s="137"/>
      <c r="I84" s="137"/>
      <c r="J84" s="137"/>
      <c r="K84" s="137"/>
      <c r="L84" s="137"/>
      <c r="M84" s="137"/>
      <c r="N84" s="137"/>
      <c r="O84" s="137"/>
      <c r="P84" s="137"/>
      <c r="Q84" s="137"/>
      <c r="R84" s="137"/>
      <c r="S84" s="137"/>
      <c r="T84" s="137"/>
      <c r="U84" s="137"/>
      <c r="V84" s="137"/>
      <c r="W84" s="137"/>
      <c r="X84" s="137"/>
      <c r="Y84" s="137"/>
      <c r="Z84" s="137"/>
      <c r="AA84" s="137"/>
      <c r="AB84" s="137"/>
    </row>
    <row r="85" spans="1:28" ht="15.75">
      <c r="A85" s="462"/>
      <c r="B85" s="137"/>
      <c r="C85" s="137"/>
      <c r="D85" s="138"/>
      <c r="E85" s="138"/>
      <c r="F85" s="137"/>
      <c r="G85" s="137"/>
      <c r="H85" s="137"/>
      <c r="I85" s="137"/>
      <c r="J85" s="137"/>
      <c r="K85" s="137"/>
      <c r="L85" s="137"/>
      <c r="M85" s="137"/>
      <c r="N85" s="137"/>
      <c r="O85" s="137"/>
      <c r="P85" s="137"/>
      <c r="Q85" s="137"/>
      <c r="R85" s="137"/>
      <c r="S85" s="137"/>
      <c r="T85" s="137"/>
      <c r="U85" s="137"/>
      <c r="V85" s="137"/>
      <c r="W85" s="137"/>
      <c r="X85" s="137"/>
      <c r="Y85" s="137"/>
      <c r="Z85" s="137"/>
      <c r="AA85" s="137"/>
      <c r="AB85" s="137"/>
    </row>
    <row r="86" spans="1:28" ht="15.75">
      <c r="A86" s="462"/>
      <c r="B86" s="137"/>
      <c r="C86" s="137"/>
      <c r="D86" s="138"/>
      <c r="E86" s="138"/>
      <c r="F86" s="137"/>
      <c r="G86" s="137"/>
      <c r="H86" s="137"/>
      <c r="I86" s="137"/>
      <c r="J86" s="137"/>
      <c r="K86" s="137"/>
      <c r="L86" s="137"/>
      <c r="M86" s="137"/>
      <c r="N86" s="137"/>
      <c r="O86" s="137"/>
      <c r="P86" s="137"/>
      <c r="Q86" s="137"/>
      <c r="R86" s="137"/>
      <c r="S86" s="137"/>
      <c r="T86" s="137"/>
      <c r="U86" s="137"/>
      <c r="V86" s="137"/>
      <c r="W86" s="137"/>
      <c r="X86" s="137"/>
      <c r="Y86" s="137"/>
      <c r="Z86" s="137"/>
      <c r="AA86" s="137"/>
      <c r="AB86" s="137"/>
    </row>
    <row r="87" spans="1:28" ht="15.75">
      <c r="A87" s="462"/>
      <c r="B87" s="137"/>
      <c r="C87" s="137"/>
      <c r="D87" s="138"/>
      <c r="E87" s="138"/>
      <c r="F87" s="137"/>
      <c r="G87" s="137"/>
      <c r="H87" s="137"/>
      <c r="I87" s="137"/>
      <c r="J87" s="137"/>
      <c r="K87" s="137"/>
      <c r="L87" s="137"/>
      <c r="M87" s="137"/>
      <c r="N87" s="137"/>
      <c r="O87" s="137"/>
      <c r="P87" s="137"/>
      <c r="Q87" s="137"/>
      <c r="R87" s="137"/>
      <c r="S87" s="137"/>
      <c r="T87" s="137"/>
      <c r="U87" s="137"/>
      <c r="V87" s="137"/>
      <c r="W87" s="137"/>
      <c r="X87" s="137"/>
      <c r="Y87" s="137"/>
      <c r="Z87" s="137"/>
      <c r="AA87" s="137"/>
      <c r="AB87" s="137"/>
    </row>
    <row r="88" spans="1:28" ht="15.75">
      <c r="A88" s="462"/>
      <c r="B88" s="137"/>
      <c r="C88" s="137"/>
      <c r="D88" s="138"/>
      <c r="E88" s="138"/>
      <c r="F88" s="137"/>
      <c r="G88" s="137"/>
      <c r="H88" s="137"/>
      <c r="I88" s="137"/>
      <c r="J88" s="137"/>
      <c r="K88" s="137"/>
      <c r="L88" s="137"/>
      <c r="M88" s="137"/>
      <c r="N88" s="137"/>
      <c r="O88" s="137"/>
      <c r="P88" s="137"/>
      <c r="Q88" s="137"/>
      <c r="R88" s="137"/>
      <c r="S88" s="137"/>
      <c r="T88" s="137"/>
      <c r="U88" s="137"/>
      <c r="V88" s="137"/>
      <c r="W88" s="137"/>
      <c r="X88" s="137"/>
      <c r="Y88" s="137"/>
      <c r="Z88" s="137"/>
      <c r="AA88" s="137"/>
      <c r="AB88" s="137"/>
    </row>
    <row r="89" spans="1:28" ht="15.75">
      <c r="A89" s="462"/>
      <c r="B89" s="137"/>
      <c r="C89" s="137"/>
      <c r="D89" s="138"/>
      <c r="E89" s="138"/>
      <c r="F89" s="137"/>
      <c r="G89" s="137"/>
      <c r="H89" s="137"/>
      <c r="I89" s="137"/>
      <c r="J89" s="137"/>
      <c r="K89" s="137"/>
      <c r="L89" s="137"/>
      <c r="M89" s="137"/>
      <c r="N89" s="137"/>
      <c r="O89" s="137"/>
      <c r="P89" s="137"/>
      <c r="Q89" s="137"/>
      <c r="R89" s="137"/>
      <c r="S89" s="137"/>
      <c r="T89" s="137"/>
      <c r="U89" s="137"/>
      <c r="V89" s="137"/>
      <c r="W89" s="137"/>
      <c r="X89" s="137"/>
      <c r="Y89" s="137"/>
      <c r="Z89" s="137"/>
      <c r="AA89" s="137"/>
      <c r="AB89" s="137"/>
    </row>
    <row r="90" spans="1:28" ht="15.75">
      <c r="A90" s="462"/>
      <c r="B90" s="137"/>
      <c r="C90" s="137"/>
      <c r="D90" s="138"/>
      <c r="E90" s="138"/>
      <c r="F90" s="137"/>
      <c r="G90" s="137"/>
      <c r="H90" s="137"/>
      <c r="I90" s="137"/>
      <c r="J90" s="137"/>
      <c r="K90" s="137"/>
      <c r="L90" s="137"/>
      <c r="M90" s="137"/>
      <c r="N90" s="137"/>
      <c r="O90" s="137"/>
      <c r="P90" s="137"/>
      <c r="Q90" s="137"/>
      <c r="R90" s="137"/>
      <c r="S90" s="137"/>
      <c r="T90" s="137"/>
      <c r="U90" s="137"/>
      <c r="V90" s="137"/>
      <c r="W90" s="137"/>
      <c r="X90" s="137"/>
      <c r="Y90" s="137"/>
      <c r="Z90" s="137"/>
      <c r="AA90" s="137"/>
      <c r="AB90" s="137"/>
    </row>
    <row r="91" spans="1:28" ht="15.75">
      <c r="A91" s="462"/>
      <c r="B91" s="137"/>
      <c r="C91" s="137"/>
      <c r="D91" s="138"/>
      <c r="E91" s="138"/>
      <c r="F91" s="137"/>
      <c r="G91" s="137"/>
      <c r="H91" s="137"/>
      <c r="I91" s="137"/>
      <c r="J91" s="137"/>
      <c r="K91" s="137"/>
      <c r="L91" s="137"/>
      <c r="M91" s="137"/>
      <c r="N91" s="137"/>
      <c r="O91" s="137"/>
      <c r="P91" s="137"/>
      <c r="Q91" s="137"/>
      <c r="R91" s="137"/>
      <c r="S91" s="137"/>
      <c r="T91" s="137"/>
      <c r="U91" s="137"/>
      <c r="V91" s="137"/>
      <c r="W91" s="137"/>
      <c r="X91" s="137"/>
      <c r="Y91" s="137"/>
      <c r="Z91" s="137"/>
      <c r="AA91" s="137"/>
      <c r="AB91" s="137"/>
    </row>
    <row r="92" spans="1:28" ht="15.75">
      <c r="A92" s="462"/>
      <c r="B92" s="137"/>
      <c r="C92" s="137"/>
      <c r="D92" s="138"/>
      <c r="E92" s="138"/>
      <c r="F92" s="137"/>
      <c r="G92" s="137"/>
      <c r="H92" s="137"/>
      <c r="I92" s="137"/>
      <c r="J92" s="137"/>
      <c r="K92" s="137"/>
      <c r="L92" s="137"/>
      <c r="M92" s="137"/>
      <c r="N92" s="137"/>
      <c r="O92" s="137"/>
      <c r="P92" s="137"/>
      <c r="Q92" s="137"/>
      <c r="R92" s="137"/>
      <c r="S92" s="137"/>
      <c r="T92" s="137"/>
      <c r="U92" s="137"/>
      <c r="V92" s="137"/>
      <c r="W92" s="137"/>
      <c r="X92" s="137"/>
      <c r="Y92" s="137"/>
      <c r="Z92" s="137"/>
      <c r="AA92" s="137"/>
      <c r="AB92" s="137"/>
    </row>
    <row r="93" spans="1:28" ht="15.75">
      <c r="A93" s="462"/>
      <c r="B93" s="137"/>
      <c r="C93" s="137"/>
      <c r="D93" s="138"/>
      <c r="E93" s="138"/>
      <c r="F93" s="137"/>
      <c r="G93" s="137"/>
      <c r="H93" s="137"/>
      <c r="I93" s="137"/>
      <c r="J93" s="137"/>
      <c r="K93" s="137"/>
      <c r="L93" s="137"/>
      <c r="M93" s="137"/>
      <c r="N93" s="137"/>
      <c r="O93" s="137"/>
      <c r="P93" s="137"/>
      <c r="Q93" s="137"/>
      <c r="R93" s="137"/>
      <c r="S93" s="137"/>
      <c r="T93" s="137"/>
      <c r="U93" s="137"/>
      <c r="V93" s="137"/>
      <c r="W93" s="137"/>
      <c r="X93" s="137"/>
      <c r="Y93" s="137"/>
      <c r="Z93" s="137"/>
      <c r="AA93" s="137"/>
      <c r="AB93" s="137"/>
    </row>
    <row r="94" spans="1:28" ht="15.75">
      <c r="A94" s="462"/>
      <c r="B94" s="137"/>
      <c r="C94" s="137"/>
      <c r="D94" s="138"/>
      <c r="E94" s="138"/>
      <c r="F94" s="137"/>
      <c r="G94" s="137"/>
      <c r="H94" s="137"/>
      <c r="I94" s="137"/>
      <c r="J94" s="137"/>
      <c r="K94" s="137"/>
      <c r="L94" s="137"/>
      <c r="M94" s="137"/>
      <c r="N94" s="137"/>
      <c r="O94" s="137"/>
      <c r="P94" s="137"/>
      <c r="Q94" s="137"/>
      <c r="R94" s="137"/>
      <c r="S94" s="137"/>
      <c r="T94" s="137"/>
      <c r="U94" s="137"/>
      <c r="V94" s="137"/>
      <c r="W94" s="137"/>
      <c r="X94" s="137"/>
      <c r="Y94" s="137"/>
      <c r="Z94" s="137"/>
      <c r="AA94" s="137"/>
      <c r="AB94" s="137"/>
    </row>
    <row r="95" spans="1:28" ht="15.75">
      <c r="A95" s="462"/>
      <c r="B95" s="137"/>
      <c r="C95" s="137"/>
      <c r="D95" s="138"/>
      <c r="E95" s="138"/>
      <c r="F95" s="137"/>
      <c r="G95" s="137"/>
      <c r="H95" s="137"/>
      <c r="I95" s="137"/>
      <c r="J95" s="137"/>
      <c r="K95" s="137"/>
      <c r="L95" s="137"/>
      <c r="M95" s="137"/>
      <c r="N95" s="137"/>
      <c r="O95" s="137"/>
      <c r="P95" s="137"/>
      <c r="Q95" s="137"/>
      <c r="R95" s="137"/>
      <c r="S95" s="137"/>
      <c r="T95" s="137"/>
      <c r="U95" s="137"/>
      <c r="V95" s="137"/>
      <c r="W95" s="137"/>
      <c r="X95" s="137"/>
      <c r="Y95" s="137"/>
      <c r="Z95" s="137"/>
      <c r="AA95" s="137"/>
      <c r="AB95" s="137"/>
    </row>
    <row r="96" spans="1:28" ht="15.75">
      <c r="A96" s="462"/>
      <c r="B96" s="137"/>
      <c r="C96" s="137"/>
      <c r="D96" s="138"/>
      <c r="E96" s="138"/>
      <c r="F96" s="137"/>
      <c r="G96" s="137"/>
      <c r="H96" s="137"/>
      <c r="I96" s="137"/>
      <c r="J96" s="137"/>
      <c r="K96" s="137"/>
      <c r="L96" s="137"/>
      <c r="M96" s="137"/>
      <c r="N96" s="137"/>
      <c r="O96" s="137"/>
      <c r="P96" s="137"/>
      <c r="Q96" s="137"/>
      <c r="R96" s="137"/>
      <c r="S96" s="137"/>
      <c r="T96" s="137"/>
      <c r="U96" s="137"/>
      <c r="V96" s="137"/>
      <c r="W96" s="137"/>
      <c r="X96" s="137"/>
      <c r="Y96" s="137"/>
      <c r="Z96" s="137"/>
      <c r="AA96" s="137"/>
      <c r="AB96" s="137"/>
    </row>
    <row r="97" spans="1:28" ht="15.75">
      <c r="A97" s="462"/>
      <c r="B97" s="137"/>
      <c r="C97" s="137"/>
      <c r="D97" s="138"/>
      <c r="E97" s="138"/>
      <c r="F97" s="137"/>
      <c r="G97" s="137"/>
      <c r="H97" s="137"/>
      <c r="I97" s="137"/>
      <c r="J97" s="137"/>
      <c r="K97" s="137"/>
      <c r="L97" s="137"/>
      <c r="M97" s="137"/>
      <c r="N97" s="137"/>
      <c r="O97" s="137"/>
      <c r="P97" s="137"/>
      <c r="Q97" s="137"/>
      <c r="R97" s="137"/>
      <c r="S97" s="137"/>
      <c r="T97" s="137"/>
      <c r="U97" s="137"/>
      <c r="V97" s="137"/>
      <c r="W97" s="137"/>
      <c r="X97" s="137"/>
      <c r="Y97" s="137"/>
      <c r="Z97" s="137"/>
      <c r="AA97" s="137"/>
      <c r="AB97" s="137"/>
    </row>
    <row r="98" spans="1:28" ht="15.75">
      <c r="A98" s="462"/>
      <c r="B98" s="137"/>
      <c r="C98" s="137"/>
      <c r="D98" s="138"/>
      <c r="E98" s="138"/>
      <c r="F98" s="137"/>
      <c r="G98" s="137"/>
      <c r="H98" s="137"/>
      <c r="I98" s="137"/>
      <c r="J98" s="137"/>
      <c r="K98" s="137"/>
      <c r="L98" s="137"/>
      <c r="M98" s="137"/>
      <c r="N98" s="137"/>
      <c r="O98" s="137"/>
      <c r="P98" s="137"/>
      <c r="Q98" s="137"/>
      <c r="R98" s="137"/>
      <c r="S98" s="137"/>
      <c r="T98" s="137"/>
      <c r="U98" s="137"/>
      <c r="V98" s="137"/>
      <c r="W98" s="137"/>
      <c r="X98" s="137"/>
      <c r="Y98" s="137"/>
      <c r="Z98" s="137"/>
      <c r="AA98" s="137"/>
      <c r="AB98" s="137"/>
    </row>
    <row r="99" spans="1:28" ht="15.75">
      <c r="A99" s="462"/>
      <c r="B99" s="137"/>
      <c r="C99" s="137"/>
      <c r="D99" s="138"/>
      <c r="E99" s="138"/>
      <c r="F99" s="137"/>
      <c r="G99" s="137"/>
      <c r="H99" s="137"/>
      <c r="I99" s="137"/>
      <c r="J99" s="137"/>
      <c r="K99" s="137"/>
      <c r="L99" s="137"/>
      <c r="M99" s="137"/>
      <c r="N99" s="137"/>
      <c r="O99" s="137"/>
      <c r="P99" s="137"/>
      <c r="Q99" s="137"/>
      <c r="R99" s="137"/>
      <c r="S99" s="137"/>
      <c r="T99" s="137"/>
      <c r="U99" s="137"/>
      <c r="V99" s="137"/>
      <c r="W99" s="137"/>
      <c r="X99" s="137"/>
      <c r="Y99" s="137"/>
      <c r="Z99" s="137"/>
      <c r="AA99" s="137"/>
      <c r="AB99" s="137"/>
    </row>
    <row r="100" spans="1:28" ht="15.75">
      <c r="A100" s="462"/>
      <c r="B100" s="137"/>
      <c r="C100" s="137"/>
      <c r="D100" s="138"/>
      <c r="E100" s="138"/>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row>
    <row r="101" spans="1:28" ht="15.75">
      <c r="A101" s="462"/>
      <c r="B101" s="137"/>
      <c r="C101" s="137"/>
      <c r="D101" s="138"/>
      <c r="E101" s="138"/>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row>
    <row r="102" spans="1:28" ht="15.75">
      <c r="A102" s="462"/>
      <c r="B102" s="137"/>
      <c r="C102" s="137"/>
      <c r="D102" s="138"/>
      <c r="E102" s="138"/>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row>
    <row r="103" spans="1:28" ht="15.75">
      <c r="A103" s="462"/>
      <c r="B103" s="137"/>
      <c r="C103" s="137"/>
      <c r="D103" s="138"/>
      <c r="E103" s="138"/>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row>
    <row r="104" spans="1:28" ht="15.75">
      <c r="A104" s="462"/>
      <c r="B104" s="137"/>
      <c r="C104" s="137"/>
      <c r="D104" s="138"/>
      <c r="E104" s="138"/>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row>
    <row r="105" spans="1:28" ht="15.75">
      <c r="A105" s="462"/>
      <c r="B105" s="137"/>
      <c r="C105" s="137"/>
      <c r="D105" s="138"/>
      <c r="E105" s="138"/>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row>
    <row r="106" spans="1:28" ht="15.75">
      <c r="A106" s="462"/>
      <c r="B106" s="137"/>
      <c r="C106" s="137"/>
      <c r="D106" s="138"/>
      <c r="E106" s="138"/>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row>
    <row r="107" spans="1:28" ht="15.75">
      <c r="A107" s="462"/>
      <c r="B107" s="137"/>
      <c r="C107" s="137"/>
      <c r="D107" s="138"/>
      <c r="E107" s="138"/>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row>
    <row r="108" spans="1:28" ht="15.75">
      <c r="A108" s="462"/>
      <c r="B108" s="137"/>
      <c r="C108" s="137"/>
      <c r="D108" s="138"/>
      <c r="E108" s="138"/>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row>
    <row r="109" spans="1:28" ht="15.75">
      <c r="A109" s="462"/>
      <c r="B109" s="137"/>
      <c r="C109" s="137"/>
      <c r="D109" s="138"/>
      <c r="E109" s="138"/>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row>
    <row r="110" spans="1:28" ht="15.75">
      <c r="A110" s="462"/>
      <c r="B110" s="137"/>
      <c r="C110" s="137"/>
      <c r="D110" s="138"/>
      <c r="E110" s="138"/>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row>
    <row r="111" spans="1:28" ht="15.75">
      <c r="A111" s="462"/>
      <c r="B111" s="137"/>
      <c r="C111" s="137"/>
      <c r="D111" s="138"/>
      <c r="E111" s="138"/>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row>
    <row r="112" spans="1:28" ht="15.75">
      <c r="A112" s="462"/>
      <c r="B112" s="137"/>
      <c r="C112" s="137"/>
      <c r="D112" s="138"/>
      <c r="E112" s="138"/>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row>
    <row r="113" spans="1:28" ht="15.75">
      <c r="A113" s="462"/>
      <c r="B113" s="137"/>
      <c r="C113" s="137"/>
      <c r="D113" s="138"/>
      <c r="E113" s="138"/>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row>
    <row r="114" spans="1:28" ht="15.75">
      <c r="A114" s="462"/>
      <c r="B114" s="137"/>
      <c r="C114" s="137"/>
      <c r="D114" s="138"/>
      <c r="E114" s="138"/>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row>
    <row r="115" spans="1:28" ht="15.75">
      <c r="A115" s="462"/>
      <c r="B115" s="137"/>
      <c r="C115" s="137"/>
      <c r="D115" s="138"/>
      <c r="E115" s="138"/>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row>
    <row r="116" spans="1:28" ht="15.75">
      <c r="A116" s="462"/>
      <c r="B116" s="137"/>
      <c r="C116" s="137"/>
      <c r="D116" s="138"/>
      <c r="E116" s="138"/>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row>
    <row r="117" spans="1:28" ht="15.75">
      <c r="A117" s="136"/>
      <c r="B117" s="137"/>
      <c r="C117" s="137"/>
      <c r="D117" s="138"/>
      <c r="E117" s="138"/>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row>
    <row r="118" spans="1:28" ht="15.75">
      <c r="A118" s="136"/>
      <c r="B118" s="137"/>
      <c r="C118" s="137"/>
      <c r="D118" s="138"/>
      <c r="E118" s="138"/>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row>
    <row r="119" spans="1:28" ht="15.75">
      <c r="A119" s="136"/>
      <c r="B119" s="137"/>
      <c r="C119" s="137"/>
      <c r="D119" s="138"/>
      <c r="E119" s="138"/>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row>
    <row r="120" spans="1:28" ht="15.75">
      <c r="A120" s="136"/>
      <c r="B120" s="137"/>
      <c r="C120" s="137"/>
      <c r="D120" s="138"/>
      <c r="E120" s="138"/>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row>
    <row r="121" spans="1:28" ht="15.75">
      <c r="A121" s="136"/>
      <c r="B121" s="137"/>
      <c r="C121" s="137"/>
      <c r="D121" s="138"/>
      <c r="E121" s="138"/>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row>
    <row r="122" spans="1:28" ht="15.75">
      <c r="A122" s="136"/>
      <c r="B122" s="137"/>
      <c r="C122" s="137"/>
      <c r="D122" s="138"/>
      <c r="E122" s="138"/>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row>
    <row r="123" spans="1:28" ht="15.75">
      <c r="A123" s="136"/>
      <c r="B123" s="137"/>
      <c r="C123" s="137"/>
      <c r="D123" s="138"/>
      <c r="E123" s="138"/>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row>
    <row r="124" spans="1:28" ht="15.75">
      <c r="A124" s="136"/>
      <c r="B124" s="137"/>
      <c r="C124" s="137"/>
      <c r="D124" s="138"/>
      <c r="E124" s="138"/>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row>
    <row r="125" spans="1:28" ht="15.75">
      <c r="A125" s="136"/>
      <c r="B125" s="137"/>
      <c r="C125" s="137"/>
      <c r="D125" s="138"/>
      <c r="E125" s="138"/>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row>
    <row r="126" spans="1:28" ht="15.75">
      <c r="A126" s="136"/>
      <c r="B126" s="137"/>
      <c r="C126" s="137"/>
      <c r="D126" s="138"/>
      <c r="E126" s="138"/>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row>
    <row r="127" spans="1:28" ht="15.75">
      <c r="A127" s="136"/>
      <c r="B127" s="137"/>
      <c r="C127" s="137"/>
      <c r="D127" s="138"/>
      <c r="E127" s="138"/>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row>
    <row r="128" spans="1:28" ht="15.75">
      <c r="A128" s="136"/>
      <c r="B128" s="137"/>
      <c r="C128" s="137"/>
      <c r="D128" s="138"/>
      <c r="E128" s="138"/>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row>
    <row r="129" spans="1:28" ht="15.75">
      <c r="A129" s="136"/>
      <c r="B129" s="137"/>
      <c r="C129" s="137"/>
      <c r="D129" s="138"/>
      <c r="E129" s="138"/>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row>
    <row r="130" spans="1:28" ht="15.75">
      <c r="A130" s="136"/>
      <c r="B130" s="137"/>
      <c r="C130" s="137"/>
      <c r="D130" s="138"/>
      <c r="E130" s="138"/>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row>
    <row r="131" spans="1:28" ht="15.75">
      <c r="A131" s="136"/>
      <c r="B131" s="137"/>
      <c r="C131" s="137"/>
      <c r="D131" s="138"/>
      <c r="E131" s="138"/>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row>
    <row r="132" spans="1:28" ht="15.75">
      <c r="A132" s="136"/>
      <c r="B132" s="137"/>
      <c r="C132" s="137"/>
      <c r="D132" s="138"/>
      <c r="E132" s="138"/>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row>
    <row r="133" spans="2:28" ht="15.75">
      <c r="B133" s="137"/>
      <c r="C133" s="137"/>
      <c r="D133" s="138"/>
      <c r="E133" s="138"/>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row>
    <row r="134" spans="2:28" ht="15.75">
      <c r="B134" s="137"/>
      <c r="C134" s="137"/>
      <c r="D134" s="138"/>
      <c r="E134" s="138"/>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row>
    <row r="135" spans="2:28" ht="15.75">
      <c r="B135" s="137"/>
      <c r="C135" s="137"/>
      <c r="D135" s="138"/>
      <c r="E135" s="138"/>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row>
    <row r="136" spans="2:28" ht="15.75">
      <c r="B136" s="137"/>
      <c r="C136" s="137"/>
      <c r="D136" s="138"/>
      <c r="E136" s="138"/>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row>
    <row r="137" spans="2:28" ht="15.75">
      <c r="B137" s="137"/>
      <c r="C137" s="137"/>
      <c r="D137" s="138"/>
      <c r="E137" s="138"/>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row>
    <row r="138" spans="2:28" ht="15.75">
      <c r="B138" s="137"/>
      <c r="C138" s="137"/>
      <c r="D138" s="138"/>
      <c r="E138" s="138"/>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row>
    <row r="139" spans="2:28" ht="15.75">
      <c r="B139" s="137"/>
      <c r="C139" s="137"/>
      <c r="D139" s="138"/>
      <c r="E139" s="138"/>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row>
    <row r="140" spans="2:28" ht="15.75">
      <c r="B140" s="137"/>
      <c r="C140" s="137"/>
      <c r="D140" s="138"/>
      <c r="E140" s="138"/>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row>
    <row r="141" spans="2:28" ht="15.75">
      <c r="B141" s="137"/>
      <c r="C141" s="137"/>
      <c r="D141" s="138"/>
      <c r="E141" s="138"/>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row>
    <row r="142" spans="2:28" ht="15.75">
      <c r="B142" s="137"/>
      <c r="C142" s="137"/>
      <c r="D142" s="138"/>
      <c r="E142" s="138"/>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row>
    <row r="143" spans="2:28" ht="15.75">
      <c r="B143" s="137"/>
      <c r="C143" s="137"/>
      <c r="D143" s="138"/>
      <c r="E143" s="138"/>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row>
    <row r="144" spans="2:28" ht="15.75">
      <c r="B144" s="137"/>
      <c r="C144" s="137"/>
      <c r="D144" s="138"/>
      <c r="E144" s="138"/>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row>
    <row r="145" spans="2:28" ht="15.75">
      <c r="B145" s="137"/>
      <c r="C145" s="137"/>
      <c r="D145" s="138"/>
      <c r="E145" s="138"/>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row>
    <row r="146" spans="2:28" ht="15.75">
      <c r="B146" s="137"/>
      <c r="C146" s="137"/>
      <c r="D146" s="138"/>
      <c r="E146" s="138"/>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row>
    <row r="147" spans="2:28" ht="15.75">
      <c r="B147" s="137"/>
      <c r="C147" s="137"/>
      <c r="D147" s="138"/>
      <c r="E147" s="138"/>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row>
    <row r="148" spans="2:28" ht="15.75">
      <c r="B148" s="137"/>
      <c r="C148" s="137"/>
      <c r="D148" s="138"/>
      <c r="E148" s="138"/>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row>
    <row r="149" spans="2:28" ht="15.75">
      <c r="B149" s="137"/>
      <c r="C149" s="137"/>
      <c r="D149" s="138"/>
      <c r="E149" s="138"/>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row>
    <row r="150" spans="2:28" ht="15.75">
      <c r="B150" s="137"/>
      <c r="C150" s="137"/>
      <c r="D150" s="138"/>
      <c r="E150" s="138"/>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row>
    <row r="151" spans="2:28" ht="15.75">
      <c r="B151" s="137"/>
      <c r="C151" s="137"/>
      <c r="D151" s="138"/>
      <c r="E151" s="138"/>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row>
    <row r="152" spans="2:28" ht="15.75">
      <c r="B152" s="137"/>
      <c r="C152" s="137"/>
      <c r="D152" s="138"/>
      <c r="E152" s="138"/>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row>
    <row r="153" spans="2:28" ht="15.75">
      <c r="B153" s="137"/>
      <c r="C153" s="137"/>
      <c r="D153" s="138"/>
      <c r="E153" s="138"/>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row>
    <row r="154" spans="2:28" ht="15.75">
      <c r="B154" s="137"/>
      <c r="C154" s="137"/>
      <c r="D154" s="138"/>
      <c r="E154" s="138"/>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row>
    <row r="155" spans="2:28" ht="15.75">
      <c r="B155" s="137"/>
      <c r="C155" s="137"/>
      <c r="D155" s="138"/>
      <c r="E155" s="138"/>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row>
    <row r="156" spans="2:28" ht="15.75">
      <c r="B156" s="137"/>
      <c r="C156" s="137"/>
      <c r="D156" s="138"/>
      <c r="E156" s="138"/>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row>
    <row r="157" spans="2:28" ht="15.75">
      <c r="B157" s="137"/>
      <c r="C157" s="137"/>
      <c r="D157" s="138"/>
      <c r="E157" s="138"/>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row>
    <row r="158" spans="2:28" ht="15.75">
      <c r="B158" s="137"/>
      <c r="C158" s="137"/>
      <c r="D158" s="138"/>
      <c r="E158" s="138"/>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row>
    <row r="159" spans="2:28" ht="15.75">
      <c r="B159" s="137"/>
      <c r="C159" s="137"/>
      <c r="D159" s="138"/>
      <c r="E159" s="138"/>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row>
    <row r="160" spans="2:28" ht="15.75">
      <c r="B160" s="137"/>
      <c r="C160" s="137"/>
      <c r="D160" s="138"/>
      <c r="E160" s="138"/>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row>
    <row r="161" spans="2:28" ht="15.75">
      <c r="B161" s="137"/>
      <c r="C161" s="137"/>
      <c r="D161" s="138"/>
      <c r="E161" s="138"/>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row>
    <row r="162" spans="2:28" ht="15.75">
      <c r="B162" s="137"/>
      <c r="C162" s="137"/>
      <c r="D162" s="138"/>
      <c r="E162" s="138"/>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row>
    <row r="163" spans="2:28" ht="15.75">
      <c r="B163" s="137"/>
      <c r="C163" s="137"/>
      <c r="D163" s="138"/>
      <c r="E163" s="138"/>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row>
    <row r="164" spans="2:28" ht="15.75">
      <c r="B164" s="137"/>
      <c r="C164" s="137"/>
      <c r="D164" s="138"/>
      <c r="E164" s="138"/>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row>
    <row r="165" spans="2:28" ht="15.75">
      <c r="B165" s="137"/>
      <c r="C165" s="137"/>
      <c r="D165" s="138"/>
      <c r="E165" s="138"/>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row>
    <row r="166" spans="2:28" ht="15.75">
      <c r="B166" s="137"/>
      <c r="C166" s="137"/>
      <c r="D166" s="138"/>
      <c r="E166" s="138"/>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row>
    <row r="167" spans="2:28" ht="15.75">
      <c r="B167" s="137"/>
      <c r="C167" s="137"/>
      <c r="D167" s="138"/>
      <c r="E167" s="138"/>
      <c r="F167" s="137"/>
      <c r="G167" s="137"/>
      <c r="H167" s="137"/>
      <c r="I167" s="137"/>
      <c r="J167" s="137"/>
      <c r="K167" s="137"/>
      <c r="L167" s="137"/>
      <c r="M167" s="137"/>
      <c r="N167" s="137"/>
      <c r="O167" s="137"/>
      <c r="P167" s="137"/>
      <c r="Q167" s="137"/>
      <c r="R167" s="137"/>
      <c r="S167" s="137"/>
      <c r="T167" s="137"/>
      <c r="U167" s="137"/>
      <c r="V167" s="137"/>
      <c r="W167" s="137"/>
      <c r="X167" s="137"/>
      <c r="Y167" s="137"/>
      <c r="Z167" s="137"/>
      <c r="AA167" s="137"/>
      <c r="AB167" s="137"/>
    </row>
    <row r="168" spans="2:28" ht="15.75">
      <c r="B168" s="137"/>
      <c r="C168" s="137"/>
      <c r="D168" s="138"/>
      <c r="E168" s="138"/>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row>
    <row r="169" spans="2:28" ht="15.75">
      <c r="B169" s="137"/>
      <c r="C169" s="137"/>
      <c r="D169" s="138"/>
      <c r="E169" s="138"/>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row>
    <row r="170" spans="2:28" ht="15.75">
      <c r="B170" s="137"/>
      <c r="C170" s="137"/>
      <c r="D170" s="138"/>
      <c r="E170" s="138"/>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row>
    <row r="171" spans="2:28" ht="15.75">
      <c r="B171" s="137"/>
      <c r="C171" s="137"/>
      <c r="D171" s="138"/>
      <c r="E171" s="138"/>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row>
    <row r="172" spans="2:28" ht="15.75">
      <c r="B172" s="137"/>
      <c r="C172" s="137"/>
      <c r="D172" s="138"/>
      <c r="E172" s="138"/>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row>
    <row r="173" spans="2:28" ht="15.75">
      <c r="B173" s="137"/>
      <c r="C173" s="137"/>
      <c r="D173" s="138"/>
      <c r="E173" s="138"/>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row>
    <row r="174" spans="2:28" ht="15.75">
      <c r="B174" s="137"/>
      <c r="C174" s="137"/>
      <c r="D174" s="138"/>
      <c r="E174" s="138"/>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row>
    <row r="175" spans="2:28" ht="15.75">
      <c r="B175" s="137"/>
      <c r="C175" s="137"/>
      <c r="D175" s="138"/>
      <c r="E175" s="138"/>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row>
    <row r="176" spans="2:28" ht="15.75">
      <c r="B176" s="137"/>
      <c r="C176" s="137"/>
      <c r="D176" s="138"/>
      <c r="E176" s="138"/>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row>
    <row r="177" spans="2:28" ht="15.75">
      <c r="B177" s="137"/>
      <c r="C177" s="137"/>
      <c r="D177" s="138"/>
      <c r="E177" s="138"/>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row>
    <row r="178" spans="2:28" ht="15.75">
      <c r="B178" s="137"/>
      <c r="C178" s="137"/>
      <c r="D178" s="138"/>
      <c r="E178" s="138"/>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row>
    <row r="179" spans="2:28" ht="15.75">
      <c r="B179" s="137"/>
      <c r="C179" s="137"/>
      <c r="D179" s="138"/>
      <c r="E179" s="138"/>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row>
    <row r="180" spans="2:28" ht="15.75">
      <c r="B180" s="137"/>
      <c r="C180" s="137"/>
      <c r="D180" s="138"/>
      <c r="E180" s="138"/>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row>
    <row r="181" spans="2:28" ht="15.75">
      <c r="B181" s="137"/>
      <c r="C181" s="137"/>
      <c r="D181" s="138"/>
      <c r="E181" s="138"/>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row>
    <row r="182" spans="2:28" ht="15.75">
      <c r="B182" s="137"/>
      <c r="C182" s="137"/>
      <c r="D182" s="138"/>
      <c r="E182" s="138"/>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row>
    <row r="183" spans="2:28" ht="15.75">
      <c r="B183" s="137"/>
      <c r="C183" s="137"/>
      <c r="D183" s="138"/>
      <c r="E183" s="138"/>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row>
    <row r="184" spans="2:28" ht="15.75">
      <c r="B184" s="137"/>
      <c r="C184" s="137"/>
      <c r="D184" s="138"/>
      <c r="E184" s="138"/>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row>
    <row r="185" spans="2:28" ht="15.75">
      <c r="B185" s="137"/>
      <c r="C185" s="137"/>
      <c r="D185" s="138"/>
      <c r="E185" s="138"/>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row>
    <row r="186" spans="2:28" ht="15.75">
      <c r="B186" s="137"/>
      <c r="C186" s="137"/>
      <c r="D186" s="138"/>
      <c r="E186" s="138"/>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row>
    <row r="187" spans="2:28" ht="15.75">
      <c r="B187" s="137"/>
      <c r="C187" s="137"/>
      <c r="D187" s="138"/>
      <c r="E187" s="138"/>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row>
    <row r="188" spans="2:28" ht="15.75">
      <c r="B188" s="137"/>
      <c r="C188" s="137"/>
      <c r="D188" s="138"/>
      <c r="E188" s="138"/>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row>
    <row r="189" spans="2:28" ht="15.75">
      <c r="B189" s="137"/>
      <c r="C189" s="137"/>
      <c r="D189" s="138"/>
      <c r="E189" s="138"/>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row>
    <row r="190" spans="2:28" ht="15.75">
      <c r="B190" s="137"/>
      <c r="C190" s="137"/>
      <c r="D190" s="138"/>
      <c r="E190" s="138"/>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row>
  </sheetData>
  <sheetProtection/>
  <mergeCells count="25">
    <mergeCell ref="D19:D20"/>
    <mergeCell ref="E19:E20"/>
    <mergeCell ref="B22:B23"/>
    <mergeCell ref="D22:D23"/>
    <mergeCell ref="E22:E23"/>
    <mergeCell ref="J1:K1"/>
    <mergeCell ref="J2:K2"/>
    <mergeCell ref="J3:K3"/>
    <mergeCell ref="C54:I54"/>
    <mergeCell ref="A4:C4"/>
    <mergeCell ref="B24:B25"/>
    <mergeCell ref="F6:H6"/>
    <mergeCell ref="B15:B16"/>
    <mergeCell ref="D24:D25"/>
    <mergeCell ref="B19:B20"/>
    <mergeCell ref="N54:T54"/>
    <mergeCell ref="D15:D16"/>
    <mergeCell ref="E15:E16"/>
    <mergeCell ref="S1:T1"/>
    <mergeCell ref="S2:T2"/>
    <mergeCell ref="S3:T3"/>
    <mergeCell ref="L6:N6"/>
    <mergeCell ref="O6:Q6"/>
    <mergeCell ref="R6:T6"/>
    <mergeCell ref="I6:K6"/>
  </mergeCells>
  <hyperlinks>
    <hyperlink ref="A4" location="'1.1aSummary'!A1" display="Summary"/>
  </hyperlinks>
  <printOptions/>
  <pageMargins left="0.25" right="0.25" top="0.75" bottom="0.75" header="0.3" footer="0.3"/>
  <pageSetup fitToHeight="4" horizontalDpi="600" verticalDpi="600" orientation="landscape" r:id="rId1"/>
  <headerFooter alignWithMargins="0">
    <oddFooter>&amp;L&amp;"Times New Roman,Regular"&amp;11&amp;F, Tab:&amp;A&amp;C&amp;"Times New Roman,Regular"&amp;11&amp;D&amp;R&amp;"Times New Roman,Regular"&amp;11&amp;P of &amp;N</oddFooter>
  </headerFooter>
  <colBreaks count="1" manualBreakCount="1">
    <brk id="17" max="51" man="1"/>
  </col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L357"/>
  <sheetViews>
    <sheetView zoomScalePageLayoutView="0" workbookViewId="0" topLeftCell="A1">
      <selection activeCell="B18" sqref="B18"/>
    </sheetView>
  </sheetViews>
  <sheetFormatPr defaultColWidth="9.140625" defaultRowHeight="12.75"/>
  <cols>
    <col min="1" max="1" width="3.28125" style="4" customWidth="1"/>
    <col min="2" max="2" width="42.140625" style="0" customWidth="1"/>
    <col min="3" max="3" width="19.421875" style="0" customWidth="1"/>
    <col min="4" max="4" width="15.00390625" style="0" customWidth="1"/>
    <col min="5" max="5" width="12.140625" style="0" customWidth="1"/>
    <col min="6" max="6" width="3.7109375" style="0" customWidth="1"/>
    <col min="7" max="7" width="26.57421875" style="3" bestFit="1" customWidth="1"/>
    <col min="8" max="8" width="46.421875" style="0" customWidth="1"/>
    <col min="9" max="9" width="8.7109375" style="13" customWidth="1"/>
    <col min="10" max="10" width="9.421875" style="13" customWidth="1"/>
    <col min="11" max="11" width="12.00390625" style="13" customWidth="1"/>
    <col min="12" max="64" width="9.140625" style="13" customWidth="1"/>
  </cols>
  <sheetData>
    <row r="1" spans="1:11" ht="20.25">
      <c r="A1" s="60" t="s">
        <v>113</v>
      </c>
      <c r="B1" s="17"/>
      <c r="C1" s="20"/>
      <c r="D1" s="19"/>
      <c r="G1" s="16" t="s">
        <v>386</v>
      </c>
      <c r="H1" s="15"/>
      <c r="I1" s="28"/>
      <c r="J1" s="28"/>
      <c r="K1" s="28"/>
    </row>
    <row r="2" spans="1:11" ht="18.75">
      <c r="A2" s="79" t="s">
        <v>41</v>
      </c>
      <c r="B2" s="17"/>
      <c r="C2" s="20"/>
      <c r="D2" s="19"/>
      <c r="E2" s="17"/>
      <c r="F2" s="17"/>
      <c r="G2" s="16" t="s">
        <v>477</v>
      </c>
      <c r="H2" s="83"/>
      <c r="I2" s="28"/>
      <c r="J2" s="28"/>
      <c r="K2" s="28"/>
    </row>
    <row r="3" spans="1:11" ht="15.75">
      <c r="A3" s="23" t="s">
        <v>380</v>
      </c>
      <c r="B3" s="17"/>
      <c r="C3" s="20"/>
      <c r="D3" s="19"/>
      <c r="E3" s="17"/>
      <c r="F3" s="17"/>
      <c r="G3" s="16" t="s">
        <v>478</v>
      </c>
      <c r="H3" s="83"/>
      <c r="I3" s="28"/>
      <c r="J3" s="28"/>
      <c r="K3" s="28"/>
    </row>
    <row r="4" spans="1:11" ht="15.75">
      <c r="A4" s="743" t="s">
        <v>482</v>
      </c>
      <c r="B4" s="744"/>
      <c r="C4" s="20"/>
      <c r="D4" s="19"/>
      <c r="E4" s="17"/>
      <c r="F4" s="17"/>
      <c r="G4" s="18"/>
      <c r="H4" s="83"/>
      <c r="I4" s="28"/>
      <c r="J4" s="28"/>
      <c r="K4" s="28"/>
    </row>
    <row r="5" spans="1:11" ht="15.75">
      <c r="A5" s="16"/>
      <c r="B5" s="18"/>
      <c r="C5" s="454" t="s">
        <v>1</v>
      </c>
      <c r="D5" s="454" t="s">
        <v>5</v>
      </c>
      <c r="E5" s="468" t="s">
        <v>7</v>
      </c>
      <c r="F5" s="437"/>
      <c r="G5" s="18"/>
      <c r="H5" s="83"/>
      <c r="I5" s="28"/>
      <c r="J5" s="28"/>
      <c r="K5" s="28"/>
    </row>
    <row r="6" spans="1:11" ht="47.25">
      <c r="A6" s="430"/>
      <c r="B6" s="431" t="s">
        <v>17</v>
      </c>
      <c r="C6" s="432" t="s">
        <v>460</v>
      </c>
      <c r="D6" s="430" t="s">
        <v>120</v>
      </c>
      <c r="E6" s="432" t="s">
        <v>123</v>
      </c>
      <c r="F6" s="432"/>
      <c r="G6" s="442" t="s">
        <v>456</v>
      </c>
      <c r="H6" s="83"/>
      <c r="I6" s="28"/>
      <c r="J6" s="28"/>
      <c r="K6" s="28"/>
    </row>
    <row r="7" spans="1:11" ht="15.75">
      <c r="A7" s="18"/>
      <c r="B7" s="28"/>
      <c r="C7" s="17"/>
      <c r="D7" s="17"/>
      <c r="E7" s="20"/>
      <c r="F7" s="27"/>
      <c r="G7" s="497"/>
      <c r="H7" s="83"/>
      <c r="I7" s="28"/>
      <c r="J7" s="27"/>
      <c r="K7" s="28"/>
    </row>
    <row r="8" spans="1:12" ht="15.75">
      <c r="A8" s="454">
        <v>1</v>
      </c>
      <c r="B8" s="28" t="s">
        <v>114</v>
      </c>
      <c r="C8" s="34">
        <f>'1.4 Dep &amp; CIAC'!R37</f>
        <v>872651</v>
      </c>
      <c r="D8" s="34">
        <f>E8-C8</f>
        <v>0</v>
      </c>
      <c r="E8" s="34">
        <f>'1.4 Dep &amp; CIAC'!R37</f>
        <v>872651</v>
      </c>
      <c r="F8" s="34"/>
      <c r="G8" s="497"/>
      <c r="H8" s="83"/>
      <c r="I8" s="28"/>
      <c r="J8" s="28"/>
      <c r="K8" s="28"/>
      <c r="L8" s="28"/>
    </row>
    <row r="9" spans="1:12" ht="15.75">
      <c r="A9" s="454">
        <v>2</v>
      </c>
      <c r="B9" s="28" t="s">
        <v>126</v>
      </c>
      <c r="C9" s="35">
        <v>-125446</v>
      </c>
      <c r="D9" s="35">
        <f>-C9--E9</f>
        <v>9914</v>
      </c>
      <c r="E9" s="35">
        <f>'1.4 Dep &amp; CIAC'!T39</f>
        <v>-115532</v>
      </c>
      <c r="F9" s="35"/>
      <c r="G9" s="444" t="s">
        <v>455</v>
      </c>
      <c r="H9" s="83"/>
      <c r="I9" s="28"/>
      <c r="J9" s="28"/>
      <c r="K9" s="28"/>
      <c r="L9" s="28"/>
    </row>
    <row r="10" spans="1:12" ht="16.5" thickBot="1">
      <c r="A10" s="454">
        <v>3</v>
      </c>
      <c r="B10" s="28" t="s">
        <v>115</v>
      </c>
      <c r="C10" s="80">
        <f>SUM(C8:C9)</f>
        <v>747205</v>
      </c>
      <c r="D10" s="80">
        <f>SUM(D8:D9)</f>
        <v>9914</v>
      </c>
      <c r="E10" s="80">
        <f>SUM(E8:E9)</f>
        <v>757119</v>
      </c>
      <c r="F10" s="34"/>
      <c r="G10" s="497"/>
      <c r="H10" s="83"/>
      <c r="I10" s="28"/>
      <c r="J10" s="28"/>
      <c r="K10" s="28"/>
      <c r="L10" s="28"/>
    </row>
    <row r="11" spans="1:12" ht="16.5" thickTop="1">
      <c r="A11" s="454"/>
      <c r="B11" s="28" t="s">
        <v>116</v>
      </c>
      <c r="C11" s="30"/>
      <c r="D11" s="27" t="s">
        <v>61</v>
      </c>
      <c r="E11" s="27" t="s">
        <v>61</v>
      </c>
      <c r="F11" s="27"/>
      <c r="G11" s="497"/>
      <c r="H11" s="83"/>
      <c r="I11" s="28"/>
      <c r="J11" s="28"/>
      <c r="K11" s="28"/>
      <c r="L11" s="28"/>
    </row>
    <row r="12" spans="1:12" ht="15.75">
      <c r="A12" s="454">
        <v>4</v>
      </c>
      <c r="B12" s="28" t="s">
        <v>117</v>
      </c>
      <c r="C12" s="34">
        <v>0</v>
      </c>
      <c r="D12" s="34">
        <v>0</v>
      </c>
      <c r="E12" s="34">
        <v>0</v>
      </c>
      <c r="F12" s="34"/>
      <c r="G12" s="497"/>
      <c r="H12" s="83"/>
      <c r="I12" s="28"/>
      <c r="J12" s="28"/>
      <c r="K12" s="28"/>
      <c r="L12" s="28"/>
    </row>
    <row r="13" spans="1:12" ht="15.75">
      <c r="A13" s="454">
        <v>5</v>
      </c>
      <c r="B13" s="28" t="s">
        <v>118</v>
      </c>
      <c r="C13" s="35">
        <v>0</v>
      </c>
      <c r="D13" s="35">
        <f>E13-C13</f>
        <v>-819519</v>
      </c>
      <c r="E13" s="35">
        <f>-'1.4 Dep &amp; CIAC'!T48</f>
        <v>-819519</v>
      </c>
      <c r="F13" s="35"/>
      <c r="G13" s="444" t="s">
        <v>457</v>
      </c>
      <c r="H13" s="83"/>
      <c r="I13" s="28"/>
      <c r="J13" s="28"/>
      <c r="K13" s="28"/>
      <c r="L13" s="28"/>
    </row>
    <row r="14" spans="1:12" ht="15.75">
      <c r="A14" s="456">
        <v>6</v>
      </c>
      <c r="B14" s="28" t="s">
        <v>582</v>
      </c>
      <c r="C14" s="35">
        <v>0</v>
      </c>
      <c r="D14" s="35">
        <f>E14-C14</f>
        <v>106640.75324784206</v>
      </c>
      <c r="E14" s="35">
        <f>-'1.4 Dep &amp; CIAC'!T50</f>
        <v>106640.75324784206</v>
      </c>
      <c r="F14" s="35"/>
      <c r="G14" s="444" t="s">
        <v>458</v>
      </c>
      <c r="H14" s="83"/>
      <c r="I14" s="28"/>
      <c r="J14" s="28"/>
      <c r="K14" s="28"/>
      <c r="L14" s="28"/>
    </row>
    <row r="15" spans="1:12" ht="15.75">
      <c r="A15" s="463">
        <v>7</v>
      </c>
      <c r="B15" s="75" t="s">
        <v>121</v>
      </c>
      <c r="C15" s="229">
        <f>C26</f>
        <v>7303.068493150685</v>
      </c>
      <c r="D15" s="229">
        <f>-C15--E15</f>
        <v>953.870932602741</v>
      </c>
      <c r="E15" s="229">
        <f>E26</f>
        <v>8256.939425753426</v>
      </c>
      <c r="F15" s="35"/>
      <c r="G15" s="497"/>
      <c r="H15" s="83"/>
      <c r="I15" s="28"/>
      <c r="J15" s="28"/>
      <c r="K15" s="28"/>
      <c r="L15" s="28"/>
    </row>
    <row r="16" spans="1:12" ht="16.5" thickBot="1">
      <c r="A16" s="454">
        <v>8</v>
      </c>
      <c r="B16" s="22" t="s">
        <v>119</v>
      </c>
      <c r="C16" s="80">
        <f>SUM(C13:C15)</f>
        <v>7303.068493150685</v>
      </c>
      <c r="D16" s="80">
        <f>SUM(D12:D15)</f>
        <v>-711924.3758195551</v>
      </c>
      <c r="E16" s="80">
        <f>SUM(E13:E15)</f>
        <v>-704621.3073264045</v>
      </c>
      <c r="F16" s="34"/>
      <c r="G16" s="443"/>
      <c r="H16" s="83"/>
      <c r="I16" s="28"/>
      <c r="J16" s="28"/>
      <c r="K16" s="28"/>
      <c r="L16" s="28"/>
    </row>
    <row r="17" spans="1:12" ht="14.25" customHeight="1" thickBot="1" thickTop="1">
      <c r="A17" s="455"/>
      <c r="B17" s="83" t="s">
        <v>116</v>
      </c>
      <c r="C17" s="30" t="s">
        <v>61</v>
      </c>
      <c r="D17" s="30" t="s">
        <v>61</v>
      </c>
      <c r="E17" s="30" t="s">
        <v>61</v>
      </c>
      <c r="F17" s="30"/>
      <c r="G17" s="497"/>
      <c r="H17" s="83"/>
      <c r="I17" s="28"/>
      <c r="J17" s="28"/>
      <c r="K17" s="28"/>
      <c r="L17" s="28"/>
    </row>
    <row r="18" spans="1:12" ht="16.5" thickBot="1">
      <c r="A18" s="464">
        <v>9</v>
      </c>
      <c r="B18" s="81" t="s">
        <v>122</v>
      </c>
      <c r="C18" s="44">
        <f>C16+C10</f>
        <v>754508.0684931506</v>
      </c>
      <c r="D18" s="44">
        <f>D16+D10</f>
        <v>-702010.3758195551</v>
      </c>
      <c r="E18" s="44">
        <f>E16+E10</f>
        <v>52497.692673595506</v>
      </c>
      <c r="F18" s="34"/>
      <c r="G18" s="443"/>
      <c r="H18" s="83"/>
      <c r="I18" s="28"/>
      <c r="J18" s="28"/>
      <c r="K18" s="28"/>
      <c r="L18" s="28"/>
    </row>
    <row r="19" spans="1:11" ht="15.75">
      <c r="A19" s="465"/>
      <c r="B19" s="83"/>
      <c r="C19" s="30" t="s">
        <v>61</v>
      </c>
      <c r="D19" s="30" t="s">
        <v>61</v>
      </c>
      <c r="E19" s="30" t="s">
        <v>61</v>
      </c>
      <c r="F19" s="30"/>
      <c r="G19" s="497"/>
      <c r="H19" s="83"/>
      <c r="I19" s="28"/>
      <c r="J19" s="28"/>
      <c r="K19" s="28"/>
    </row>
    <row r="20" spans="1:11" ht="15.75">
      <c r="A20" s="466"/>
      <c r="B20" s="28"/>
      <c r="C20" s="27"/>
      <c r="D20" s="27"/>
      <c r="E20" s="27"/>
      <c r="F20" s="27"/>
      <c r="G20" s="497"/>
      <c r="H20" s="83"/>
      <c r="I20" s="28"/>
      <c r="J20" s="28"/>
      <c r="K20" s="28"/>
    </row>
    <row r="21" spans="1:11" ht="15.75">
      <c r="A21" s="467" t="s">
        <v>0</v>
      </c>
      <c r="B21" s="76" t="s">
        <v>8</v>
      </c>
      <c r="C21" s="77"/>
      <c r="D21" s="228">
        <f>E21-C21</f>
        <v>0</v>
      </c>
      <c r="E21" s="77"/>
      <c r="F21" s="27"/>
      <c r="G21" s="497"/>
      <c r="H21" s="83"/>
      <c r="I21" s="28"/>
      <c r="J21" s="28"/>
      <c r="K21" s="28"/>
    </row>
    <row r="22" spans="1:11" ht="15.75">
      <c r="A22" s="467">
        <v>10</v>
      </c>
      <c r="B22" s="75" t="s">
        <v>52</v>
      </c>
      <c r="C22" s="228">
        <f>'1.2 INC STMT'!C73</f>
        <v>74386</v>
      </c>
      <c r="D22" s="229">
        <f>E22-C22</f>
        <v>7736.953120000006</v>
      </c>
      <c r="E22" s="228">
        <f>'1.2 INC STMT'!F73</f>
        <v>82122.95312</v>
      </c>
      <c r="F22" s="34"/>
      <c r="G22" s="444" t="s">
        <v>459</v>
      </c>
      <c r="H22" s="83"/>
      <c r="I22" s="28"/>
      <c r="J22" s="28"/>
      <c r="K22" s="28"/>
    </row>
    <row r="23" spans="1:11" ht="15.75">
      <c r="A23" s="467">
        <v>11</v>
      </c>
      <c r="B23" s="75" t="s">
        <v>26</v>
      </c>
      <c r="C23" s="229">
        <f>-'1.2 INC STMT'!C35-'1.2 INC STMT'!C36</f>
        <v>-15150</v>
      </c>
      <c r="D23" s="229">
        <f>E23-C23</f>
        <v>0</v>
      </c>
      <c r="E23" s="229">
        <f>-'1.2 INC STMT'!C35+-'1.2 INC STMT'!C36</f>
        <v>-15150</v>
      </c>
      <c r="F23" s="35"/>
      <c r="G23" s="497"/>
      <c r="H23" s="83"/>
      <c r="I23" s="28"/>
      <c r="J23" s="28"/>
      <c r="K23" s="28"/>
    </row>
    <row r="24" spans="1:11" ht="16.5" thickBot="1">
      <c r="A24" s="467">
        <v>12</v>
      </c>
      <c r="B24" s="75" t="s">
        <v>2</v>
      </c>
      <c r="C24" s="230">
        <f>SUM(C22:C23)</f>
        <v>59236</v>
      </c>
      <c r="D24" s="230">
        <f>SUM(D22:D23)</f>
        <v>7736.953120000006</v>
      </c>
      <c r="E24" s="230">
        <f>SUM(E22:E23)</f>
        <v>66972.95312</v>
      </c>
      <c r="F24" s="34"/>
      <c r="G24" s="497"/>
      <c r="H24" s="83"/>
      <c r="I24" s="28"/>
      <c r="J24" s="28"/>
      <c r="K24" s="28"/>
    </row>
    <row r="25" spans="1:11" ht="16.5" thickTop="1">
      <c r="A25" s="467"/>
      <c r="B25" s="75"/>
      <c r="C25" s="78"/>
      <c r="D25" s="78"/>
      <c r="E25" s="78"/>
      <c r="F25" s="30"/>
      <c r="G25" s="497"/>
      <c r="H25" s="83"/>
      <c r="I25" s="28"/>
      <c r="J25" s="28"/>
      <c r="K25" s="28"/>
    </row>
    <row r="26" spans="1:11" ht="32.25" thickBot="1">
      <c r="A26" s="662">
        <v>13</v>
      </c>
      <c r="B26" s="445" t="s">
        <v>461</v>
      </c>
      <c r="C26" s="231">
        <f>C24*45/365</f>
        <v>7303.068493150685</v>
      </c>
      <c r="D26" s="231">
        <f>D24*45/365</f>
        <v>953.8709326027405</v>
      </c>
      <c r="E26" s="231">
        <f>E24*45/365</f>
        <v>8256.939425753426</v>
      </c>
      <c r="F26" s="34"/>
      <c r="G26" s="443"/>
      <c r="H26" s="83"/>
      <c r="I26" s="28"/>
      <c r="J26" s="28"/>
      <c r="K26" s="28"/>
    </row>
    <row r="27" spans="1:11" ht="16.5" thickTop="1">
      <c r="A27" s="16"/>
      <c r="B27" s="28"/>
      <c r="C27" s="30"/>
      <c r="D27" s="30"/>
      <c r="E27" s="30"/>
      <c r="F27" s="30"/>
      <c r="G27" s="497"/>
      <c r="H27" s="83"/>
      <c r="I27" s="28"/>
      <c r="J27" s="28"/>
      <c r="K27" s="28"/>
    </row>
    <row r="28" spans="1:11" ht="15.75">
      <c r="A28" s="16"/>
      <c r="B28" s="499"/>
      <c r="C28" s="28"/>
      <c r="D28" s="28"/>
      <c r="E28" s="28"/>
      <c r="F28" s="28"/>
      <c r="G28" s="497"/>
      <c r="H28" s="83"/>
      <c r="I28" s="28"/>
      <c r="J28" s="28"/>
      <c r="K28" s="28"/>
    </row>
    <row r="29" spans="1:11" ht="15.75">
      <c r="A29" s="16"/>
      <c r="B29" s="28"/>
      <c r="C29" s="28"/>
      <c r="D29" s="28"/>
      <c r="E29" s="28"/>
      <c r="F29" s="28"/>
      <c r="G29" s="497"/>
      <c r="H29" s="83"/>
      <c r="I29" s="28"/>
      <c r="J29" s="28"/>
      <c r="K29" s="28"/>
    </row>
    <row r="30" spans="1:11" ht="15.75">
      <c r="A30" s="16"/>
      <c r="B30" s="27"/>
      <c r="C30" s="28"/>
      <c r="D30" s="28"/>
      <c r="E30" s="28"/>
      <c r="F30" s="28"/>
      <c r="G30" s="497"/>
      <c r="H30" s="83"/>
      <c r="I30" s="28"/>
      <c r="J30" s="28"/>
      <c r="K30" s="28"/>
    </row>
    <row r="31" spans="1:11" ht="15.75">
      <c r="A31" s="16"/>
      <c r="B31" s="28"/>
      <c r="C31" s="28"/>
      <c r="D31" s="28"/>
      <c r="E31" s="28"/>
      <c r="F31" s="28"/>
      <c r="G31" s="497"/>
      <c r="H31" s="83"/>
      <c r="I31" s="28"/>
      <c r="J31" s="28"/>
      <c r="K31" s="28"/>
    </row>
    <row r="32" spans="1:11" ht="15.75">
      <c r="A32" s="16"/>
      <c r="B32" s="28"/>
      <c r="C32" s="28"/>
      <c r="D32" s="28"/>
      <c r="E32" s="28"/>
      <c r="F32" s="28"/>
      <c r="G32" s="497"/>
      <c r="H32" s="83"/>
      <c r="I32" s="28"/>
      <c r="J32" s="28"/>
      <c r="K32" s="28"/>
    </row>
    <row r="33" spans="1:11" ht="15.75">
      <c r="A33" s="16"/>
      <c r="B33" s="28"/>
      <c r="C33" s="28"/>
      <c r="D33" s="28"/>
      <c r="E33" s="28"/>
      <c r="F33" s="28"/>
      <c r="G33" s="497"/>
      <c r="H33" s="83"/>
      <c r="I33" s="28"/>
      <c r="J33" s="28"/>
      <c r="K33" s="28"/>
    </row>
    <row r="34" spans="1:11" ht="15.75">
      <c r="A34" s="16"/>
      <c r="B34" s="28"/>
      <c r="C34" s="28"/>
      <c r="D34" s="28"/>
      <c r="E34" s="28"/>
      <c r="F34" s="28"/>
      <c r="G34" s="497"/>
      <c r="H34" s="83"/>
      <c r="I34" s="28"/>
      <c r="J34" s="28"/>
      <c r="K34" s="28"/>
    </row>
    <row r="35" spans="1:8" ht="15.75">
      <c r="A35" s="16"/>
      <c r="B35" s="13"/>
      <c r="C35" s="13"/>
      <c r="D35" s="13"/>
      <c r="E35" s="13"/>
      <c r="F35" s="13"/>
      <c r="G35" s="498"/>
      <c r="H35" s="15"/>
    </row>
    <row r="36" spans="1:8" ht="15.75">
      <c r="A36" s="16"/>
      <c r="B36" s="13"/>
      <c r="C36" s="13"/>
      <c r="D36" s="13"/>
      <c r="E36" s="13"/>
      <c r="F36" s="13"/>
      <c r="G36" s="498"/>
      <c r="H36" s="15"/>
    </row>
    <row r="37" spans="2:8" ht="12.75">
      <c r="B37" s="13"/>
      <c r="C37" s="13"/>
      <c r="D37" s="13"/>
      <c r="E37" s="13"/>
      <c r="F37" s="13"/>
      <c r="G37" s="498"/>
      <c r="H37" s="15"/>
    </row>
    <row r="38" spans="2:8" ht="12.75">
      <c r="B38" s="13"/>
      <c r="C38" s="13"/>
      <c r="D38" s="13"/>
      <c r="E38" s="13"/>
      <c r="F38" s="13"/>
      <c r="G38" s="498"/>
      <c r="H38" s="15"/>
    </row>
    <row r="39" spans="2:8" ht="12.75">
      <c r="B39" s="13"/>
      <c r="C39" s="13"/>
      <c r="D39" s="13"/>
      <c r="E39" s="13"/>
      <c r="F39" s="13"/>
      <c r="G39" s="498"/>
      <c r="H39" s="15"/>
    </row>
    <row r="40" spans="2:8" ht="12.75">
      <c r="B40" s="13"/>
      <c r="C40" s="13"/>
      <c r="D40" s="13"/>
      <c r="E40" s="13"/>
      <c r="F40" s="13"/>
      <c r="G40" s="498"/>
      <c r="H40" s="15"/>
    </row>
    <row r="41" spans="2:8" ht="12.75">
      <c r="B41" s="13"/>
      <c r="C41" s="13"/>
      <c r="D41" s="13"/>
      <c r="E41" s="13"/>
      <c r="F41" s="13"/>
      <c r="G41" s="498"/>
      <c r="H41" s="15"/>
    </row>
    <row r="42" spans="2:8" ht="12.75">
      <c r="B42" s="13"/>
      <c r="C42" s="13"/>
      <c r="D42" s="13"/>
      <c r="E42" s="13"/>
      <c r="F42" s="13"/>
      <c r="G42" s="498"/>
      <c r="H42" s="15"/>
    </row>
    <row r="43" spans="2:8" ht="12.75">
      <c r="B43" s="13"/>
      <c r="C43" s="13"/>
      <c r="D43" s="13"/>
      <c r="E43" s="13"/>
      <c r="F43" s="13"/>
      <c r="G43" s="498"/>
      <c r="H43" s="15"/>
    </row>
    <row r="44" spans="2:8" ht="12.75">
      <c r="B44" s="13"/>
      <c r="C44" s="13"/>
      <c r="D44" s="13"/>
      <c r="E44" s="13"/>
      <c r="F44" s="13"/>
      <c r="G44" s="498"/>
      <c r="H44" s="15"/>
    </row>
    <row r="45" spans="2:8" ht="12.75">
      <c r="B45" s="13"/>
      <c r="C45" s="13"/>
      <c r="D45" s="13"/>
      <c r="E45" s="13"/>
      <c r="F45" s="13"/>
      <c r="G45" s="255"/>
      <c r="H45" s="15"/>
    </row>
    <row r="46" spans="2:8" ht="12.75">
      <c r="B46" s="13"/>
      <c r="C46" s="13"/>
      <c r="D46" s="13"/>
      <c r="E46" s="13"/>
      <c r="F46" s="13"/>
      <c r="G46" s="255"/>
      <c r="H46" s="15"/>
    </row>
    <row r="47" spans="2:8" ht="12.75">
      <c r="B47" s="13"/>
      <c r="C47" s="13"/>
      <c r="D47" s="13"/>
      <c r="E47" s="13"/>
      <c r="F47" s="13"/>
      <c r="G47" s="255"/>
      <c r="H47" s="15"/>
    </row>
    <row r="48" spans="2:8" ht="12.75">
      <c r="B48" s="13"/>
      <c r="C48" s="13"/>
      <c r="D48" s="13"/>
      <c r="E48" s="13"/>
      <c r="F48" s="13"/>
      <c r="G48" s="255"/>
      <c r="H48" s="15"/>
    </row>
    <row r="49" spans="2:8" ht="12.75">
      <c r="B49" s="13"/>
      <c r="C49" s="13"/>
      <c r="D49" s="13"/>
      <c r="E49" s="13"/>
      <c r="F49" s="13"/>
      <c r="G49" s="255"/>
      <c r="H49" s="15"/>
    </row>
    <row r="50" spans="2:8" ht="12.75">
      <c r="B50" s="13"/>
      <c r="C50" s="13"/>
      <c r="D50" s="13"/>
      <c r="E50" s="13"/>
      <c r="F50" s="13"/>
      <c r="G50" s="255"/>
      <c r="H50" s="15"/>
    </row>
    <row r="51" spans="2:8" ht="12.75">
      <c r="B51" s="13"/>
      <c r="C51" s="13"/>
      <c r="D51" s="13"/>
      <c r="E51" s="13"/>
      <c r="F51" s="13"/>
      <c r="G51" s="255"/>
      <c r="H51" s="15"/>
    </row>
    <row r="52" spans="2:7" ht="12.75">
      <c r="B52" s="13"/>
      <c r="C52" s="13"/>
      <c r="D52" s="13"/>
      <c r="E52" s="13"/>
      <c r="F52" s="13"/>
      <c r="G52" s="255"/>
    </row>
    <row r="53" spans="2:7" ht="12.75">
      <c r="B53" s="13"/>
      <c r="C53" s="13"/>
      <c r="D53" s="13"/>
      <c r="E53" s="13"/>
      <c r="F53" s="13"/>
      <c r="G53" s="255"/>
    </row>
    <row r="54" spans="2:7" ht="12.75">
      <c r="B54" s="13"/>
      <c r="C54" s="13"/>
      <c r="D54" s="13"/>
      <c r="E54" s="13"/>
      <c r="F54" s="13"/>
      <c r="G54" s="255"/>
    </row>
    <row r="55" spans="2:7" ht="12.75">
      <c r="B55" s="13"/>
      <c r="C55" s="13"/>
      <c r="D55" s="13"/>
      <c r="E55" s="13"/>
      <c r="F55" s="13"/>
      <c r="G55" s="255"/>
    </row>
    <row r="56" spans="2:7" ht="12.75">
      <c r="B56" s="13"/>
      <c r="C56" s="13"/>
      <c r="D56" s="13"/>
      <c r="E56" s="13"/>
      <c r="F56" s="13"/>
      <c r="G56" s="255"/>
    </row>
    <row r="57" spans="2:7" ht="12.75">
      <c r="B57" s="13"/>
      <c r="C57" s="13"/>
      <c r="D57" s="13"/>
      <c r="E57" s="13"/>
      <c r="F57" s="13"/>
      <c r="G57" s="255"/>
    </row>
    <row r="58" spans="2:7" ht="12.75">
      <c r="B58" s="13"/>
      <c r="C58" s="13"/>
      <c r="D58" s="13"/>
      <c r="E58" s="13"/>
      <c r="F58" s="13"/>
      <c r="G58" s="255"/>
    </row>
    <row r="59" spans="2:7" ht="12.75">
      <c r="B59" s="13"/>
      <c r="C59" s="13"/>
      <c r="D59" s="13"/>
      <c r="E59" s="13"/>
      <c r="F59" s="13"/>
      <c r="G59" s="255"/>
    </row>
    <row r="60" spans="2:7" ht="12.75">
      <c r="B60" s="13"/>
      <c r="C60" s="13"/>
      <c r="D60" s="13"/>
      <c r="E60" s="13"/>
      <c r="F60" s="13"/>
      <c r="G60" s="255"/>
    </row>
    <row r="61" spans="2:7" ht="12.75">
      <c r="B61" s="13"/>
      <c r="C61" s="13"/>
      <c r="D61" s="13"/>
      <c r="E61" s="13"/>
      <c r="F61" s="13"/>
      <c r="G61" s="255"/>
    </row>
    <row r="62" spans="2:7" ht="12.75">
      <c r="B62" s="13"/>
      <c r="C62" s="13"/>
      <c r="D62" s="13"/>
      <c r="E62" s="13"/>
      <c r="F62" s="13"/>
      <c r="G62" s="255"/>
    </row>
    <row r="63" spans="2:7" ht="12.75">
      <c r="B63" s="13"/>
      <c r="C63" s="13"/>
      <c r="D63" s="13"/>
      <c r="E63" s="13"/>
      <c r="F63" s="13"/>
      <c r="G63" s="255"/>
    </row>
    <row r="64" spans="2:7" ht="12.75">
      <c r="B64" s="13"/>
      <c r="C64" s="13"/>
      <c r="D64" s="13"/>
      <c r="E64" s="13"/>
      <c r="F64" s="13"/>
      <c r="G64" s="255"/>
    </row>
    <row r="65" spans="2:7" ht="12.75">
      <c r="B65" s="13"/>
      <c r="C65" s="13"/>
      <c r="D65" s="13"/>
      <c r="E65" s="13"/>
      <c r="F65" s="13"/>
      <c r="G65" s="255"/>
    </row>
    <row r="66" spans="2:7" ht="12.75">
      <c r="B66" s="13"/>
      <c r="C66" s="13"/>
      <c r="D66" s="13"/>
      <c r="E66" s="13"/>
      <c r="F66" s="13"/>
      <c r="G66" s="255"/>
    </row>
    <row r="67" spans="2:7" ht="12.75">
      <c r="B67" s="13"/>
      <c r="C67" s="13"/>
      <c r="D67" s="13"/>
      <c r="E67" s="13"/>
      <c r="F67" s="13"/>
      <c r="G67" s="255"/>
    </row>
    <row r="68" spans="2:7" ht="12.75">
      <c r="B68" s="13"/>
      <c r="C68" s="13"/>
      <c r="D68" s="13"/>
      <c r="E68" s="13"/>
      <c r="F68" s="13"/>
      <c r="G68" s="255"/>
    </row>
    <row r="69" spans="2:7" ht="12.75">
      <c r="B69" s="13"/>
      <c r="C69" s="13"/>
      <c r="D69" s="13"/>
      <c r="E69" s="13"/>
      <c r="F69" s="13"/>
      <c r="G69" s="255"/>
    </row>
    <row r="70" spans="2:7" ht="12.75">
      <c r="B70" s="13"/>
      <c r="C70" s="13"/>
      <c r="D70" s="13"/>
      <c r="E70" s="13"/>
      <c r="F70" s="13"/>
      <c r="G70" s="255"/>
    </row>
    <row r="71" spans="2:7" ht="12.75">
      <c r="B71" s="13"/>
      <c r="C71" s="13"/>
      <c r="D71" s="13"/>
      <c r="E71" s="13"/>
      <c r="F71" s="13"/>
      <c r="G71" s="255"/>
    </row>
    <row r="72" spans="2:7" ht="12.75">
      <c r="B72" s="13"/>
      <c r="C72" s="13"/>
      <c r="D72" s="13"/>
      <c r="E72" s="13"/>
      <c r="F72" s="13"/>
      <c r="G72" s="255"/>
    </row>
    <row r="73" spans="2:7" ht="12.75">
      <c r="B73" s="13"/>
      <c r="C73" s="13"/>
      <c r="D73" s="13"/>
      <c r="E73" s="13"/>
      <c r="F73" s="13"/>
      <c r="G73" s="255"/>
    </row>
    <row r="74" spans="2:7" ht="12.75">
      <c r="B74" s="13"/>
      <c r="C74" s="13"/>
      <c r="D74" s="13"/>
      <c r="E74" s="13"/>
      <c r="F74" s="13"/>
      <c r="G74" s="255"/>
    </row>
    <row r="75" spans="2:7" ht="12.75">
      <c r="B75" s="13"/>
      <c r="C75" s="13"/>
      <c r="D75" s="13"/>
      <c r="E75" s="13"/>
      <c r="F75" s="13"/>
      <c r="G75" s="255"/>
    </row>
    <row r="76" spans="2:7" ht="12.75">
      <c r="B76" s="13"/>
      <c r="C76" s="13"/>
      <c r="D76" s="13"/>
      <c r="E76" s="13"/>
      <c r="F76" s="13"/>
      <c r="G76" s="255"/>
    </row>
    <row r="77" spans="2:7" ht="12.75">
      <c r="B77" s="13"/>
      <c r="C77" s="13"/>
      <c r="D77" s="13"/>
      <c r="E77" s="13"/>
      <c r="F77" s="13"/>
      <c r="G77" s="255"/>
    </row>
    <row r="78" spans="2:7" ht="12.75">
      <c r="B78" s="13"/>
      <c r="C78" s="13"/>
      <c r="D78" s="13"/>
      <c r="E78" s="13"/>
      <c r="F78" s="13"/>
      <c r="G78" s="255"/>
    </row>
    <row r="79" spans="2:7" ht="12.75">
      <c r="B79" s="13"/>
      <c r="C79" s="13"/>
      <c r="D79" s="13"/>
      <c r="E79" s="13"/>
      <c r="F79" s="13"/>
      <c r="G79" s="255"/>
    </row>
    <row r="80" spans="2:7" ht="12.75">
      <c r="B80" s="13"/>
      <c r="C80" s="13"/>
      <c r="D80" s="13"/>
      <c r="E80" s="13"/>
      <c r="F80" s="13"/>
      <c r="G80" s="255"/>
    </row>
    <row r="81" spans="2:7" ht="12.75">
      <c r="B81" s="13"/>
      <c r="C81" s="13"/>
      <c r="D81" s="13"/>
      <c r="E81" s="13"/>
      <c r="F81" s="13"/>
      <c r="G81" s="255"/>
    </row>
    <row r="82" spans="2:7" ht="12.75">
      <c r="B82" s="13"/>
      <c r="C82" s="13"/>
      <c r="D82" s="13"/>
      <c r="E82" s="13"/>
      <c r="F82" s="13"/>
      <c r="G82" s="255"/>
    </row>
    <row r="83" spans="2:7" ht="12.75">
      <c r="B83" s="13"/>
      <c r="C83" s="13"/>
      <c r="D83" s="13"/>
      <c r="E83" s="13"/>
      <c r="F83" s="13"/>
      <c r="G83" s="255"/>
    </row>
    <row r="84" spans="2:7" ht="12.75">
      <c r="B84" s="13"/>
      <c r="C84" s="13"/>
      <c r="D84" s="13"/>
      <c r="E84" s="13"/>
      <c r="F84" s="13"/>
      <c r="G84" s="255"/>
    </row>
    <row r="85" spans="2:7" ht="12.75">
      <c r="B85" s="13"/>
      <c r="C85" s="13"/>
      <c r="D85" s="13"/>
      <c r="E85" s="13"/>
      <c r="F85" s="13"/>
      <c r="G85" s="255"/>
    </row>
    <row r="86" spans="2:7" ht="12.75">
      <c r="B86" s="13"/>
      <c r="C86" s="13"/>
      <c r="D86" s="13"/>
      <c r="E86" s="13"/>
      <c r="F86" s="13"/>
      <c r="G86" s="255"/>
    </row>
    <row r="87" spans="2:7" ht="12.75">
      <c r="B87" s="13"/>
      <c r="C87" s="13"/>
      <c r="D87" s="13"/>
      <c r="E87" s="13"/>
      <c r="F87" s="13"/>
      <c r="G87" s="255"/>
    </row>
    <row r="88" spans="2:7" ht="12.75">
      <c r="B88" s="13"/>
      <c r="C88" s="13"/>
      <c r="D88" s="13"/>
      <c r="E88" s="13"/>
      <c r="F88" s="13"/>
      <c r="G88" s="255"/>
    </row>
    <row r="89" spans="2:7" ht="12.75">
      <c r="B89" s="13"/>
      <c r="C89" s="13"/>
      <c r="D89" s="13"/>
      <c r="E89" s="13"/>
      <c r="F89" s="13"/>
      <c r="G89" s="255"/>
    </row>
    <row r="90" spans="2:7" ht="12.75">
      <c r="B90" s="13"/>
      <c r="C90" s="13"/>
      <c r="D90" s="13"/>
      <c r="E90" s="13"/>
      <c r="F90" s="13"/>
      <c r="G90" s="255"/>
    </row>
    <row r="91" spans="2:7" ht="12.75">
      <c r="B91" s="13"/>
      <c r="C91" s="13"/>
      <c r="D91" s="13"/>
      <c r="E91" s="13"/>
      <c r="F91" s="13"/>
      <c r="G91" s="255"/>
    </row>
    <row r="92" spans="2:7" ht="12.75">
      <c r="B92" s="13"/>
      <c r="C92" s="13"/>
      <c r="D92" s="13"/>
      <c r="E92" s="13"/>
      <c r="F92" s="13"/>
      <c r="G92" s="255"/>
    </row>
    <row r="93" spans="2:7" ht="12.75">
      <c r="B93" s="13"/>
      <c r="C93" s="13"/>
      <c r="D93" s="13"/>
      <c r="E93" s="13"/>
      <c r="F93" s="13"/>
      <c r="G93" s="255"/>
    </row>
    <row r="94" spans="2:7" ht="12.75">
      <c r="B94" s="13"/>
      <c r="C94" s="13"/>
      <c r="D94" s="13"/>
      <c r="E94" s="13"/>
      <c r="F94" s="13"/>
      <c r="G94" s="255"/>
    </row>
    <row r="95" spans="2:7" ht="12.75">
      <c r="B95" s="13"/>
      <c r="C95" s="13"/>
      <c r="D95" s="13"/>
      <c r="E95" s="13"/>
      <c r="F95" s="13"/>
      <c r="G95" s="255"/>
    </row>
    <row r="96" spans="2:7" ht="12.75">
      <c r="B96" s="13"/>
      <c r="C96" s="13"/>
      <c r="D96" s="13"/>
      <c r="E96" s="13"/>
      <c r="F96" s="13"/>
      <c r="G96" s="255"/>
    </row>
    <row r="97" spans="2:7" ht="12.75">
      <c r="B97" s="13"/>
      <c r="C97" s="13"/>
      <c r="D97" s="13"/>
      <c r="E97" s="13"/>
      <c r="F97" s="13"/>
      <c r="G97" s="255"/>
    </row>
    <row r="98" spans="2:7" ht="12.75">
      <c r="B98" s="13"/>
      <c r="C98" s="13"/>
      <c r="D98" s="13"/>
      <c r="E98" s="13"/>
      <c r="F98" s="13"/>
      <c r="G98" s="255"/>
    </row>
    <row r="99" spans="2:7" ht="12.75">
      <c r="B99" s="13"/>
      <c r="C99" s="13"/>
      <c r="D99" s="13"/>
      <c r="E99" s="13"/>
      <c r="F99" s="13"/>
      <c r="G99" s="255"/>
    </row>
    <row r="100" spans="2:7" ht="12.75">
      <c r="B100" s="13"/>
      <c r="C100" s="13"/>
      <c r="D100" s="13"/>
      <c r="E100" s="13"/>
      <c r="F100" s="13"/>
      <c r="G100" s="255"/>
    </row>
    <row r="101" spans="2:7" ht="12.75">
      <c r="B101" s="13"/>
      <c r="C101" s="13"/>
      <c r="D101" s="13"/>
      <c r="E101" s="13"/>
      <c r="F101" s="13"/>
      <c r="G101" s="255"/>
    </row>
    <row r="102" spans="2:7" ht="12.75">
      <c r="B102" s="13"/>
      <c r="C102" s="13"/>
      <c r="D102" s="13"/>
      <c r="E102" s="13"/>
      <c r="F102" s="13"/>
      <c r="G102" s="255"/>
    </row>
    <row r="103" spans="2:7" ht="12.75">
      <c r="B103" s="13"/>
      <c r="C103" s="13"/>
      <c r="D103" s="13"/>
      <c r="E103" s="13"/>
      <c r="F103" s="13"/>
      <c r="G103" s="255"/>
    </row>
    <row r="104" spans="2:7" ht="12.75">
      <c r="B104" s="13"/>
      <c r="C104" s="13"/>
      <c r="D104" s="13"/>
      <c r="E104" s="13"/>
      <c r="F104" s="13"/>
      <c r="G104" s="255"/>
    </row>
    <row r="105" spans="2:7" ht="12.75">
      <c r="B105" s="13"/>
      <c r="C105" s="13"/>
      <c r="D105" s="13"/>
      <c r="E105" s="13"/>
      <c r="F105" s="13"/>
      <c r="G105" s="255"/>
    </row>
    <row r="106" spans="2:7" ht="12.75">
      <c r="B106" s="13"/>
      <c r="C106" s="13"/>
      <c r="D106" s="13"/>
      <c r="E106" s="13"/>
      <c r="F106" s="13"/>
      <c r="G106" s="255"/>
    </row>
    <row r="107" spans="2:7" ht="12.75">
      <c r="B107" s="13"/>
      <c r="C107" s="13"/>
      <c r="D107" s="13"/>
      <c r="E107" s="13"/>
      <c r="F107" s="13"/>
      <c r="G107" s="255"/>
    </row>
    <row r="108" spans="2:7" ht="12.75">
      <c r="B108" s="13"/>
      <c r="C108" s="13"/>
      <c r="D108" s="13"/>
      <c r="E108" s="13"/>
      <c r="F108" s="13"/>
      <c r="G108" s="255"/>
    </row>
    <row r="109" spans="2:7" ht="12.75">
      <c r="B109" s="13"/>
      <c r="C109" s="13"/>
      <c r="D109" s="13"/>
      <c r="E109" s="13"/>
      <c r="F109" s="13"/>
      <c r="G109" s="255"/>
    </row>
    <row r="110" spans="2:7" ht="12.75">
      <c r="B110" s="13"/>
      <c r="C110" s="13"/>
      <c r="D110" s="13"/>
      <c r="E110" s="13"/>
      <c r="F110" s="13"/>
      <c r="G110" s="255"/>
    </row>
    <row r="111" spans="2:7" ht="12.75">
      <c r="B111" s="13"/>
      <c r="C111" s="13"/>
      <c r="D111" s="13"/>
      <c r="E111" s="13"/>
      <c r="F111" s="13"/>
      <c r="G111" s="255"/>
    </row>
    <row r="112" spans="2:7" ht="12.75">
      <c r="B112" s="13"/>
      <c r="C112" s="13"/>
      <c r="D112" s="13"/>
      <c r="E112" s="13"/>
      <c r="F112" s="13"/>
      <c r="G112" s="255"/>
    </row>
    <row r="113" spans="2:7" ht="12.75">
      <c r="B113" s="13"/>
      <c r="C113" s="13"/>
      <c r="D113" s="13"/>
      <c r="E113" s="13"/>
      <c r="F113" s="13"/>
      <c r="G113" s="255"/>
    </row>
    <row r="114" spans="2:7" ht="12.75">
      <c r="B114" s="13"/>
      <c r="C114" s="13"/>
      <c r="D114" s="13"/>
      <c r="E114" s="13"/>
      <c r="F114" s="13"/>
      <c r="G114" s="255"/>
    </row>
    <row r="115" spans="2:7" ht="12.75">
      <c r="B115" s="13"/>
      <c r="C115" s="13"/>
      <c r="D115" s="13"/>
      <c r="E115" s="13"/>
      <c r="F115" s="13"/>
      <c r="G115" s="255"/>
    </row>
    <row r="116" spans="2:7" ht="12.75">
      <c r="B116" s="13"/>
      <c r="C116" s="13"/>
      <c r="D116" s="13"/>
      <c r="E116" s="13"/>
      <c r="F116" s="13"/>
      <c r="G116" s="255"/>
    </row>
    <row r="117" spans="2:7" ht="12.75">
      <c r="B117" s="13"/>
      <c r="C117" s="13"/>
      <c r="D117" s="13"/>
      <c r="E117" s="13"/>
      <c r="F117" s="13"/>
      <c r="G117" s="255"/>
    </row>
    <row r="118" spans="2:7" ht="12.75">
      <c r="B118" s="13"/>
      <c r="C118" s="13"/>
      <c r="D118" s="13"/>
      <c r="E118" s="13"/>
      <c r="F118" s="13"/>
      <c r="G118" s="255"/>
    </row>
    <row r="119" spans="2:7" ht="12.75">
      <c r="B119" s="13"/>
      <c r="C119" s="13"/>
      <c r="D119" s="13"/>
      <c r="E119" s="13"/>
      <c r="F119" s="13"/>
      <c r="G119" s="255"/>
    </row>
    <row r="120" spans="2:7" ht="12.75">
      <c r="B120" s="13"/>
      <c r="C120" s="13"/>
      <c r="D120" s="13"/>
      <c r="E120" s="13"/>
      <c r="F120" s="13"/>
      <c r="G120" s="255"/>
    </row>
    <row r="121" spans="2:7" ht="12.75">
      <c r="B121" s="13"/>
      <c r="C121" s="13"/>
      <c r="D121" s="13"/>
      <c r="E121" s="13"/>
      <c r="F121" s="13"/>
      <c r="G121" s="255"/>
    </row>
    <row r="122" spans="2:7" ht="12.75">
      <c r="B122" s="13"/>
      <c r="C122" s="13"/>
      <c r="D122" s="13"/>
      <c r="E122" s="13"/>
      <c r="F122" s="13"/>
      <c r="G122" s="255"/>
    </row>
    <row r="123" spans="2:7" ht="12.75">
      <c r="B123" s="13"/>
      <c r="C123" s="13"/>
      <c r="D123" s="13"/>
      <c r="E123" s="13"/>
      <c r="F123" s="13"/>
      <c r="G123" s="255"/>
    </row>
    <row r="124" spans="2:7" ht="12.75">
      <c r="B124" s="13"/>
      <c r="C124" s="13"/>
      <c r="D124" s="13"/>
      <c r="E124" s="13"/>
      <c r="F124" s="13"/>
      <c r="G124" s="255"/>
    </row>
    <row r="125" spans="2:7" ht="12.75">
      <c r="B125" s="13"/>
      <c r="C125" s="13"/>
      <c r="D125" s="13"/>
      <c r="E125" s="13"/>
      <c r="F125" s="13"/>
      <c r="G125" s="255"/>
    </row>
    <row r="126" spans="2:7" ht="12.75">
      <c r="B126" s="13"/>
      <c r="C126" s="13"/>
      <c r="D126" s="13"/>
      <c r="E126" s="13"/>
      <c r="F126" s="13"/>
      <c r="G126" s="255"/>
    </row>
    <row r="127" spans="2:7" ht="12.75">
      <c r="B127" s="13"/>
      <c r="C127" s="13"/>
      <c r="D127" s="13"/>
      <c r="E127" s="13"/>
      <c r="F127" s="13"/>
      <c r="G127" s="255"/>
    </row>
    <row r="128" spans="2:7" ht="12.75">
      <c r="B128" s="13"/>
      <c r="C128" s="13"/>
      <c r="D128" s="13"/>
      <c r="E128" s="13"/>
      <c r="F128" s="13"/>
      <c r="G128" s="255"/>
    </row>
    <row r="129" spans="2:7" ht="12.75">
      <c r="B129" s="13"/>
      <c r="C129" s="13"/>
      <c r="D129" s="13"/>
      <c r="E129" s="13"/>
      <c r="F129" s="13"/>
      <c r="G129" s="255"/>
    </row>
    <row r="130" spans="2:7" ht="12.75">
      <c r="B130" s="13"/>
      <c r="C130" s="13"/>
      <c r="D130" s="13"/>
      <c r="E130" s="13"/>
      <c r="F130" s="13"/>
      <c r="G130" s="255"/>
    </row>
    <row r="131" spans="2:7" ht="12.75">
      <c r="B131" s="13"/>
      <c r="C131" s="13"/>
      <c r="D131" s="13"/>
      <c r="E131" s="13"/>
      <c r="F131" s="13"/>
      <c r="G131" s="255"/>
    </row>
    <row r="132" spans="2:7" ht="12.75">
      <c r="B132" s="13"/>
      <c r="C132" s="13"/>
      <c r="D132" s="13"/>
      <c r="E132" s="13"/>
      <c r="F132" s="13"/>
      <c r="G132" s="255"/>
    </row>
    <row r="133" spans="2:7" ht="12.75">
      <c r="B133" s="13"/>
      <c r="C133" s="13"/>
      <c r="D133" s="13"/>
      <c r="E133" s="13"/>
      <c r="F133" s="13"/>
      <c r="G133" s="255"/>
    </row>
    <row r="134" spans="2:7" ht="12.75">
      <c r="B134" s="13"/>
      <c r="C134" s="13"/>
      <c r="D134" s="13"/>
      <c r="E134" s="13"/>
      <c r="F134" s="13"/>
      <c r="G134" s="255"/>
    </row>
    <row r="135" spans="2:7" ht="12.75">
      <c r="B135" s="13"/>
      <c r="C135" s="13"/>
      <c r="D135" s="13"/>
      <c r="E135" s="13"/>
      <c r="F135" s="13"/>
      <c r="G135" s="255"/>
    </row>
    <row r="136" spans="2:7" ht="12.75">
      <c r="B136" s="13"/>
      <c r="C136" s="13"/>
      <c r="D136" s="13"/>
      <c r="E136" s="13"/>
      <c r="F136" s="13"/>
      <c r="G136" s="255"/>
    </row>
    <row r="137" spans="2:7" ht="12.75">
      <c r="B137" s="13"/>
      <c r="C137" s="13"/>
      <c r="D137" s="13"/>
      <c r="E137" s="13"/>
      <c r="F137" s="13"/>
      <c r="G137" s="255"/>
    </row>
    <row r="138" spans="2:7" ht="12.75">
      <c r="B138" s="13"/>
      <c r="C138" s="13"/>
      <c r="D138" s="13"/>
      <c r="E138" s="13"/>
      <c r="F138" s="13"/>
      <c r="G138" s="255"/>
    </row>
    <row r="139" spans="2:7" ht="12.75">
      <c r="B139" s="13"/>
      <c r="C139" s="13"/>
      <c r="D139" s="13"/>
      <c r="E139" s="13"/>
      <c r="F139" s="13"/>
      <c r="G139" s="255"/>
    </row>
    <row r="140" spans="2:7" ht="12.75">
      <c r="B140" s="13"/>
      <c r="C140" s="13"/>
      <c r="D140" s="13"/>
      <c r="E140" s="13"/>
      <c r="F140" s="13"/>
      <c r="G140" s="255"/>
    </row>
    <row r="141" spans="2:7" ht="12.75">
      <c r="B141" s="13"/>
      <c r="C141" s="13"/>
      <c r="D141" s="13"/>
      <c r="E141" s="13"/>
      <c r="F141" s="13"/>
      <c r="G141" s="255"/>
    </row>
    <row r="142" spans="2:7" ht="12.75">
      <c r="B142" s="13"/>
      <c r="C142" s="13"/>
      <c r="D142" s="13"/>
      <c r="E142" s="13"/>
      <c r="F142" s="13"/>
      <c r="G142" s="255"/>
    </row>
    <row r="143" spans="2:7" ht="12.75">
      <c r="B143" s="13"/>
      <c r="C143" s="13"/>
      <c r="D143" s="13"/>
      <c r="E143" s="13"/>
      <c r="F143" s="13"/>
      <c r="G143" s="255"/>
    </row>
    <row r="144" spans="2:7" ht="12.75">
      <c r="B144" s="13"/>
      <c r="C144" s="13"/>
      <c r="D144" s="13"/>
      <c r="E144" s="13"/>
      <c r="F144" s="13"/>
      <c r="G144" s="255"/>
    </row>
    <row r="145" spans="2:7" ht="12.75">
      <c r="B145" s="13"/>
      <c r="C145" s="13"/>
      <c r="D145" s="13"/>
      <c r="E145" s="13"/>
      <c r="F145" s="13"/>
      <c r="G145" s="255"/>
    </row>
    <row r="146" spans="2:7" ht="12.75">
      <c r="B146" s="13"/>
      <c r="C146" s="13"/>
      <c r="D146" s="13"/>
      <c r="E146" s="13"/>
      <c r="F146" s="13"/>
      <c r="G146" s="255"/>
    </row>
    <row r="147" spans="2:7" ht="12.75">
      <c r="B147" s="13"/>
      <c r="C147" s="13"/>
      <c r="D147" s="13"/>
      <c r="E147" s="13"/>
      <c r="F147" s="13"/>
      <c r="G147" s="255"/>
    </row>
    <row r="148" spans="2:7" ht="12.75">
      <c r="B148" s="13"/>
      <c r="C148" s="13"/>
      <c r="D148" s="13"/>
      <c r="E148" s="13"/>
      <c r="F148" s="13"/>
      <c r="G148" s="255"/>
    </row>
    <row r="149" spans="2:7" ht="12.75">
      <c r="B149" s="13"/>
      <c r="C149" s="13"/>
      <c r="D149" s="13"/>
      <c r="E149" s="13"/>
      <c r="F149" s="13"/>
      <c r="G149" s="255"/>
    </row>
    <row r="150" spans="2:7" ht="12.75">
      <c r="B150" s="13"/>
      <c r="C150" s="13"/>
      <c r="D150" s="13"/>
      <c r="E150" s="13"/>
      <c r="F150" s="13"/>
      <c r="G150" s="255"/>
    </row>
    <row r="151" spans="2:7" ht="12.75">
      <c r="B151" s="13"/>
      <c r="C151" s="13"/>
      <c r="D151" s="13"/>
      <c r="E151" s="13"/>
      <c r="F151" s="13"/>
      <c r="G151" s="255"/>
    </row>
    <row r="152" spans="2:7" ht="12.75">
      <c r="B152" s="13"/>
      <c r="C152" s="13"/>
      <c r="D152" s="13"/>
      <c r="E152" s="13"/>
      <c r="F152" s="13"/>
      <c r="G152" s="255"/>
    </row>
    <row r="153" spans="2:7" ht="12.75">
      <c r="B153" s="13"/>
      <c r="C153" s="13"/>
      <c r="D153" s="13"/>
      <c r="E153" s="13"/>
      <c r="F153" s="13"/>
      <c r="G153" s="255"/>
    </row>
    <row r="154" spans="2:7" ht="12.75">
      <c r="B154" s="13"/>
      <c r="C154" s="13"/>
      <c r="D154" s="13"/>
      <c r="E154" s="13"/>
      <c r="F154" s="13"/>
      <c r="G154" s="255"/>
    </row>
    <row r="155" spans="2:7" ht="12.75">
      <c r="B155" s="13"/>
      <c r="C155" s="13"/>
      <c r="D155" s="13"/>
      <c r="E155" s="13"/>
      <c r="F155" s="13"/>
      <c r="G155" s="255"/>
    </row>
    <row r="156" spans="2:7" ht="12.75">
      <c r="B156" s="13"/>
      <c r="C156" s="13"/>
      <c r="D156" s="13"/>
      <c r="E156" s="13"/>
      <c r="F156" s="13"/>
      <c r="G156" s="255"/>
    </row>
    <row r="157" spans="2:7" ht="12.75">
      <c r="B157" s="13"/>
      <c r="C157" s="13"/>
      <c r="D157" s="13"/>
      <c r="E157" s="13"/>
      <c r="F157" s="13"/>
      <c r="G157" s="255"/>
    </row>
    <row r="158" spans="2:7" ht="12.75">
      <c r="B158" s="13"/>
      <c r="C158" s="13"/>
      <c r="D158" s="13"/>
      <c r="E158" s="13"/>
      <c r="F158" s="13"/>
      <c r="G158" s="255"/>
    </row>
    <row r="159" spans="2:7" ht="12.75">
      <c r="B159" s="13"/>
      <c r="C159" s="13"/>
      <c r="D159" s="13"/>
      <c r="E159" s="13"/>
      <c r="F159" s="13"/>
      <c r="G159" s="255"/>
    </row>
    <row r="160" spans="2:7" ht="12.75">
      <c r="B160" s="13"/>
      <c r="C160" s="13"/>
      <c r="D160" s="13"/>
      <c r="E160" s="13"/>
      <c r="F160" s="13"/>
      <c r="G160" s="255"/>
    </row>
    <row r="161" spans="2:7" ht="12.75">
      <c r="B161" s="13"/>
      <c r="C161" s="13"/>
      <c r="D161" s="13"/>
      <c r="E161" s="13"/>
      <c r="F161" s="13"/>
      <c r="G161" s="255"/>
    </row>
    <row r="162" spans="2:7" ht="12.75">
      <c r="B162" s="13"/>
      <c r="C162" s="13"/>
      <c r="D162" s="13"/>
      <c r="E162" s="13"/>
      <c r="F162" s="13"/>
      <c r="G162" s="255"/>
    </row>
    <row r="163" spans="2:7" ht="12.75">
      <c r="B163" s="13"/>
      <c r="C163" s="13"/>
      <c r="D163" s="13"/>
      <c r="E163" s="13"/>
      <c r="F163" s="13"/>
      <c r="G163" s="255"/>
    </row>
    <row r="164" spans="2:7" ht="12.75">
      <c r="B164" s="13"/>
      <c r="C164" s="13"/>
      <c r="D164" s="13"/>
      <c r="E164" s="13"/>
      <c r="F164" s="13"/>
      <c r="G164" s="255"/>
    </row>
    <row r="165" spans="2:7" ht="12.75">
      <c r="B165" s="13"/>
      <c r="C165" s="13"/>
      <c r="D165" s="13"/>
      <c r="E165" s="13"/>
      <c r="F165" s="13"/>
      <c r="G165" s="255"/>
    </row>
    <row r="166" spans="2:7" ht="12.75">
      <c r="B166" s="13"/>
      <c r="C166" s="13"/>
      <c r="D166" s="13"/>
      <c r="E166" s="13"/>
      <c r="F166" s="13"/>
      <c r="G166" s="255"/>
    </row>
    <row r="167" spans="2:7" ht="12.75">
      <c r="B167" s="13"/>
      <c r="C167" s="13"/>
      <c r="D167" s="13"/>
      <c r="E167" s="13"/>
      <c r="F167" s="13"/>
      <c r="G167" s="255"/>
    </row>
    <row r="168" spans="2:7" ht="12.75">
      <c r="B168" s="13"/>
      <c r="C168" s="13"/>
      <c r="D168" s="13"/>
      <c r="E168" s="13"/>
      <c r="F168" s="13"/>
      <c r="G168" s="255"/>
    </row>
    <row r="169" spans="2:7" ht="12.75">
      <c r="B169" s="13"/>
      <c r="C169" s="13"/>
      <c r="D169" s="13"/>
      <c r="E169" s="13"/>
      <c r="F169" s="13"/>
      <c r="G169" s="255"/>
    </row>
    <row r="170" spans="2:7" ht="12.75">
      <c r="B170" s="13"/>
      <c r="C170" s="13"/>
      <c r="D170" s="13"/>
      <c r="E170" s="13"/>
      <c r="F170" s="13"/>
      <c r="G170" s="255"/>
    </row>
    <row r="171" spans="2:7" ht="12.75">
      <c r="B171" s="13"/>
      <c r="C171" s="13"/>
      <c r="D171" s="13"/>
      <c r="E171" s="13"/>
      <c r="F171" s="13"/>
      <c r="G171" s="255"/>
    </row>
    <row r="172" spans="2:7" ht="12.75">
      <c r="B172" s="13"/>
      <c r="C172" s="13"/>
      <c r="D172" s="13"/>
      <c r="E172" s="13"/>
      <c r="F172" s="13"/>
      <c r="G172" s="255"/>
    </row>
    <row r="173" spans="2:7" ht="12.75">
      <c r="B173" s="13"/>
      <c r="C173" s="13"/>
      <c r="D173" s="13"/>
      <c r="E173" s="13"/>
      <c r="F173" s="13"/>
      <c r="G173" s="255"/>
    </row>
    <row r="174" spans="2:7" ht="12.75">
      <c r="B174" s="13"/>
      <c r="C174" s="13"/>
      <c r="D174" s="13"/>
      <c r="E174" s="13"/>
      <c r="F174" s="13"/>
      <c r="G174" s="255"/>
    </row>
    <row r="175" spans="2:7" ht="12.75">
      <c r="B175" s="13"/>
      <c r="C175" s="13"/>
      <c r="D175" s="13"/>
      <c r="E175" s="13"/>
      <c r="F175" s="13"/>
      <c r="G175" s="255"/>
    </row>
    <row r="176" spans="2:7" ht="12.75">
      <c r="B176" s="13"/>
      <c r="C176" s="13"/>
      <c r="D176" s="13"/>
      <c r="E176" s="13"/>
      <c r="F176" s="13"/>
      <c r="G176" s="255"/>
    </row>
    <row r="177" spans="2:7" ht="12.75">
      <c r="B177" s="13"/>
      <c r="C177" s="13"/>
      <c r="D177" s="13"/>
      <c r="E177" s="13"/>
      <c r="F177" s="13"/>
      <c r="G177" s="255"/>
    </row>
    <row r="178" spans="2:7" ht="12.75">
      <c r="B178" s="13"/>
      <c r="C178" s="13"/>
      <c r="D178" s="13"/>
      <c r="E178" s="13"/>
      <c r="F178" s="13"/>
      <c r="G178" s="255"/>
    </row>
    <row r="179" spans="2:7" ht="12.75">
      <c r="B179" s="13"/>
      <c r="C179" s="13"/>
      <c r="D179" s="13"/>
      <c r="E179" s="13"/>
      <c r="F179" s="13"/>
      <c r="G179" s="255"/>
    </row>
    <row r="180" spans="2:7" ht="12.75">
      <c r="B180" s="13"/>
      <c r="C180" s="13"/>
      <c r="D180" s="13"/>
      <c r="E180" s="13"/>
      <c r="F180" s="13"/>
      <c r="G180" s="255"/>
    </row>
    <row r="181" spans="2:7" ht="12.75">
      <c r="B181" s="13"/>
      <c r="C181" s="13"/>
      <c r="D181" s="13"/>
      <c r="E181" s="13"/>
      <c r="F181" s="13"/>
      <c r="G181" s="255"/>
    </row>
    <row r="182" spans="2:7" ht="12.75">
      <c r="B182" s="13"/>
      <c r="C182" s="13"/>
      <c r="D182" s="13"/>
      <c r="E182" s="13"/>
      <c r="F182" s="13"/>
      <c r="G182" s="255"/>
    </row>
    <row r="183" spans="2:7" ht="12.75">
      <c r="B183" s="13"/>
      <c r="C183" s="13"/>
      <c r="D183" s="13"/>
      <c r="E183" s="13"/>
      <c r="F183" s="13"/>
      <c r="G183" s="255"/>
    </row>
    <row r="184" spans="2:7" ht="12.75">
      <c r="B184" s="13"/>
      <c r="C184" s="13"/>
      <c r="D184" s="13"/>
      <c r="E184" s="13"/>
      <c r="F184" s="13"/>
      <c r="G184" s="255"/>
    </row>
    <row r="185" spans="2:7" ht="12.75">
      <c r="B185" s="13"/>
      <c r="C185" s="13"/>
      <c r="D185" s="13"/>
      <c r="E185" s="13"/>
      <c r="F185" s="13"/>
      <c r="G185" s="255"/>
    </row>
    <row r="186" spans="2:7" ht="12.75">
      <c r="B186" s="13"/>
      <c r="C186" s="13"/>
      <c r="D186" s="13"/>
      <c r="E186" s="13"/>
      <c r="F186" s="13"/>
      <c r="G186" s="255"/>
    </row>
    <row r="187" spans="2:7" ht="12.75">
      <c r="B187" s="13"/>
      <c r="C187" s="13"/>
      <c r="D187" s="13"/>
      <c r="E187" s="13"/>
      <c r="F187" s="13"/>
      <c r="G187" s="255"/>
    </row>
    <row r="188" spans="2:7" ht="12.75">
      <c r="B188" s="13"/>
      <c r="C188" s="13"/>
      <c r="D188" s="13"/>
      <c r="E188" s="13"/>
      <c r="F188" s="13"/>
      <c r="G188" s="255"/>
    </row>
    <row r="189" spans="2:7" ht="12.75">
      <c r="B189" s="13"/>
      <c r="C189" s="13"/>
      <c r="D189" s="13"/>
      <c r="E189" s="13"/>
      <c r="F189" s="13"/>
      <c r="G189" s="255"/>
    </row>
    <row r="190" spans="2:7" ht="12.75">
      <c r="B190" s="13"/>
      <c r="C190" s="13"/>
      <c r="D190" s="13"/>
      <c r="E190" s="13"/>
      <c r="F190" s="13"/>
      <c r="G190" s="255"/>
    </row>
    <row r="191" spans="2:7" ht="12.75">
      <c r="B191" s="13"/>
      <c r="C191" s="13"/>
      <c r="D191" s="13"/>
      <c r="E191" s="13"/>
      <c r="F191" s="13"/>
      <c r="G191" s="255"/>
    </row>
    <row r="192" spans="2:7" ht="12.75">
      <c r="B192" s="13"/>
      <c r="C192" s="13"/>
      <c r="D192" s="13"/>
      <c r="E192" s="13"/>
      <c r="F192" s="13"/>
      <c r="G192" s="255"/>
    </row>
    <row r="193" spans="2:7" ht="12.75">
      <c r="B193" s="13"/>
      <c r="C193" s="13"/>
      <c r="D193" s="13"/>
      <c r="E193" s="13"/>
      <c r="F193" s="13"/>
      <c r="G193" s="255"/>
    </row>
    <row r="194" spans="2:7" ht="12.75">
      <c r="B194" s="13"/>
      <c r="C194" s="13"/>
      <c r="D194" s="13"/>
      <c r="E194" s="13"/>
      <c r="F194" s="13"/>
      <c r="G194" s="255"/>
    </row>
    <row r="195" spans="2:7" ht="12.75">
      <c r="B195" s="13"/>
      <c r="C195" s="13"/>
      <c r="D195" s="13"/>
      <c r="E195" s="13"/>
      <c r="F195" s="13"/>
      <c r="G195" s="255"/>
    </row>
    <row r="196" spans="2:7" ht="12.75">
      <c r="B196" s="13"/>
      <c r="C196" s="13"/>
      <c r="D196" s="13"/>
      <c r="E196" s="13"/>
      <c r="F196" s="13"/>
      <c r="G196" s="255"/>
    </row>
    <row r="197" spans="2:7" ht="12.75">
      <c r="B197" s="13"/>
      <c r="C197" s="13"/>
      <c r="D197" s="13"/>
      <c r="E197" s="13"/>
      <c r="F197" s="13"/>
      <c r="G197" s="255"/>
    </row>
    <row r="198" spans="2:7" ht="12.75">
      <c r="B198" s="13"/>
      <c r="C198" s="13"/>
      <c r="D198" s="13"/>
      <c r="E198" s="13"/>
      <c r="F198" s="13"/>
      <c r="G198" s="255"/>
    </row>
    <row r="199" spans="2:7" ht="12.75">
      <c r="B199" s="13"/>
      <c r="C199" s="13"/>
      <c r="D199" s="13"/>
      <c r="E199" s="13"/>
      <c r="F199" s="13"/>
      <c r="G199" s="255"/>
    </row>
    <row r="200" spans="2:7" ht="12.75">
      <c r="B200" s="13"/>
      <c r="C200" s="13"/>
      <c r="D200" s="13"/>
      <c r="E200" s="13"/>
      <c r="F200" s="13"/>
      <c r="G200" s="255"/>
    </row>
    <row r="201" spans="2:7" ht="12.75">
      <c r="B201" s="13"/>
      <c r="C201" s="13"/>
      <c r="D201" s="13"/>
      <c r="E201" s="13"/>
      <c r="F201" s="13"/>
      <c r="G201" s="255"/>
    </row>
    <row r="202" spans="2:7" ht="12.75">
      <c r="B202" s="13"/>
      <c r="C202" s="13"/>
      <c r="D202" s="13"/>
      <c r="E202" s="13"/>
      <c r="F202" s="13"/>
      <c r="G202" s="255"/>
    </row>
    <row r="203" spans="2:7" ht="12.75">
      <c r="B203" s="13"/>
      <c r="C203" s="13"/>
      <c r="D203" s="13"/>
      <c r="E203" s="13"/>
      <c r="F203" s="13"/>
      <c r="G203" s="255"/>
    </row>
    <row r="204" spans="2:7" ht="12.75">
      <c r="B204" s="13"/>
      <c r="C204" s="13"/>
      <c r="D204" s="13"/>
      <c r="E204" s="13"/>
      <c r="F204" s="13"/>
      <c r="G204" s="255"/>
    </row>
    <row r="205" spans="2:7" ht="12.75">
      <c r="B205" s="13"/>
      <c r="C205" s="13"/>
      <c r="D205" s="13"/>
      <c r="E205" s="13"/>
      <c r="F205" s="13"/>
      <c r="G205" s="255"/>
    </row>
    <row r="206" spans="2:7" ht="12.75">
      <c r="B206" s="13"/>
      <c r="C206" s="13"/>
      <c r="D206" s="13"/>
      <c r="E206" s="13"/>
      <c r="F206" s="13"/>
      <c r="G206" s="255"/>
    </row>
    <row r="207" spans="2:7" ht="12.75">
      <c r="B207" s="13"/>
      <c r="C207" s="13"/>
      <c r="D207" s="13"/>
      <c r="E207" s="13"/>
      <c r="F207" s="13"/>
      <c r="G207" s="255"/>
    </row>
    <row r="208" spans="2:7" ht="12.75">
      <c r="B208" s="13"/>
      <c r="C208" s="13"/>
      <c r="D208" s="13"/>
      <c r="E208" s="13"/>
      <c r="F208" s="13"/>
      <c r="G208" s="255"/>
    </row>
    <row r="209" spans="2:7" ht="12.75">
      <c r="B209" s="13"/>
      <c r="C209" s="13"/>
      <c r="D209" s="13"/>
      <c r="E209" s="13"/>
      <c r="F209" s="13"/>
      <c r="G209" s="255"/>
    </row>
    <row r="210" spans="2:7" ht="12.75">
      <c r="B210" s="13"/>
      <c r="C210" s="13"/>
      <c r="D210" s="13"/>
      <c r="E210" s="13"/>
      <c r="F210" s="13"/>
      <c r="G210" s="255"/>
    </row>
    <row r="211" spans="2:7" ht="12.75">
      <c r="B211" s="13"/>
      <c r="C211" s="13"/>
      <c r="D211" s="13"/>
      <c r="E211" s="13"/>
      <c r="F211" s="13"/>
      <c r="G211" s="255"/>
    </row>
    <row r="212" spans="2:7" ht="12.75">
      <c r="B212" s="13"/>
      <c r="C212" s="13"/>
      <c r="D212" s="13"/>
      <c r="E212" s="13"/>
      <c r="F212" s="13"/>
      <c r="G212" s="255"/>
    </row>
    <row r="213" spans="2:7" ht="12.75">
      <c r="B213" s="13"/>
      <c r="C213" s="13"/>
      <c r="D213" s="13"/>
      <c r="E213" s="13"/>
      <c r="F213" s="13"/>
      <c r="G213" s="255"/>
    </row>
    <row r="214" spans="2:7" ht="12.75">
      <c r="B214" s="13"/>
      <c r="C214" s="13"/>
      <c r="D214" s="13"/>
      <c r="E214" s="13"/>
      <c r="F214" s="13"/>
      <c r="G214" s="255"/>
    </row>
    <row r="215" spans="2:7" ht="12.75">
      <c r="B215" s="13"/>
      <c r="C215" s="13"/>
      <c r="D215" s="13"/>
      <c r="E215" s="13"/>
      <c r="F215" s="13"/>
      <c r="G215" s="255"/>
    </row>
    <row r="216" spans="2:7" ht="12.75">
      <c r="B216" s="13"/>
      <c r="C216" s="13"/>
      <c r="D216" s="13"/>
      <c r="E216" s="13"/>
      <c r="F216" s="13"/>
      <c r="G216" s="255"/>
    </row>
    <row r="217" spans="2:7" ht="12.75">
      <c r="B217" s="13"/>
      <c r="C217" s="13"/>
      <c r="D217" s="13"/>
      <c r="E217" s="13"/>
      <c r="F217" s="13"/>
      <c r="G217" s="255"/>
    </row>
    <row r="218" spans="2:7" ht="12.75">
      <c r="B218" s="13"/>
      <c r="C218" s="13"/>
      <c r="D218" s="13"/>
      <c r="E218" s="13"/>
      <c r="F218" s="13"/>
      <c r="G218" s="255"/>
    </row>
    <row r="219" spans="2:7" ht="12.75">
      <c r="B219" s="13"/>
      <c r="C219" s="13"/>
      <c r="D219" s="13"/>
      <c r="E219" s="13"/>
      <c r="F219" s="13"/>
      <c r="G219" s="255"/>
    </row>
    <row r="220" spans="2:7" ht="12.75">
      <c r="B220" s="13"/>
      <c r="C220" s="13"/>
      <c r="D220" s="13"/>
      <c r="E220" s="13"/>
      <c r="F220" s="13"/>
      <c r="G220" s="255"/>
    </row>
    <row r="221" spans="2:7" ht="12.75">
      <c r="B221" s="13"/>
      <c r="C221" s="13"/>
      <c r="D221" s="13"/>
      <c r="E221" s="13"/>
      <c r="F221" s="13"/>
      <c r="G221" s="255"/>
    </row>
    <row r="222" spans="2:7" ht="12.75">
      <c r="B222" s="13"/>
      <c r="C222" s="13"/>
      <c r="D222" s="13"/>
      <c r="E222" s="13"/>
      <c r="F222" s="13"/>
      <c r="G222" s="255"/>
    </row>
    <row r="223" spans="2:7" ht="12.75">
      <c r="B223" s="13"/>
      <c r="C223" s="13"/>
      <c r="D223" s="13"/>
      <c r="E223" s="13"/>
      <c r="F223" s="13"/>
      <c r="G223" s="255"/>
    </row>
    <row r="224" spans="2:7" ht="12.75">
      <c r="B224" s="13"/>
      <c r="C224" s="13"/>
      <c r="D224" s="13"/>
      <c r="E224" s="13"/>
      <c r="F224" s="13"/>
      <c r="G224" s="255"/>
    </row>
    <row r="225" spans="2:7" ht="12.75">
      <c r="B225" s="13"/>
      <c r="C225" s="13"/>
      <c r="D225" s="13"/>
      <c r="E225" s="13"/>
      <c r="F225" s="13"/>
      <c r="G225" s="255"/>
    </row>
    <row r="226" spans="2:7" ht="12.75">
      <c r="B226" s="13"/>
      <c r="C226" s="13"/>
      <c r="D226" s="13"/>
      <c r="E226" s="13"/>
      <c r="F226" s="13"/>
      <c r="G226" s="255"/>
    </row>
    <row r="227" spans="2:7" ht="12.75">
      <c r="B227" s="13"/>
      <c r="C227" s="13"/>
      <c r="D227" s="13"/>
      <c r="E227" s="13"/>
      <c r="F227" s="13"/>
      <c r="G227" s="255"/>
    </row>
    <row r="228" spans="2:7" ht="12.75">
      <c r="B228" s="13"/>
      <c r="C228" s="13"/>
      <c r="D228" s="13"/>
      <c r="E228" s="13"/>
      <c r="F228" s="13"/>
      <c r="G228" s="255"/>
    </row>
    <row r="229" spans="2:7" ht="12.75">
      <c r="B229" s="13"/>
      <c r="C229" s="13"/>
      <c r="D229" s="13"/>
      <c r="E229" s="13"/>
      <c r="F229" s="13"/>
      <c r="G229" s="255"/>
    </row>
    <row r="230" spans="2:7" ht="12.75">
      <c r="B230" s="13"/>
      <c r="C230" s="13"/>
      <c r="D230" s="13"/>
      <c r="E230" s="13"/>
      <c r="F230" s="13"/>
      <c r="G230" s="255"/>
    </row>
    <row r="231" spans="2:7" ht="12.75">
      <c r="B231" s="13"/>
      <c r="C231" s="13"/>
      <c r="D231" s="13"/>
      <c r="E231" s="13"/>
      <c r="F231" s="13"/>
      <c r="G231" s="255"/>
    </row>
    <row r="232" spans="2:7" ht="12.75">
      <c r="B232" s="13"/>
      <c r="C232" s="13"/>
      <c r="D232" s="13"/>
      <c r="E232" s="13"/>
      <c r="F232" s="13"/>
      <c r="G232" s="255"/>
    </row>
    <row r="233" spans="2:7" ht="12.75">
      <c r="B233" s="13"/>
      <c r="C233" s="13"/>
      <c r="D233" s="13"/>
      <c r="E233" s="13"/>
      <c r="F233" s="13"/>
      <c r="G233" s="255"/>
    </row>
    <row r="234" spans="2:7" ht="12.75">
      <c r="B234" s="13"/>
      <c r="C234" s="13"/>
      <c r="D234" s="13"/>
      <c r="E234" s="13"/>
      <c r="F234" s="13"/>
      <c r="G234" s="255"/>
    </row>
    <row r="235" spans="2:7" ht="12.75">
      <c r="B235" s="13"/>
      <c r="C235" s="13"/>
      <c r="D235" s="13"/>
      <c r="E235" s="13"/>
      <c r="F235" s="13"/>
      <c r="G235" s="255"/>
    </row>
    <row r="236" spans="2:7" ht="12.75">
      <c r="B236" s="13"/>
      <c r="C236" s="13"/>
      <c r="D236" s="13"/>
      <c r="E236" s="13"/>
      <c r="F236" s="13"/>
      <c r="G236" s="255"/>
    </row>
    <row r="237" spans="2:7" ht="12.75">
      <c r="B237" s="13"/>
      <c r="C237" s="13"/>
      <c r="D237" s="13"/>
      <c r="E237" s="13"/>
      <c r="F237" s="13"/>
      <c r="G237" s="255"/>
    </row>
    <row r="238" spans="2:7" ht="12.75">
      <c r="B238" s="13"/>
      <c r="C238" s="13"/>
      <c r="D238" s="13"/>
      <c r="E238" s="13"/>
      <c r="F238" s="13"/>
      <c r="G238" s="255"/>
    </row>
    <row r="239" spans="2:7" ht="12.75">
      <c r="B239" s="13"/>
      <c r="C239" s="13"/>
      <c r="D239" s="13"/>
      <c r="E239" s="13"/>
      <c r="F239" s="13"/>
      <c r="G239" s="255"/>
    </row>
    <row r="240" spans="2:7" ht="12.75">
      <c r="B240" s="13"/>
      <c r="C240" s="13"/>
      <c r="D240" s="13"/>
      <c r="E240" s="13"/>
      <c r="F240" s="13"/>
      <c r="G240" s="255"/>
    </row>
    <row r="241" spans="2:7" ht="12.75">
      <c r="B241" s="13"/>
      <c r="C241" s="13"/>
      <c r="D241" s="13"/>
      <c r="E241" s="13"/>
      <c r="F241" s="13"/>
      <c r="G241" s="255"/>
    </row>
    <row r="242" spans="2:7" ht="12.75">
      <c r="B242" s="13"/>
      <c r="C242" s="13"/>
      <c r="D242" s="13"/>
      <c r="E242" s="13"/>
      <c r="F242" s="13"/>
      <c r="G242" s="255"/>
    </row>
    <row r="243" spans="2:7" ht="12.75">
      <c r="B243" s="13"/>
      <c r="C243" s="13"/>
      <c r="D243" s="13"/>
      <c r="E243" s="13"/>
      <c r="F243" s="13"/>
      <c r="G243" s="255"/>
    </row>
    <row r="244" spans="2:7" ht="12.75">
      <c r="B244" s="13"/>
      <c r="C244" s="13"/>
      <c r="D244" s="13"/>
      <c r="E244" s="13"/>
      <c r="F244" s="13"/>
      <c r="G244" s="255"/>
    </row>
    <row r="245" spans="2:7" ht="12.75">
      <c r="B245" s="13"/>
      <c r="C245" s="13"/>
      <c r="D245" s="13"/>
      <c r="E245" s="13"/>
      <c r="F245" s="13"/>
      <c r="G245" s="255"/>
    </row>
    <row r="246" spans="2:7" ht="12.75">
      <c r="B246" s="13"/>
      <c r="C246" s="13"/>
      <c r="D246" s="13"/>
      <c r="E246" s="13"/>
      <c r="F246" s="13"/>
      <c r="G246" s="255"/>
    </row>
    <row r="247" spans="2:7" ht="12.75">
      <c r="B247" s="13"/>
      <c r="C247" s="13"/>
      <c r="D247" s="13"/>
      <c r="E247" s="13"/>
      <c r="F247" s="13"/>
      <c r="G247" s="255"/>
    </row>
    <row r="248" spans="2:7" ht="12.75">
      <c r="B248" s="13"/>
      <c r="C248" s="13"/>
      <c r="D248" s="13"/>
      <c r="E248" s="13"/>
      <c r="F248" s="13"/>
      <c r="G248" s="255"/>
    </row>
    <row r="249" spans="2:7" ht="12.75">
      <c r="B249" s="13"/>
      <c r="C249" s="13"/>
      <c r="D249" s="13"/>
      <c r="E249" s="13"/>
      <c r="F249" s="13"/>
      <c r="G249" s="255"/>
    </row>
    <row r="250" spans="2:7" ht="12.75">
      <c r="B250" s="13"/>
      <c r="C250" s="13"/>
      <c r="D250" s="13"/>
      <c r="E250" s="13"/>
      <c r="F250" s="13"/>
      <c r="G250" s="255"/>
    </row>
    <row r="251" spans="2:7" ht="12.75">
      <c r="B251" s="13"/>
      <c r="C251" s="13"/>
      <c r="D251" s="13"/>
      <c r="E251" s="13"/>
      <c r="F251" s="13"/>
      <c r="G251" s="255"/>
    </row>
    <row r="252" spans="2:7" ht="12.75">
      <c r="B252" s="13"/>
      <c r="C252" s="13"/>
      <c r="D252" s="13"/>
      <c r="E252" s="13"/>
      <c r="F252" s="13"/>
      <c r="G252" s="255"/>
    </row>
    <row r="253" spans="2:7" ht="12.75">
      <c r="B253" s="13"/>
      <c r="C253" s="13"/>
      <c r="D253" s="13"/>
      <c r="E253" s="13"/>
      <c r="F253" s="13"/>
      <c r="G253" s="255"/>
    </row>
    <row r="254" spans="2:7" ht="12.75">
      <c r="B254" s="13"/>
      <c r="C254" s="13"/>
      <c r="D254" s="13"/>
      <c r="E254" s="13"/>
      <c r="F254" s="13"/>
      <c r="G254" s="255"/>
    </row>
    <row r="255" spans="2:7" ht="12.75">
      <c r="B255" s="13"/>
      <c r="C255" s="13"/>
      <c r="D255" s="13"/>
      <c r="E255" s="13"/>
      <c r="F255" s="13"/>
      <c r="G255" s="255"/>
    </row>
    <row r="256" spans="2:7" ht="12.75">
      <c r="B256" s="13"/>
      <c r="C256" s="13"/>
      <c r="D256" s="13"/>
      <c r="E256" s="13"/>
      <c r="F256" s="13"/>
      <c r="G256" s="255"/>
    </row>
    <row r="257" spans="2:7" ht="12.75">
      <c r="B257" s="13"/>
      <c r="C257" s="13"/>
      <c r="D257" s="13"/>
      <c r="E257" s="13"/>
      <c r="F257" s="13"/>
      <c r="G257" s="255"/>
    </row>
    <row r="258" spans="2:7" ht="12.75">
      <c r="B258" s="13"/>
      <c r="C258" s="13"/>
      <c r="D258" s="13"/>
      <c r="E258" s="13"/>
      <c r="F258" s="13"/>
      <c r="G258" s="255"/>
    </row>
    <row r="259" spans="2:7" ht="12.75">
      <c r="B259" s="13"/>
      <c r="C259" s="13"/>
      <c r="D259" s="13"/>
      <c r="E259" s="13"/>
      <c r="F259" s="13"/>
      <c r="G259" s="255"/>
    </row>
    <row r="260" spans="2:7" ht="12.75">
      <c r="B260" s="13"/>
      <c r="C260" s="13"/>
      <c r="D260" s="13"/>
      <c r="E260" s="13"/>
      <c r="F260" s="13"/>
      <c r="G260" s="255"/>
    </row>
    <row r="261" spans="2:7" ht="12.75">
      <c r="B261" s="13"/>
      <c r="C261" s="13"/>
      <c r="D261" s="13"/>
      <c r="E261" s="13"/>
      <c r="F261" s="13"/>
      <c r="G261" s="255"/>
    </row>
    <row r="262" spans="2:7" ht="12.75">
      <c r="B262" s="13"/>
      <c r="C262" s="13"/>
      <c r="D262" s="13"/>
      <c r="E262" s="13"/>
      <c r="F262" s="13"/>
      <c r="G262" s="255"/>
    </row>
    <row r="263" spans="2:7" ht="12.75">
      <c r="B263" s="13"/>
      <c r="C263" s="13"/>
      <c r="D263" s="13"/>
      <c r="E263" s="13"/>
      <c r="F263" s="13"/>
      <c r="G263" s="255"/>
    </row>
    <row r="264" spans="2:7" ht="12.75">
      <c r="B264" s="13"/>
      <c r="C264" s="13"/>
      <c r="D264" s="13"/>
      <c r="E264" s="13"/>
      <c r="F264" s="13"/>
      <c r="G264" s="255"/>
    </row>
    <row r="265" spans="2:7" ht="12.75">
      <c r="B265" s="13"/>
      <c r="C265" s="13"/>
      <c r="D265" s="13"/>
      <c r="E265" s="13"/>
      <c r="F265" s="13"/>
      <c r="G265" s="255"/>
    </row>
    <row r="266" spans="2:7" ht="12.75">
      <c r="B266" s="13"/>
      <c r="C266" s="13"/>
      <c r="D266" s="13"/>
      <c r="E266" s="13"/>
      <c r="F266" s="13"/>
      <c r="G266" s="255"/>
    </row>
    <row r="267" spans="2:7" ht="12.75">
      <c r="B267" s="13"/>
      <c r="C267" s="13"/>
      <c r="D267" s="13"/>
      <c r="E267" s="13"/>
      <c r="F267" s="13"/>
      <c r="G267" s="255"/>
    </row>
    <row r="268" spans="2:7" ht="12.75">
      <c r="B268" s="13"/>
      <c r="C268" s="13"/>
      <c r="D268" s="13"/>
      <c r="E268" s="13"/>
      <c r="F268" s="13"/>
      <c r="G268" s="255"/>
    </row>
    <row r="269" spans="2:7" ht="12.75">
      <c r="B269" s="13"/>
      <c r="C269" s="13"/>
      <c r="D269" s="13"/>
      <c r="E269" s="13"/>
      <c r="F269" s="13"/>
      <c r="G269" s="255"/>
    </row>
    <row r="270" spans="2:7" ht="12.75">
      <c r="B270" s="13"/>
      <c r="C270" s="13"/>
      <c r="D270" s="13"/>
      <c r="E270" s="13"/>
      <c r="F270" s="13"/>
      <c r="G270" s="255"/>
    </row>
    <row r="271" spans="2:7" ht="12.75">
      <c r="B271" s="13"/>
      <c r="C271" s="13"/>
      <c r="D271" s="13"/>
      <c r="E271" s="13"/>
      <c r="F271" s="13"/>
      <c r="G271" s="255"/>
    </row>
    <row r="272" spans="2:7" ht="12.75">
      <c r="B272" s="13"/>
      <c r="C272" s="13"/>
      <c r="D272" s="13"/>
      <c r="E272" s="13"/>
      <c r="F272" s="13"/>
      <c r="G272" s="255"/>
    </row>
    <row r="273" spans="2:7" ht="12.75">
      <c r="B273" s="13"/>
      <c r="C273" s="13"/>
      <c r="D273" s="13"/>
      <c r="E273" s="13"/>
      <c r="F273" s="13"/>
      <c r="G273" s="255"/>
    </row>
    <row r="274" spans="2:7" ht="12.75">
      <c r="B274" s="13"/>
      <c r="C274" s="13"/>
      <c r="D274" s="13"/>
      <c r="E274" s="13"/>
      <c r="F274" s="13"/>
      <c r="G274" s="255"/>
    </row>
    <row r="275" spans="2:7" ht="12.75">
      <c r="B275" s="13"/>
      <c r="C275" s="13"/>
      <c r="D275" s="13"/>
      <c r="E275" s="13"/>
      <c r="F275" s="13"/>
      <c r="G275" s="255"/>
    </row>
    <row r="276" spans="2:7" ht="12.75">
      <c r="B276" s="13"/>
      <c r="C276" s="13"/>
      <c r="D276" s="13"/>
      <c r="E276" s="13"/>
      <c r="F276" s="13"/>
      <c r="G276" s="255"/>
    </row>
    <row r="277" spans="2:7" ht="12.75">
      <c r="B277" s="13"/>
      <c r="C277" s="13"/>
      <c r="D277" s="13"/>
      <c r="E277" s="13"/>
      <c r="F277" s="13"/>
      <c r="G277" s="255"/>
    </row>
    <row r="278" spans="2:7" ht="12.75">
      <c r="B278" s="13"/>
      <c r="C278" s="13"/>
      <c r="D278" s="13"/>
      <c r="E278" s="13"/>
      <c r="F278" s="13"/>
      <c r="G278" s="255"/>
    </row>
    <row r="279" spans="2:7" ht="12.75">
      <c r="B279" s="13"/>
      <c r="C279" s="13"/>
      <c r="D279" s="13"/>
      <c r="E279" s="13"/>
      <c r="F279" s="13"/>
      <c r="G279" s="255"/>
    </row>
    <row r="280" spans="2:7" ht="12.75">
      <c r="B280" s="13"/>
      <c r="C280" s="13"/>
      <c r="D280" s="13"/>
      <c r="E280" s="13"/>
      <c r="F280" s="13"/>
      <c r="G280" s="255"/>
    </row>
    <row r="281" spans="2:7" ht="12.75">
      <c r="B281" s="13"/>
      <c r="C281" s="13"/>
      <c r="D281" s="13"/>
      <c r="E281" s="13"/>
      <c r="F281" s="13"/>
      <c r="G281" s="255"/>
    </row>
    <row r="282" spans="2:7" ht="12.75">
      <c r="B282" s="13"/>
      <c r="C282" s="13"/>
      <c r="D282" s="13"/>
      <c r="E282" s="13"/>
      <c r="F282" s="13"/>
      <c r="G282" s="255"/>
    </row>
    <row r="283" spans="2:7" ht="12.75">
      <c r="B283" s="13"/>
      <c r="C283" s="13"/>
      <c r="D283" s="13"/>
      <c r="E283" s="13"/>
      <c r="F283" s="13"/>
      <c r="G283" s="255"/>
    </row>
    <row r="284" spans="2:7" ht="12.75">
      <c r="B284" s="13"/>
      <c r="C284" s="13"/>
      <c r="D284" s="13"/>
      <c r="E284" s="13"/>
      <c r="F284" s="13"/>
      <c r="G284" s="255"/>
    </row>
    <row r="285" spans="2:7" ht="12.75">
      <c r="B285" s="13"/>
      <c r="C285" s="13"/>
      <c r="D285" s="13"/>
      <c r="E285" s="13"/>
      <c r="F285" s="13"/>
      <c r="G285" s="255"/>
    </row>
    <row r="286" spans="2:7" ht="12.75">
      <c r="B286" s="13"/>
      <c r="C286" s="13"/>
      <c r="D286" s="13"/>
      <c r="E286" s="13"/>
      <c r="F286" s="13"/>
      <c r="G286" s="255"/>
    </row>
    <row r="287" spans="2:7" ht="12.75">
      <c r="B287" s="13"/>
      <c r="C287" s="13"/>
      <c r="D287" s="13"/>
      <c r="E287" s="13"/>
      <c r="F287" s="13"/>
      <c r="G287" s="255"/>
    </row>
    <row r="288" spans="2:7" ht="12.75">
      <c r="B288" s="13"/>
      <c r="C288" s="13"/>
      <c r="D288" s="13"/>
      <c r="E288" s="13"/>
      <c r="F288" s="13"/>
      <c r="G288" s="255"/>
    </row>
    <row r="289" spans="2:7" ht="12.75">
      <c r="B289" s="13"/>
      <c r="C289" s="13"/>
      <c r="D289" s="13"/>
      <c r="E289" s="13"/>
      <c r="F289" s="13"/>
      <c r="G289" s="255"/>
    </row>
    <row r="290" spans="2:7" ht="12.75">
      <c r="B290" s="13"/>
      <c r="C290" s="13"/>
      <c r="D290" s="13"/>
      <c r="E290" s="13"/>
      <c r="F290" s="13"/>
      <c r="G290" s="255"/>
    </row>
    <row r="291" spans="2:7" ht="12.75">
      <c r="B291" s="13"/>
      <c r="C291" s="13"/>
      <c r="D291" s="13"/>
      <c r="E291" s="13"/>
      <c r="F291" s="13"/>
      <c r="G291" s="255"/>
    </row>
    <row r="292" spans="2:7" ht="12.75">
      <c r="B292" s="13"/>
      <c r="C292" s="13"/>
      <c r="D292" s="13"/>
      <c r="E292" s="13"/>
      <c r="F292" s="13"/>
      <c r="G292" s="255"/>
    </row>
    <row r="293" spans="2:7" ht="12.75">
      <c r="B293" s="13"/>
      <c r="C293" s="13"/>
      <c r="D293" s="13"/>
      <c r="E293" s="13"/>
      <c r="F293" s="13"/>
      <c r="G293" s="255"/>
    </row>
    <row r="294" spans="2:7" ht="12.75">
      <c r="B294" s="13"/>
      <c r="C294" s="13"/>
      <c r="D294" s="13"/>
      <c r="E294" s="13"/>
      <c r="F294" s="13"/>
      <c r="G294" s="255"/>
    </row>
    <row r="295" spans="2:7" ht="12.75">
      <c r="B295" s="13"/>
      <c r="C295" s="13"/>
      <c r="D295" s="13"/>
      <c r="E295" s="13"/>
      <c r="F295" s="13"/>
      <c r="G295" s="255"/>
    </row>
    <row r="296" spans="2:7" ht="12.75">
      <c r="B296" s="13"/>
      <c r="C296" s="13"/>
      <c r="D296" s="13"/>
      <c r="E296" s="13"/>
      <c r="F296" s="13"/>
      <c r="G296" s="255"/>
    </row>
    <row r="297" spans="2:7" ht="12.75">
      <c r="B297" s="13"/>
      <c r="C297" s="13"/>
      <c r="D297" s="13"/>
      <c r="E297" s="13"/>
      <c r="F297" s="13"/>
      <c r="G297" s="255"/>
    </row>
    <row r="298" spans="2:7" ht="12.75">
      <c r="B298" s="13"/>
      <c r="C298" s="13"/>
      <c r="D298" s="13"/>
      <c r="E298" s="13"/>
      <c r="F298" s="13"/>
      <c r="G298" s="255"/>
    </row>
    <row r="299" spans="2:7" ht="12.75">
      <c r="B299" s="13"/>
      <c r="C299" s="13"/>
      <c r="D299" s="13"/>
      <c r="E299" s="13"/>
      <c r="F299" s="13"/>
      <c r="G299" s="255"/>
    </row>
    <row r="300" spans="2:7" ht="12.75">
      <c r="B300" s="13"/>
      <c r="C300" s="13"/>
      <c r="D300" s="13"/>
      <c r="E300" s="13"/>
      <c r="F300" s="13"/>
      <c r="G300" s="255"/>
    </row>
    <row r="301" spans="2:7" ht="12.75">
      <c r="B301" s="13"/>
      <c r="C301" s="13"/>
      <c r="D301" s="13"/>
      <c r="E301" s="13"/>
      <c r="F301" s="13"/>
      <c r="G301" s="255"/>
    </row>
    <row r="302" spans="2:7" ht="12.75">
      <c r="B302" s="13"/>
      <c r="C302" s="13"/>
      <c r="D302" s="13"/>
      <c r="E302" s="13"/>
      <c r="F302" s="13"/>
      <c r="G302" s="255"/>
    </row>
    <row r="303" spans="2:7" ht="12.75">
      <c r="B303" s="13"/>
      <c r="C303" s="13"/>
      <c r="D303" s="13"/>
      <c r="E303" s="13"/>
      <c r="F303" s="13"/>
      <c r="G303" s="255"/>
    </row>
    <row r="304" spans="2:7" ht="12.75">
      <c r="B304" s="13"/>
      <c r="C304" s="13"/>
      <c r="D304" s="13"/>
      <c r="E304" s="13"/>
      <c r="F304" s="13"/>
      <c r="G304" s="255"/>
    </row>
    <row r="305" spans="2:7" ht="12.75">
      <c r="B305" s="13"/>
      <c r="C305" s="13"/>
      <c r="D305" s="13"/>
      <c r="E305" s="13"/>
      <c r="F305" s="13"/>
      <c r="G305" s="255"/>
    </row>
    <row r="306" spans="2:7" ht="12.75">
      <c r="B306" s="13"/>
      <c r="C306" s="13"/>
      <c r="D306" s="13"/>
      <c r="E306" s="13"/>
      <c r="F306" s="13"/>
      <c r="G306" s="255"/>
    </row>
    <row r="307" spans="2:7" ht="12.75">
      <c r="B307" s="13"/>
      <c r="C307" s="13"/>
      <c r="D307" s="13"/>
      <c r="E307" s="13"/>
      <c r="F307" s="13"/>
      <c r="G307" s="255"/>
    </row>
    <row r="308" spans="2:7" ht="12.75">
      <c r="B308" s="13"/>
      <c r="C308" s="13"/>
      <c r="D308" s="13"/>
      <c r="E308" s="13"/>
      <c r="F308" s="13"/>
      <c r="G308" s="255"/>
    </row>
    <row r="309" spans="2:7" ht="12.75">
      <c r="B309" s="13"/>
      <c r="C309" s="13"/>
      <c r="D309" s="13"/>
      <c r="E309" s="13"/>
      <c r="F309" s="13"/>
      <c r="G309" s="255"/>
    </row>
    <row r="310" spans="2:7" ht="12.75">
      <c r="B310" s="13"/>
      <c r="C310" s="13"/>
      <c r="D310" s="13"/>
      <c r="E310" s="13"/>
      <c r="F310" s="13"/>
      <c r="G310" s="255"/>
    </row>
    <row r="311" spans="2:7" ht="12.75">
      <c r="B311" s="13"/>
      <c r="C311" s="13"/>
      <c r="D311" s="13"/>
      <c r="E311" s="13"/>
      <c r="F311" s="13"/>
      <c r="G311" s="255"/>
    </row>
    <row r="312" spans="2:7" ht="12.75">
      <c r="B312" s="13"/>
      <c r="C312" s="13"/>
      <c r="D312" s="13"/>
      <c r="E312" s="13"/>
      <c r="F312" s="13"/>
      <c r="G312" s="255"/>
    </row>
    <row r="313" spans="2:7" ht="12.75">
      <c r="B313" s="13"/>
      <c r="C313" s="13"/>
      <c r="D313" s="13"/>
      <c r="E313" s="13"/>
      <c r="F313" s="13"/>
      <c r="G313" s="255"/>
    </row>
    <row r="314" spans="2:7" ht="12.75">
      <c r="B314" s="13"/>
      <c r="C314" s="13"/>
      <c r="D314" s="13"/>
      <c r="E314" s="13"/>
      <c r="F314" s="13"/>
      <c r="G314" s="255"/>
    </row>
    <row r="315" spans="2:7" ht="12.75">
      <c r="B315" s="13"/>
      <c r="C315" s="13"/>
      <c r="D315" s="13"/>
      <c r="E315" s="13"/>
      <c r="F315" s="13"/>
      <c r="G315" s="255"/>
    </row>
    <row r="316" spans="2:7" ht="12.75">
      <c r="B316" s="13"/>
      <c r="C316" s="13"/>
      <c r="D316" s="13"/>
      <c r="E316" s="13"/>
      <c r="F316" s="13"/>
      <c r="G316" s="255"/>
    </row>
    <row r="317" spans="2:7" ht="12.75">
      <c r="B317" s="13"/>
      <c r="C317" s="13"/>
      <c r="D317" s="13"/>
      <c r="E317" s="13"/>
      <c r="F317" s="13"/>
      <c r="G317" s="255"/>
    </row>
    <row r="318" spans="2:7" ht="12.75">
      <c r="B318" s="13"/>
      <c r="C318" s="13"/>
      <c r="D318" s="13"/>
      <c r="E318" s="13"/>
      <c r="F318" s="13"/>
      <c r="G318" s="255"/>
    </row>
    <row r="319" spans="2:7" ht="12.75">
      <c r="B319" s="13"/>
      <c r="C319" s="13"/>
      <c r="D319" s="13"/>
      <c r="E319" s="13"/>
      <c r="F319" s="13"/>
      <c r="G319" s="255"/>
    </row>
    <row r="320" spans="2:7" ht="12.75">
      <c r="B320" s="13"/>
      <c r="C320" s="13"/>
      <c r="D320" s="13"/>
      <c r="E320" s="13"/>
      <c r="F320" s="13"/>
      <c r="G320" s="255"/>
    </row>
    <row r="321" spans="2:7" ht="12.75">
      <c r="B321" s="13"/>
      <c r="C321" s="13"/>
      <c r="D321" s="13"/>
      <c r="E321" s="13"/>
      <c r="F321" s="13"/>
      <c r="G321" s="255"/>
    </row>
    <row r="322" spans="2:7" ht="12.75">
      <c r="B322" s="13"/>
      <c r="C322" s="13"/>
      <c r="D322" s="13"/>
      <c r="E322" s="13"/>
      <c r="F322" s="13"/>
      <c r="G322" s="255"/>
    </row>
    <row r="323" spans="2:7" ht="12.75">
      <c r="B323" s="13"/>
      <c r="C323" s="13"/>
      <c r="D323" s="13"/>
      <c r="E323" s="13"/>
      <c r="F323" s="13"/>
      <c r="G323" s="255"/>
    </row>
    <row r="324" spans="2:7" ht="12.75">
      <c r="B324" s="13"/>
      <c r="C324" s="13"/>
      <c r="D324" s="13"/>
      <c r="E324" s="13"/>
      <c r="F324" s="13"/>
      <c r="G324" s="255"/>
    </row>
    <row r="325" spans="2:7" ht="12.75">
      <c r="B325" s="13"/>
      <c r="C325" s="13"/>
      <c r="D325" s="13"/>
      <c r="E325" s="13"/>
      <c r="F325" s="13"/>
      <c r="G325" s="255"/>
    </row>
    <row r="326" spans="2:7" ht="12.75">
      <c r="B326" s="13"/>
      <c r="C326" s="13"/>
      <c r="D326" s="13"/>
      <c r="E326" s="13"/>
      <c r="F326" s="13"/>
      <c r="G326" s="255"/>
    </row>
    <row r="327" spans="2:7" ht="12.75">
      <c r="B327" s="13"/>
      <c r="C327" s="13"/>
      <c r="D327" s="13"/>
      <c r="E327" s="13"/>
      <c r="F327" s="13"/>
      <c r="G327" s="255"/>
    </row>
    <row r="328" spans="2:7" ht="12.75">
      <c r="B328" s="13"/>
      <c r="C328" s="13"/>
      <c r="D328" s="13"/>
      <c r="E328" s="13"/>
      <c r="F328" s="13"/>
      <c r="G328" s="255"/>
    </row>
    <row r="329" spans="2:7" ht="12.75">
      <c r="B329" s="13"/>
      <c r="C329" s="13"/>
      <c r="D329" s="13"/>
      <c r="E329" s="13"/>
      <c r="F329" s="13"/>
      <c r="G329" s="255"/>
    </row>
    <row r="330" spans="2:7" ht="12.75">
      <c r="B330" s="13"/>
      <c r="C330" s="13"/>
      <c r="D330" s="13"/>
      <c r="E330" s="13"/>
      <c r="F330" s="13"/>
      <c r="G330" s="255"/>
    </row>
    <row r="331" spans="2:7" ht="12.75">
      <c r="B331" s="13"/>
      <c r="C331" s="13"/>
      <c r="D331" s="13"/>
      <c r="E331" s="13"/>
      <c r="F331" s="13"/>
      <c r="G331" s="255"/>
    </row>
    <row r="332" spans="2:7" ht="12.75">
      <c r="B332" s="13"/>
      <c r="C332" s="13"/>
      <c r="D332" s="13"/>
      <c r="E332" s="13"/>
      <c r="F332" s="13"/>
      <c r="G332" s="255"/>
    </row>
    <row r="333" spans="2:7" ht="12.75">
      <c r="B333" s="13"/>
      <c r="C333" s="13"/>
      <c r="D333" s="13"/>
      <c r="E333" s="13"/>
      <c r="F333" s="13"/>
      <c r="G333" s="255"/>
    </row>
    <row r="334" spans="2:7" ht="12.75">
      <c r="B334" s="13"/>
      <c r="C334" s="13"/>
      <c r="D334" s="13"/>
      <c r="E334" s="13"/>
      <c r="F334" s="13"/>
      <c r="G334" s="255"/>
    </row>
    <row r="335" spans="2:7" ht="12.75">
      <c r="B335" s="13"/>
      <c r="C335" s="13"/>
      <c r="D335" s="13"/>
      <c r="E335" s="13"/>
      <c r="F335" s="13"/>
      <c r="G335" s="255"/>
    </row>
    <row r="336" spans="2:7" ht="12.75">
      <c r="B336" s="13"/>
      <c r="C336" s="13"/>
      <c r="D336" s="13"/>
      <c r="E336" s="13"/>
      <c r="F336" s="13"/>
      <c r="G336" s="255"/>
    </row>
    <row r="337" spans="2:7" ht="12.75">
      <c r="B337" s="13"/>
      <c r="C337" s="13"/>
      <c r="D337" s="13"/>
      <c r="E337" s="13"/>
      <c r="F337" s="13"/>
      <c r="G337" s="255"/>
    </row>
    <row r="338" spans="2:7" ht="12.75">
      <c r="B338" s="13"/>
      <c r="C338" s="13"/>
      <c r="D338" s="13"/>
      <c r="E338" s="13"/>
      <c r="F338" s="13"/>
      <c r="G338" s="255"/>
    </row>
    <row r="339" spans="2:7" ht="12.75">
      <c r="B339" s="13"/>
      <c r="C339" s="13"/>
      <c r="D339" s="13"/>
      <c r="E339" s="13"/>
      <c r="F339" s="13"/>
      <c r="G339" s="255"/>
    </row>
    <row r="340" spans="2:7" ht="12.75">
      <c r="B340" s="13"/>
      <c r="C340" s="13"/>
      <c r="D340" s="13"/>
      <c r="E340" s="13"/>
      <c r="F340" s="13"/>
      <c r="G340" s="255"/>
    </row>
    <row r="341" spans="2:7" ht="12.75">
      <c r="B341" s="13"/>
      <c r="C341" s="13"/>
      <c r="D341" s="13"/>
      <c r="E341" s="13"/>
      <c r="F341" s="13"/>
      <c r="G341" s="255"/>
    </row>
    <row r="342" spans="2:7" ht="12.75">
      <c r="B342" s="13"/>
      <c r="C342" s="13"/>
      <c r="D342" s="13"/>
      <c r="E342" s="13"/>
      <c r="F342" s="13"/>
      <c r="G342" s="255"/>
    </row>
    <row r="343" spans="2:7" ht="12.75">
      <c r="B343" s="13"/>
      <c r="C343" s="13"/>
      <c r="D343" s="13"/>
      <c r="E343" s="13"/>
      <c r="F343" s="13"/>
      <c r="G343" s="255"/>
    </row>
    <row r="344" spans="2:7" ht="12.75">
      <c r="B344" s="13"/>
      <c r="C344" s="13"/>
      <c r="D344" s="13"/>
      <c r="E344" s="13"/>
      <c r="F344" s="13"/>
      <c r="G344" s="255"/>
    </row>
    <row r="345" spans="2:7" ht="12.75">
      <c r="B345" s="13"/>
      <c r="C345" s="13"/>
      <c r="D345" s="13"/>
      <c r="E345" s="13"/>
      <c r="F345" s="13"/>
      <c r="G345" s="255"/>
    </row>
    <row r="346" spans="2:7" ht="12.75">
      <c r="B346" s="13"/>
      <c r="C346" s="13"/>
      <c r="D346" s="13"/>
      <c r="E346" s="13"/>
      <c r="F346" s="13"/>
      <c r="G346" s="255"/>
    </row>
    <row r="347" spans="2:7" ht="12.75">
      <c r="B347" s="13"/>
      <c r="C347" s="13"/>
      <c r="D347" s="13"/>
      <c r="E347" s="13"/>
      <c r="F347" s="13"/>
      <c r="G347" s="255"/>
    </row>
    <row r="348" spans="2:7" ht="12.75">
      <c r="B348" s="13"/>
      <c r="C348" s="13"/>
      <c r="D348" s="13"/>
      <c r="E348" s="13"/>
      <c r="F348" s="13"/>
      <c r="G348" s="255"/>
    </row>
    <row r="349" spans="2:7" ht="12.75">
      <c r="B349" s="13"/>
      <c r="C349" s="13"/>
      <c r="D349" s="13"/>
      <c r="E349" s="13"/>
      <c r="F349" s="13"/>
      <c r="G349" s="255"/>
    </row>
    <row r="350" spans="2:7" ht="12.75">
      <c r="B350" s="13"/>
      <c r="C350" s="13"/>
      <c r="D350" s="13"/>
      <c r="E350" s="13"/>
      <c r="F350" s="13"/>
      <c r="G350" s="255"/>
    </row>
    <row r="351" spans="2:7" ht="12.75">
      <c r="B351" s="13"/>
      <c r="C351" s="13"/>
      <c r="D351" s="13"/>
      <c r="E351" s="13"/>
      <c r="F351" s="13"/>
      <c r="G351" s="255"/>
    </row>
    <row r="352" spans="2:7" ht="12.75">
      <c r="B352" s="13"/>
      <c r="C352" s="13"/>
      <c r="D352" s="13"/>
      <c r="E352" s="13"/>
      <c r="F352" s="13"/>
      <c r="G352" s="255"/>
    </row>
    <row r="353" spans="2:7" ht="12.75">
      <c r="B353" s="13"/>
      <c r="C353" s="13"/>
      <c r="D353" s="13"/>
      <c r="E353" s="13"/>
      <c r="F353" s="13"/>
      <c r="G353" s="255"/>
    </row>
    <row r="354" spans="2:7" ht="12.75">
      <c r="B354" s="13"/>
      <c r="C354" s="13"/>
      <c r="D354" s="13"/>
      <c r="E354" s="13"/>
      <c r="F354" s="13"/>
      <c r="G354" s="255"/>
    </row>
    <row r="355" spans="2:7" ht="12.75">
      <c r="B355" s="13"/>
      <c r="C355" s="13"/>
      <c r="D355" s="13"/>
      <c r="E355" s="13"/>
      <c r="F355" s="13"/>
      <c r="G355" s="255"/>
    </row>
    <row r="356" spans="2:7" ht="12.75">
      <c r="B356" s="13"/>
      <c r="C356" s="13"/>
      <c r="D356" s="13"/>
      <c r="E356" s="13"/>
      <c r="F356" s="13"/>
      <c r="G356" s="255"/>
    </row>
    <row r="357" spans="2:7" ht="12.75">
      <c r="B357" s="13"/>
      <c r="C357" s="13"/>
      <c r="D357" s="13"/>
      <c r="E357" s="13"/>
      <c r="F357" s="13"/>
      <c r="G357" s="255"/>
    </row>
  </sheetData>
  <sheetProtection/>
  <mergeCells count="1">
    <mergeCell ref="A4:B4"/>
  </mergeCells>
  <hyperlinks>
    <hyperlink ref="A4" location="'1.1aSummary'!A1" display="Summary"/>
    <hyperlink ref="G9" location="'1.4 Dep &amp; CIAC'!T39" display="Exh. 1.4, line 30, column Q"/>
    <hyperlink ref="G13" location="'1.4 Dep &amp; CIAC'!T48" display="Exh. 1.4, line 36, column Q"/>
    <hyperlink ref="G22" location="'1.2 INC STMT'!F73" display="Exh 1.2, line 47, column G"/>
  </hyperlinks>
  <printOptions/>
  <pageMargins left="0.75" right="0.75" top="0.73" bottom="0.81" header="0.5" footer="0.5"/>
  <pageSetup fitToHeight="1" fitToWidth="1" horizontalDpi="600" verticalDpi="600" orientation="landscape" r:id="rId1"/>
  <headerFooter alignWithMargins="0">
    <oddFooter>&amp;L&amp;"Times New Roman,Regular"&amp;11&amp;F, Tab:&amp;A&amp;C&amp;"Times New Roman,Regular"&amp;11&amp;D&amp;R&amp;"Times New Roman,Regular"&amp;11&amp;P of &amp;N</oddFooter>
  </headerFooter>
</worksheet>
</file>

<file path=xl/worksheets/sheet6.xml><?xml version="1.0" encoding="utf-8"?>
<worksheet xmlns="http://schemas.openxmlformats.org/spreadsheetml/2006/main" xmlns:r="http://schemas.openxmlformats.org/officeDocument/2006/relationships">
  <sheetPr>
    <tabColor rgb="FF0070C0"/>
    <pageSetUpPr fitToPage="1"/>
  </sheetPr>
  <dimension ref="A1:Z501"/>
  <sheetViews>
    <sheetView zoomScalePageLayoutView="0" workbookViewId="0" topLeftCell="A1">
      <selection activeCell="J11" sqref="J11"/>
    </sheetView>
  </sheetViews>
  <sheetFormatPr defaultColWidth="9.140625" defaultRowHeight="12.75"/>
  <cols>
    <col min="1" max="1" width="3.28125" style="3" customWidth="1"/>
    <col min="2" max="2" width="40.140625" style="0" customWidth="1"/>
    <col min="3" max="3" width="13.140625" style="1" customWidth="1"/>
    <col min="4" max="4" width="3.7109375" style="1" customWidth="1"/>
    <col min="5" max="5" width="11.7109375" style="0" customWidth="1"/>
    <col min="6" max="6" width="11.00390625" style="0" customWidth="1"/>
    <col min="7" max="7" width="12.00390625" style="0" customWidth="1"/>
    <col min="8" max="8" width="3.7109375" style="0" customWidth="1"/>
  </cols>
  <sheetData>
    <row r="1" spans="1:7" s="13" customFormat="1" ht="20.25">
      <c r="A1" s="476" t="str">
        <f>'1.2 INC STMT'!A1</f>
        <v>Pineview West Water Company</v>
      </c>
      <c r="C1" s="495"/>
      <c r="D1" s="495"/>
      <c r="E1" s="735" t="s">
        <v>480</v>
      </c>
      <c r="F1" s="736"/>
      <c r="G1" s="736"/>
    </row>
    <row r="2" spans="1:7" s="13" customFormat="1" ht="18.75">
      <c r="A2" s="481" t="s">
        <v>381</v>
      </c>
      <c r="C2" s="495"/>
      <c r="D2" s="495"/>
      <c r="E2" s="735" t="s">
        <v>477</v>
      </c>
      <c r="F2" s="736"/>
      <c r="G2" s="736"/>
    </row>
    <row r="3" spans="1:7" s="13" customFormat="1" ht="15.75">
      <c r="A3" s="443" t="str">
        <f>'1.2 INC STMT'!A3</f>
        <v>Year Ended December 31, 2008</v>
      </c>
      <c r="C3" s="495"/>
      <c r="D3" s="495"/>
      <c r="E3" s="735" t="s">
        <v>478</v>
      </c>
      <c r="F3" s="736"/>
      <c r="G3" s="736"/>
    </row>
    <row r="4" spans="1:7" s="13" customFormat="1" ht="15.75">
      <c r="A4" s="743" t="s">
        <v>482</v>
      </c>
      <c r="B4" s="744"/>
      <c r="C4" s="495"/>
      <c r="D4" s="495"/>
      <c r="E4" s="488"/>
      <c r="F4" s="4"/>
      <c r="G4" s="4"/>
    </row>
    <row r="5" spans="1:8" s="13" customFormat="1" ht="15.75">
      <c r="A5" s="500"/>
      <c r="B5" s="15"/>
      <c r="C5" s="457" t="s">
        <v>1</v>
      </c>
      <c r="D5" s="257"/>
      <c r="E5" s="15"/>
      <c r="F5" s="15"/>
      <c r="G5" s="15"/>
      <c r="H5" s="15"/>
    </row>
    <row r="6" spans="1:26" ht="15.75">
      <c r="A6" s="434"/>
      <c r="B6" s="431" t="s">
        <v>17</v>
      </c>
      <c r="C6" s="663" t="s">
        <v>3</v>
      </c>
      <c r="D6" s="435"/>
      <c r="E6" s="431" t="s">
        <v>456</v>
      </c>
      <c r="F6" s="431"/>
      <c r="G6" s="431"/>
      <c r="H6" s="83"/>
      <c r="I6" s="83"/>
      <c r="J6" s="83"/>
      <c r="K6" s="83"/>
      <c r="L6" s="83"/>
      <c r="M6" s="83"/>
      <c r="N6" s="15"/>
      <c r="O6" s="15"/>
      <c r="P6" s="15"/>
      <c r="Q6" s="15"/>
      <c r="R6" s="13"/>
      <c r="S6" s="13"/>
      <c r="T6" s="13"/>
      <c r="U6" s="13"/>
      <c r="V6" s="13"/>
      <c r="W6" s="13"/>
      <c r="X6" s="13"/>
      <c r="Y6" s="13"/>
      <c r="Z6" s="13"/>
    </row>
    <row r="7" spans="1:17" s="13" customFormat="1" ht="15.75">
      <c r="A7" s="456">
        <v>1</v>
      </c>
      <c r="B7" s="28" t="s">
        <v>518</v>
      </c>
      <c r="C7" s="34">
        <f>'1.5 RATEBASE'!E18</f>
        <v>52497.692673595506</v>
      </c>
      <c r="D7" s="28"/>
      <c r="E7" s="501" t="s">
        <v>470</v>
      </c>
      <c r="F7" s="28"/>
      <c r="G7" s="28"/>
      <c r="H7" s="83"/>
      <c r="I7" s="83"/>
      <c r="J7" s="83"/>
      <c r="K7" s="83"/>
      <c r="L7" s="83"/>
      <c r="M7" s="15"/>
      <c r="N7" s="15"/>
      <c r="O7" s="15"/>
      <c r="P7" s="15"/>
      <c r="Q7" s="15"/>
    </row>
    <row r="8" spans="1:12" s="13" customFormat="1" ht="15.75">
      <c r="A8" s="456">
        <v>2</v>
      </c>
      <c r="B8" s="28" t="s">
        <v>125</v>
      </c>
      <c r="C8" s="32">
        <v>0</v>
      </c>
      <c r="D8" s="28" t="s">
        <v>62</v>
      </c>
      <c r="E8" s="28"/>
      <c r="F8" s="32"/>
      <c r="G8" s="28"/>
      <c r="H8" s="83"/>
      <c r="I8" s="28"/>
      <c r="J8" s="28"/>
      <c r="K8" s="28"/>
      <c r="L8" s="28"/>
    </row>
    <row r="9" spans="1:12" s="13" customFormat="1" ht="15.75">
      <c r="A9" s="456">
        <v>3</v>
      </c>
      <c r="B9" s="28" t="s">
        <v>467</v>
      </c>
      <c r="C9" s="129">
        <f>C7*C8</f>
        <v>0</v>
      </c>
      <c r="D9" s="28" t="s">
        <v>61</v>
      </c>
      <c r="E9" s="28"/>
      <c r="F9" s="502"/>
      <c r="G9" s="28"/>
      <c r="H9" s="83"/>
      <c r="I9" s="28"/>
      <c r="J9" s="28"/>
      <c r="K9" s="28"/>
      <c r="L9" s="28"/>
    </row>
    <row r="10" spans="1:12" s="13" customFormat="1" ht="15.75">
      <c r="A10" s="456"/>
      <c r="B10" s="28"/>
      <c r="C10" s="34"/>
      <c r="D10" s="28"/>
      <c r="E10" s="28"/>
      <c r="F10" s="502"/>
      <c r="G10" s="28"/>
      <c r="H10" s="83"/>
      <c r="I10" s="28"/>
      <c r="J10" s="28"/>
      <c r="K10" s="28"/>
      <c r="L10" s="28"/>
    </row>
    <row r="11" spans="1:12" s="13" customFormat="1" ht="15.75">
      <c r="A11" s="456">
        <v>4</v>
      </c>
      <c r="B11" s="28" t="s">
        <v>662</v>
      </c>
      <c r="C11" s="34">
        <f>C9*C27</f>
        <v>0</v>
      </c>
      <c r="D11" s="28" t="s">
        <v>63</v>
      </c>
      <c r="E11" s="28"/>
      <c r="F11" s="502"/>
      <c r="G11" s="28"/>
      <c r="H11" s="83"/>
      <c r="I11" s="28"/>
      <c r="J11" s="28"/>
      <c r="K11" s="28"/>
      <c r="L11" s="28"/>
    </row>
    <row r="12" spans="1:12" s="13" customFormat="1" ht="15.75">
      <c r="A12" s="456">
        <v>5</v>
      </c>
      <c r="B12" s="28" t="s">
        <v>468</v>
      </c>
      <c r="C12" s="129">
        <f>C11+C9</f>
        <v>0</v>
      </c>
      <c r="D12" s="27" t="s">
        <v>61</v>
      </c>
      <c r="E12" s="27"/>
      <c r="F12" s="27"/>
      <c r="G12" s="28"/>
      <c r="H12" s="83"/>
      <c r="I12" s="28"/>
      <c r="J12" s="28"/>
      <c r="K12" s="28"/>
      <c r="L12" s="28"/>
    </row>
    <row r="13" spans="1:12" s="13" customFormat="1" ht="15.75">
      <c r="A13" s="456"/>
      <c r="B13" s="28" t="s">
        <v>116</v>
      </c>
      <c r="C13" s="35"/>
      <c r="D13" s="28"/>
      <c r="E13" s="28"/>
      <c r="F13" s="32" t="s">
        <v>61</v>
      </c>
      <c r="G13" s="28"/>
      <c r="H13" s="83"/>
      <c r="I13" s="28"/>
      <c r="J13" s="28"/>
      <c r="K13" s="28"/>
      <c r="L13" s="28"/>
    </row>
    <row r="14" spans="1:12" s="591" customFormat="1" ht="47.25" customHeight="1">
      <c r="A14" s="583">
        <v>6</v>
      </c>
      <c r="B14" s="584" t="s">
        <v>554</v>
      </c>
      <c r="C14" s="585">
        <f>'1.2 INC STMT'!G73</f>
        <v>82122.95312</v>
      </c>
      <c r="D14" s="586"/>
      <c r="E14" s="587" t="s">
        <v>462</v>
      </c>
      <c r="F14" s="588"/>
      <c r="G14" s="589"/>
      <c r="H14" s="590"/>
      <c r="I14" s="589"/>
      <c r="J14" s="589"/>
      <c r="K14" s="589"/>
      <c r="L14" s="589"/>
    </row>
    <row r="15" spans="1:12" s="13" customFormat="1" ht="15.75">
      <c r="A15" s="456">
        <v>7</v>
      </c>
      <c r="B15" s="28" t="s">
        <v>469</v>
      </c>
      <c r="C15" s="129">
        <f>C14+C12</f>
        <v>82122.95312</v>
      </c>
      <c r="D15" s="34"/>
      <c r="E15" s="28"/>
      <c r="F15" s="503"/>
      <c r="G15" s="28"/>
      <c r="H15" s="83"/>
      <c r="I15" s="28"/>
      <c r="J15" s="28"/>
      <c r="K15" s="28"/>
      <c r="L15" s="28"/>
    </row>
    <row r="16" spans="1:12" s="13" customFormat="1" ht="15.75">
      <c r="A16" s="456"/>
      <c r="B16" s="28"/>
      <c r="C16" s="34"/>
      <c r="D16" s="34"/>
      <c r="E16" s="28"/>
      <c r="F16" s="503"/>
      <c r="G16" s="28"/>
      <c r="H16" s="83"/>
      <c r="I16" s="28"/>
      <c r="J16" s="28"/>
      <c r="K16" s="28"/>
      <c r="L16" s="28"/>
    </row>
    <row r="17" spans="1:12" s="13" customFormat="1" ht="15.75">
      <c r="A17" s="456"/>
      <c r="B17" s="28"/>
      <c r="C17" s="34"/>
      <c r="D17" s="34"/>
      <c r="E17" s="28"/>
      <c r="F17" s="503"/>
      <c r="G17" s="28"/>
      <c r="H17" s="83"/>
      <c r="I17" s="28"/>
      <c r="J17" s="28"/>
      <c r="K17" s="28"/>
      <c r="L17" s="28"/>
    </row>
    <row r="18" spans="1:12" s="13" customFormat="1" ht="70.5" customHeight="1">
      <c r="A18" s="625" t="s">
        <v>62</v>
      </c>
      <c r="B18" s="655" t="s">
        <v>571</v>
      </c>
      <c r="C18" s="656"/>
      <c r="D18" s="656"/>
      <c r="E18" s="656"/>
      <c r="F18" s="656"/>
      <c r="G18" s="656"/>
      <c r="H18" s="83"/>
      <c r="I18" s="28"/>
      <c r="J18" s="28"/>
      <c r="K18" s="28"/>
      <c r="L18" s="28"/>
    </row>
    <row r="19" spans="1:12" s="13" customFormat="1" ht="15.75">
      <c r="A19" s="456"/>
      <c r="B19" s="17"/>
      <c r="C19" s="34"/>
      <c r="D19" s="34"/>
      <c r="E19" s="28"/>
      <c r="F19" s="503"/>
      <c r="G19" s="28"/>
      <c r="H19" s="83"/>
      <c r="I19" s="28"/>
      <c r="J19" s="28"/>
      <c r="K19" s="28"/>
      <c r="L19" s="28"/>
    </row>
    <row r="20" spans="1:25" ht="15.75">
      <c r="A20" s="454"/>
      <c r="B20" s="17"/>
      <c r="C20" s="20"/>
      <c r="D20" s="20"/>
      <c r="E20" s="17"/>
      <c r="F20" s="17"/>
      <c r="G20" s="17"/>
      <c r="H20" s="83"/>
      <c r="I20" s="28"/>
      <c r="J20" s="28"/>
      <c r="K20" s="28"/>
      <c r="L20" s="28"/>
      <c r="M20" s="13"/>
      <c r="N20" s="13"/>
      <c r="O20" s="13"/>
      <c r="P20" s="13"/>
      <c r="Q20" s="13"/>
      <c r="R20" s="13"/>
      <c r="S20" s="13"/>
      <c r="T20" s="13"/>
      <c r="U20" s="13"/>
      <c r="V20" s="13"/>
      <c r="W20" s="13"/>
      <c r="X20" s="13"/>
      <c r="Y20" s="13"/>
    </row>
    <row r="21" spans="1:25" ht="15.75">
      <c r="A21" s="539" t="s">
        <v>63</v>
      </c>
      <c r="B21" s="251" t="s">
        <v>408</v>
      </c>
      <c r="C21" s="252"/>
      <c r="D21" s="252"/>
      <c r="E21" s="253"/>
      <c r="F21" s="253"/>
      <c r="G21" s="253"/>
      <c r="H21" s="83"/>
      <c r="I21" s="28"/>
      <c r="J21" s="28"/>
      <c r="K21" s="28"/>
      <c r="L21" s="28"/>
      <c r="M21" s="13"/>
      <c r="N21" s="13"/>
      <c r="O21" s="13"/>
      <c r="P21" s="13"/>
      <c r="Q21" s="13"/>
      <c r="R21" s="13"/>
      <c r="S21" s="13"/>
      <c r="T21" s="13"/>
      <c r="U21" s="13"/>
      <c r="V21" s="13"/>
      <c r="W21" s="13"/>
      <c r="X21" s="13"/>
      <c r="Y21" s="13"/>
    </row>
    <row r="22" spans="1:25" ht="15.75">
      <c r="A22" s="469"/>
      <c r="B22" s="86"/>
      <c r="C22" s="89"/>
      <c r="D22" s="89"/>
      <c r="E22" s="86"/>
      <c r="F22" s="86"/>
      <c r="G22" s="86"/>
      <c r="H22" s="83"/>
      <c r="I22" s="28"/>
      <c r="J22" s="28"/>
      <c r="K22" s="28"/>
      <c r="L22" s="28"/>
      <c r="M22" s="13"/>
      <c r="N22" s="13"/>
      <c r="O22" s="13"/>
      <c r="P22" s="13"/>
      <c r="Q22" s="13"/>
      <c r="R22" s="13"/>
      <c r="S22" s="13"/>
      <c r="T22" s="13"/>
      <c r="U22" s="13"/>
      <c r="V22" s="13"/>
      <c r="W22" s="13"/>
      <c r="X22" s="13"/>
      <c r="Y22" s="13"/>
    </row>
    <row r="23" spans="1:25" ht="15.75">
      <c r="A23" s="469">
        <v>8</v>
      </c>
      <c r="B23" s="90" t="s">
        <v>409</v>
      </c>
      <c r="C23" s="246">
        <v>0.15</v>
      </c>
      <c r="D23" s="246"/>
      <c r="E23" s="86"/>
      <c r="F23" s="86"/>
      <c r="G23" s="86"/>
      <c r="H23" s="83"/>
      <c r="I23" s="28"/>
      <c r="J23" s="28"/>
      <c r="K23" s="28"/>
      <c r="L23" s="28"/>
      <c r="M23" s="13"/>
      <c r="N23" s="13"/>
      <c r="O23" s="13"/>
      <c r="P23" s="13"/>
      <c r="Q23" s="13"/>
      <c r="R23" s="13"/>
      <c r="S23" s="13"/>
      <c r="T23" s="13"/>
      <c r="U23" s="13"/>
      <c r="V23" s="13"/>
      <c r="W23" s="13"/>
      <c r="X23" s="13"/>
      <c r="Y23" s="13"/>
    </row>
    <row r="24" spans="1:25" ht="15.75">
      <c r="A24" s="469">
        <v>9</v>
      </c>
      <c r="B24" s="90" t="s">
        <v>410</v>
      </c>
      <c r="C24" s="246">
        <v>0.05</v>
      </c>
      <c r="D24" s="246"/>
      <c r="E24" s="90"/>
      <c r="F24" s="86"/>
      <c r="G24" s="86"/>
      <c r="H24" s="83"/>
      <c r="I24" s="28"/>
      <c r="J24" s="28"/>
      <c r="K24" s="28"/>
      <c r="L24" s="28"/>
      <c r="M24" s="13"/>
      <c r="N24" s="13"/>
      <c r="O24" s="13"/>
      <c r="P24" s="13"/>
      <c r="Q24" s="13"/>
      <c r="R24" s="13"/>
      <c r="S24" s="13"/>
      <c r="T24" s="13"/>
      <c r="U24" s="13"/>
      <c r="V24" s="13"/>
      <c r="W24" s="13"/>
      <c r="X24" s="13"/>
      <c r="Y24" s="13"/>
    </row>
    <row r="25" spans="1:25" ht="16.5" thickBot="1">
      <c r="A25" s="469">
        <v>10</v>
      </c>
      <c r="B25" s="90" t="s">
        <v>471</v>
      </c>
      <c r="C25" s="247">
        <f>C23+C24</f>
        <v>0.2</v>
      </c>
      <c r="D25" s="249"/>
      <c r="E25" s="86"/>
      <c r="F25" s="86"/>
      <c r="G25" s="86"/>
      <c r="H25" s="83"/>
      <c r="I25" s="28"/>
      <c r="J25" s="28"/>
      <c r="K25" s="28"/>
      <c r="L25" s="28"/>
      <c r="M25" s="13"/>
      <c r="N25" s="13"/>
      <c r="O25" s="13"/>
      <c r="P25" s="13"/>
      <c r="Q25" s="13"/>
      <c r="R25" s="13"/>
      <c r="S25" s="13"/>
      <c r="T25" s="13"/>
      <c r="U25" s="13"/>
      <c r="V25" s="13"/>
      <c r="W25" s="13"/>
      <c r="X25" s="13"/>
      <c r="Y25" s="13"/>
    </row>
    <row r="26" spans="1:25" ht="16.5" thickTop="1">
      <c r="A26" s="469"/>
      <c r="B26" s="90"/>
      <c r="C26" s="249"/>
      <c r="D26" s="249"/>
      <c r="E26" s="86"/>
      <c r="F26" s="86"/>
      <c r="G26" s="86"/>
      <c r="H26" s="83"/>
      <c r="I26" s="28"/>
      <c r="J26" s="28"/>
      <c r="K26" s="28"/>
      <c r="L26" s="28"/>
      <c r="M26" s="13"/>
      <c r="N26" s="13"/>
      <c r="O26" s="13"/>
      <c r="P26" s="13"/>
      <c r="Q26" s="13"/>
      <c r="R26" s="13"/>
      <c r="S26" s="13"/>
      <c r="T26" s="13"/>
      <c r="U26" s="13"/>
      <c r="V26" s="13"/>
      <c r="W26" s="13"/>
      <c r="X26" s="13"/>
      <c r="Y26" s="13"/>
    </row>
    <row r="27" spans="1:25" ht="15.75">
      <c r="A27" s="469">
        <v>11</v>
      </c>
      <c r="B27" s="90" t="s">
        <v>465</v>
      </c>
      <c r="C27" s="91">
        <f>0.2/(1-0.2)</f>
        <v>0.25</v>
      </c>
      <c r="D27" s="91"/>
      <c r="E27" s="86"/>
      <c r="F27" s="86"/>
      <c r="G27" s="86"/>
      <c r="H27" s="83"/>
      <c r="I27" s="28"/>
      <c r="J27" s="28"/>
      <c r="K27" s="28"/>
      <c r="L27" s="28"/>
      <c r="M27" s="13"/>
      <c r="N27" s="13"/>
      <c r="O27" s="13"/>
      <c r="P27" s="13"/>
      <c r="Q27" s="13"/>
      <c r="R27" s="13"/>
      <c r="S27" s="13"/>
      <c r="T27" s="13"/>
      <c r="U27" s="13"/>
      <c r="V27" s="13"/>
      <c r="W27" s="13"/>
      <c r="X27" s="13"/>
      <c r="Y27" s="13"/>
    </row>
    <row r="28" spans="1:25" ht="15.75">
      <c r="A28" s="469"/>
      <c r="B28" s="90"/>
      <c r="C28" s="91"/>
      <c r="D28" s="91"/>
      <c r="E28" s="86"/>
      <c r="F28" s="86"/>
      <c r="G28" s="86"/>
      <c r="H28" s="83"/>
      <c r="I28" s="28"/>
      <c r="J28" s="28"/>
      <c r="K28" s="28"/>
      <c r="L28" s="28"/>
      <c r="M28" s="13"/>
      <c r="N28" s="13"/>
      <c r="O28" s="13"/>
      <c r="P28" s="13"/>
      <c r="Q28" s="13"/>
      <c r="R28" s="13"/>
      <c r="S28" s="13"/>
      <c r="T28" s="13"/>
      <c r="U28" s="13"/>
      <c r="V28" s="13"/>
      <c r="W28" s="13"/>
      <c r="X28" s="13"/>
      <c r="Y28" s="13"/>
    </row>
    <row r="29" spans="1:25" ht="32.25" thickBot="1">
      <c r="A29" s="473">
        <v>12</v>
      </c>
      <c r="B29" s="248" t="s">
        <v>466</v>
      </c>
      <c r="C29" s="417">
        <f>C9*C27</f>
        <v>0</v>
      </c>
      <c r="D29" s="92"/>
      <c r="E29" s="86"/>
      <c r="F29" s="86"/>
      <c r="G29" s="86"/>
      <c r="H29" s="83"/>
      <c r="I29" s="28"/>
      <c r="J29" s="28"/>
      <c r="K29" s="28"/>
      <c r="L29" s="28"/>
      <c r="M29" s="13"/>
      <c r="N29" s="13"/>
      <c r="O29" s="13"/>
      <c r="P29" s="13"/>
      <c r="Q29" s="13"/>
      <c r="R29" s="13"/>
      <c r="S29" s="13"/>
      <c r="T29" s="13"/>
      <c r="U29" s="13"/>
      <c r="V29" s="13"/>
      <c r="W29" s="13"/>
      <c r="X29" s="13"/>
      <c r="Y29" s="13"/>
    </row>
    <row r="30" spans="1:12" s="13" customFormat="1" ht="16.5" thickTop="1">
      <c r="A30" s="583"/>
      <c r="B30" s="626"/>
      <c r="C30" s="627"/>
      <c r="D30" s="72"/>
      <c r="E30" s="28"/>
      <c r="F30" s="28"/>
      <c r="G30" s="28"/>
      <c r="H30" s="83"/>
      <c r="I30" s="28"/>
      <c r="J30" s="28"/>
      <c r="K30" s="28"/>
      <c r="L30" s="28"/>
    </row>
    <row r="31" spans="1:12" s="13" customFormat="1" ht="15.75">
      <c r="A31" s="583"/>
      <c r="B31" s="626"/>
      <c r="C31" s="627"/>
      <c r="D31" s="72"/>
      <c r="E31" s="28"/>
      <c r="F31" s="28"/>
      <c r="G31" s="28"/>
      <c r="H31" s="83"/>
      <c r="I31" s="28"/>
      <c r="J31" s="28"/>
      <c r="K31" s="28"/>
      <c r="L31" s="28"/>
    </row>
    <row r="32" spans="1:12" s="13" customFormat="1" ht="15.75">
      <c r="A32" s="745" t="s">
        <v>572</v>
      </c>
      <c r="B32" s="746"/>
      <c r="C32" s="746"/>
      <c r="D32" s="746"/>
      <c r="E32" s="746"/>
      <c r="F32" s="746"/>
      <c r="G32" s="746"/>
      <c r="H32" s="83"/>
      <c r="I32" s="28"/>
      <c r="J32" s="28"/>
      <c r="K32" s="28"/>
      <c r="L32" s="28"/>
    </row>
    <row r="33" spans="1:12" s="13" customFormat="1" ht="15.75">
      <c r="A33" s="583"/>
      <c r="B33" s="626"/>
      <c r="C33" s="627"/>
      <c r="D33" s="72"/>
      <c r="E33" s="28"/>
      <c r="F33" s="28"/>
      <c r="G33" s="28"/>
      <c r="H33" s="83"/>
      <c r="I33" s="28"/>
      <c r="J33" s="28"/>
      <c r="K33" s="28"/>
      <c r="L33" s="28"/>
    </row>
    <row r="34" spans="1:12" s="13" customFormat="1" ht="15.75">
      <c r="A34" s="583"/>
      <c r="B34" s="626"/>
      <c r="C34" s="627"/>
      <c r="D34" s="72"/>
      <c r="E34" s="28"/>
      <c r="F34" s="28"/>
      <c r="G34" s="28"/>
      <c r="H34" s="83"/>
      <c r="I34" s="28"/>
      <c r="J34" s="28"/>
      <c r="K34" s="28"/>
      <c r="L34" s="28"/>
    </row>
    <row r="35" spans="1:12" s="13" customFormat="1" ht="15.75">
      <c r="A35" s="583"/>
      <c r="B35" s="626"/>
      <c r="C35" s="627"/>
      <c r="D35" s="72"/>
      <c r="E35" s="28"/>
      <c r="F35" s="28"/>
      <c r="G35" s="28"/>
      <c r="H35" s="83"/>
      <c r="I35" s="28"/>
      <c r="J35" s="28"/>
      <c r="K35" s="28"/>
      <c r="L35" s="28"/>
    </row>
    <row r="36" spans="1:12" s="13" customFormat="1" ht="15.75">
      <c r="A36" s="583"/>
      <c r="B36" s="626"/>
      <c r="C36" s="627"/>
      <c r="D36" s="72"/>
      <c r="E36" s="28"/>
      <c r="F36" s="28"/>
      <c r="G36" s="28"/>
      <c r="H36" s="83"/>
      <c r="I36" s="28"/>
      <c r="J36" s="28"/>
      <c r="K36" s="28"/>
      <c r="L36" s="28"/>
    </row>
    <row r="37" spans="1:12" s="13" customFormat="1" ht="15.75">
      <c r="A37" s="583"/>
      <c r="B37" s="626"/>
      <c r="C37" s="627"/>
      <c r="D37" s="72"/>
      <c r="E37" s="28"/>
      <c r="F37" s="28"/>
      <c r="G37" s="28"/>
      <c r="H37" s="83"/>
      <c r="I37" s="28"/>
      <c r="J37" s="28"/>
      <c r="K37" s="28"/>
      <c r="L37" s="28"/>
    </row>
    <row r="38" spans="1:12" s="13" customFormat="1" ht="15.75">
      <c r="A38" s="583"/>
      <c r="B38" s="626"/>
      <c r="C38" s="627"/>
      <c r="D38" s="72"/>
      <c r="E38" s="28"/>
      <c r="F38" s="28"/>
      <c r="G38" s="28"/>
      <c r="H38" s="83"/>
      <c r="I38" s="28"/>
      <c r="J38" s="28"/>
      <c r="K38" s="28"/>
      <c r="L38" s="28"/>
    </row>
    <row r="39" spans="1:12" s="13" customFormat="1" ht="15.75">
      <c r="A39" s="583"/>
      <c r="B39" s="626"/>
      <c r="C39" s="627"/>
      <c r="D39" s="72"/>
      <c r="E39" s="28"/>
      <c r="F39" s="28"/>
      <c r="G39" s="28"/>
      <c r="H39" s="83"/>
      <c r="I39" s="28"/>
      <c r="J39" s="28"/>
      <c r="K39" s="28"/>
      <c r="L39" s="28"/>
    </row>
    <row r="40" spans="1:12" s="13" customFormat="1" ht="15.75">
      <c r="A40" s="583"/>
      <c r="B40" s="626"/>
      <c r="C40" s="627"/>
      <c r="D40" s="72"/>
      <c r="E40" s="28"/>
      <c r="F40" s="28"/>
      <c r="G40" s="28"/>
      <c r="H40" s="83"/>
      <c r="I40" s="28"/>
      <c r="J40" s="28"/>
      <c r="K40" s="28"/>
      <c r="L40" s="28"/>
    </row>
    <row r="41" spans="1:12" s="13" customFormat="1" ht="15.75">
      <c r="A41" s="583"/>
      <c r="B41" s="626"/>
      <c r="C41" s="627"/>
      <c r="D41" s="72"/>
      <c r="E41" s="28"/>
      <c r="F41" s="28"/>
      <c r="G41" s="28"/>
      <c r="H41" s="83"/>
      <c r="I41" s="28"/>
      <c r="J41" s="28"/>
      <c r="K41" s="28"/>
      <c r="L41" s="28"/>
    </row>
    <row r="42" spans="1:12" s="13" customFormat="1" ht="15.75">
      <c r="A42" s="583"/>
      <c r="B42" s="626"/>
      <c r="C42" s="627"/>
      <c r="D42" s="72"/>
      <c r="E42" s="28"/>
      <c r="F42" s="28"/>
      <c r="G42" s="28"/>
      <c r="H42" s="83"/>
      <c r="I42" s="28"/>
      <c r="J42" s="28"/>
      <c r="K42" s="28"/>
      <c r="L42" s="28"/>
    </row>
    <row r="43" spans="1:12" s="13" customFormat="1" ht="15.75">
      <c r="A43" s="583"/>
      <c r="B43" s="626"/>
      <c r="C43" s="627"/>
      <c r="D43" s="72"/>
      <c r="E43" s="28"/>
      <c r="F43" s="28"/>
      <c r="G43" s="28"/>
      <c r="H43" s="83"/>
      <c r="I43" s="28"/>
      <c r="J43" s="28"/>
      <c r="K43" s="28"/>
      <c r="L43" s="28"/>
    </row>
    <row r="44" spans="1:25" ht="12.75">
      <c r="A44" s="255"/>
      <c r="B44" s="13"/>
      <c r="C44" s="495"/>
      <c r="D44" s="495"/>
      <c r="E44" s="13"/>
      <c r="F44" s="13"/>
      <c r="G44" s="13"/>
      <c r="H44" s="15"/>
      <c r="I44" s="13"/>
      <c r="J44" s="13"/>
      <c r="K44" s="13"/>
      <c r="L44" s="13"/>
      <c r="M44" s="13"/>
      <c r="N44" s="13"/>
      <c r="O44" s="13"/>
      <c r="P44" s="13"/>
      <c r="Q44" s="13"/>
      <c r="R44" s="13"/>
      <c r="S44" s="13"/>
      <c r="T44" s="13"/>
      <c r="U44" s="13"/>
      <c r="V44" s="13"/>
      <c r="W44" s="13"/>
      <c r="X44" s="13"/>
      <c r="Y44" s="13"/>
    </row>
    <row r="45" spans="1:25" ht="15.75">
      <c r="A45" s="538" t="s">
        <v>62</v>
      </c>
      <c r="B45" s="250" t="s">
        <v>124</v>
      </c>
      <c r="C45" s="236" t="s">
        <v>61</v>
      </c>
      <c r="D45" s="236"/>
      <c r="E45" s="236" t="s">
        <v>61</v>
      </c>
      <c r="F45" s="237" t="s">
        <v>61</v>
      </c>
      <c r="G45" s="236"/>
      <c r="H45" s="83"/>
      <c r="I45" s="83"/>
      <c r="J45" s="83"/>
      <c r="K45" s="83"/>
      <c r="L45" s="83"/>
      <c r="M45" s="15"/>
      <c r="N45" s="15"/>
      <c r="O45" s="15"/>
      <c r="P45" s="15"/>
      <c r="Q45" s="15"/>
      <c r="R45" s="13"/>
      <c r="S45" s="13"/>
      <c r="T45" s="13"/>
      <c r="U45" s="13"/>
      <c r="V45" s="13"/>
      <c r="W45" s="13"/>
      <c r="X45" s="13"/>
      <c r="Y45" s="13"/>
    </row>
    <row r="46" spans="1:25" ht="47.25">
      <c r="A46" s="471"/>
      <c r="B46" s="241" t="s">
        <v>17</v>
      </c>
      <c r="C46" s="242" t="s">
        <v>3</v>
      </c>
      <c r="D46" s="242"/>
      <c r="E46" s="242" t="s">
        <v>411</v>
      </c>
      <c r="F46" s="242" t="s">
        <v>407</v>
      </c>
      <c r="G46" s="242" t="s">
        <v>406</v>
      </c>
      <c r="H46" s="254"/>
      <c r="I46" s="618"/>
      <c r="J46" s="83"/>
      <c r="K46" s="83"/>
      <c r="L46" s="83"/>
      <c r="M46" s="15"/>
      <c r="N46" s="15"/>
      <c r="O46" s="15"/>
      <c r="P46" s="15"/>
      <c r="Q46" s="15"/>
      <c r="R46" s="13"/>
      <c r="S46" s="13"/>
      <c r="T46" s="13"/>
      <c r="U46" s="13"/>
      <c r="V46" s="13"/>
      <c r="W46" s="13"/>
      <c r="X46" s="13"/>
      <c r="Y46" s="13"/>
    </row>
    <row r="47" spans="1:25" ht="15.75">
      <c r="A47" s="470"/>
      <c r="B47" s="236"/>
      <c r="C47" s="235"/>
      <c r="D47" s="235"/>
      <c r="E47" s="236"/>
      <c r="F47" s="237"/>
      <c r="G47" s="238"/>
      <c r="H47" s="234"/>
      <c r="I47" s="83"/>
      <c r="J47" s="83"/>
      <c r="K47" s="83"/>
      <c r="L47" s="83"/>
      <c r="M47" s="15"/>
      <c r="N47" s="15"/>
      <c r="O47" s="15"/>
      <c r="P47" s="15"/>
      <c r="Q47" s="15"/>
      <c r="R47" s="13"/>
      <c r="S47" s="13"/>
      <c r="T47" s="13"/>
      <c r="U47" s="13"/>
      <c r="V47" s="13"/>
      <c r="W47" s="13"/>
      <c r="X47" s="13"/>
      <c r="Y47" s="13"/>
    </row>
    <row r="48" spans="1:25" ht="15.75">
      <c r="A48" s="470">
        <v>8</v>
      </c>
      <c r="B48" s="235" t="s">
        <v>10</v>
      </c>
      <c r="C48" s="232">
        <v>676326</v>
      </c>
      <c r="D48" s="232"/>
      <c r="E48" s="237">
        <f>ROUND(C48/C53,4)</f>
        <v>-18.503</v>
      </c>
      <c r="F48" s="237">
        <v>0.12</v>
      </c>
      <c r="G48" s="237">
        <f>ROUND(F48*E48,4)</f>
        <v>-2.2204</v>
      </c>
      <c r="H48" s="33"/>
      <c r="I48" s="83"/>
      <c r="J48" s="83"/>
      <c r="K48" s="83"/>
      <c r="L48" s="83"/>
      <c r="M48" s="15"/>
      <c r="N48" s="15"/>
      <c r="O48" s="15"/>
      <c r="P48" s="15"/>
      <c r="Q48" s="15"/>
      <c r="R48" s="13"/>
      <c r="S48" s="13"/>
      <c r="T48" s="13"/>
      <c r="U48" s="13"/>
      <c r="V48" s="13"/>
      <c r="W48" s="13"/>
      <c r="X48" s="13"/>
      <c r="Y48" s="13"/>
    </row>
    <row r="49" spans="1:25" ht="15.75">
      <c r="A49" s="472"/>
      <c r="B49" s="446" t="s">
        <v>463</v>
      </c>
      <c r="C49" s="232"/>
      <c r="D49" s="232"/>
      <c r="E49" s="237"/>
      <c r="F49" s="237"/>
      <c r="G49" s="237"/>
      <c r="H49" s="33"/>
      <c r="I49" s="83"/>
      <c r="J49" s="83"/>
      <c r="K49" s="83"/>
      <c r="L49" s="83"/>
      <c r="M49" s="15"/>
      <c r="N49" s="15"/>
      <c r="O49" s="15"/>
      <c r="P49" s="15"/>
      <c r="Q49" s="15"/>
      <c r="R49" s="13"/>
      <c r="S49" s="13"/>
      <c r="T49" s="13"/>
      <c r="U49" s="13"/>
      <c r="V49" s="13"/>
      <c r="W49" s="13"/>
      <c r="X49" s="13"/>
      <c r="Y49" s="13"/>
    </row>
    <row r="50" spans="1:25" ht="15.75">
      <c r="A50" s="470">
        <v>9</v>
      </c>
      <c r="B50" s="235" t="s">
        <v>59</v>
      </c>
      <c r="C50" s="239"/>
      <c r="D50" s="239"/>
      <c r="E50" s="240">
        <f>ROUND(C50/$C$53,4)</f>
        <v>0</v>
      </c>
      <c r="F50" s="237">
        <v>0.06</v>
      </c>
      <c r="G50" s="237">
        <f>ROUND(F50*E50,4)</f>
        <v>0</v>
      </c>
      <c r="H50" s="33"/>
      <c r="I50" s="83"/>
      <c r="J50" s="83"/>
      <c r="K50" s="83"/>
      <c r="L50" s="83"/>
      <c r="M50" s="15"/>
      <c r="N50" s="15"/>
      <c r="O50" s="15"/>
      <c r="P50" s="15"/>
      <c r="Q50" s="15"/>
      <c r="R50" s="13"/>
      <c r="S50" s="13"/>
      <c r="T50" s="13"/>
      <c r="U50" s="13"/>
      <c r="V50" s="13"/>
      <c r="W50" s="13"/>
      <c r="X50" s="13"/>
      <c r="Y50" s="13"/>
    </row>
    <row r="51" spans="1:25" ht="15.75">
      <c r="A51" s="454">
        <v>10</v>
      </c>
      <c r="B51" s="87" t="s">
        <v>60</v>
      </c>
      <c r="C51" s="233">
        <f>-'1.4 Dep &amp; CIAC'!T51</f>
        <v>-712878.2467521579</v>
      </c>
      <c r="D51" s="233"/>
      <c r="E51" s="240">
        <f>ROUND(C51/$C$53,4)</f>
        <v>19.503</v>
      </c>
      <c r="F51" s="84">
        <v>0.12</v>
      </c>
      <c r="G51" s="84">
        <f>ROUND(F51*E51,4)</f>
        <v>2.3404</v>
      </c>
      <c r="H51" s="33"/>
      <c r="I51" s="28"/>
      <c r="J51" s="28"/>
      <c r="K51" s="28"/>
      <c r="L51" s="28"/>
      <c r="M51" s="13"/>
      <c r="N51" s="13"/>
      <c r="O51" s="13"/>
      <c r="P51" s="13"/>
      <c r="Q51" s="13"/>
      <c r="R51" s="13"/>
      <c r="S51" s="13"/>
      <c r="T51" s="13"/>
      <c r="U51" s="13"/>
      <c r="V51" s="13"/>
      <c r="W51" s="13"/>
      <c r="X51" s="13"/>
      <c r="Y51" s="13"/>
    </row>
    <row r="52" spans="1:25" ht="15.75">
      <c r="A52" s="454"/>
      <c r="B52" s="446" t="s">
        <v>464</v>
      </c>
      <c r="C52" s="233"/>
      <c r="D52" s="233"/>
      <c r="E52" s="85"/>
      <c r="F52" s="84"/>
      <c r="G52" s="84"/>
      <c r="H52" s="33"/>
      <c r="I52" s="28"/>
      <c r="J52" s="28"/>
      <c r="K52" s="28"/>
      <c r="L52" s="28"/>
      <c r="M52" s="13"/>
      <c r="N52" s="13"/>
      <c r="O52" s="13"/>
      <c r="P52" s="13"/>
      <c r="Q52" s="13"/>
      <c r="R52" s="13"/>
      <c r="S52" s="13"/>
      <c r="T52" s="13"/>
      <c r="U52" s="13"/>
      <c r="V52" s="13"/>
      <c r="W52" s="13"/>
      <c r="X52" s="13"/>
      <c r="Y52" s="13"/>
    </row>
    <row r="53" spans="1:25" ht="16.5" thickBot="1">
      <c r="A53" s="454"/>
      <c r="B53" s="87" t="s">
        <v>57</v>
      </c>
      <c r="C53" s="243">
        <f>SUM(C48:C51)</f>
        <v>-36552.246752157924</v>
      </c>
      <c r="D53" s="243"/>
      <c r="E53" s="244">
        <f>SUM(E48:E51)</f>
        <v>1</v>
      </c>
      <c r="F53" s="88"/>
      <c r="G53" s="245">
        <f>SUM(G48:G51)</f>
        <v>0.11999999999999966</v>
      </c>
      <c r="H53" s="33"/>
      <c r="I53" s="28"/>
      <c r="J53" s="28"/>
      <c r="K53" s="28"/>
      <c r="L53" s="28"/>
      <c r="M53" s="13"/>
      <c r="N53" s="13"/>
      <c r="O53" s="13"/>
      <c r="P53" s="13"/>
      <c r="Q53" s="13"/>
      <c r="R53" s="13"/>
      <c r="S53" s="13"/>
      <c r="T53" s="13"/>
      <c r="U53" s="13"/>
      <c r="V53" s="13"/>
      <c r="W53" s="13"/>
      <c r="X53" s="13"/>
      <c r="Y53" s="13"/>
    </row>
    <row r="54" spans="1:25" ht="13.5" thickTop="1">
      <c r="A54" s="255"/>
      <c r="B54" s="13"/>
      <c r="C54" s="495"/>
      <c r="D54" s="495"/>
      <c r="E54" s="13"/>
      <c r="F54" s="13"/>
      <c r="G54" s="13"/>
      <c r="H54" s="15"/>
      <c r="I54" s="13"/>
      <c r="J54" s="13"/>
      <c r="K54" s="13"/>
      <c r="L54" s="13"/>
      <c r="M54" s="13"/>
      <c r="N54" s="13"/>
      <c r="O54" s="13"/>
      <c r="P54" s="13"/>
      <c r="Q54" s="13"/>
      <c r="R54" s="13"/>
      <c r="S54" s="13"/>
      <c r="T54" s="13"/>
      <c r="U54" s="13"/>
      <c r="V54" s="13"/>
      <c r="W54" s="13"/>
      <c r="X54" s="13"/>
      <c r="Y54" s="13"/>
    </row>
    <row r="55" spans="1:25" ht="12.75">
      <c r="A55" s="255"/>
      <c r="B55" s="13"/>
      <c r="C55" s="495"/>
      <c r="D55" s="495"/>
      <c r="E55" s="13"/>
      <c r="F55" s="13"/>
      <c r="G55" s="13"/>
      <c r="H55" s="15"/>
      <c r="I55" s="13"/>
      <c r="J55" s="13"/>
      <c r="K55" s="13"/>
      <c r="L55" s="13"/>
      <c r="M55" s="13"/>
      <c r="N55" s="13"/>
      <c r="O55" s="13"/>
      <c r="P55" s="13"/>
      <c r="Q55" s="13"/>
      <c r="R55" s="13"/>
      <c r="S55" s="13"/>
      <c r="T55" s="13"/>
      <c r="U55" s="13"/>
      <c r="V55" s="13"/>
      <c r="W55" s="13"/>
      <c r="X55" s="13"/>
      <c r="Y55" s="13"/>
    </row>
    <row r="56" spans="1:25" ht="12.75">
      <c r="A56" s="255"/>
      <c r="B56" s="13"/>
      <c r="C56" s="495"/>
      <c r="D56" s="495"/>
      <c r="E56" s="13"/>
      <c r="F56" s="13"/>
      <c r="G56" s="13"/>
      <c r="H56" s="15"/>
      <c r="I56" s="13"/>
      <c r="J56" s="13"/>
      <c r="K56" s="13"/>
      <c r="L56" s="13"/>
      <c r="M56" s="13"/>
      <c r="N56" s="13"/>
      <c r="O56" s="13"/>
      <c r="P56" s="13"/>
      <c r="Q56" s="13"/>
      <c r="R56" s="13"/>
      <c r="S56" s="13"/>
      <c r="T56" s="13"/>
      <c r="U56" s="13"/>
      <c r="V56" s="13"/>
      <c r="W56" s="13"/>
      <c r="X56" s="13"/>
      <c r="Y56" s="13"/>
    </row>
    <row r="57" spans="1:25" ht="12.75">
      <c r="A57" s="255"/>
      <c r="B57" s="13"/>
      <c r="C57" s="495"/>
      <c r="D57" s="495"/>
      <c r="E57" s="13"/>
      <c r="F57" s="13"/>
      <c r="G57" s="13"/>
      <c r="H57" s="15"/>
      <c r="I57" s="13"/>
      <c r="J57" s="13"/>
      <c r="K57" s="13"/>
      <c r="L57" s="13"/>
      <c r="M57" s="13"/>
      <c r="N57" s="13"/>
      <c r="O57" s="13"/>
      <c r="P57" s="13"/>
      <c r="Q57" s="13"/>
      <c r="R57" s="13"/>
      <c r="S57" s="13"/>
      <c r="T57" s="13"/>
      <c r="U57" s="13"/>
      <c r="V57" s="13"/>
      <c r="W57" s="13"/>
      <c r="X57" s="13"/>
      <c r="Y57" s="13"/>
    </row>
    <row r="58" spans="1:25" ht="12.75">
      <c r="A58" s="255"/>
      <c r="B58" s="13"/>
      <c r="C58" s="495"/>
      <c r="D58" s="495"/>
      <c r="E58" s="13"/>
      <c r="F58" s="13"/>
      <c r="G58" s="13"/>
      <c r="H58" s="15"/>
      <c r="I58" s="13"/>
      <c r="J58" s="13"/>
      <c r="K58" s="13"/>
      <c r="L58" s="13"/>
      <c r="M58" s="13"/>
      <c r="N58" s="13"/>
      <c r="O58" s="13"/>
      <c r="P58" s="13"/>
      <c r="Q58" s="13"/>
      <c r="R58" s="13"/>
      <c r="S58" s="13"/>
      <c r="T58" s="13"/>
      <c r="U58" s="13"/>
      <c r="V58" s="13"/>
      <c r="W58" s="13"/>
      <c r="X58" s="13"/>
      <c r="Y58" s="13"/>
    </row>
    <row r="59" spans="1:25" ht="12.75">
      <c r="A59" s="255"/>
      <c r="B59" s="13"/>
      <c r="C59" s="495"/>
      <c r="D59" s="495"/>
      <c r="E59" s="13"/>
      <c r="F59" s="13"/>
      <c r="G59" s="13"/>
      <c r="H59" s="15"/>
      <c r="I59" s="13"/>
      <c r="J59" s="13"/>
      <c r="K59" s="13"/>
      <c r="L59" s="13"/>
      <c r="M59" s="13"/>
      <c r="N59" s="13"/>
      <c r="O59" s="13"/>
      <c r="P59" s="13"/>
      <c r="Q59" s="13"/>
      <c r="R59" s="13"/>
      <c r="S59" s="13"/>
      <c r="T59" s="13"/>
      <c r="U59" s="13"/>
      <c r="V59" s="13"/>
      <c r="W59" s="13"/>
      <c r="X59" s="13"/>
      <c r="Y59" s="13"/>
    </row>
    <row r="60" spans="1:25" ht="12.75">
      <c r="A60" s="255"/>
      <c r="B60" s="13"/>
      <c r="C60" s="495"/>
      <c r="D60" s="495"/>
      <c r="E60" s="13"/>
      <c r="F60" s="13"/>
      <c r="G60" s="13"/>
      <c r="H60" s="13"/>
      <c r="I60" s="13"/>
      <c r="J60" s="13"/>
      <c r="K60" s="13"/>
      <c r="L60" s="13"/>
      <c r="M60" s="13"/>
      <c r="N60" s="13"/>
      <c r="O60" s="13"/>
      <c r="P60" s="13"/>
      <c r="Q60" s="13"/>
      <c r="R60" s="13"/>
      <c r="S60" s="13"/>
      <c r="T60" s="13"/>
      <c r="U60" s="13"/>
      <c r="V60" s="13"/>
      <c r="W60" s="13"/>
      <c r="X60" s="13"/>
      <c r="Y60" s="13"/>
    </row>
    <row r="61" spans="1:25" ht="12.75">
      <c r="A61" s="255"/>
      <c r="B61" s="13"/>
      <c r="C61" s="495"/>
      <c r="D61" s="495"/>
      <c r="E61" s="13"/>
      <c r="F61" s="13"/>
      <c r="G61" s="13"/>
      <c r="H61" s="13"/>
      <c r="I61" s="13"/>
      <c r="J61" s="13"/>
      <c r="K61" s="13"/>
      <c r="L61" s="13"/>
      <c r="M61" s="13"/>
      <c r="N61" s="13"/>
      <c r="O61" s="13"/>
      <c r="P61" s="13"/>
      <c r="Q61" s="13"/>
      <c r="R61" s="13"/>
      <c r="S61" s="13"/>
      <c r="T61" s="13"/>
      <c r="U61" s="13"/>
      <c r="V61" s="13"/>
      <c r="W61" s="13"/>
      <c r="X61" s="13"/>
      <c r="Y61" s="13"/>
    </row>
    <row r="62" spans="1:25" ht="12.75">
      <c r="A62" s="255"/>
      <c r="B62" s="13"/>
      <c r="C62" s="495"/>
      <c r="D62" s="495"/>
      <c r="E62" s="13"/>
      <c r="F62" s="13"/>
      <c r="G62" s="13"/>
      <c r="H62" s="13"/>
      <c r="I62" s="13"/>
      <c r="J62" s="13"/>
      <c r="K62" s="13"/>
      <c r="L62" s="13"/>
      <c r="M62" s="13"/>
      <c r="N62" s="13"/>
      <c r="O62" s="13"/>
      <c r="P62" s="13"/>
      <c r="Q62" s="13"/>
      <c r="R62" s="13"/>
      <c r="S62" s="13"/>
      <c r="T62" s="13"/>
      <c r="U62" s="13"/>
      <c r="V62" s="13"/>
      <c r="W62" s="13"/>
      <c r="X62" s="13"/>
      <c r="Y62" s="13"/>
    </row>
    <row r="63" spans="1:25" ht="12.75">
      <c r="A63" s="255"/>
      <c r="B63" s="13"/>
      <c r="C63" s="495"/>
      <c r="D63" s="495"/>
      <c r="E63" s="13"/>
      <c r="F63" s="13"/>
      <c r="G63" s="13"/>
      <c r="H63" s="13"/>
      <c r="I63" s="13"/>
      <c r="J63" s="13"/>
      <c r="K63" s="13"/>
      <c r="L63" s="13"/>
      <c r="M63" s="13"/>
      <c r="N63" s="13"/>
      <c r="O63" s="13"/>
      <c r="P63" s="13"/>
      <c r="Q63" s="13"/>
      <c r="R63" s="13"/>
      <c r="S63" s="13"/>
      <c r="T63" s="13"/>
      <c r="U63" s="13"/>
      <c r="V63" s="13"/>
      <c r="W63" s="13"/>
      <c r="X63" s="13"/>
      <c r="Y63" s="13"/>
    </row>
    <row r="64" spans="1:25" ht="12.75">
      <c r="A64" s="255"/>
      <c r="B64" s="13"/>
      <c r="C64" s="495"/>
      <c r="D64" s="495"/>
      <c r="E64" s="13"/>
      <c r="F64" s="13"/>
      <c r="G64" s="13"/>
      <c r="H64" s="13"/>
      <c r="I64" s="13"/>
      <c r="J64" s="13"/>
      <c r="K64" s="13"/>
      <c r="L64" s="13"/>
      <c r="M64" s="13"/>
      <c r="N64" s="13"/>
      <c r="O64" s="13"/>
      <c r="P64" s="13"/>
      <c r="Q64" s="13"/>
      <c r="R64" s="13"/>
      <c r="S64" s="13"/>
      <c r="T64" s="13"/>
      <c r="U64" s="13"/>
      <c r="V64" s="13"/>
      <c r="W64" s="13"/>
      <c r="X64" s="13"/>
      <c r="Y64" s="13"/>
    </row>
    <row r="65" spans="1:25" ht="12.75">
      <c r="A65" s="255"/>
      <c r="B65" s="13"/>
      <c r="C65" s="495"/>
      <c r="D65" s="495"/>
      <c r="E65" s="13"/>
      <c r="F65" s="13"/>
      <c r="G65" s="13"/>
      <c r="H65" s="13"/>
      <c r="I65" s="13"/>
      <c r="J65" s="13"/>
      <c r="K65" s="13"/>
      <c r="L65" s="13"/>
      <c r="M65" s="13"/>
      <c r="N65" s="13"/>
      <c r="O65" s="13"/>
      <c r="P65" s="13"/>
      <c r="Q65" s="13"/>
      <c r="R65" s="13"/>
      <c r="S65" s="13"/>
      <c r="T65" s="13"/>
      <c r="U65" s="13"/>
      <c r="V65" s="13"/>
      <c r="W65" s="13"/>
      <c r="X65" s="13"/>
      <c r="Y65" s="13"/>
    </row>
    <row r="66" spans="1:25" ht="12.75">
      <c r="A66" s="255"/>
      <c r="B66" s="13"/>
      <c r="C66" s="495"/>
      <c r="D66" s="495"/>
      <c r="E66" s="13"/>
      <c r="F66" s="13"/>
      <c r="G66" s="13"/>
      <c r="H66" s="13"/>
      <c r="I66" s="13"/>
      <c r="J66" s="13"/>
      <c r="K66" s="13"/>
      <c r="L66" s="13"/>
      <c r="M66" s="13"/>
      <c r="N66" s="13"/>
      <c r="O66" s="13"/>
      <c r="P66" s="13"/>
      <c r="Q66" s="13"/>
      <c r="R66" s="13"/>
      <c r="S66" s="13"/>
      <c r="T66" s="13"/>
      <c r="U66" s="13"/>
      <c r="V66" s="13"/>
      <c r="W66" s="13"/>
      <c r="X66" s="13"/>
      <c r="Y66" s="13"/>
    </row>
    <row r="67" spans="1:25" ht="12.75">
      <c r="A67" s="255"/>
      <c r="B67" s="13"/>
      <c r="C67" s="495"/>
      <c r="D67" s="495"/>
      <c r="E67" s="13"/>
      <c r="F67" s="13"/>
      <c r="G67" s="13"/>
      <c r="H67" s="13"/>
      <c r="I67" s="13"/>
      <c r="J67" s="13"/>
      <c r="K67" s="13"/>
      <c r="L67" s="13"/>
      <c r="M67" s="13"/>
      <c r="N67" s="13"/>
      <c r="O67" s="13"/>
      <c r="P67" s="13"/>
      <c r="Q67" s="13"/>
      <c r="R67" s="13"/>
      <c r="S67" s="13"/>
      <c r="T67" s="13"/>
      <c r="U67" s="13"/>
      <c r="V67" s="13"/>
      <c r="W67" s="13"/>
      <c r="X67" s="13"/>
      <c r="Y67" s="13"/>
    </row>
    <row r="68" spans="1:25" ht="12.75">
      <c r="A68" s="255"/>
      <c r="B68" s="13"/>
      <c r="C68" s="495"/>
      <c r="D68" s="495"/>
      <c r="E68" s="13"/>
      <c r="F68" s="13"/>
      <c r="G68" s="13"/>
      <c r="H68" s="13"/>
      <c r="I68" s="13"/>
      <c r="J68" s="13"/>
      <c r="K68" s="13"/>
      <c r="L68" s="13"/>
      <c r="M68" s="13"/>
      <c r="N68" s="13"/>
      <c r="O68" s="13"/>
      <c r="P68" s="13"/>
      <c r="Q68" s="13"/>
      <c r="R68" s="13"/>
      <c r="S68" s="13"/>
      <c r="T68" s="13"/>
      <c r="U68" s="13"/>
      <c r="V68" s="13"/>
      <c r="W68" s="13"/>
      <c r="X68" s="13"/>
      <c r="Y68" s="13"/>
    </row>
    <row r="69" spans="1:25" ht="12.75">
      <c r="A69" s="255"/>
      <c r="B69" s="13"/>
      <c r="C69" s="495"/>
      <c r="D69" s="495"/>
      <c r="E69" s="13"/>
      <c r="F69" s="13"/>
      <c r="G69" s="13"/>
      <c r="H69" s="13"/>
      <c r="I69" s="13"/>
      <c r="J69" s="13"/>
      <c r="K69" s="13"/>
      <c r="L69" s="13"/>
      <c r="M69" s="13"/>
      <c r="N69" s="13"/>
      <c r="O69" s="13"/>
      <c r="P69" s="13"/>
      <c r="Q69" s="13"/>
      <c r="R69" s="13"/>
      <c r="S69" s="13"/>
      <c r="T69" s="13"/>
      <c r="U69" s="13"/>
      <c r="V69" s="13"/>
      <c r="W69" s="13"/>
      <c r="X69" s="13"/>
      <c r="Y69" s="13"/>
    </row>
    <row r="70" spans="1:25" ht="12.75">
      <c r="A70" s="255"/>
      <c r="B70" s="13"/>
      <c r="C70" s="495"/>
      <c r="D70" s="495"/>
      <c r="E70" s="13"/>
      <c r="F70" s="13"/>
      <c r="G70" s="13"/>
      <c r="H70" s="13"/>
      <c r="I70" s="13"/>
      <c r="J70" s="13"/>
      <c r="K70" s="13"/>
      <c r="L70" s="13"/>
      <c r="M70" s="13"/>
      <c r="N70" s="13"/>
      <c r="O70" s="13"/>
      <c r="P70" s="13"/>
      <c r="Q70" s="13"/>
      <c r="R70" s="13"/>
      <c r="S70" s="13"/>
      <c r="T70" s="13"/>
      <c r="U70" s="13"/>
      <c r="V70" s="13"/>
      <c r="W70" s="13"/>
      <c r="X70" s="13"/>
      <c r="Y70" s="13"/>
    </row>
    <row r="71" spans="1:25" ht="12.75">
      <c r="A71" s="255"/>
      <c r="B71" s="13"/>
      <c r="C71" s="495"/>
      <c r="D71" s="495"/>
      <c r="E71" s="13"/>
      <c r="F71" s="13"/>
      <c r="G71" s="13"/>
      <c r="H71" s="13"/>
      <c r="I71" s="13"/>
      <c r="J71" s="13"/>
      <c r="K71" s="13"/>
      <c r="L71" s="13"/>
      <c r="M71" s="13"/>
      <c r="N71" s="13"/>
      <c r="O71" s="13"/>
      <c r="P71" s="13"/>
      <c r="Q71" s="13"/>
      <c r="R71" s="13"/>
      <c r="S71" s="13"/>
      <c r="T71" s="13"/>
      <c r="U71" s="13"/>
      <c r="V71" s="13"/>
      <c r="W71" s="13"/>
      <c r="X71" s="13"/>
      <c r="Y71" s="13"/>
    </row>
    <row r="72" spans="1:25" ht="12.75">
      <c r="A72" s="255"/>
      <c r="B72" s="13"/>
      <c r="C72" s="495"/>
      <c r="D72" s="495"/>
      <c r="E72" s="13"/>
      <c r="F72" s="13"/>
      <c r="G72" s="13"/>
      <c r="H72" s="13"/>
      <c r="I72" s="13"/>
      <c r="J72" s="13"/>
      <c r="K72" s="13"/>
      <c r="L72" s="13"/>
      <c r="M72" s="13"/>
      <c r="N72" s="13"/>
      <c r="O72" s="13"/>
      <c r="P72" s="13"/>
      <c r="Q72" s="13"/>
      <c r="R72" s="13"/>
      <c r="S72" s="13"/>
      <c r="T72" s="13"/>
      <c r="U72" s="13"/>
      <c r="V72" s="13"/>
      <c r="W72" s="13"/>
      <c r="X72" s="13"/>
      <c r="Y72" s="13"/>
    </row>
    <row r="73" spans="1:25" ht="12.75">
      <c r="A73" s="255"/>
      <c r="B73" s="13"/>
      <c r="C73" s="495"/>
      <c r="D73" s="495"/>
      <c r="E73" s="13"/>
      <c r="F73" s="13"/>
      <c r="G73" s="13"/>
      <c r="H73" s="13"/>
      <c r="I73" s="13"/>
      <c r="J73" s="13"/>
      <c r="K73" s="13"/>
      <c r="L73" s="13"/>
      <c r="M73" s="13"/>
      <c r="N73" s="13"/>
      <c r="O73" s="13"/>
      <c r="P73" s="13"/>
      <c r="Q73" s="13"/>
      <c r="R73" s="13"/>
      <c r="S73" s="13"/>
      <c r="T73" s="13"/>
      <c r="U73" s="13"/>
      <c r="V73" s="13"/>
      <c r="W73" s="13"/>
      <c r="X73" s="13"/>
      <c r="Y73" s="13"/>
    </row>
    <row r="74" spans="1:25" ht="12.75">
      <c r="A74" s="255"/>
      <c r="B74" s="13"/>
      <c r="C74" s="495"/>
      <c r="D74" s="495"/>
      <c r="E74" s="13"/>
      <c r="F74" s="13"/>
      <c r="G74" s="13"/>
      <c r="H74" s="13"/>
      <c r="I74" s="13"/>
      <c r="J74" s="13"/>
      <c r="K74" s="13"/>
      <c r="L74" s="13"/>
      <c r="M74" s="13"/>
      <c r="N74" s="13"/>
      <c r="O74" s="13"/>
      <c r="P74" s="13"/>
      <c r="Q74" s="13"/>
      <c r="R74" s="13"/>
      <c r="S74" s="13"/>
      <c r="T74" s="13"/>
      <c r="U74" s="13"/>
      <c r="V74" s="13"/>
      <c r="W74" s="13"/>
      <c r="X74" s="13"/>
      <c r="Y74" s="13"/>
    </row>
    <row r="75" spans="1:25" ht="12.75">
      <c r="A75" s="255"/>
      <c r="B75" s="13"/>
      <c r="C75" s="495"/>
      <c r="D75" s="495"/>
      <c r="E75" s="13"/>
      <c r="F75" s="13"/>
      <c r="G75" s="13"/>
      <c r="H75" s="13"/>
      <c r="I75" s="13"/>
      <c r="J75" s="13"/>
      <c r="K75" s="13"/>
      <c r="L75" s="13"/>
      <c r="M75" s="13"/>
      <c r="N75" s="13"/>
      <c r="O75" s="13"/>
      <c r="P75" s="13"/>
      <c r="Q75" s="13"/>
      <c r="R75" s="13"/>
      <c r="S75" s="13"/>
      <c r="T75" s="13"/>
      <c r="U75" s="13"/>
      <c r="V75" s="13"/>
      <c r="W75" s="13"/>
      <c r="X75" s="13"/>
      <c r="Y75" s="13"/>
    </row>
    <row r="76" spans="1:25" ht="12.75">
      <c r="A76" s="255"/>
      <c r="B76" s="13"/>
      <c r="C76" s="495"/>
      <c r="D76" s="495"/>
      <c r="E76" s="13"/>
      <c r="F76" s="13"/>
      <c r="G76" s="13"/>
      <c r="H76" s="13"/>
      <c r="I76" s="13"/>
      <c r="J76" s="13"/>
      <c r="K76" s="13"/>
      <c r="L76" s="13"/>
      <c r="M76" s="13"/>
      <c r="N76" s="13"/>
      <c r="O76" s="13"/>
      <c r="P76" s="13"/>
      <c r="Q76" s="13"/>
      <c r="R76" s="13"/>
      <c r="S76" s="13"/>
      <c r="T76" s="13"/>
      <c r="U76" s="13"/>
      <c r="V76" s="13"/>
      <c r="W76" s="13"/>
      <c r="X76" s="13"/>
      <c r="Y76" s="13"/>
    </row>
    <row r="77" spans="1:25" ht="12.75">
      <c r="A77" s="255"/>
      <c r="B77" s="13"/>
      <c r="C77" s="495"/>
      <c r="D77" s="495"/>
      <c r="E77" s="13"/>
      <c r="F77" s="13"/>
      <c r="G77" s="13"/>
      <c r="H77" s="13"/>
      <c r="I77" s="13"/>
      <c r="J77" s="13"/>
      <c r="K77" s="13"/>
      <c r="L77" s="13"/>
      <c r="M77" s="13"/>
      <c r="N77" s="13"/>
      <c r="O77" s="13"/>
      <c r="P77" s="13"/>
      <c r="Q77" s="13"/>
      <c r="R77" s="13"/>
      <c r="S77" s="13"/>
      <c r="T77" s="13"/>
      <c r="U77" s="13"/>
      <c r="V77" s="13"/>
      <c r="W77" s="13"/>
      <c r="X77" s="13"/>
      <c r="Y77" s="13"/>
    </row>
    <row r="78" spans="1:25" ht="12.75">
      <c r="A78" s="255"/>
      <c r="B78" s="13"/>
      <c r="C78" s="495"/>
      <c r="D78" s="495"/>
      <c r="E78" s="13"/>
      <c r="F78" s="13"/>
      <c r="G78" s="13"/>
      <c r="H78" s="13"/>
      <c r="I78" s="13"/>
      <c r="J78" s="13"/>
      <c r="K78" s="13"/>
      <c r="L78" s="13"/>
      <c r="M78" s="13"/>
      <c r="N78" s="13"/>
      <c r="O78" s="13"/>
      <c r="P78" s="13"/>
      <c r="Q78" s="13"/>
      <c r="R78" s="13"/>
      <c r="S78" s="13"/>
      <c r="T78" s="13"/>
      <c r="U78" s="13"/>
      <c r="V78" s="13"/>
      <c r="W78" s="13"/>
      <c r="X78" s="13"/>
      <c r="Y78" s="13"/>
    </row>
    <row r="79" spans="1:25" ht="12.75">
      <c r="A79" s="255"/>
      <c r="B79" s="13"/>
      <c r="C79" s="495"/>
      <c r="D79" s="495"/>
      <c r="E79" s="13"/>
      <c r="F79" s="13"/>
      <c r="G79" s="13"/>
      <c r="H79" s="13"/>
      <c r="I79" s="13"/>
      <c r="J79" s="13"/>
      <c r="K79" s="13"/>
      <c r="L79" s="13"/>
      <c r="M79" s="13"/>
      <c r="N79" s="13"/>
      <c r="O79" s="13"/>
      <c r="P79" s="13"/>
      <c r="Q79" s="13"/>
      <c r="R79" s="13"/>
      <c r="S79" s="13"/>
      <c r="T79" s="13"/>
      <c r="U79" s="13"/>
      <c r="V79" s="13"/>
      <c r="W79" s="13"/>
      <c r="X79" s="13"/>
      <c r="Y79" s="13"/>
    </row>
    <row r="80" spans="1:25" ht="12.75">
      <c r="A80" s="255"/>
      <c r="B80" s="13"/>
      <c r="C80" s="495"/>
      <c r="D80" s="495"/>
      <c r="E80" s="13"/>
      <c r="F80" s="13"/>
      <c r="G80" s="13"/>
      <c r="H80" s="13"/>
      <c r="I80" s="13"/>
      <c r="J80" s="13"/>
      <c r="K80" s="13"/>
      <c r="L80" s="13"/>
      <c r="M80" s="13"/>
      <c r="N80" s="13"/>
      <c r="O80" s="13"/>
      <c r="P80" s="13"/>
      <c r="Q80" s="13"/>
      <c r="R80" s="13"/>
      <c r="S80" s="13"/>
      <c r="T80" s="13"/>
      <c r="U80" s="13"/>
      <c r="V80" s="13"/>
      <c r="W80" s="13"/>
      <c r="X80" s="13"/>
      <c r="Y80" s="13"/>
    </row>
    <row r="81" spans="1:25" ht="12.75">
      <c r="A81" s="255"/>
      <c r="B81" s="13"/>
      <c r="C81" s="495"/>
      <c r="D81" s="495"/>
      <c r="E81" s="13"/>
      <c r="F81" s="13"/>
      <c r="G81" s="13"/>
      <c r="H81" s="13"/>
      <c r="I81" s="13"/>
      <c r="J81" s="13"/>
      <c r="K81" s="13"/>
      <c r="L81" s="13"/>
      <c r="M81" s="13"/>
      <c r="N81" s="13"/>
      <c r="O81" s="13"/>
      <c r="P81" s="13"/>
      <c r="Q81" s="13"/>
      <c r="R81" s="13"/>
      <c r="S81" s="13"/>
      <c r="T81" s="13"/>
      <c r="U81" s="13"/>
      <c r="V81" s="13"/>
      <c r="W81" s="13"/>
      <c r="X81" s="13"/>
      <c r="Y81" s="13"/>
    </row>
    <row r="82" spans="1:25" ht="12.75">
      <c r="A82" s="255"/>
      <c r="B82" s="13"/>
      <c r="C82" s="495"/>
      <c r="D82" s="495"/>
      <c r="E82" s="13"/>
      <c r="F82" s="13"/>
      <c r="G82" s="13"/>
      <c r="H82" s="13"/>
      <c r="I82" s="13"/>
      <c r="J82" s="13"/>
      <c r="K82" s="13"/>
      <c r="L82" s="13"/>
      <c r="M82" s="13"/>
      <c r="N82" s="13"/>
      <c r="O82" s="13"/>
      <c r="P82" s="13"/>
      <c r="Q82" s="13"/>
      <c r="R82" s="13"/>
      <c r="S82" s="13"/>
      <c r="T82" s="13"/>
      <c r="U82" s="13"/>
      <c r="V82" s="13"/>
      <c r="W82" s="13"/>
      <c r="X82" s="13"/>
      <c r="Y82" s="13"/>
    </row>
    <row r="83" spans="1:25" ht="12.75">
      <c r="A83" s="255"/>
      <c r="B83" s="13"/>
      <c r="C83" s="495"/>
      <c r="D83" s="495"/>
      <c r="E83" s="13"/>
      <c r="F83" s="13"/>
      <c r="G83" s="13"/>
      <c r="H83" s="13"/>
      <c r="I83" s="13"/>
      <c r="J83" s="13"/>
      <c r="K83" s="13"/>
      <c r="L83" s="13"/>
      <c r="M83" s="13"/>
      <c r="N83" s="13"/>
      <c r="O83" s="13"/>
      <c r="P83" s="13"/>
      <c r="Q83" s="13"/>
      <c r="R83" s="13"/>
      <c r="S83" s="13"/>
      <c r="T83" s="13"/>
      <c r="U83" s="13"/>
      <c r="V83" s="13"/>
      <c r="W83" s="13"/>
      <c r="X83" s="13"/>
      <c r="Y83" s="13"/>
    </row>
    <row r="84" spans="1:25" ht="12.75">
      <c r="A84" s="255"/>
      <c r="B84" s="13"/>
      <c r="C84" s="495"/>
      <c r="D84" s="495"/>
      <c r="E84" s="13"/>
      <c r="F84" s="13"/>
      <c r="G84" s="13"/>
      <c r="H84" s="13"/>
      <c r="I84" s="13"/>
      <c r="J84" s="13"/>
      <c r="K84" s="13"/>
      <c r="L84" s="13"/>
      <c r="M84" s="13"/>
      <c r="N84" s="13"/>
      <c r="O84" s="13"/>
      <c r="P84" s="13"/>
      <c r="Q84" s="13"/>
      <c r="R84" s="13"/>
      <c r="S84" s="13"/>
      <c r="T84" s="13"/>
      <c r="U84" s="13"/>
      <c r="V84" s="13"/>
      <c r="W84" s="13"/>
      <c r="X84" s="13"/>
      <c r="Y84" s="13"/>
    </row>
    <row r="85" spans="1:25" ht="12.75">
      <c r="A85" s="255"/>
      <c r="B85" s="13"/>
      <c r="C85" s="495"/>
      <c r="D85" s="495"/>
      <c r="E85" s="13"/>
      <c r="F85" s="13"/>
      <c r="G85" s="13"/>
      <c r="H85" s="13"/>
      <c r="I85" s="13"/>
      <c r="J85" s="13"/>
      <c r="K85" s="13"/>
      <c r="L85" s="13"/>
      <c r="M85" s="13"/>
      <c r="N85" s="13"/>
      <c r="O85" s="13"/>
      <c r="P85" s="13"/>
      <c r="Q85" s="13"/>
      <c r="R85" s="13"/>
      <c r="S85" s="13"/>
      <c r="T85" s="13"/>
      <c r="U85" s="13"/>
      <c r="V85" s="13"/>
      <c r="W85" s="13"/>
      <c r="X85" s="13"/>
      <c r="Y85" s="13"/>
    </row>
    <row r="86" spans="1:25" ht="12.75">
      <c r="A86" s="255"/>
      <c r="B86" s="13"/>
      <c r="C86" s="495"/>
      <c r="D86" s="495"/>
      <c r="E86" s="13"/>
      <c r="F86" s="13"/>
      <c r="G86" s="13"/>
      <c r="H86" s="13"/>
      <c r="I86" s="13"/>
      <c r="J86" s="13"/>
      <c r="K86" s="13"/>
      <c r="L86" s="13"/>
      <c r="M86" s="13"/>
      <c r="N86" s="13"/>
      <c r="O86" s="13"/>
      <c r="P86" s="13"/>
      <c r="Q86" s="13"/>
      <c r="R86" s="13"/>
      <c r="S86" s="13"/>
      <c r="T86" s="13"/>
      <c r="U86" s="13"/>
      <c r="V86" s="13"/>
      <c r="W86" s="13"/>
      <c r="X86" s="13"/>
      <c r="Y86" s="13"/>
    </row>
    <row r="87" spans="1:25" ht="12.75">
      <c r="A87" s="255"/>
      <c r="B87" s="13"/>
      <c r="C87" s="495"/>
      <c r="D87" s="495"/>
      <c r="E87" s="13"/>
      <c r="F87" s="13"/>
      <c r="G87" s="13"/>
      <c r="H87" s="13"/>
      <c r="I87" s="13"/>
      <c r="J87" s="13"/>
      <c r="K87" s="13"/>
      <c r="L87" s="13"/>
      <c r="M87" s="13"/>
      <c r="N87" s="13"/>
      <c r="O87" s="13"/>
      <c r="P87" s="13"/>
      <c r="Q87" s="13"/>
      <c r="R87" s="13"/>
      <c r="S87" s="13"/>
      <c r="T87" s="13"/>
      <c r="U87" s="13"/>
      <c r="V87" s="13"/>
      <c r="W87" s="13"/>
      <c r="X87" s="13"/>
      <c r="Y87" s="13"/>
    </row>
    <row r="88" spans="1:25" ht="12.75">
      <c r="A88" s="255"/>
      <c r="B88" s="13"/>
      <c r="C88" s="495"/>
      <c r="D88" s="495"/>
      <c r="E88" s="13"/>
      <c r="F88" s="13"/>
      <c r="G88" s="13"/>
      <c r="H88" s="13"/>
      <c r="I88" s="13"/>
      <c r="J88" s="13"/>
      <c r="K88" s="13"/>
      <c r="L88" s="13"/>
      <c r="M88" s="13"/>
      <c r="N88" s="13"/>
      <c r="O88" s="13"/>
      <c r="P88" s="13"/>
      <c r="Q88" s="13"/>
      <c r="R88" s="13"/>
      <c r="S88" s="13"/>
      <c r="T88" s="13"/>
      <c r="U88" s="13"/>
      <c r="V88" s="13"/>
      <c r="W88" s="13"/>
      <c r="X88" s="13"/>
      <c r="Y88" s="13"/>
    </row>
    <row r="89" spans="1:25" ht="12.75">
      <c r="A89" s="255"/>
      <c r="B89" s="13"/>
      <c r="C89" s="495"/>
      <c r="D89" s="495"/>
      <c r="E89" s="13"/>
      <c r="F89" s="13"/>
      <c r="G89" s="13"/>
      <c r="H89" s="13"/>
      <c r="I89" s="13"/>
      <c r="J89" s="13"/>
      <c r="K89" s="13"/>
      <c r="L89" s="13"/>
      <c r="M89" s="13"/>
      <c r="N89" s="13"/>
      <c r="O89" s="13"/>
      <c r="P89" s="13"/>
      <c r="Q89" s="13"/>
      <c r="R89" s="13"/>
      <c r="S89" s="13"/>
      <c r="T89" s="13"/>
      <c r="U89" s="13"/>
      <c r="V89" s="13"/>
      <c r="W89" s="13"/>
      <c r="X89" s="13"/>
      <c r="Y89" s="13"/>
    </row>
    <row r="90" spans="1:25" ht="12.75">
      <c r="A90" s="255"/>
      <c r="B90" s="13"/>
      <c r="C90" s="495"/>
      <c r="D90" s="495"/>
      <c r="E90" s="13"/>
      <c r="F90" s="13"/>
      <c r="G90" s="13"/>
      <c r="H90" s="13"/>
      <c r="I90" s="13"/>
      <c r="J90" s="13"/>
      <c r="K90" s="13"/>
      <c r="L90" s="13"/>
      <c r="M90" s="13"/>
      <c r="N90" s="13"/>
      <c r="O90" s="13"/>
      <c r="P90" s="13"/>
      <c r="Q90" s="13"/>
      <c r="R90" s="13"/>
      <c r="S90" s="13"/>
      <c r="T90" s="13"/>
      <c r="U90" s="13"/>
      <c r="V90" s="13"/>
      <c r="W90" s="13"/>
      <c r="X90" s="13"/>
      <c r="Y90" s="13"/>
    </row>
    <row r="91" spans="1:25" ht="12.75">
      <c r="A91" s="255"/>
      <c r="B91" s="13"/>
      <c r="C91" s="495"/>
      <c r="D91" s="495"/>
      <c r="E91" s="13"/>
      <c r="F91" s="13"/>
      <c r="G91" s="13"/>
      <c r="H91" s="13"/>
      <c r="I91" s="13"/>
      <c r="J91" s="13"/>
      <c r="K91" s="13"/>
      <c r="L91" s="13"/>
      <c r="M91" s="13"/>
      <c r="N91" s="13"/>
      <c r="O91" s="13"/>
      <c r="P91" s="13"/>
      <c r="Q91" s="13"/>
      <c r="R91" s="13"/>
      <c r="S91" s="13"/>
      <c r="T91" s="13"/>
      <c r="U91" s="13"/>
      <c r="V91" s="13"/>
      <c r="W91" s="13"/>
      <c r="X91" s="13"/>
      <c r="Y91" s="13"/>
    </row>
    <row r="92" spans="1:25" ht="12.75">
      <c r="A92" s="255"/>
      <c r="B92" s="13"/>
      <c r="C92" s="495"/>
      <c r="D92" s="495"/>
      <c r="E92" s="13"/>
      <c r="F92" s="13"/>
      <c r="G92" s="13"/>
      <c r="H92" s="13"/>
      <c r="I92" s="13"/>
      <c r="J92" s="13"/>
      <c r="K92" s="13"/>
      <c r="L92" s="13"/>
      <c r="M92" s="13"/>
      <c r="N92" s="13"/>
      <c r="O92" s="13"/>
      <c r="P92" s="13"/>
      <c r="Q92" s="13"/>
      <c r="R92" s="13"/>
      <c r="S92" s="13"/>
      <c r="T92" s="13"/>
      <c r="U92" s="13"/>
      <c r="V92" s="13"/>
      <c r="W92" s="13"/>
      <c r="X92" s="13"/>
      <c r="Y92" s="13"/>
    </row>
    <row r="93" spans="1:25" ht="12.75">
      <c r="A93" s="255"/>
      <c r="B93" s="13"/>
      <c r="C93" s="495"/>
      <c r="D93" s="495"/>
      <c r="E93" s="13"/>
      <c r="F93" s="13"/>
      <c r="G93" s="13"/>
      <c r="H93" s="13"/>
      <c r="I93" s="13"/>
      <c r="J93" s="13"/>
      <c r="K93" s="13"/>
      <c r="L93" s="13"/>
      <c r="M93" s="13"/>
      <c r="N93" s="13"/>
      <c r="O93" s="13"/>
      <c r="P93" s="13"/>
      <c r="Q93" s="13"/>
      <c r="R93" s="13"/>
      <c r="S93" s="13"/>
      <c r="T93" s="13"/>
      <c r="U93" s="13"/>
      <c r="V93" s="13"/>
      <c r="W93" s="13"/>
      <c r="X93" s="13"/>
      <c r="Y93" s="13"/>
    </row>
    <row r="94" spans="1:25" ht="12.75">
      <c r="A94" s="255"/>
      <c r="B94" s="13"/>
      <c r="C94" s="495"/>
      <c r="D94" s="495"/>
      <c r="E94" s="13"/>
      <c r="F94" s="13"/>
      <c r="G94" s="13"/>
      <c r="H94" s="13"/>
      <c r="I94" s="13"/>
      <c r="J94" s="13"/>
      <c r="K94" s="13"/>
      <c r="L94" s="13"/>
      <c r="M94" s="13"/>
      <c r="N94" s="13"/>
      <c r="O94" s="13"/>
      <c r="P94" s="13"/>
      <c r="Q94" s="13"/>
      <c r="R94" s="13"/>
      <c r="S94" s="13"/>
      <c r="T94" s="13"/>
      <c r="U94" s="13"/>
      <c r="V94" s="13"/>
      <c r="W94" s="13"/>
      <c r="X94" s="13"/>
      <c r="Y94" s="13"/>
    </row>
    <row r="95" spans="1:25" ht="12.75">
      <c r="A95" s="255"/>
      <c r="B95" s="13"/>
      <c r="C95" s="495"/>
      <c r="D95" s="495"/>
      <c r="E95" s="13"/>
      <c r="F95" s="13"/>
      <c r="G95" s="13"/>
      <c r="H95" s="13"/>
      <c r="I95" s="13"/>
      <c r="J95" s="13"/>
      <c r="K95" s="13"/>
      <c r="L95" s="13"/>
      <c r="M95" s="13"/>
      <c r="N95" s="13"/>
      <c r="O95" s="13"/>
      <c r="P95" s="13"/>
      <c r="Q95" s="13"/>
      <c r="R95" s="13"/>
      <c r="S95" s="13"/>
      <c r="T95" s="13"/>
      <c r="U95" s="13"/>
      <c r="V95" s="13"/>
      <c r="W95" s="13"/>
      <c r="X95" s="13"/>
      <c r="Y95" s="13"/>
    </row>
    <row r="96" spans="1:25" ht="12.75">
      <c r="A96" s="255"/>
      <c r="B96" s="13"/>
      <c r="C96" s="495"/>
      <c r="D96" s="495"/>
      <c r="E96" s="13"/>
      <c r="F96" s="13"/>
      <c r="G96" s="13"/>
      <c r="H96" s="13"/>
      <c r="I96" s="13"/>
      <c r="J96" s="13"/>
      <c r="K96" s="13"/>
      <c r="L96" s="13"/>
      <c r="M96" s="13"/>
      <c r="N96" s="13"/>
      <c r="O96" s="13"/>
      <c r="P96" s="13"/>
      <c r="Q96" s="13"/>
      <c r="R96" s="13"/>
      <c r="S96" s="13"/>
      <c r="T96" s="13"/>
      <c r="U96" s="13"/>
      <c r="V96" s="13"/>
      <c r="W96" s="13"/>
      <c r="X96" s="13"/>
      <c r="Y96" s="13"/>
    </row>
    <row r="97" spans="1:25" ht="12.75">
      <c r="A97" s="255"/>
      <c r="B97" s="13"/>
      <c r="C97" s="495"/>
      <c r="D97" s="495"/>
      <c r="E97" s="13"/>
      <c r="F97" s="13"/>
      <c r="G97" s="13"/>
      <c r="H97" s="13"/>
      <c r="I97" s="13"/>
      <c r="J97" s="13"/>
      <c r="K97" s="13"/>
      <c r="L97" s="13"/>
      <c r="M97" s="13"/>
      <c r="N97" s="13"/>
      <c r="O97" s="13"/>
      <c r="P97" s="13"/>
      <c r="Q97" s="13"/>
      <c r="R97" s="13"/>
      <c r="S97" s="13"/>
      <c r="T97" s="13"/>
      <c r="U97" s="13"/>
      <c r="V97" s="13"/>
      <c r="W97" s="13"/>
      <c r="X97" s="13"/>
      <c r="Y97" s="13"/>
    </row>
    <row r="98" spans="1:25" ht="12.75">
      <c r="A98" s="255"/>
      <c r="B98" s="13"/>
      <c r="C98" s="495"/>
      <c r="D98" s="495"/>
      <c r="E98" s="13"/>
      <c r="F98" s="13"/>
      <c r="G98" s="13"/>
      <c r="H98" s="13"/>
      <c r="I98" s="13"/>
      <c r="J98" s="13"/>
      <c r="K98" s="13"/>
      <c r="L98" s="13"/>
      <c r="M98" s="13"/>
      <c r="N98" s="13"/>
      <c r="O98" s="13"/>
      <c r="P98" s="13"/>
      <c r="Q98" s="13"/>
      <c r="R98" s="13"/>
      <c r="S98" s="13"/>
      <c r="T98" s="13"/>
      <c r="U98" s="13"/>
      <c r="V98" s="13"/>
      <c r="W98" s="13"/>
      <c r="X98" s="13"/>
      <c r="Y98" s="13"/>
    </row>
    <row r="99" spans="1:25" ht="12.75">
      <c r="A99" s="255"/>
      <c r="B99" s="13"/>
      <c r="C99" s="495"/>
      <c r="D99" s="495"/>
      <c r="E99" s="13"/>
      <c r="F99" s="13"/>
      <c r="G99" s="13"/>
      <c r="H99" s="13"/>
      <c r="I99" s="13"/>
      <c r="J99" s="13"/>
      <c r="K99" s="13"/>
      <c r="L99" s="13"/>
      <c r="M99" s="13"/>
      <c r="N99" s="13"/>
      <c r="O99" s="13"/>
      <c r="P99" s="13"/>
      <c r="Q99" s="13"/>
      <c r="R99" s="13"/>
      <c r="S99" s="13"/>
      <c r="T99" s="13"/>
      <c r="U99" s="13"/>
      <c r="V99" s="13"/>
      <c r="W99" s="13"/>
      <c r="X99" s="13"/>
      <c r="Y99" s="13"/>
    </row>
    <row r="100" spans="1:25" ht="12.75">
      <c r="A100" s="255"/>
      <c r="B100" s="13"/>
      <c r="C100" s="495"/>
      <c r="D100" s="495"/>
      <c r="E100" s="13"/>
      <c r="F100" s="13"/>
      <c r="G100" s="13"/>
      <c r="H100" s="13"/>
      <c r="I100" s="13"/>
      <c r="J100" s="13"/>
      <c r="K100" s="13"/>
      <c r="L100" s="13"/>
      <c r="M100" s="13"/>
      <c r="N100" s="13"/>
      <c r="O100" s="13"/>
      <c r="P100" s="13"/>
      <c r="Q100" s="13"/>
      <c r="R100" s="13"/>
      <c r="S100" s="13"/>
      <c r="T100" s="13"/>
      <c r="U100" s="13"/>
      <c r="V100" s="13"/>
      <c r="W100" s="13"/>
      <c r="X100" s="13"/>
      <c r="Y100" s="13"/>
    </row>
    <row r="101" spans="1:25" ht="12.75">
      <c r="A101" s="255"/>
      <c r="B101" s="13"/>
      <c r="C101" s="495"/>
      <c r="D101" s="495"/>
      <c r="E101" s="13"/>
      <c r="F101" s="13"/>
      <c r="G101" s="13"/>
      <c r="H101" s="13"/>
      <c r="I101" s="13"/>
      <c r="J101" s="13"/>
      <c r="K101" s="13"/>
      <c r="L101" s="13"/>
      <c r="M101" s="13"/>
      <c r="N101" s="13"/>
      <c r="O101" s="13"/>
      <c r="P101" s="13"/>
      <c r="Q101" s="13"/>
      <c r="R101" s="13"/>
      <c r="S101" s="13"/>
      <c r="T101" s="13"/>
      <c r="U101" s="13"/>
      <c r="V101" s="13"/>
      <c r="W101" s="13"/>
      <c r="X101" s="13"/>
      <c r="Y101" s="13"/>
    </row>
    <row r="102" spans="1:25" ht="12.75">
      <c r="A102" s="255"/>
      <c r="B102" s="13"/>
      <c r="C102" s="495"/>
      <c r="D102" s="495"/>
      <c r="E102" s="13"/>
      <c r="F102" s="13"/>
      <c r="G102" s="13"/>
      <c r="H102" s="13"/>
      <c r="I102" s="13"/>
      <c r="J102" s="13"/>
      <c r="K102" s="13"/>
      <c r="L102" s="13"/>
      <c r="M102" s="13"/>
      <c r="N102" s="13"/>
      <c r="O102" s="13"/>
      <c r="P102" s="13"/>
      <c r="Q102" s="13"/>
      <c r="R102" s="13"/>
      <c r="S102" s="13"/>
      <c r="T102" s="13"/>
      <c r="U102" s="13"/>
      <c r="V102" s="13"/>
      <c r="W102" s="13"/>
      <c r="X102" s="13"/>
      <c r="Y102" s="13"/>
    </row>
    <row r="103" spans="1:25" ht="12.75">
      <c r="A103" s="255"/>
      <c r="B103" s="13"/>
      <c r="C103" s="495"/>
      <c r="D103" s="495"/>
      <c r="E103" s="13"/>
      <c r="F103" s="13"/>
      <c r="G103" s="13"/>
      <c r="H103" s="13"/>
      <c r="I103" s="13"/>
      <c r="J103" s="13"/>
      <c r="K103" s="13"/>
      <c r="L103" s="13"/>
      <c r="M103" s="13"/>
      <c r="N103" s="13"/>
      <c r="O103" s="13"/>
      <c r="P103" s="13"/>
      <c r="Q103" s="13"/>
      <c r="R103" s="13"/>
      <c r="S103" s="13"/>
      <c r="T103" s="13"/>
      <c r="U103" s="13"/>
      <c r="V103" s="13"/>
      <c r="W103" s="13"/>
      <c r="X103" s="13"/>
      <c r="Y103" s="13"/>
    </row>
    <row r="104" spans="1:25" ht="12.75">
      <c r="A104" s="255"/>
      <c r="B104" s="13"/>
      <c r="C104" s="495"/>
      <c r="D104" s="495"/>
      <c r="E104" s="13"/>
      <c r="F104" s="13"/>
      <c r="G104" s="13"/>
      <c r="H104" s="13"/>
      <c r="I104" s="13"/>
      <c r="J104" s="13"/>
      <c r="K104" s="13"/>
      <c r="L104" s="13"/>
      <c r="M104" s="13"/>
      <c r="N104" s="13"/>
      <c r="O104" s="13"/>
      <c r="P104" s="13"/>
      <c r="Q104" s="13"/>
      <c r="R104" s="13"/>
      <c r="S104" s="13"/>
      <c r="T104" s="13"/>
      <c r="U104" s="13"/>
      <c r="V104" s="13"/>
      <c r="W104" s="13"/>
      <c r="X104" s="13"/>
      <c r="Y104" s="13"/>
    </row>
    <row r="105" spans="1:25" ht="12.75">
      <c r="A105" s="255"/>
      <c r="B105" s="13"/>
      <c r="C105" s="495"/>
      <c r="D105" s="495"/>
      <c r="E105" s="13"/>
      <c r="F105" s="13"/>
      <c r="G105" s="13"/>
      <c r="H105" s="13"/>
      <c r="I105" s="13"/>
      <c r="J105" s="13"/>
      <c r="K105" s="13"/>
      <c r="L105" s="13"/>
      <c r="M105" s="13"/>
      <c r="N105" s="13"/>
      <c r="O105" s="13"/>
      <c r="P105" s="13"/>
      <c r="Q105" s="13"/>
      <c r="R105" s="13"/>
      <c r="S105" s="13"/>
      <c r="T105" s="13"/>
      <c r="U105" s="13"/>
      <c r="V105" s="13"/>
      <c r="W105" s="13"/>
      <c r="X105" s="13"/>
      <c r="Y105" s="13"/>
    </row>
    <row r="106" spans="1:25" ht="12.75">
      <c r="A106" s="255"/>
      <c r="B106" s="13"/>
      <c r="C106" s="495"/>
      <c r="D106" s="495"/>
      <c r="E106" s="13"/>
      <c r="F106" s="13"/>
      <c r="G106" s="13"/>
      <c r="H106" s="13"/>
      <c r="I106" s="13"/>
      <c r="J106" s="13"/>
      <c r="K106" s="13"/>
      <c r="L106" s="13"/>
      <c r="M106" s="13"/>
      <c r="N106" s="13"/>
      <c r="O106" s="13"/>
      <c r="P106" s="13"/>
      <c r="Q106" s="13"/>
      <c r="R106" s="13"/>
      <c r="S106" s="13"/>
      <c r="T106" s="13"/>
      <c r="U106" s="13"/>
      <c r="V106" s="13"/>
      <c r="W106" s="13"/>
      <c r="X106" s="13"/>
      <c r="Y106" s="13"/>
    </row>
    <row r="107" spans="1:25" ht="12.75">
      <c r="A107" s="255"/>
      <c r="B107" s="13"/>
      <c r="C107" s="495"/>
      <c r="D107" s="495"/>
      <c r="E107" s="13"/>
      <c r="F107" s="13"/>
      <c r="G107" s="13"/>
      <c r="H107" s="13"/>
      <c r="I107" s="13"/>
      <c r="J107" s="13"/>
      <c r="K107" s="13"/>
      <c r="L107" s="13"/>
      <c r="M107" s="13"/>
      <c r="N107" s="13"/>
      <c r="O107" s="13"/>
      <c r="P107" s="13"/>
      <c r="Q107" s="13"/>
      <c r="R107" s="13"/>
      <c r="S107" s="13"/>
      <c r="T107" s="13"/>
      <c r="U107" s="13"/>
      <c r="V107" s="13"/>
      <c r="W107" s="13"/>
      <c r="X107" s="13"/>
      <c r="Y107" s="13"/>
    </row>
    <row r="108" spans="1:25" ht="12.75">
      <c r="A108" s="255"/>
      <c r="B108" s="13"/>
      <c r="C108" s="495"/>
      <c r="D108" s="495"/>
      <c r="E108" s="13"/>
      <c r="F108" s="13"/>
      <c r="G108" s="13"/>
      <c r="H108" s="13"/>
      <c r="I108" s="13"/>
      <c r="J108" s="13"/>
      <c r="K108" s="13"/>
      <c r="L108" s="13"/>
      <c r="M108" s="13"/>
      <c r="N108" s="13"/>
      <c r="O108" s="13"/>
      <c r="P108" s="13"/>
      <c r="Q108" s="13"/>
      <c r="R108" s="13"/>
      <c r="S108" s="13"/>
      <c r="T108" s="13"/>
      <c r="U108" s="13"/>
      <c r="V108" s="13"/>
      <c r="W108" s="13"/>
      <c r="X108" s="13"/>
      <c r="Y108" s="13"/>
    </row>
    <row r="109" spans="1:25" ht="12.75">
      <c r="A109" s="255"/>
      <c r="B109" s="13"/>
      <c r="C109" s="495"/>
      <c r="D109" s="495"/>
      <c r="E109" s="13"/>
      <c r="F109" s="13"/>
      <c r="G109" s="13"/>
      <c r="H109" s="13"/>
      <c r="I109" s="13"/>
      <c r="J109" s="13"/>
      <c r="K109" s="13"/>
      <c r="L109" s="13"/>
      <c r="M109" s="13"/>
      <c r="N109" s="13"/>
      <c r="O109" s="13"/>
      <c r="P109" s="13"/>
      <c r="Q109" s="13"/>
      <c r="R109" s="13"/>
      <c r="S109" s="13"/>
      <c r="T109" s="13"/>
      <c r="U109" s="13"/>
      <c r="V109" s="13"/>
      <c r="W109" s="13"/>
      <c r="X109" s="13"/>
      <c r="Y109" s="13"/>
    </row>
    <row r="110" spans="1:25" ht="12.75">
      <c r="A110" s="255"/>
      <c r="B110" s="13"/>
      <c r="C110" s="495"/>
      <c r="D110" s="495"/>
      <c r="E110" s="13"/>
      <c r="F110" s="13"/>
      <c r="G110" s="13"/>
      <c r="H110" s="13"/>
      <c r="I110" s="13"/>
      <c r="J110" s="13"/>
      <c r="K110" s="13"/>
      <c r="L110" s="13"/>
      <c r="M110" s="13"/>
      <c r="N110" s="13"/>
      <c r="O110" s="13"/>
      <c r="P110" s="13"/>
      <c r="Q110" s="13"/>
      <c r="R110" s="13"/>
      <c r="S110" s="13"/>
      <c r="T110" s="13"/>
      <c r="U110" s="13"/>
      <c r="V110" s="13"/>
      <c r="W110" s="13"/>
      <c r="X110" s="13"/>
      <c r="Y110" s="13"/>
    </row>
    <row r="111" spans="1:25" ht="12.75">
      <c r="A111" s="255"/>
      <c r="B111" s="13"/>
      <c r="C111" s="495"/>
      <c r="D111" s="495"/>
      <c r="E111" s="13"/>
      <c r="F111" s="13"/>
      <c r="G111" s="13"/>
      <c r="H111" s="13"/>
      <c r="I111" s="13"/>
      <c r="J111" s="13"/>
      <c r="K111" s="13"/>
      <c r="L111" s="13"/>
      <c r="M111" s="13"/>
      <c r="N111" s="13"/>
      <c r="O111" s="13"/>
      <c r="P111" s="13"/>
      <c r="Q111" s="13"/>
      <c r="R111" s="13"/>
      <c r="S111" s="13"/>
      <c r="T111" s="13"/>
      <c r="U111" s="13"/>
      <c r="V111" s="13"/>
      <c r="W111" s="13"/>
      <c r="X111" s="13"/>
      <c r="Y111" s="13"/>
    </row>
    <row r="112" spans="1:25" ht="12.75">
      <c r="A112" s="255"/>
      <c r="B112" s="13"/>
      <c r="C112" s="495"/>
      <c r="D112" s="495"/>
      <c r="E112" s="13"/>
      <c r="F112" s="13"/>
      <c r="G112" s="13"/>
      <c r="H112" s="13"/>
      <c r="I112" s="13"/>
      <c r="J112" s="13"/>
      <c r="K112" s="13"/>
      <c r="L112" s="13"/>
      <c r="M112" s="13"/>
      <c r="N112" s="13"/>
      <c r="O112" s="13"/>
      <c r="P112" s="13"/>
      <c r="Q112" s="13"/>
      <c r="R112" s="13"/>
      <c r="S112" s="13"/>
      <c r="T112" s="13"/>
      <c r="U112" s="13"/>
      <c r="V112" s="13"/>
      <c r="W112" s="13"/>
      <c r="X112" s="13"/>
      <c r="Y112" s="13"/>
    </row>
    <row r="113" spans="1:25" ht="12.75">
      <c r="A113" s="255"/>
      <c r="B113" s="13"/>
      <c r="C113" s="495"/>
      <c r="D113" s="495"/>
      <c r="E113" s="13"/>
      <c r="F113" s="13"/>
      <c r="G113" s="13"/>
      <c r="H113" s="13"/>
      <c r="I113" s="13"/>
      <c r="J113" s="13"/>
      <c r="K113" s="13"/>
      <c r="L113" s="13"/>
      <c r="M113" s="13"/>
      <c r="N113" s="13"/>
      <c r="O113" s="13"/>
      <c r="P113" s="13"/>
      <c r="Q113" s="13"/>
      <c r="R113" s="13"/>
      <c r="S113" s="13"/>
      <c r="T113" s="13"/>
      <c r="U113" s="13"/>
      <c r="V113" s="13"/>
      <c r="W113" s="13"/>
      <c r="X113" s="13"/>
      <c r="Y113" s="13"/>
    </row>
    <row r="114" spans="1:25" ht="12.75">
      <c r="A114" s="255"/>
      <c r="B114" s="13"/>
      <c r="C114" s="495"/>
      <c r="D114" s="495"/>
      <c r="E114" s="13"/>
      <c r="F114" s="13"/>
      <c r="G114" s="13"/>
      <c r="H114" s="13"/>
      <c r="I114" s="13"/>
      <c r="J114" s="13"/>
      <c r="K114" s="13"/>
      <c r="L114" s="13"/>
      <c r="M114" s="13"/>
      <c r="N114" s="13"/>
      <c r="O114" s="13"/>
      <c r="P114" s="13"/>
      <c r="Q114" s="13"/>
      <c r="R114" s="13"/>
      <c r="S114" s="13"/>
      <c r="T114" s="13"/>
      <c r="U114" s="13"/>
      <c r="V114" s="13"/>
      <c r="W114" s="13"/>
      <c r="X114" s="13"/>
      <c r="Y114" s="13"/>
    </row>
    <row r="115" spans="1:25" ht="12.75">
      <c r="A115" s="255"/>
      <c r="B115" s="13"/>
      <c r="C115" s="495"/>
      <c r="D115" s="495"/>
      <c r="E115" s="13"/>
      <c r="F115" s="13"/>
      <c r="G115" s="13"/>
      <c r="H115" s="13"/>
      <c r="I115" s="13"/>
      <c r="J115" s="13"/>
      <c r="K115" s="13"/>
      <c r="L115" s="13"/>
      <c r="M115" s="13"/>
      <c r="N115" s="13"/>
      <c r="O115" s="13"/>
      <c r="P115" s="13"/>
      <c r="Q115" s="13"/>
      <c r="R115" s="13"/>
      <c r="S115" s="13"/>
      <c r="T115" s="13"/>
      <c r="U115" s="13"/>
      <c r="V115" s="13"/>
      <c r="W115" s="13"/>
      <c r="X115" s="13"/>
      <c r="Y115" s="13"/>
    </row>
    <row r="116" spans="1:25" ht="12.75">
      <c r="A116" s="255"/>
      <c r="B116" s="13"/>
      <c r="C116" s="495"/>
      <c r="D116" s="495"/>
      <c r="E116" s="13"/>
      <c r="F116" s="13"/>
      <c r="G116" s="13"/>
      <c r="H116" s="13"/>
      <c r="I116" s="13"/>
      <c r="J116" s="13"/>
      <c r="K116" s="13"/>
      <c r="L116" s="13"/>
      <c r="M116" s="13"/>
      <c r="N116" s="13"/>
      <c r="O116" s="13"/>
      <c r="P116" s="13"/>
      <c r="Q116" s="13"/>
      <c r="R116" s="13"/>
      <c r="S116" s="13"/>
      <c r="T116" s="13"/>
      <c r="U116" s="13"/>
      <c r="V116" s="13"/>
      <c r="W116" s="13"/>
      <c r="X116" s="13"/>
      <c r="Y116" s="13"/>
    </row>
    <row r="117" spans="1:25" ht="12.75">
      <c r="A117" s="255"/>
      <c r="B117" s="13"/>
      <c r="C117" s="495"/>
      <c r="D117" s="495"/>
      <c r="E117" s="13"/>
      <c r="F117" s="13"/>
      <c r="G117" s="13"/>
      <c r="H117" s="13"/>
      <c r="I117" s="13"/>
      <c r="J117" s="13"/>
      <c r="K117" s="13"/>
      <c r="L117" s="13"/>
      <c r="M117" s="13"/>
      <c r="N117" s="13"/>
      <c r="O117" s="13"/>
      <c r="P117" s="13"/>
      <c r="Q117" s="13"/>
      <c r="R117" s="13"/>
      <c r="S117" s="13"/>
      <c r="T117" s="13"/>
      <c r="U117" s="13"/>
      <c r="V117" s="13"/>
      <c r="W117" s="13"/>
      <c r="X117" s="13"/>
      <c r="Y117" s="13"/>
    </row>
    <row r="118" spans="1:25" ht="12.75">
      <c r="A118" s="255"/>
      <c r="B118" s="13"/>
      <c r="C118" s="495"/>
      <c r="D118" s="495"/>
      <c r="E118" s="13"/>
      <c r="F118" s="13"/>
      <c r="G118" s="13"/>
      <c r="H118" s="13"/>
      <c r="I118" s="13"/>
      <c r="J118" s="13"/>
      <c r="K118" s="13"/>
      <c r="L118" s="13"/>
      <c r="M118" s="13"/>
      <c r="N118" s="13"/>
      <c r="O118" s="13"/>
      <c r="P118" s="13"/>
      <c r="Q118" s="13"/>
      <c r="R118" s="13"/>
      <c r="S118" s="13"/>
      <c r="T118" s="13"/>
      <c r="U118" s="13"/>
      <c r="V118" s="13"/>
      <c r="W118" s="13"/>
      <c r="X118" s="13"/>
      <c r="Y118" s="13"/>
    </row>
    <row r="119" spans="1:25" ht="12.75">
      <c r="A119" s="255"/>
      <c r="B119" s="13"/>
      <c r="C119" s="495"/>
      <c r="D119" s="495"/>
      <c r="E119" s="13"/>
      <c r="F119" s="13"/>
      <c r="G119" s="13"/>
      <c r="H119" s="13"/>
      <c r="I119" s="13"/>
      <c r="J119" s="13"/>
      <c r="K119" s="13"/>
      <c r="L119" s="13"/>
      <c r="M119" s="13"/>
      <c r="N119" s="13"/>
      <c r="O119" s="13"/>
      <c r="P119" s="13"/>
      <c r="Q119" s="13"/>
      <c r="R119" s="13"/>
      <c r="S119" s="13"/>
      <c r="T119" s="13"/>
      <c r="U119" s="13"/>
      <c r="V119" s="13"/>
      <c r="W119" s="13"/>
      <c r="X119" s="13"/>
      <c r="Y119" s="13"/>
    </row>
    <row r="120" spans="1:25" ht="12.75">
      <c r="A120" s="255"/>
      <c r="B120" s="13"/>
      <c r="C120" s="495"/>
      <c r="D120" s="495"/>
      <c r="E120" s="13"/>
      <c r="F120" s="13"/>
      <c r="G120" s="13"/>
      <c r="H120" s="13"/>
      <c r="I120" s="13"/>
      <c r="J120" s="13"/>
      <c r="K120" s="13"/>
      <c r="L120" s="13"/>
      <c r="M120" s="13"/>
      <c r="N120" s="13"/>
      <c r="O120" s="13"/>
      <c r="P120" s="13"/>
      <c r="Q120" s="13"/>
      <c r="R120" s="13"/>
      <c r="S120" s="13"/>
      <c r="T120" s="13"/>
      <c r="U120" s="13"/>
      <c r="V120" s="13"/>
      <c r="W120" s="13"/>
      <c r="X120" s="13"/>
      <c r="Y120" s="13"/>
    </row>
    <row r="121" spans="1:25" ht="12.75">
      <c r="A121" s="255"/>
      <c r="B121" s="13"/>
      <c r="C121" s="495"/>
      <c r="D121" s="495"/>
      <c r="E121" s="13"/>
      <c r="F121" s="13"/>
      <c r="G121" s="13"/>
      <c r="H121" s="13"/>
      <c r="I121" s="13"/>
      <c r="J121" s="13"/>
      <c r="K121" s="13"/>
      <c r="L121" s="13"/>
      <c r="M121" s="13"/>
      <c r="N121" s="13"/>
      <c r="O121" s="13"/>
      <c r="P121" s="13"/>
      <c r="Q121" s="13"/>
      <c r="R121" s="13"/>
      <c r="S121" s="13"/>
      <c r="T121" s="13"/>
      <c r="U121" s="13"/>
      <c r="V121" s="13"/>
      <c r="W121" s="13"/>
      <c r="X121" s="13"/>
      <c r="Y121" s="13"/>
    </row>
    <row r="122" spans="1:25" ht="12.75">
      <c r="A122" s="255"/>
      <c r="B122" s="13"/>
      <c r="C122" s="495"/>
      <c r="D122" s="495"/>
      <c r="E122" s="13"/>
      <c r="F122" s="13"/>
      <c r="G122" s="13"/>
      <c r="H122" s="13"/>
      <c r="I122" s="13"/>
      <c r="J122" s="13"/>
      <c r="K122" s="13"/>
      <c r="L122" s="13"/>
      <c r="M122" s="13"/>
      <c r="N122" s="13"/>
      <c r="O122" s="13"/>
      <c r="P122" s="13"/>
      <c r="Q122" s="13"/>
      <c r="R122" s="13"/>
      <c r="S122" s="13"/>
      <c r="T122" s="13"/>
      <c r="U122" s="13"/>
      <c r="V122" s="13"/>
      <c r="W122" s="13"/>
      <c r="X122" s="13"/>
      <c r="Y122" s="13"/>
    </row>
    <row r="123" spans="1:25" ht="12.75">
      <c r="A123" s="255"/>
      <c r="B123" s="13"/>
      <c r="C123" s="495"/>
      <c r="D123" s="495"/>
      <c r="E123" s="13"/>
      <c r="F123" s="13"/>
      <c r="G123" s="13"/>
      <c r="H123" s="13"/>
      <c r="I123" s="13"/>
      <c r="J123" s="13"/>
      <c r="K123" s="13"/>
      <c r="L123" s="13"/>
      <c r="M123" s="13"/>
      <c r="N123" s="13"/>
      <c r="O123" s="13"/>
      <c r="P123" s="13"/>
      <c r="Q123" s="13"/>
      <c r="R123" s="13"/>
      <c r="S123" s="13"/>
      <c r="T123" s="13"/>
      <c r="U123" s="13"/>
      <c r="V123" s="13"/>
      <c r="W123" s="13"/>
      <c r="X123" s="13"/>
      <c r="Y123" s="13"/>
    </row>
    <row r="124" spans="1:25" ht="12.75">
      <c r="A124" s="255"/>
      <c r="B124" s="13"/>
      <c r="C124" s="495"/>
      <c r="D124" s="495"/>
      <c r="E124" s="13"/>
      <c r="F124" s="13"/>
      <c r="G124" s="13"/>
      <c r="H124" s="13"/>
      <c r="I124" s="13"/>
      <c r="J124" s="13"/>
      <c r="K124" s="13"/>
      <c r="L124" s="13"/>
      <c r="M124" s="13"/>
      <c r="N124" s="13"/>
      <c r="O124" s="13"/>
      <c r="P124" s="13"/>
      <c r="Q124" s="13"/>
      <c r="R124" s="13"/>
      <c r="S124" s="13"/>
      <c r="T124" s="13"/>
      <c r="U124" s="13"/>
      <c r="V124" s="13"/>
      <c r="W124" s="13"/>
      <c r="X124" s="13"/>
      <c r="Y124" s="13"/>
    </row>
    <row r="125" spans="1:25" ht="12.75">
      <c r="A125" s="255"/>
      <c r="B125" s="13"/>
      <c r="C125" s="495"/>
      <c r="D125" s="495"/>
      <c r="E125" s="13"/>
      <c r="F125" s="13"/>
      <c r="G125" s="13"/>
      <c r="H125" s="13"/>
      <c r="I125" s="13"/>
      <c r="J125" s="13"/>
      <c r="K125" s="13"/>
      <c r="L125" s="13"/>
      <c r="M125" s="13"/>
      <c r="N125" s="13"/>
      <c r="O125" s="13"/>
      <c r="P125" s="13"/>
      <c r="Q125" s="13"/>
      <c r="R125" s="13"/>
      <c r="S125" s="13"/>
      <c r="T125" s="13"/>
      <c r="U125" s="13"/>
      <c r="V125" s="13"/>
      <c r="W125" s="13"/>
      <c r="X125" s="13"/>
      <c r="Y125" s="13"/>
    </row>
    <row r="126" spans="1:25" ht="12.75">
      <c r="A126" s="255"/>
      <c r="B126" s="13"/>
      <c r="C126" s="495"/>
      <c r="D126" s="495"/>
      <c r="E126" s="13"/>
      <c r="F126" s="13"/>
      <c r="G126" s="13"/>
      <c r="H126" s="13"/>
      <c r="I126" s="13"/>
      <c r="J126" s="13"/>
      <c r="K126" s="13"/>
      <c r="L126" s="13"/>
      <c r="M126" s="13"/>
      <c r="N126" s="13"/>
      <c r="O126" s="13"/>
      <c r="P126" s="13"/>
      <c r="Q126" s="13"/>
      <c r="R126" s="13"/>
      <c r="S126" s="13"/>
      <c r="T126" s="13"/>
      <c r="U126" s="13"/>
      <c r="V126" s="13"/>
      <c r="W126" s="13"/>
      <c r="X126" s="13"/>
      <c r="Y126" s="13"/>
    </row>
    <row r="127" spans="1:25" ht="12.75">
      <c r="A127" s="255"/>
      <c r="B127" s="13"/>
      <c r="C127" s="495"/>
      <c r="D127" s="495"/>
      <c r="E127" s="13"/>
      <c r="F127" s="13"/>
      <c r="G127" s="13"/>
      <c r="H127" s="13"/>
      <c r="I127" s="13"/>
      <c r="J127" s="13"/>
      <c r="K127" s="13"/>
      <c r="L127" s="13"/>
      <c r="M127" s="13"/>
      <c r="N127" s="13"/>
      <c r="O127" s="13"/>
      <c r="P127" s="13"/>
      <c r="Q127" s="13"/>
      <c r="R127" s="13"/>
      <c r="S127" s="13"/>
      <c r="T127" s="13"/>
      <c r="U127" s="13"/>
      <c r="V127" s="13"/>
      <c r="W127" s="13"/>
      <c r="X127" s="13"/>
      <c r="Y127" s="13"/>
    </row>
    <row r="128" spans="1:25" ht="12.75">
      <c r="A128" s="255"/>
      <c r="B128" s="13"/>
      <c r="C128" s="495"/>
      <c r="D128" s="495"/>
      <c r="E128" s="13"/>
      <c r="F128" s="13"/>
      <c r="G128" s="13"/>
      <c r="H128" s="13"/>
      <c r="I128" s="13"/>
      <c r="J128" s="13"/>
      <c r="K128" s="13"/>
      <c r="L128" s="13"/>
      <c r="M128" s="13"/>
      <c r="N128" s="13"/>
      <c r="O128" s="13"/>
      <c r="P128" s="13"/>
      <c r="Q128" s="13"/>
      <c r="R128" s="13"/>
      <c r="S128" s="13"/>
      <c r="T128" s="13"/>
      <c r="U128" s="13"/>
      <c r="V128" s="13"/>
      <c r="W128" s="13"/>
      <c r="X128" s="13"/>
      <c r="Y128" s="13"/>
    </row>
    <row r="129" spans="1:25" ht="12.75">
      <c r="A129" s="255"/>
      <c r="B129" s="13"/>
      <c r="C129" s="495"/>
      <c r="D129" s="495"/>
      <c r="E129" s="13"/>
      <c r="F129" s="13"/>
      <c r="G129" s="13"/>
      <c r="H129" s="13"/>
      <c r="I129" s="13"/>
      <c r="J129" s="13"/>
      <c r="K129" s="13"/>
      <c r="L129" s="13"/>
      <c r="M129" s="13"/>
      <c r="N129" s="13"/>
      <c r="O129" s="13"/>
      <c r="P129" s="13"/>
      <c r="Q129" s="13"/>
      <c r="R129" s="13"/>
      <c r="S129" s="13"/>
      <c r="T129" s="13"/>
      <c r="U129" s="13"/>
      <c r="V129" s="13"/>
      <c r="W129" s="13"/>
      <c r="X129" s="13"/>
      <c r="Y129" s="13"/>
    </row>
    <row r="130" spans="1:25" ht="12.75">
      <c r="A130" s="255"/>
      <c r="B130" s="13"/>
      <c r="C130" s="495"/>
      <c r="D130" s="495"/>
      <c r="E130" s="13"/>
      <c r="F130" s="13"/>
      <c r="G130" s="13"/>
      <c r="H130" s="13"/>
      <c r="I130" s="13"/>
      <c r="J130" s="13"/>
      <c r="K130" s="13"/>
      <c r="L130" s="13"/>
      <c r="M130" s="13"/>
      <c r="N130" s="13"/>
      <c r="O130" s="13"/>
      <c r="P130" s="13"/>
      <c r="Q130" s="13"/>
      <c r="R130" s="13"/>
      <c r="S130" s="13"/>
      <c r="T130" s="13"/>
      <c r="U130" s="13"/>
      <c r="V130" s="13"/>
      <c r="W130" s="13"/>
      <c r="X130" s="13"/>
      <c r="Y130" s="13"/>
    </row>
    <row r="131" spans="1:25" ht="12.75">
      <c r="A131" s="255"/>
      <c r="B131" s="13"/>
      <c r="C131" s="495"/>
      <c r="D131" s="495"/>
      <c r="E131" s="13"/>
      <c r="F131" s="13"/>
      <c r="G131" s="13"/>
      <c r="H131" s="13"/>
      <c r="I131" s="13"/>
      <c r="J131" s="13"/>
      <c r="K131" s="13"/>
      <c r="L131" s="13"/>
      <c r="M131" s="13"/>
      <c r="N131" s="13"/>
      <c r="O131" s="13"/>
      <c r="P131" s="13"/>
      <c r="Q131" s="13"/>
      <c r="R131" s="13"/>
      <c r="S131" s="13"/>
      <c r="T131" s="13"/>
      <c r="U131" s="13"/>
      <c r="V131" s="13"/>
      <c r="W131" s="13"/>
      <c r="X131" s="13"/>
      <c r="Y131" s="13"/>
    </row>
    <row r="132" spans="1:25" ht="12.75">
      <c r="A132" s="255"/>
      <c r="B132" s="13"/>
      <c r="C132" s="495"/>
      <c r="D132" s="495"/>
      <c r="E132" s="13"/>
      <c r="F132" s="13"/>
      <c r="G132" s="13"/>
      <c r="H132" s="13"/>
      <c r="I132" s="13"/>
      <c r="J132" s="13"/>
      <c r="K132" s="13"/>
      <c r="L132" s="13"/>
      <c r="M132" s="13"/>
      <c r="N132" s="13"/>
      <c r="O132" s="13"/>
      <c r="P132" s="13"/>
      <c r="Q132" s="13"/>
      <c r="R132" s="13"/>
      <c r="S132" s="13"/>
      <c r="T132" s="13"/>
      <c r="U132" s="13"/>
      <c r="V132" s="13"/>
      <c r="W132" s="13"/>
      <c r="X132" s="13"/>
      <c r="Y132" s="13"/>
    </row>
    <row r="133" spans="1:25" ht="12.75">
      <c r="A133" s="255"/>
      <c r="B133" s="13"/>
      <c r="C133" s="495"/>
      <c r="D133" s="495"/>
      <c r="E133" s="13"/>
      <c r="F133" s="13"/>
      <c r="G133" s="13"/>
      <c r="H133" s="13"/>
      <c r="I133" s="13"/>
      <c r="J133" s="13"/>
      <c r="K133" s="13"/>
      <c r="L133" s="13"/>
      <c r="M133" s="13"/>
      <c r="N133" s="13"/>
      <c r="O133" s="13"/>
      <c r="P133" s="13"/>
      <c r="Q133" s="13"/>
      <c r="R133" s="13"/>
      <c r="S133" s="13"/>
      <c r="T133" s="13"/>
      <c r="U133" s="13"/>
      <c r="V133" s="13"/>
      <c r="W133" s="13"/>
      <c r="X133" s="13"/>
      <c r="Y133" s="13"/>
    </row>
    <row r="134" spans="1:25" ht="12.75">
      <c r="A134" s="255"/>
      <c r="B134" s="13"/>
      <c r="C134" s="495"/>
      <c r="D134" s="495"/>
      <c r="E134" s="13"/>
      <c r="F134" s="13"/>
      <c r="G134" s="13"/>
      <c r="H134" s="13"/>
      <c r="I134" s="13"/>
      <c r="J134" s="13"/>
      <c r="K134" s="13"/>
      <c r="L134" s="13"/>
      <c r="M134" s="13"/>
      <c r="N134" s="13"/>
      <c r="O134" s="13"/>
      <c r="P134" s="13"/>
      <c r="Q134" s="13"/>
      <c r="R134" s="13"/>
      <c r="S134" s="13"/>
      <c r="T134" s="13"/>
      <c r="U134" s="13"/>
      <c r="V134" s="13"/>
      <c r="W134" s="13"/>
      <c r="X134" s="13"/>
      <c r="Y134" s="13"/>
    </row>
    <row r="135" spans="1:25" ht="12.75">
      <c r="A135" s="255"/>
      <c r="B135" s="13"/>
      <c r="C135" s="495"/>
      <c r="D135" s="495"/>
      <c r="E135" s="13"/>
      <c r="F135" s="13"/>
      <c r="G135" s="13"/>
      <c r="H135" s="13"/>
      <c r="I135" s="13"/>
      <c r="J135" s="13"/>
      <c r="K135" s="13"/>
      <c r="L135" s="13"/>
      <c r="M135" s="13"/>
      <c r="N135" s="13"/>
      <c r="O135" s="13"/>
      <c r="P135" s="13"/>
      <c r="Q135" s="13"/>
      <c r="R135" s="13"/>
      <c r="S135" s="13"/>
      <c r="T135" s="13"/>
      <c r="U135" s="13"/>
      <c r="V135" s="13"/>
      <c r="W135" s="13"/>
      <c r="X135" s="13"/>
      <c r="Y135" s="13"/>
    </row>
    <row r="136" spans="1:25" ht="12.75">
      <c r="A136" s="255"/>
      <c r="B136" s="13"/>
      <c r="C136" s="495"/>
      <c r="D136" s="495"/>
      <c r="E136" s="13"/>
      <c r="F136" s="13"/>
      <c r="G136" s="13"/>
      <c r="H136" s="13"/>
      <c r="I136" s="13"/>
      <c r="J136" s="13"/>
      <c r="K136" s="13"/>
      <c r="L136" s="13"/>
      <c r="M136" s="13"/>
      <c r="N136" s="13"/>
      <c r="O136" s="13"/>
      <c r="P136" s="13"/>
      <c r="Q136" s="13"/>
      <c r="R136" s="13"/>
      <c r="S136" s="13"/>
      <c r="T136" s="13"/>
      <c r="U136" s="13"/>
      <c r="V136" s="13"/>
      <c r="W136" s="13"/>
      <c r="X136" s="13"/>
      <c r="Y136" s="13"/>
    </row>
    <row r="137" spans="1:25" ht="12.75">
      <c r="A137" s="255"/>
      <c r="B137" s="13"/>
      <c r="C137" s="495"/>
      <c r="D137" s="495"/>
      <c r="E137" s="13"/>
      <c r="F137" s="13"/>
      <c r="G137" s="13"/>
      <c r="H137" s="13"/>
      <c r="I137" s="13"/>
      <c r="J137" s="13"/>
      <c r="K137" s="13"/>
      <c r="L137" s="13"/>
      <c r="M137" s="13"/>
      <c r="N137" s="13"/>
      <c r="O137" s="13"/>
      <c r="P137" s="13"/>
      <c r="Q137" s="13"/>
      <c r="R137" s="13"/>
      <c r="S137" s="13"/>
      <c r="T137" s="13"/>
      <c r="U137" s="13"/>
      <c r="V137" s="13"/>
      <c r="W137" s="13"/>
      <c r="X137" s="13"/>
      <c r="Y137" s="13"/>
    </row>
    <row r="138" spans="1:25" ht="12.75">
      <c r="A138" s="255"/>
      <c r="B138" s="13"/>
      <c r="C138" s="495"/>
      <c r="D138" s="495"/>
      <c r="E138" s="13"/>
      <c r="F138" s="13"/>
      <c r="G138" s="13"/>
      <c r="H138" s="13"/>
      <c r="I138" s="13"/>
      <c r="J138" s="13"/>
      <c r="K138" s="13"/>
      <c r="L138" s="13"/>
      <c r="M138" s="13"/>
      <c r="N138" s="13"/>
      <c r="O138" s="13"/>
      <c r="P138" s="13"/>
      <c r="Q138" s="13"/>
      <c r="R138" s="13"/>
      <c r="S138" s="13"/>
      <c r="T138" s="13"/>
      <c r="U138" s="13"/>
      <c r="V138" s="13"/>
      <c r="W138" s="13"/>
      <c r="X138" s="13"/>
      <c r="Y138" s="13"/>
    </row>
    <row r="139" spans="1:25" ht="12.75">
      <c r="A139" s="255"/>
      <c r="B139" s="13"/>
      <c r="C139" s="495"/>
      <c r="D139" s="495"/>
      <c r="E139" s="13"/>
      <c r="F139" s="13"/>
      <c r="G139" s="13"/>
      <c r="H139" s="13"/>
      <c r="I139" s="13"/>
      <c r="J139" s="13"/>
      <c r="K139" s="13"/>
      <c r="L139" s="13"/>
      <c r="M139" s="13"/>
      <c r="N139" s="13"/>
      <c r="O139" s="13"/>
      <c r="P139" s="13"/>
      <c r="Q139" s="13"/>
      <c r="R139" s="13"/>
      <c r="S139" s="13"/>
      <c r="T139" s="13"/>
      <c r="U139" s="13"/>
      <c r="V139" s="13"/>
      <c r="W139" s="13"/>
      <c r="X139" s="13"/>
      <c r="Y139" s="13"/>
    </row>
    <row r="140" spans="1:25" ht="12.75">
      <c r="A140" s="255"/>
      <c r="B140" s="13"/>
      <c r="C140" s="495"/>
      <c r="D140" s="495"/>
      <c r="E140" s="13"/>
      <c r="F140" s="13"/>
      <c r="G140" s="13"/>
      <c r="H140" s="13"/>
      <c r="I140" s="13"/>
      <c r="J140" s="13"/>
      <c r="K140" s="13"/>
      <c r="L140" s="13"/>
      <c r="M140" s="13"/>
      <c r="N140" s="13"/>
      <c r="O140" s="13"/>
      <c r="P140" s="13"/>
      <c r="Q140" s="13"/>
      <c r="R140" s="13"/>
      <c r="S140" s="13"/>
      <c r="T140" s="13"/>
      <c r="U140" s="13"/>
      <c r="V140" s="13"/>
      <c r="W140" s="13"/>
      <c r="X140" s="13"/>
      <c r="Y140" s="13"/>
    </row>
    <row r="141" spans="1:25" ht="12.75">
      <c r="A141" s="255"/>
      <c r="B141" s="13"/>
      <c r="C141" s="495"/>
      <c r="D141" s="495"/>
      <c r="E141" s="13"/>
      <c r="F141" s="13"/>
      <c r="G141" s="13"/>
      <c r="H141" s="13"/>
      <c r="I141" s="13"/>
      <c r="J141" s="13"/>
      <c r="K141" s="13"/>
      <c r="L141" s="13"/>
      <c r="M141" s="13"/>
      <c r="N141" s="13"/>
      <c r="O141" s="13"/>
      <c r="P141" s="13"/>
      <c r="Q141" s="13"/>
      <c r="R141" s="13"/>
      <c r="S141" s="13"/>
      <c r="T141" s="13"/>
      <c r="U141" s="13"/>
      <c r="V141" s="13"/>
      <c r="W141" s="13"/>
      <c r="X141" s="13"/>
      <c r="Y141" s="13"/>
    </row>
    <row r="142" spans="1:25" ht="12.75">
      <c r="A142" s="255"/>
      <c r="B142" s="13"/>
      <c r="C142" s="495"/>
      <c r="D142" s="495"/>
      <c r="E142" s="13"/>
      <c r="F142" s="13"/>
      <c r="G142" s="13"/>
      <c r="H142" s="13"/>
      <c r="I142" s="13"/>
      <c r="J142" s="13"/>
      <c r="K142" s="13"/>
      <c r="L142" s="13"/>
      <c r="M142" s="13"/>
      <c r="N142" s="13"/>
      <c r="O142" s="13"/>
      <c r="P142" s="13"/>
      <c r="Q142" s="13"/>
      <c r="R142" s="13"/>
      <c r="S142" s="13"/>
      <c r="T142" s="13"/>
      <c r="U142" s="13"/>
      <c r="V142" s="13"/>
      <c r="W142" s="13"/>
      <c r="X142" s="13"/>
      <c r="Y142" s="13"/>
    </row>
    <row r="143" spans="1:25" ht="12.75">
      <c r="A143" s="255"/>
      <c r="B143" s="13"/>
      <c r="C143" s="495"/>
      <c r="D143" s="495"/>
      <c r="E143" s="13"/>
      <c r="F143" s="13"/>
      <c r="G143" s="13"/>
      <c r="H143" s="13"/>
      <c r="I143" s="13"/>
      <c r="J143" s="13"/>
      <c r="K143" s="13"/>
      <c r="L143" s="13"/>
      <c r="M143" s="13"/>
      <c r="N143" s="13"/>
      <c r="O143" s="13"/>
      <c r="P143" s="13"/>
      <c r="Q143" s="13"/>
      <c r="R143" s="13"/>
      <c r="S143" s="13"/>
      <c r="T143" s="13"/>
      <c r="U143" s="13"/>
      <c r="V143" s="13"/>
      <c r="W143" s="13"/>
      <c r="X143" s="13"/>
      <c r="Y143" s="13"/>
    </row>
    <row r="144" spans="1:25" ht="12.75">
      <c r="A144" s="255"/>
      <c r="B144" s="13"/>
      <c r="C144" s="495"/>
      <c r="D144" s="495"/>
      <c r="E144" s="13"/>
      <c r="F144" s="13"/>
      <c r="G144" s="13"/>
      <c r="H144" s="13"/>
      <c r="I144" s="13"/>
      <c r="J144" s="13"/>
      <c r="K144" s="13"/>
      <c r="L144" s="13"/>
      <c r="M144" s="13"/>
      <c r="N144" s="13"/>
      <c r="O144" s="13"/>
      <c r="P144" s="13"/>
      <c r="Q144" s="13"/>
      <c r="R144" s="13"/>
      <c r="S144" s="13"/>
      <c r="T144" s="13"/>
      <c r="U144" s="13"/>
      <c r="V144" s="13"/>
      <c r="W144" s="13"/>
      <c r="X144" s="13"/>
      <c r="Y144" s="13"/>
    </row>
    <row r="145" spans="1:25" ht="12.75">
      <c r="A145" s="255"/>
      <c r="B145" s="13"/>
      <c r="C145" s="495"/>
      <c r="D145" s="495"/>
      <c r="E145" s="13"/>
      <c r="F145" s="13"/>
      <c r="G145" s="13"/>
      <c r="H145" s="13"/>
      <c r="I145" s="13"/>
      <c r="J145" s="13"/>
      <c r="K145" s="13"/>
      <c r="L145" s="13"/>
      <c r="M145" s="13"/>
      <c r="N145" s="13"/>
      <c r="O145" s="13"/>
      <c r="P145" s="13"/>
      <c r="Q145" s="13"/>
      <c r="R145" s="13"/>
      <c r="S145" s="13"/>
      <c r="T145" s="13"/>
      <c r="U145" s="13"/>
      <c r="V145" s="13"/>
      <c r="W145" s="13"/>
      <c r="X145" s="13"/>
      <c r="Y145" s="13"/>
    </row>
    <row r="146" spans="1:25" ht="12.75">
      <c r="A146" s="255"/>
      <c r="B146" s="13"/>
      <c r="C146" s="495"/>
      <c r="D146" s="495"/>
      <c r="E146" s="13"/>
      <c r="F146" s="13"/>
      <c r="G146" s="13"/>
      <c r="H146" s="13"/>
      <c r="I146" s="13"/>
      <c r="J146" s="13"/>
      <c r="K146" s="13"/>
      <c r="L146" s="13"/>
      <c r="M146" s="13"/>
      <c r="N146" s="13"/>
      <c r="O146" s="13"/>
      <c r="P146" s="13"/>
      <c r="Q146" s="13"/>
      <c r="R146" s="13"/>
      <c r="S146" s="13"/>
      <c r="T146" s="13"/>
      <c r="U146" s="13"/>
      <c r="V146" s="13"/>
      <c r="W146" s="13"/>
      <c r="X146" s="13"/>
      <c r="Y146" s="13"/>
    </row>
    <row r="147" spans="1:25" ht="12.75">
      <c r="A147" s="255"/>
      <c r="B147" s="13"/>
      <c r="C147" s="495"/>
      <c r="D147" s="495"/>
      <c r="E147" s="13"/>
      <c r="F147" s="13"/>
      <c r="G147" s="13"/>
      <c r="H147" s="13"/>
      <c r="I147" s="13"/>
      <c r="J147" s="13"/>
      <c r="K147" s="13"/>
      <c r="L147" s="13"/>
      <c r="M147" s="13"/>
      <c r="N147" s="13"/>
      <c r="O147" s="13"/>
      <c r="P147" s="13"/>
      <c r="Q147" s="13"/>
      <c r="R147" s="13"/>
      <c r="S147" s="13"/>
      <c r="T147" s="13"/>
      <c r="U147" s="13"/>
      <c r="V147" s="13"/>
      <c r="W147" s="13"/>
      <c r="X147" s="13"/>
      <c r="Y147" s="13"/>
    </row>
    <row r="148" spans="1:25" ht="12.75">
      <c r="A148" s="255"/>
      <c r="B148" s="13"/>
      <c r="C148" s="495"/>
      <c r="D148" s="495"/>
      <c r="E148" s="13"/>
      <c r="F148" s="13"/>
      <c r="G148" s="13"/>
      <c r="H148" s="13"/>
      <c r="I148" s="13"/>
      <c r="J148" s="13"/>
      <c r="K148" s="13"/>
      <c r="L148" s="13"/>
      <c r="M148" s="13"/>
      <c r="N148" s="13"/>
      <c r="O148" s="13"/>
      <c r="P148" s="13"/>
      <c r="Q148" s="13"/>
      <c r="R148" s="13"/>
      <c r="S148" s="13"/>
      <c r="T148" s="13"/>
      <c r="U148" s="13"/>
      <c r="V148" s="13"/>
      <c r="W148" s="13"/>
      <c r="X148" s="13"/>
      <c r="Y148" s="13"/>
    </row>
    <row r="149" spans="1:25" ht="12.75">
      <c r="A149" s="255"/>
      <c r="B149" s="13"/>
      <c r="C149" s="495"/>
      <c r="D149" s="495"/>
      <c r="E149" s="13"/>
      <c r="F149" s="13"/>
      <c r="G149" s="13"/>
      <c r="H149" s="13"/>
      <c r="I149" s="13"/>
      <c r="J149" s="13"/>
      <c r="K149" s="13"/>
      <c r="L149" s="13"/>
      <c r="M149" s="13"/>
      <c r="N149" s="13"/>
      <c r="O149" s="13"/>
      <c r="P149" s="13"/>
      <c r="Q149" s="13"/>
      <c r="R149" s="13"/>
      <c r="S149" s="13"/>
      <c r="T149" s="13"/>
      <c r="U149" s="13"/>
      <c r="V149" s="13"/>
      <c r="W149" s="13"/>
      <c r="X149" s="13"/>
      <c r="Y149" s="13"/>
    </row>
    <row r="150" spans="1:25" ht="12.75">
      <c r="A150" s="255"/>
      <c r="B150" s="13"/>
      <c r="C150" s="495"/>
      <c r="D150" s="495"/>
      <c r="E150" s="13"/>
      <c r="F150" s="13"/>
      <c r="G150" s="13"/>
      <c r="H150" s="13"/>
      <c r="I150" s="13"/>
      <c r="J150" s="13"/>
      <c r="K150" s="13"/>
      <c r="L150" s="13"/>
      <c r="M150" s="13"/>
      <c r="N150" s="13"/>
      <c r="O150" s="13"/>
      <c r="P150" s="13"/>
      <c r="Q150" s="13"/>
      <c r="R150" s="13"/>
      <c r="S150" s="13"/>
      <c r="T150" s="13"/>
      <c r="U150" s="13"/>
      <c r="V150" s="13"/>
      <c r="W150" s="13"/>
      <c r="X150" s="13"/>
      <c r="Y150" s="13"/>
    </row>
    <row r="151" spans="1:25" ht="12.75">
      <c r="A151" s="255"/>
      <c r="B151" s="13"/>
      <c r="C151" s="495"/>
      <c r="D151" s="495"/>
      <c r="E151" s="13"/>
      <c r="F151" s="13"/>
      <c r="G151" s="13"/>
      <c r="H151" s="13"/>
      <c r="I151" s="13"/>
      <c r="J151" s="13"/>
      <c r="K151" s="13"/>
      <c r="L151" s="13"/>
      <c r="M151" s="13"/>
      <c r="N151" s="13"/>
      <c r="O151" s="13"/>
      <c r="P151" s="13"/>
      <c r="Q151" s="13"/>
      <c r="R151" s="13"/>
      <c r="S151" s="13"/>
      <c r="T151" s="13"/>
      <c r="U151" s="13"/>
      <c r="V151" s="13"/>
      <c r="W151" s="13"/>
      <c r="X151" s="13"/>
      <c r="Y151" s="13"/>
    </row>
    <row r="152" spans="1:25" ht="12.75">
      <c r="A152" s="255"/>
      <c r="B152" s="13"/>
      <c r="C152" s="495"/>
      <c r="D152" s="495"/>
      <c r="E152" s="13"/>
      <c r="F152" s="13"/>
      <c r="G152" s="13"/>
      <c r="H152" s="13"/>
      <c r="I152" s="13"/>
      <c r="J152" s="13"/>
      <c r="K152" s="13"/>
      <c r="L152" s="13"/>
      <c r="M152" s="13"/>
      <c r="N152" s="13"/>
      <c r="O152" s="13"/>
      <c r="P152" s="13"/>
      <c r="Q152" s="13"/>
      <c r="R152" s="13"/>
      <c r="S152" s="13"/>
      <c r="T152" s="13"/>
      <c r="U152" s="13"/>
      <c r="V152" s="13"/>
      <c r="W152" s="13"/>
      <c r="X152" s="13"/>
      <c r="Y152" s="13"/>
    </row>
    <row r="153" spans="1:25" ht="12.75">
      <c r="A153" s="255"/>
      <c r="B153" s="13"/>
      <c r="C153" s="495"/>
      <c r="D153" s="495"/>
      <c r="E153" s="13"/>
      <c r="F153" s="13"/>
      <c r="G153" s="13"/>
      <c r="H153" s="13"/>
      <c r="I153" s="13"/>
      <c r="J153" s="13"/>
      <c r="K153" s="13"/>
      <c r="L153" s="13"/>
      <c r="M153" s="13"/>
      <c r="N153" s="13"/>
      <c r="O153" s="13"/>
      <c r="P153" s="13"/>
      <c r="Q153" s="13"/>
      <c r="R153" s="13"/>
      <c r="S153" s="13"/>
      <c r="T153" s="13"/>
      <c r="U153" s="13"/>
      <c r="V153" s="13"/>
      <c r="W153" s="13"/>
      <c r="X153" s="13"/>
      <c r="Y153" s="13"/>
    </row>
    <row r="154" spans="1:25" ht="12.75">
      <c r="A154" s="255"/>
      <c r="B154" s="13"/>
      <c r="C154" s="495"/>
      <c r="D154" s="495"/>
      <c r="E154" s="13"/>
      <c r="F154" s="13"/>
      <c r="G154" s="13"/>
      <c r="H154" s="13"/>
      <c r="I154" s="13"/>
      <c r="J154" s="13"/>
      <c r="K154" s="13"/>
      <c r="L154" s="13"/>
      <c r="M154" s="13"/>
      <c r="N154" s="13"/>
      <c r="O154" s="13"/>
      <c r="P154" s="13"/>
      <c r="Q154" s="13"/>
      <c r="R154" s="13"/>
      <c r="S154" s="13"/>
      <c r="T154" s="13"/>
      <c r="U154" s="13"/>
      <c r="V154" s="13"/>
      <c r="W154" s="13"/>
      <c r="X154" s="13"/>
      <c r="Y154" s="13"/>
    </row>
    <row r="155" spans="1:25" ht="12.75">
      <c r="A155" s="255"/>
      <c r="B155" s="13"/>
      <c r="C155" s="495"/>
      <c r="D155" s="495"/>
      <c r="E155" s="13"/>
      <c r="F155" s="13"/>
      <c r="G155" s="13"/>
      <c r="H155" s="13"/>
      <c r="I155" s="13"/>
      <c r="J155" s="13"/>
      <c r="K155" s="13"/>
      <c r="L155" s="13"/>
      <c r="M155" s="13"/>
      <c r="N155" s="13"/>
      <c r="O155" s="13"/>
      <c r="P155" s="13"/>
      <c r="Q155" s="13"/>
      <c r="R155" s="13"/>
      <c r="S155" s="13"/>
      <c r="T155" s="13"/>
      <c r="U155" s="13"/>
      <c r="V155" s="13"/>
      <c r="W155" s="13"/>
      <c r="X155" s="13"/>
      <c r="Y155" s="13"/>
    </row>
    <row r="156" spans="1:25" ht="12.75">
      <c r="A156" s="255"/>
      <c r="B156" s="13"/>
      <c r="C156" s="495"/>
      <c r="D156" s="495"/>
      <c r="E156" s="13"/>
      <c r="F156" s="13"/>
      <c r="G156" s="13"/>
      <c r="H156" s="13"/>
      <c r="I156" s="13"/>
      <c r="J156" s="13"/>
      <c r="K156" s="13"/>
      <c r="L156" s="13"/>
      <c r="M156" s="13"/>
      <c r="N156" s="13"/>
      <c r="O156" s="13"/>
      <c r="P156" s="13"/>
      <c r="Q156" s="13"/>
      <c r="R156" s="13"/>
      <c r="S156" s="13"/>
      <c r="T156" s="13"/>
      <c r="U156" s="13"/>
      <c r="V156" s="13"/>
      <c r="W156" s="13"/>
      <c r="X156" s="13"/>
      <c r="Y156" s="13"/>
    </row>
    <row r="157" spans="1:25" ht="12.75">
      <c r="A157" s="255"/>
      <c r="B157" s="13"/>
      <c r="C157" s="495"/>
      <c r="D157" s="495"/>
      <c r="E157" s="13"/>
      <c r="F157" s="13"/>
      <c r="G157" s="13"/>
      <c r="H157" s="13"/>
      <c r="I157" s="13"/>
      <c r="J157" s="13"/>
      <c r="K157" s="13"/>
      <c r="L157" s="13"/>
      <c r="M157" s="13"/>
      <c r="N157" s="13"/>
      <c r="O157" s="13"/>
      <c r="P157" s="13"/>
      <c r="Q157" s="13"/>
      <c r="R157" s="13"/>
      <c r="S157" s="13"/>
      <c r="T157" s="13"/>
      <c r="U157" s="13"/>
      <c r="V157" s="13"/>
      <c r="W157" s="13"/>
      <c r="X157" s="13"/>
      <c r="Y157" s="13"/>
    </row>
    <row r="158" spans="1:25" ht="12.75">
      <c r="A158" s="255"/>
      <c r="B158" s="13"/>
      <c r="C158" s="495"/>
      <c r="D158" s="495"/>
      <c r="E158" s="13"/>
      <c r="F158" s="13"/>
      <c r="G158" s="13"/>
      <c r="H158" s="13"/>
      <c r="I158" s="13"/>
      <c r="J158" s="13"/>
      <c r="K158" s="13"/>
      <c r="L158" s="13"/>
      <c r="M158" s="13"/>
      <c r="N158" s="13"/>
      <c r="O158" s="13"/>
      <c r="P158" s="13"/>
      <c r="Q158" s="13"/>
      <c r="R158" s="13"/>
      <c r="S158" s="13"/>
      <c r="T158" s="13"/>
      <c r="U158" s="13"/>
      <c r="V158" s="13"/>
      <c r="W158" s="13"/>
      <c r="X158" s="13"/>
      <c r="Y158" s="13"/>
    </row>
    <row r="159" spans="1:25" ht="12.75">
      <c r="A159" s="255"/>
      <c r="B159" s="13"/>
      <c r="C159" s="495"/>
      <c r="D159" s="495"/>
      <c r="E159" s="13"/>
      <c r="F159" s="13"/>
      <c r="G159" s="13"/>
      <c r="H159" s="13"/>
      <c r="I159" s="13"/>
      <c r="J159" s="13"/>
      <c r="K159" s="13"/>
      <c r="L159" s="13"/>
      <c r="M159" s="13"/>
      <c r="N159" s="13"/>
      <c r="O159" s="13"/>
      <c r="P159" s="13"/>
      <c r="Q159" s="13"/>
      <c r="R159" s="13"/>
      <c r="S159" s="13"/>
      <c r="T159" s="13"/>
      <c r="U159" s="13"/>
      <c r="V159" s="13"/>
      <c r="W159" s="13"/>
      <c r="X159" s="13"/>
      <c r="Y159" s="13"/>
    </row>
    <row r="160" spans="1:25" ht="12.75">
      <c r="A160" s="255"/>
      <c r="B160" s="13"/>
      <c r="C160" s="495"/>
      <c r="D160" s="495"/>
      <c r="E160" s="13"/>
      <c r="F160" s="13"/>
      <c r="G160" s="13"/>
      <c r="H160" s="13"/>
      <c r="I160" s="13"/>
      <c r="J160" s="13"/>
      <c r="K160" s="13"/>
      <c r="L160" s="13"/>
      <c r="M160" s="13"/>
      <c r="N160" s="13"/>
      <c r="O160" s="13"/>
      <c r="P160" s="13"/>
      <c r="Q160" s="13"/>
      <c r="R160" s="13"/>
      <c r="S160" s="13"/>
      <c r="T160" s="13"/>
      <c r="U160" s="13"/>
      <c r="V160" s="13"/>
      <c r="W160" s="13"/>
      <c r="X160" s="13"/>
      <c r="Y160" s="13"/>
    </row>
    <row r="161" spans="1:25" ht="12.75">
      <c r="A161" s="255"/>
      <c r="B161" s="13"/>
      <c r="C161" s="495"/>
      <c r="D161" s="495"/>
      <c r="E161" s="13"/>
      <c r="F161" s="13"/>
      <c r="G161" s="13"/>
      <c r="H161" s="13"/>
      <c r="I161" s="13"/>
      <c r="J161" s="13"/>
      <c r="K161" s="13"/>
      <c r="L161" s="13"/>
      <c r="M161" s="13"/>
      <c r="N161" s="13"/>
      <c r="O161" s="13"/>
      <c r="P161" s="13"/>
      <c r="Q161" s="13"/>
      <c r="R161" s="13"/>
      <c r="S161" s="13"/>
      <c r="T161" s="13"/>
      <c r="U161" s="13"/>
      <c r="V161" s="13"/>
      <c r="W161" s="13"/>
      <c r="X161" s="13"/>
      <c r="Y161" s="13"/>
    </row>
    <row r="162" spans="1:25" ht="12.75">
      <c r="A162" s="255"/>
      <c r="B162" s="13"/>
      <c r="C162" s="495"/>
      <c r="D162" s="495"/>
      <c r="E162" s="13"/>
      <c r="F162" s="13"/>
      <c r="G162" s="13"/>
      <c r="H162" s="13"/>
      <c r="I162" s="13"/>
      <c r="J162" s="13"/>
      <c r="K162" s="13"/>
      <c r="L162" s="13"/>
      <c r="M162" s="13"/>
      <c r="N162" s="13"/>
      <c r="O162" s="13"/>
      <c r="P162" s="13"/>
      <c r="Q162" s="13"/>
      <c r="R162" s="13"/>
      <c r="S162" s="13"/>
      <c r="T162" s="13"/>
      <c r="U162" s="13"/>
      <c r="V162" s="13"/>
      <c r="W162" s="13"/>
      <c r="X162" s="13"/>
      <c r="Y162" s="13"/>
    </row>
    <row r="163" spans="1:25" ht="12.75">
      <c r="A163" s="255"/>
      <c r="B163" s="13"/>
      <c r="C163" s="495"/>
      <c r="D163" s="495"/>
      <c r="E163" s="13"/>
      <c r="F163" s="13"/>
      <c r="G163" s="13"/>
      <c r="H163" s="13"/>
      <c r="I163" s="13"/>
      <c r="J163" s="13"/>
      <c r="K163" s="13"/>
      <c r="L163" s="13"/>
      <c r="M163" s="13"/>
      <c r="N163" s="13"/>
      <c r="O163" s="13"/>
      <c r="P163" s="13"/>
      <c r="Q163" s="13"/>
      <c r="R163" s="13"/>
      <c r="S163" s="13"/>
      <c r="T163" s="13"/>
      <c r="U163" s="13"/>
      <c r="V163" s="13"/>
      <c r="W163" s="13"/>
      <c r="X163" s="13"/>
      <c r="Y163" s="13"/>
    </row>
    <row r="164" spans="1:25" ht="12.75">
      <c r="A164" s="255"/>
      <c r="B164" s="13"/>
      <c r="C164" s="495"/>
      <c r="D164" s="495"/>
      <c r="E164" s="13"/>
      <c r="F164" s="13"/>
      <c r="G164" s="13"/>
      <c r="H164" s="13"/>
      <c r="I164" s="13"/>
      <c r="J164" s="13"/>
      <c r="K164" s="13"/>
      <c r="L164" s="13"/>
      <c r="M164" s="13"/>
      <c r="N164" s="13"/>
      <c r="O164" s="13"/>
      <c r="P164" s="13"/>
      <c r="Q164" s="13"/>
      <c r="R164" s="13"/>
      <c r="S164" s="13"/>
      <c r="T164" s="13"/>
      <c r="U164" s="13"/>
      <c r="V164" s="13"/>
      <c r="W164" s="13"/>
      <c r="X164" s="13"/>
      <c r="Y164" s="13"/>
    </row>
    <row r="165" spans="1:25" ht="12.75">
      <c r="A165" s="255"/>
      <c r="B165" s="13"/>
      <c r="C165" s="495"/>
      <c r="D165" s="495"/>
      <c r="E165" s="13"/>
      <c r="F165" s="13"/>
      <c r="G165" s="13"/>
      <c r="H165" s="13"/>
      <c r="I165" s="13"/>
      <c r="J165" s="13"/>
      <c r="K165" s="13"/>
      <c r="L165" s="13"/>
      <c r="M165" s="13"/>
      <c r="N165" s="13"/>
      <c r="O165" s="13"/>
      <c r="P165" s="13"/>
      <c r="Q165" s="13"/>
      <c r="R165" s="13"/>
      <c r="S165" s="13"/>
      <c r="T165" s="13"/>
      <c r="U165" s="13"/>
      <c r="V165" s="13"/>
      <c r="W165" s="13"/>
      <c r="X165" s="13"/>
      <c r="Y165" s="13"/>
    </row>
    <row r="166" spans="1:25" ht="12.75">
      <c r="A166" s="255"/>
      <c r="B166" s="13"/>
      <c r="C166" s="495"/>
      <c r="D166" s="495"/>
      <c r="E166" s="13"/>
      <c r="F166" s="13"/>
      <c r="G166" s="13"/>
      <c r="H166" s="13"/>
      <c r="I166" s="13"/>
      <c r="J166" s="13"/>
      <c r="K166" s="13"/>
      <c r="L166" s="13"/>
      <c r="M166" s="13"/>
      <c r="N166" s="13"/>
      <c r="O166" s="13"/>
      <c r="P166" s="13"/>
      <c r="Q166" s="13"/>
      <c r="R166" s="13"/>
      <c r="S166" s="13"/>
      <c r="T166" s="13"/>
      <c r="U166" s="13"/>
      <c r="V166" s="13"/>
      <c r="W166" s="13"/>
      <c r="X166" s="13"/>
      <c r="Y166" s="13"/>
    </row>
    <row r="167" spans="1:25" ht="12.75">
      <c r="A167" s="255"/>
      <c r="B167" s="13"/>
      <c r="C167" s="495"/>
      <c r="D167" s="495"/>
      <c r="E167" s="13"/>
      <c r="F167" s="13"/>
      <c r="G167" s="13"/>
      <c r="H167" s="13"/>
      <c r="I167" s="13"/>
      <c r="J167" s="13"/>
      <c r="K167" s="13"/>
      <c r="L167" s="13"/>
      <c r="M167" s="13"/>
      <c r="N167" s="13"/>
      <c r="O167" s="13"/>
      <c r="P167" s="13"/>
      <c r="Q167" s="13"/>
      <c r="R167" s="13"/>
      <c r="S167" s="13"/>
      <c r="T167" s="13"/>
      <c r="U167" s="13"/>
      <c r="V167" s="13"/>
      <c r="W167" s="13"/>
      <c r="X167" s="13"/>
      <c r="Y167" s="13"/>
    </row>
    <row r="168" spans="1:25" ht="12.75">
      <c r="A168" s="255"/>
      <c r="B168" s="13"/>
      <c r="C168" s="495"/>
      <c r="D168" s="495"/>
      <c r="E168" s="13"/>
      <c r="F168" s="13"/>
      <c r="G168" s="13"/>
      <c r="H168" s="13"/>
      <c r="I168" s="13"/>
      <c r="J168" s="13"/>
      <c r="K168" s="13"/>
      <c r="L168" s="13"/>
      <c r="M168" s="13"/>
      <c r="N168" s="13"/>
      <c r="O168" s="13"/>
      <c r="P168" s="13"/>
      <c r="Q168" s="13"/>
      <c r="R168" s="13"/>
      <c r="S168" s="13"/>
      <c r="T168" s="13"/>
      <c r="U168" s="13"/>
      <c r="V168" s="13"/>
      <c r="W168" s="13"/>
      <c r="X168" s="13"/>
      <c r="Y168" s="13"/>
    </row>
    <row r="169" spans="1:25" ht="12.75">
      <c r="A169" s="255"/>
      <c r="B169" s="13"/>
      <c r="C169" s="495"/>
      <c r="D169" s="495"/>
      <c r="E169" s="13"/>
      <c r="F169" s="13"/>
      <c r="G169" s="13"/>
      <c r="H169" s="13"/>
      <c r="I169" s="13"/>
      <c r="J169" s="13"/>
      <c r="K169" s="13"/>
      <c r="L169" s="13"/>
      <c r="M169" s="13"/>
      <c r="N169" s="13"/>
      <c r="O169" s="13"/>
      <c r="P169" s="13"/>
      <c r="Q169" s="13"/>
      <c r="R169" s="13"/>
      <c r="S169" s="13"/>
      <c r="T169" s="13"/>
      <c r="U169" s="13"/>
      <c r="V169" s="13"/>
      <c r="W169" s="13"/>
      <c r="X169" s="13"/>
      <c r="Y169" s="13"/>
    </row>
    <row r="170" spans="1:25" ht="12.75">
      <c r="A170" s="255"/>
      <c r="B170" s="13"/>
      <c r="C170" s="495"/>
      <c r="D170" s="495"/>
      <c r="E170" s="13"/>
      <c r="F170" s="13"/>
      <c r="G170" s="13"/>
      <c r="H170" s="13"/>
      <c r="I170" s="13"/>
      <c r="J170" s="13"/>
      <c r="K170" s="13"/>
      <c r="L170" s="13"/>
      <c r="M170" s="13"/>
      <c r="N170" s="13"/>
      <c r="O170" s="13"/>
      <c r="P170" s="13"/>
      <c r="Q170" s="13"/>
      <c r="R170" s="13"/>
      <c r="S170" s="13"/>
      <c r="T170" s="13"/>
      <c r="U170" s="13"/>
      <c r="V170" s="13"/>
      <c r="W170" s="13"/>
      <c r="X170" s="13"/>
      <c r="Y170" s="13"/>
    </row>
    <row r="171" spans="1:25" ht="12.75">
      <c r="A171" s="255"/>
      <c r="B171" s="13"/>
      <c r="C171" s="495"/>
      <c r="D171" s="495"/>
      <c r="E171" s="13"/>
      <c r="F171" s="13"/>
      <c r="G171" s="13"/>
      <c r="H171" s="13"/>
      <c r="I171" s="13"/>
      <c r="J171" s="13"/>
      <c r="K171" s="13"/>
      <c r="L171" s="13"/>
      <c r="M171" s="13"/>
      <c r="N171" s="13"/>
      <c r="O171" s="13"/>
      <c r="P171" s="13"/>
      <c r="Q171" s="13"/>
      <c r="R171" s="13"/>
      <c r="S171" s="13"/>
      <c r="T171" s="13"/>
      <c r="U171" s="13"/>
      <c r="V171" s="13"/>
      <c r="W171" s="13"/>
      <c r="X171" s="13"/>
      <c r="Y171" s="13"/>
    </row>
    <row r="172" spans="1:25" ht="12.75">
      <c r="A172" s="255"/>
      <c r="B172" s="13"/>
      <c r="C172" s="495"/>
      <c r="D172" s="495"/>
      <c r="E172" s="13"/>
      <c r="F172" s="13"/>
      <c r="G172" s="13"/>
      <c r="H172" s="13"/>
      <c r="I172" s="13"/>
      <c r="J172" s="13"/>
      <c r="K172" s="13"/>
      <c r="L172" s="13"/>
      <c r="M172" s="13"/>
      <c r="N172" s="13"/>
      <c r="O172" s="13"/>
      <c r="P172" s="13"/>
      <c r="Q172" s="13"/>
      <c r="R172" s="13"/>
      <c r="S172" s="13"/>
      <c r="T172" s="13"/>
      <c r="U172" s="13"/>
      <c r="V172" s="13"/>
      <c r="W172" s="13"/>
      <c r="X172" s="13"/>
      <c r="Y172" s="13"/>
    </row>
    <row r="173" spans="1:25" ht="12.75">
      <c r="A173" s="255"/>
      <c r="B173" s="13"/>
      <c r="C173" s="495"/>
      <c r="D173" s="495"/>
      <c r="E173" s="13"/>
      <c r="F173" s="13"/>
      <c r="G173" s="13"/>
      <c r="H173" s="13"/>
      <c r="I173" s="13"/>
      <c r="J173" s="13"/>
      <c r="K173" s="13"/>
      <c r="L173" s="13"/>
      <c r="M173" s="13"/>
      <c r="N173" s="13"/>
      <c r="O173" s="13"/>
      <c r="P173" s="13"/>
      <c r="Q173" s="13"/>
      <c r="R173" s="13"/>
      <c r="S173" s="13"/>
      <c r="T173" s="13"/>
      <c r="U173" s="13"/>
      <c r="V173" s="13"/>
      <c r="W173" s="13"/>
      <c r="X173" s="13"/>
      <c r="Y173" s="13"/>
    </row>
    <row r="174" spans="1:25" ht="12.75">
      <c r="A174" s="255"/>
      <c r="B174" s="13"/>
      <c r="C174" s="495"/>
      <c r="D174" s="495"/>
      <c r="E174" s="13"/>
      <c r="F174" s="13"/>
      <c r="G174" s="13"/>
      <c r="H174" s="13"/>
      <c r="I174" s="13"/>
      <c r="J174" s="13"/>
      <c r="K174" s="13"/>
      <c r="L174" s="13"/>
      <c r="M174" s="13"/>
      <c r="N174" s="13"/>
      <c r="O174" s="13"/>
      <c r="P174" s="13"/>
      <c r="Q174" s="13"/>
      <c r="R174" s="13"/>
      <c r="S174" s="13"/>
      <c r="T174" s="13"/>
      <c r="U174" s="13"/>
      <c r="V174" s="13"/>
      <c r="W174" s="13"/>
      <c r="X174" s="13"/>
      <c r="Y174" s="13"/>
    </row>
    <row r="175" spans="1:25" ht="12.75">
      <c r="A175" s="255"/>
      <c r="B175" s="13"/>
      <c r="C175" s="495"/>
      <c r="D175" s="495"/>
      <c r="E175" s="13"/>
      <c r="F175" s="13"/>
      <c r="G175" s="13"/>
      <c r="H175" s="13"/>
      <c r="I175" s="13"/>
      <c r="J175" s="13"/>
      <c r="K175" s="13"/>
      <c r="L175" s="13"/>
      <c r="M175" s="13"/>
      <c r="N175" s="13"/>
      <c r="O175" s="13"/>
      <c r="P175" s="13"/>
      <c r="Q175" s="13"/>
      <c r="R175" s="13"/>
      <c r="S175" s="13"/>
      <c r="T175" s="13"/>
      <c r="U175" s="13"/>
      <c r="V175" s="13"/>
      <c r="W175" s="13"/>
      <c r="X175" s="13"/>
      <c r="Y175" s="13"/>
    </row>
    <row r="176" spans="1:25" ht="12.75">
      <c r="A176" s="255"/>
      <c r="B176" s="13"/>
      <c r="C176" s="495"/>
      <c r="D176" s="495"/>
      <c r="E176" s="13"/>
      <c r="F176" s="13"/>
      <c r="G176" s="13"/>
      <c r="H176" s="13"/>
      <c r="I176" s="13"/>
      <c r="J176" s="13"/>
      <c r="K176" s="13"/>
      <c r="L176" s="13"/>
      <c r="M176" s="13"/>
      <c r="N176" s="13"/>
      <c r="O176" s="13"/>
      <c r="P176" s="13"/>
      <c r="Q176" s="13"/>
      <c r="R176" s="13"/>
      <c r="S176" s="13"/>
      <c r="T176" s="13"/>
      <c r="U176" s="13"/>
      <c r="V176" s="13"/>
      <c r="W176" s="13"/>
      <c r="X176" s="13"/>
      <c r="Y176" s="13"/>
    </row>
    <row r="177" spans="1:25" ht="12.75">
      <c r="A177" s="255"/>
      <c r="B177" s="13"/>
      <c r="C177" s="495"/>
      <c r="D177" s="495"/>
      <c r="E177" s="13"/>
      <c r="F177" s="13"/>
      <c r="G177" s="13"/>
      <c r="H177" s="13"/>
      <c r="I177" s="13"/>
      <c r="J177" s="13"/>
      <c r="K177" s="13"/>
      <c r="L177" s="13"/>
      <c r="M177" s="13"/>
      <c r="N177" s="13"/>
      <c r="O177" s="13"/>
      <c r="P177" s="13"/>
      <c r="Q177" s="13"/>
      <c r="R177" s="13"/>
      <c r="S177" s="13"/>
      <c r="T177" s="13"/>
      <c r="U177" s="13"/>
      <c r="V177" s="13"/>
      <c r="W177" s="13"/>
      <c r="X177" s="13"/>
      <c r="Y177" s="13"/>
    </row>
    <row r="178" spans="1:25" ht="12.75">
      <c r="A178" s="255"/>
      <c r="B178" s="13"/>
      <c r="C178" s="495"/>
      <c r="D178" s="495"/>
      <c r="E178" s="13"/>
      <c r="F178" s="13"/>
      <c r="G178" s="13"/>
      <c r="H178" s="13"/>
      <c r="I178" s="13"/>
      <c r="J178" s="13"/>
      <c r="K178" s="13"/>
      <c r="L178" s="13"/>
      <c r="M178" s="13"/>
      <c r="N178" s="13"/>
      <c r="O178" s="13"/>
      <c r="P178" s="13"/>
      <c r="Q178" s="13"/>
      <c r="R178" s="13"/>
      <c r="S178" s="13"/>
      <c r="T178" s="13"/>
      <c r="U178" s="13"/>
      <c r="V178" s="13"/>
      <c r="W178" s="13"/>
      <c r="X178" s="13"/>
      <c r="Y178" s="13"/>
    </row>
    <row r="179" spans="1:25" ht="12.75">
      <c r="A179" s="255"/>
      <c r="B179" s="13"/>
      <c r="C179" s="495"/>
      <c r="D179" s="495"/>
      <c r="E179" s="13"/>
      <c r="F179" s="13"/>
      <c r="G179" s="13"/>
      <c r="H179" s="13"/>
      <c r="I179" s="13"/>
      <c r="J179" s="13"/>
      <c r="K179" s="13"/>
      <c r="L179" s="13"/>
      <c r="M179" s="13"/>
      <c r="N179" s="13"/>
      <c r="O179" s="13"/>
      <c r="P179" s="13"/>
      <c r="Q179" s="13"/>
      <c r="R179" s="13"/>
      <c r="S179" s="13"/>
      <c r="T179" s="13"/>
      <c r="U179" s="13"/>
      <c r="V179" s="13"/>
      <c r="W179" s="13"/>
      <c r="X179" s="13"/>
      <c r="Y179" s="13"/>
    </row>
    <row r="180" spans="1:25" ht="12.75">
      <c r="A180" s="255"/>
      <c r="B180" s="13"/>
      <c r="C180" s="495"/>
      <c r="D180" s="495"/>
      <c r="E180" s="13"/>
      <c r="F180" s="13"/>
      <c r="G180" s="13"/>
      <c r="H180" s="13"/>
      <c r="I180" s="13"/>
      <c r="J180" s="13"/>
      <c r="K180" s="13"/>
      <c r="L180" s="13"/>
      <c r="M180" s="13"/>
      <c r="N180" s="13"/>
      <c r="O180" s="13"/>
      <c r="P180" s="13"/>
      <c r="Q180" s="13"/>
      <c r="R180" s="13"/>
      <c r="S180" s="13"/>
      <c r="T180" s="13"/>
      <c r="U180" s="13"/>
      <c r="V180" s="13"/>
      <c r="W180" s="13"/>
      <c r="X180" s="13"/>
      <c r="Y180" s="13"/>
    </row>
    <row r="181" spans="1:25" ht="12.75">
      <c r="A181" s="255"/>
      <c r="B181" s="13"/>
      <c r="C181" s="495"/>
      <c r="D181" s="495"/>
      <c r="E181" s="13"/>
      <c r="F181" s="13"/>
      <c r="G181" s="13"/>
      <c r="H181" s="13"/>
      <c r="I181" s="13"/>
      <c r="J181" s="13"/>
      <c r="K181" s="13"/>
      <c r="L181" s="13"/>
      <c r="M181" s="13"/>
      <c r="N181" s="13"/>
      <c r="O181" s="13"/>
      <c r="P181" s="13"/>
      <c r="Q181" s="13"/>
      <c r="R181" s="13"/>
      <c r="S181" s="13"/>
      <c r="T181" s="13"/>
      <c r="U181" s="13"/>
      <c r="V181" s="13"/>
      <c r="W181" s="13"/>
      <c r="X181" s="13"/>
      <c r="Y181" s="13"/>
    </row>
    <row r="182" spans="1:25" ht="12.75">
      <c r="A182" s="255"/>
      <c r="B182" s="13"/>
      <c r="C182" s="495"/>
      <c r="D182" s="495"/>
      <c r="E182" s="13"/>
      <c r="F182" s="13"/>
      <c r="G182" s="13"/>
      <c r="H182" s="13"/>
      <c r="I182" s="13"/>
      <c r="J182" s="13"/>
      <c r="K182" s="13"/>
      <c r="L182" s="13"/>
      <c r="M182" s="13"/>
      <c r="N182" s="13"/>
      <c r="O182" s="13"/>
      <c r="P182" s="13"/>
      <c r="Q182" s="13"/>
      <c r="R182" s="13"/>
      <c r="S182" s="13"/>
      <c r="T182" s="13"/>
      <c r="U182" s="13"/>
      <c r="V182" s="13"/>
      <c r="W182" s="13"/>
      <c r="X182" s="13"/>
      <c r="Y182" s="13"/>
    </row>
    <row r="183" spans="1:25" ht="12.75">
      <c r="A183" s="255"/>
      <c r="B183" s="13"/>
      <c r="C183" s="495"/>
      <c r="D183" s="495"/>
      <c r="E183" s="13"/>
      <c r="F183" s="13"/>
      <c r="G183" s="13"/>
      <c r="H183" s="13"/>
      <c r="I183" s="13"/>
      <c r="J183" s="13"/>
      <c r="K183" s="13"/>
      <c r="L183" s="13"/>
      <c r="M183" s="13"/>
      <c r="N183" s="13"/>
      <c r="O183" s="13"/>
      <c r="P183" s="13"/>
      <c r="Q183" s="13"/>
      <c r="R183" s="13"/>
      <c r="S183" s="13"/>
      <c r="T183" s="13"/>
      <c r="U183" s="13"/>
      <c r="V183" s="13"/>
      <c r="W183" s="13"/>
      <c r="X183" s="13"/>
      <c r="Y183" s="13"/>
    </row>
    <row r="184" spans="1:25" ht="12.75">
      <c r="A184" s="255"/>
      <c r="B184" s="13"/>
      <c r="C184" s="495"/>
      <c r="D184" s="495"/>
      <c r="E184" s="13"/>
      <c r="F184" s="13"/>
      <c r="G184" s="13"/>
      <c r="H184" s="13"/>
      <c r="I184" s="13"/>
      <c r="J184" s="13"/>
      <c r="K184" s="13"/>
      <c r="L184" s="13"/>
      <c r="M184" s="13"/>
      <c r="N184" s="13"/>
      <c r="O184" s="13"/>
      <c r="P184" s="13"/>
      <c r="Q184" s="13"/>
      <c r="R184" s="13"/>
      <c r="S184" s="13"/>
      <c r="T184" s="13"/>
      <c r="U184" s="13"/>
      <c r="V184" s="13"/>
      <c r="W184" s="13"/>
      <c r="X184" s="13"/>
      <c r="Y184" s="13"/>
    </row>
    <row r="185" spans="1:25" ht="12.75">
      <c r="A185" s="255"/>
      <c r="B185" s="13"/>
      <c r="C185" s="495"/>
      <c r="D185" s="495"/>
      <c r="E185" s="13"/>
      <c r="F185" s="13"/>
      <c r="G185" s="13"/>
      <c r="H185" s="13"/>
      <c r="I185" s="13"/>
      <c r="J185" s="13"/>
      <c r="K185" s="13"/>
      <c r="L185" s="13"/>
      <c r="M185" s="13"/>
      <c r="N185" s="13"/>
      <c r="O185" s="13"/>
      <c r="P185" s="13"/>
      <c r="Q185" s="13"/>
      <c r="R185" s="13"/>
      <c r="S185" s="13"/>
      <c r="T185" s="13"/>
      <c r="U185" s="13"/>
      <c r="V185" s="13"/>
      <c r="W185" s="13"/>
      <c r="X185" s="13"/>
      <c r="Y185" s="13"/>
    </row>
    <row r="186" spans="1:25" ht="12.75">
      <c r="A186" s="255"/>
      <c r="B186" s="13"/>
      <c r="C186" s="495"/>
      <c r="D186" s="495"/>
      <c r="E186" s="13"/>
      <c r="F186" s="13"/>
      <c r="G186" s="13"/>
      <c r="H186" s="13"/>
      <c r="I186" s="13"/>
      <c r="J186" s="13"/>
      <c r="K186" s="13"/>
      <c r="L186" s="13"/>
      <c r="M186" s="13"/>
      <c r="N186" s="13"/>
      <c r="O186" s="13"/>
      <c r="P186" s="13"/>
      <c r="Q186" s="13"/>
      <c r="R186" s="13"/>
      <c r="S186" s="13"/>
      <c r="T186" s="13"/>
      <c r="U186" s="13"/>
      <c r="V186" s="13"/>
      <c r="W186" s="13"/>
      <c r="X186" s="13"/>
      <c r="Y186" s="13"/>
    </row>
    <row r="187" spans="1:25" ht="12.75">
      <c r="A187" s="255"/>
      <c r="B187" s="13"/>
      <c r="C187" s="495"/>
      <c r="D187" s="495"/>
      <c r="E187" s="13"/>
      <c r="F187" s="13"/>
      <c r="G187" s="13"/>
      <c r="H187" s="13"/>
      <c r="I187" s="13"/>
      <c r="J187" s="13"/>
      <c r="K187" s="13"/>
      <c r="L187" s="13"/>
      <c r="M187" s="13"/>
      <c r="N187" s="13"/>
      <c r="O187" s="13"/>
      <c r="P187" s="13"/>
      <c r="Q187" s="13"/>
      <c r="R187" s="13"/>
      <c r="S187" s="13"/>
      <c r="T187" s="13"/>
      <c r="U187" s="13"/>
      <c r="V187" s="13"/>
      <c r="W187" s="13"/>
      <c r="X187" s="13"/>
      <c r="Y187" s="13"/>
    </row>
    <row r="188" spans="1:25" ht="12.75">
      <c r="A188" s="255"/>
      <c r="B188" s="13"/>
      <c r="C188" s="495"/>
      <c r="D188" s="495"/>
      <c r="E188" s="13"/>
      <c r="F188" s="13"/>
      <c r="G188" s="13"/>
      <c r="H188" s="13"/>
      <c r="I188" s="13"/>
      <c r="J188" s="13"/>
      <c r="K188" s="13"/>
      <c r="L188" s="13"/>
      <c r="M188" s="13"/>
      <c r="N188" s="13"/>
      <c r="O188" s="13"/>
      <c r="P188" s="13"/>
      <c r="Q188" s="13"/>
      <c r="R188" s="13"/>
      <c r="S188" s="13"/>
      <c r="T188" s="13"/>
      <c r="U188" s="13"/>
      <c r="V188" s="13"/>
      <c r="W188" s="13"/>
      <c r="X188" s="13"/>
      <c r="Y188" s="13"/>
    </row>
    <row r="189" spans="1:25" ht="12.75">
      <c r="A189" s="255"/>
      <c r="B189" s="13"/>
      <c r="C189" s="495"/>
      <c r="D189" s="495"/>
      <c r="E189" s="13"/>
      <c r="F189" s="13"/>
      <c r="G189" s="13"/>
      <c r="H189" s="13"/>
      <c r="I189" s="13"/>
      <c r="J189" s="13"/>
      <c r="K189" s="13"/>
      <c r="L189" s="13"/>
      <c r="M189" s="13"/>
      <c r="N189" s="13"/>
      <c r="O189" s="13"/>
      <c r="P189" s="13"/>
      <c r="Q189" s="13"/>
      <c r="R189" s="13"/>
      <c r="S189" s="13"/>
      <c r="T189" s="13"/>
      <c r="U189" s="13"/>
      <c r="V189" s="13"/>
      <c r="W189" s="13"/>
      <c r="X189" s="13"/>
      <c r="Y189" s="13"/>
    </row>
    <row r="190" spans="1:25" ht="12.75">
      <c r="A190" s="255"/>
      <c r="B190" s="13"/>
      <c r="C190" s="495"/>
      <c r="D190" s="495"/>
      <c r="E190" s="13"/>
      <c r="F190" s="13"/>
      <c r="G190" s="13"/>
      <c r="H190" s="13"/>
      <c r="I190" s="13"/>
      <c r="J190" s="13"/>
      <c r="K190" s="13"/>
      <c r="L190" s="13"/>
      <c r="M190" s="13"/>
      <c r="N190" s="13"/>
      <c r="O190" s="13"/>
      <c r="P190" s="13"/>
      <c r="Q190" s="13"/>
      <c r="R190" s="13"/>
      <c r="S190" s="13"/>
      <c r="T190" s="13"/>
      <c r="U190" s="13"/>
      <c r="V190" s="13"/>
      <c r="W190" s="13"/>
      <c r="X190" s="13"/>
      <c r="Y190" s="13"/>
    </row>
    <row r="191" spans="1:25" ht="12.75">
      <c r="A191" s="255"/>
      <c r="B191" s="13"/>
      <c r="C191" s="495"/>
      <c r="D191" s="495"/>
      <c r="E191" s="13"/>
      <c r="F191" s="13"/>
      <c r="G191" s="13"/>
      <c r="H191" s="13"/>
      <c r="I191" s="13"/>
      <c r="J191" s="13"/>
      <c r="K191" s="13"/>
      <c r="L191" s="13"/>
      <c r="M191" s="13"/>
      <c r="N191" s="13"/>
      <c r="O191" s="13"/>
      <c r="P191" s="13"/>
      <c r="Q191" s="13"/>
      <c r="R191" s="13"/>
      <c r="S191" s="13"/>
      <c r="T191" s="13"/>
      <c r="U191" s="13"/>
      <c r="V191" s="13"/>
      <c r="W191" s="13"/>
      <c r="X191" s="13"/>
      <c r="Y191" s="13"/>
    </row>
    <row r="192" spans="1:25" ht="12.75">
      <c r="A192" s="255"/>
      <c r="B192" s="13"/>
      <c r="C192" s="495"/>
      <c r="D192" s="495"/>
      <c r="E192" s="13"/>
      <c r="F192" s="13"/>
      <c r="G192" s="13"/>
      <c r="H192" s="13"/>
      <c r="I192" s="13"/>
      <c r="J192" s="13"/>
      <c r="K192" s="13"/>
      <c r="L192" s="13"/>
      <c r="M192" s="13"/>
      <c r="N192" s="13"/>
      <c r="O192" s="13"/>
      <c r="P192" s="13"/>
      <c r="Q192" s="13"/>
      <c r="R192" s="13"/>
      <c r="S192" s="13"/>
      <c r="T192" s="13"/>
      <c r="U192" s="13"/>
      <c r="V192" s="13"/>
      <c r="W192" s="13"/>
      <c r="X192" s="13"/>
      <c r="Y192" s="13"/>
    </row>
    <row r="193" spans="1:25" ht="12.75">
      <c r="A193" s="255"/>
      <c r="B193" s="13"/>
      <c r="C193" s="495"/>
      <c r="D193" s="495"/>
      <c r="E193" s="13"/>
      <c r="F193" s="13"/>
      <c r="G193" s="13"/>
      <c r="H193" s="13"/>
      <c r="I193" s="13"/>
      <c r="J193" s="13"/>
      <c r="K193" s="13"/>
      <c r="L193" s="13"/>
      <c r="M193" s="13"/>
      <c r="N193" s="13"/>
      <c r="O193" s="13"/>
      <c r="P193" s="13"/>
      <c r="Q193" s="13"/>
      <c r="R193" s="13"/>
      <c r="S193" s="13"/>
      <c r="T193" s="13"/>
      <c r="U193" s="13"/>
      <c r="V193" s="13"/>
      <c r="W193" s="13"/>
      <c r="X193" s="13"/>
      <c r="Y193" s="13"/>
    </row>
    <row r="194" spans="1:25" ht="12.75">
      <c r="A194" s="255"/>
      <c r="B194" s="13"/>
      <c r="C194" s="495"/>
      <c r="D194" s="495"/>
      <c r="E194" s="13"/>
      <c r="F194" s="13"/>
      <c r="G194" s="13"/>
      <c r="H194" s="13"/>
      <c r="I194" s="13"/>
      <c r="J194" s="13"/>
      <c r="K194" s="13"/>
      <c r="L194" s="13"/>
      <c r="M194" s="13"/>
      <c r="N194" s="13"/>
      <c r="O194" s="13"/>
      <c r="P194" s="13"/>
      <c r="Q194" s="13"/>
      <c r="R194" s="13"/>
      <c r="S194" s="13"/>
      <c r="T194" s="13"/>
      <c r="U194" s="13"/>
      <c r="V194" s="13"/>
      <c r="W194" s="13"/>
      <c r="X194" s="13"/>
      <c r="Y194" s="13"/>
    </row>
    <row r="195" spans="1:25" ht="12.75">
      <c r="A195" s="255"/>
      <c r="B195" s="13"/>
      <c r="C195" s="495"/>
      <c r="D195" s="495"/>
      <c r="E195" s="13"/>
      <c r="F195" s="13"/>
      <c r="G195" s="13"/>
      <c r="H195" s="13"/>
      <c r="I195" s="13"/>
      <c r="J195" s="13"/>
      <c r="K195" s="13"/>
      <c r="L195" s="13"/>
      <c r="M195" s="13"/>
      <c r="N195" s="13"/>
      <c r="O195" s="13"/>
      <c r="P195" s="13"/>
      <c r="Q195" s="13"/>
      <c r="R195" s="13"/>
      <c r="S195" s="13"/>
      <c r="T195" s="13"/>
      <c r="U195" s="13"/>
      <c r="V195" s="13"/>
      <c r="W195" s="13"/>
      <c r="X195" s="13"/>
      <c r="Y195" s="13"/>
    </row>
    <row r="196" spans="1:25" ht="12.75">
      <c r="A196" s="255"/>
      <c r="B196" s="13"/>
      <c r="C196" s="495"/>
      <c r="D196" s="495"/>
      <c r="E196" s="13"/>
      <c r="F196" s="13"/>
      <c r="G196" s="13"/>
      <c r="H196" s="13"/>
      <c r="I196" s="13"/>
      <c r="J196" s="13"/>
      <c r="K196" s="13"/>
      <c r="L196" s="13"/>
      <c r="M196" s="13"/>
      <c r="N196" s="13"/>
      <c r="O196" s="13"/>
      <c r="P196" s="13"/>
      <c r="Q196" s="13"/>
      <c r="R196" s="13"/>
      <c r="S196" s="13"/>
      <c r="T196" s="13"/>
      <c r="U196" s="13"/>
      <c r="V196" s="13"/>
      <c r="W196" s="13"/>
      <c r="X196" s="13"/>
      <c r="Y196" s="13"/>
    </row>
    <row r="197" spans="1:25" ht="12.75">
      <c r="A197" s="255"/>
      <c r="B197" s="13"/>
      <c r="C197" s="495"/>
      <c r="D197" s="495"/>
      <c r="E197" s="13"/>
      <c r="F197" s="13"/>
      <c r="G197" s="13"/>
      <c r="H197" s="13"/>
      <c r="I197" s="13"/>
      <c r="J197" s="13"/>
      <c r="K197" s="13"/>
      <c r="L197" s="13"/>
      <c r="M197" s="13"/>
      <c r="N197" s="13"/>
      <c r="O197" s="13"/>
      <c r="P197" s="13"/>
      <c r="Q197" s="13"/>
      <c r="R197" s="13"/>
      <c r="S197" s="13"/>
      <c r="T197" s="13"/>
      <c r="U197" s="13"/>
      <c r="V197" s="13"/>
      <c r="W197" s="13"/>
      <c r="X197" s="13"/>
      <c r="Y197" s="13"/>
    </row>
    <row r="198" spans="1:25" ht="12.75">
      <c r="A198" s="255"/>
      <c r="B198" s="13"/>
      <c r="C198" s="495"/>
      <c r="D198" s="495"/>
      <c r="E198" s="13"/>
      <c r="F198" s="13"/>
      <c r="G198" s="13"/>
      <c r="H198" s="13"/>
      <c r="I198" s="13"/>
      <c r="J198" s="13"/>
      <c r="K198" s="13"/>
      <c r="L198" s="13"/>
      <c r="M198" s="13"/>
      <c r="N198" s="13"/>
      <c r="O198" s="13"/>
      <c r="P198" s="13"/>
      <c r="Q198" s="13"/>
      <c r="R198" s="13"/>
      <c r="S198" s="13"/>
      <c r="T198" s="13"/>
      <c r="U198" s="13"/>
      <c r="V198" s="13"/>
      <c r="W198" s="13"/>
      <c r="X198" s="13"/>
      <c r="Y198" s="13"/>
    </row>
    <row r="199" spans="1:24" ht="12.75">
      <c r="A199" s="255"/>
      <c r="B199" s="13"/>
      <c r="C199" s="495"/>
      <c r="D199" s="495"/>
      <c r="E199" s="13"/>
      <c r="F199" s="13"/>
      <c r="G199" s="13"/>
      <c r="H199" s="13"/>
      <c r="I199" s="13"/>
      <c r="J199" s="13"/>
      <c r="K199" s="13"/>
      <c r="L199" s="13"/>
      <c r="M199" s="13"/>
      <c r="N199" s="13"/>
      <c r="O199" s="13"/>
      <c r="P199" s="13"/>
      <c r="Q199" s="13"/>
      <c r="R199" s="13"/>
      <c r="S199" s="13"/>
      <c r="T199" s="13"/>
      <c r="U199" s="13"/>
      <c r="V199" s="13"/>
      <c r="W199" s="13"/>
      <c r="X199" s="13"/>
    </row>
    <row r="200" spans="1:24" ht="12.75">
      <c r="A200" s="255"/>
      <c r="B200" s="13"/>
      <c r="C200" s="495"/>
      <c r="D200" s="495"/>
      <c r="E200" s="13"/>
      <c r="F200" s="13"/>
      <c r="G200" s="13"/>
      <c r="H200" s="13"/>
      <c r="I200" s="13"/>
      <c r="J200" s="13"/>
      <c r="K200" s="13"/>
      <c r="L200" s="13"/>
      <c r="M200" s="13"/>
      <c r="N200" s="13"/>
      <c r="O200" s="13"/>
      <c r="P200" s="13"/>
      <c r="Q200" s="13"/>
      <c r="R200" s="13"/>
      <c r="S200" s="13"/>
      <c r="T200" s="13"/>
      <c r="U200" s="13"/>
      <c r="V200" s="13"/>
      <c r="W200" s="13"/>
      <c r="X200" s="13"/>
    </row>
    <row r="201" spans="1:24" ht="12.75">
      <c r="A201" s="255"/>
      <c r="B201" s="13"/>
      <c r="C201" s="495"/>
      <c r="D201" s="495"/>
      <c r="E201" s="13"/>
      <c r="F201" s="13"/>
      <c r="G201" s="13"/>
      <c r="H201" s="13"/>
      <c r="I201" s="13"/>
      <c r="J201" s="13"/>
      <c r="K201" s="13"/>
      <c r="L201" s="13"/>
      <c r="M201" s="13"/>
      <c r="N201" s="13"/>
      <c r="O201" s="13"/>
      <c r="P201" s="13"/>
      <c r="Q201" s="13"/>
      <c r="R201" s="13"/>
      <c r="S201" s="13"/>
      <c r="T201" s="13"/>
      <c r="U201" s="13"/>
      <c r="V201" s="13"/>
      <c r="W201" s="13"/>
      <c r="X201" s="13"/>
    </row>
    <row r="202" spans="1:24" ht="12.75">
      <c r="A202" s="255"/>
      <c r="B202" s="13"/>
      <c r="C202" s="495"/>
      <c r="D202" s="495"/>
      <c r="E202" s="13"/>
      <c r="F202" s="13"/>
      <c r="G202" s="13"/>
      <c r="H202" s="13"/>
      <c r="I202" s="13"/>
      <c r="J202" s="13"/>
      <c r="K202" s="13"/>
      <c r="L202" s="13"/>
      <c r="M202" s="13"/>
      <c r="N202" s="13"/>
      <c r="O202" s="13"/>
      <c r="P202" s="13"/>
      <c r="Q202" s="13"/>
      <c r="R202" s="13"/>
      <c r="S202" s="13"/>
      <c r="T202" s="13"/>
      <c r="U202" s="13"/>
      <c r="V202" s="13"/>
      <c r="W202" s="13"/>
      <c r="X202" s="13"/>
    </row>
    <row r="203" spans="1:24" ht="12.75">
      <c r="A203" s="255"/>
      <c r="B203" s="13"/>
      <c r="C203" s="495"/>
      <c r="D203" s="495"/>
      <c r="E203" s="13"/>
      <c r="F203" s="13"/>
      <c r="G203" s="13"/>
      <c r="H203" s="13"/>
      <c r="I203" s="13"/>
      <c r="J203" s="13"/>
      <c r="K203" s="13"/>
      <c r="L203" s="13"/>
      <c r="M203" s="13"/>
      <c r="N203" s="13"/>
      <c r="O203" s="13"/>
      <c r="P203" s="13"/>
      <c r="Q203" s="13"/>
      <c r="R203" s="13"/>
      <c r="S203" s="13"/>
      <c r="T203" s="13"/>
      <c r="U203" s="13"/>
      <c r="V203" s="13"/>
      <c r="W203" s="13"/>
      <c r="X203" s="13"/>
    </row>
    <row r="204" spans="1:24" ht="12.75">
      <c r="A204" s="255"/>
      <c r="B204" s="13"/>
      <c r="C204" s="495"/>
      <c r="D204" s="495"/>
      <c r="E204" s="13"/>
      <c r="F204" s="13"/>
      <c r="G204" s="13"/>
      <c r="H204" s="13"/>
      <c r="I204" s="13"/>
      <c r="J204" s="13"/>
      <c r="K204" s="13"/>
      <c r="L204" s="13"/>
      <c r="M204" s="13"/>
      <c r="N204" s="13"/>
      <c r="O204" s="13"/>
      <c r="P204" s="13"/>
      <c r="Q204" s="13"/>
      <c r="R204" s="13"/>
      <c r="S204" s="13"/>
      <c r="T204" s="13"/>
      <c r="U204" s="13"/>
      <c r="V204" s="13"/>
      <c r="W204" s="13"/>
      <c r="X204" s="13"/>
    </row>
    <row r="205" spans="1:24" ht="12.75">
      <c r="A205" s="255"/>
      <c r="B205" s="13"/>
      <c r="C205" s="495"/>
      <c r="D205" s="495"/>
      <c r="E205" s="13"/>
      <c r="F205" s="13"/>
      <c r="G205" s="13"/>
      <c r="H205" s="13"/>
      <c r="I205" s="13"/>
      <c r="J205" s="13"/>
      <c r="K205" s="13"/>
      <c r="L205" s="13"/>
      <c r="M205" s="13"/>
      <c r="N205" s="13"/>
      <c r="O205" s="13"/>
      <c r="P205" s="13"/>
      <c r="Q205" s="13"/>
      <c r="R205" s="13"/>
      <c r="S205" s="13"/>
      <c r="T205" s="13"/>
      <c r="U205" s="13"/>
      <c r="V205" s="13"/>
      <c r="W205" s="13"/>
      <c r="X205" s="13"/>
    </row>
    <row r="206" spans="1:24" ht="12.75">
      <c r="A206" s="255"/>
      <c r="B206" s="13"/>
      <c r="C206" s="495"/>
      <c r="D206" s="495"/>
      <c r="E206" s="13"/>
      <c r="F206" s="13"/>
      <c r="G206" s="13"/>
      <c r="H206" s="13"/>
      <c r="I206" s="13"/>
      <c r="J206" s="13"/>
      <c r="K206" s="13"/>
      <c r="L206" s="13"/>
      <c r="M206" s="13"/>
      <c r="N206" s="13"/>
      <c r="O206" s="13"/>
      <c r="P206" s="13"/>
      <c r="Q206" s="13"/>
      <c r="R206" s="13"/>
      <c r="S206" s="13"/>
      <c r="T206" s="13"/>
      <c r="U206" s="13"/>
      <c r="V206" s="13"/>
      <c r="W206" s="13"/>
      <c r="X206" s="13"/>
    </row>
    <row r="207" spans="1:24" ht="12.75">
      <c r="A207" s="255"/>
      <c r="B207" s="13"/>
      <c r="C207" s="495"/>
      <c r="D207" s="495"/>
      <c r="E207" s="13"/>
      <c r="F207" s="13"/>
      <c r="G207" s="13"/>
      <c r="H207" s="13"/>
      <c r="I207" s="13"/>
      <c r="J207" s="13"/>
      <c r="K207" s="13"/>
      <c r="L207" s="13"/>
      <c r="M207" s="13"/>
      <c r="N207" s="13"/>
      <c r="O207" s="13"/>
      <c r="P207" s="13"/>
      <c r="Q207" s="13"/>
      <c r="R207" s="13"/>
      <c r="S207" s="13"/>
      <c r="T207" s="13"/>
      <c r="U207" s="13"/>
      <c r="V207" s="13"/>
      <c r="W207" s="13"/>
      <c r="X207" s="13"/>
    </row>
    <row r="208" spans="1:24" ht="12.75">
      <c r="A208" s="255"/>
      <c r="B208" s="13"/>
      <c r="C208" s="495"/>
      <c r="D208" s="495"/>
      <c r="E208" s="13"/>
      <c r="F208" s="13"/>
      <c r="G208" s="13"/>
      <c r="H208" s="13"/>
      <c r="I208" s="13"/>
      <c r="J208" s="13"/>
      <c r="K208" s="13"/>
      <c r="L208" s="13"/>
      <c r="M208" s="13"/>
      <c r="N208" s="13"/>
      <c r="O208" s="13"/>
      <c r="P208" s="13"/>
      <c r="Q208" s="13"/>
      <c r="R208" s="13"/>
      <c r="S208" s="13"/>
      <c r="T208" s="13"/>
      <c r="U208" s="13"/>
      <c r="V208" s="13"/>
      <c r="W208" s="13"/>
      <c r="X208" s="13"/>
    </row>
    <row r="209" spans="1:24" ht="12.75">
      <c r="A209" s="255"/>
      <c r="B209" s="13"/>
      <c r="C209" s="495"/>
      <c r="D209" s="495"/>
      <c r="E209" s="13"/>
      <c r="F209" s="13"/>
      <c r="G209" s="13"/>
      <c r="H209" s="13"/>
      <c r="I209" s="13"/>
      <c r="J209" s="13"/>
      <c r="K209" s="13"/>
      <c r="L209" s="13"/>
      <c r="M209" s="13"/>
      <c r="N209" s="13"/>
      <c r="O209" s="13"/>
      <c r="P209" s="13"/>
      <c r="Q209" s="13"/>
      <c r="R209" s="13"/>
      <c r="S209" s="13"/>
      <c r="T209" s="13"/>
      <c r="U209" s="13"/>
      <c r="V209" s="13"/>
      <c r="W209" s="13"/>
      <c r="X209" s="13"/>
    </row>
    <row r="210" spans="1:24" ht="12.75">
      <c r="A210" s="255"/>
      <c r="B210" s="13"/>
      <c r="C210" s="495"/>
      <c r="D210" s="495"/>
      <c r="E210" s="13"/>
      <c r="F210" s="13"/>
      <c r="G210" s="13"/>
      <c r="H210" s="13"/>
      <c r="I210" s="13"/>
      <c r="J210" s="13"/>
      <c r="K210" s="13"/>
      <c r="L210" s="13"/>
      <c r="M210" s="13"/>
      <c r="N210" s="13"/>
      <c r="O210" s="13"/>
      <c r="P210" s="13"/>
      <c r="Q210" s="13"/>
      <c r="R210" s="13"/>
      <c r="S210" s="13"/>
      <c r="T210" s="13"/>
      <c r="U210" s="13"/>
      <c r="V210" s="13"/>
      <c r="W210" s="13"/>
      <c r="X210" s="13"/>
    </row>
    <row r="211" spans="1:24" ht="12.75">
      <c r="A211" s="255"/>
      <c r="B211" s="13"/>
      <c r="C211" s="495"/>
      <c r="D211" s="495"/>
      <c r="E211" s="13"/>
      <c r="F211" s="13"/>
      <c r="G211" s="13"/>
      <c r="H211" s="13"/>
      <c r="I211" s="13"/>
      <c r="J211" s="13"/>
      <c r="K211" s="13"/>
      <c r="L211" s="13"/>
      <c r="M211" s="13"/>
      <c r="N211" s="13"/>
      <c r="O211" s="13"/>
      <c r="P211" s="13"/>
      <c r="Q211" s="13"/>
      <c r="R211" s="13"/>
      <c r="S211" s="13"/>
      <c r="T211" s="13"/>
      <c r="U211" s="13"/>
      <c r="V211" s="13"/>
      <c r="W211" s="13"/>
      <c r="X211" s="13"/>
    </row>
    <row r="212" spans="1:24" ht="12.75">
      <c r="A212" s="255"/>
      <c r="B212" s="13"/>
      <c r="C212" s="495"/>
      <c r="D212" s="495"/>
      <c r="E212" s="13"/>
      <c r="F212" s="13"/>
      <c r="G212" s="13"/>
      <c r="H212" s="13"/>
      <c r="I212" s="13"/>
      <c r="J212" s="13"/>
      <c r="K212" s="13"/>
      <c r="L212" s="13"/>
      <c r="M212" s="13"/>
      <c r="N212" s="13"/>
      <c r="O212" s="13"/>
      <c r="P212" s="13"/>
      <c r="Q212" s="13"/>
      <c r="R212" s="13"/>
      <c r="S212" s="13"/>
      <c r="T212" s="13"/>
      <c r="U212" s="13"/>
      <c r="V212" s="13"/>
      <c r="W212" s="13"/>
      <c r="X212" s="13"/>
    </row>
    <row r="213" spans="1:24" ht="12.75">
      <c r="A213" s="255"/>
      <c r="B213" s="13"/>
      <c r="C213" s="495"/>
      <c r="D213" s="495"/>
      <c r="E213" s="13"/>
      <c r="F213" s="13"/>
      <c r="G213" s="13"/>
      <c r="H213" s="13"/>
      <c r="I213" s="13"/>
      <c r="J213" s="13"/>
      <c r="K213" s="13"/>
      <c r="L213" s="13"/>
      <c r="M213" s="13"/>
      <c r="N213" s="13"/>
      <c r="O213" s="13"/>
      <c r="P213" s="13"/>
      <c r="Q213" s="13"/>
      <c r="R213" s="13"/>
      <c r="S213" s="13"/>
      <c r="T213" s="13"/>
      <c r="U213" s="13"/>
      <c r="V213" s="13"/>
      <c r="W213" s="13"/>
      <c r="X213" s="13"/>
    </row>
    <row r="214" spans="1:24" ht="12.75">
      <c r="A214" s="255"/>
      <c r="B214" s="13"/>
      <c r="C214" s="495"/>
      <c r="D214" s="495"/>
      <c r="E214" s="13"/>
      <c r="F214" s="13"/>
      <c r="G214" s="13"/>
      <c r="H214" s="13"/>
      <c r="I214" s="13"/>
      <c r="J214" s="13"/>
      <c r="K214" s="13"/>
      <c r="L214" s="13"/>
      <c r="M214" s="13"/>
      <c r="N214" s="13"/>
      <c r="O214" s="13"/>
      <c r="P214" s="13"/>
      <c r="Q214" s="13"/>
      <c r="R214" s="13"/>
      <c r="S214" s="13"/>
      <c r="T214" s="13"/>
      <c r="U214" s="13"/>
      <c r="V214" s="13"/>
      <c r="W214" s="13"/>
      <c r="X214" s="13"/>
    </row>
    <row r="215" spans="1:24" ht="12.75">
      <c r="A215" s="255"/>
      <c r="B215" s="13"/>
      <c r="C215" s="495"/>
      <c r="D215" s="495"/>
      <c r="E215" s="13"/>
      <c r="F215" s="13"/>
      <c r="G215" s="13"/>
      <c r="H215" s="13"/>
      <c r="I215" s="13"/>
      <c r="J215" s="13"/>
      <c r="K215" s="13"/>
      <c r="L215" s="13"/>
      <c r="M215" s="13"/>
      <c r="N215" s="13"/>
      <c r="O215" s="13"/>
      <c r="P215" s="13"/>
      <c r="Q215" s="13"/>
      <c r="R215" s="13"/>
      <c r="S215" s="13"/>
      <c r="T215" s="13"/>
      <c r="U215" s="13"/>
      <c r="V215" s="13"/>
      <c r="W215" s="13"/>
      <c r="X215" s="13"/>
    </row>
    <row r="216" spans="1:24" ht="12.75">
      <c r="A216" s="255"/>
      <c r="B216" s="13"/>
      <c r="C216" s="495"/>
      <c r="D216" s="495"/>
      <c r="E216" s="13"/>
      <c r="F216" s="13"/>
      <c r="G216" s="13"/>
      <c r="H216" s="13"/>
      <c r="I216" s="13"/>
      <c r="J216" s="13"/>
      <c r="K216" s="13"/>
      <c r="L216" s="13"/>
      <c r="M216" s="13"/>
      <c r="N216" s="13"/>
      <c r="O216" s="13"/>
      <c r="P216" s="13"/>
      <c r="Q216" s="13"/>
      <c r="R216" s="13"/>
      <c r="S216" s="13"/>
      <c r="T216" s="13"/>
      <c r="U216" s="13"/>
      <c r="V216" s="13"/>
      <c r="W216" s="13"/>
      <c r="X216" s="13"/>
    </row>
    <row r="217" spans="1:24" ht="12.75">
      <c r="A217" s="255"/>
      <c r="B217" s="13"/>
      <c r="C217" s="495"/>
      <c r="D217" s="495"/>
      <c r="E217" s="13"/>
      <c r="F217" s="13"/>
      <c r="G217" s="13"/>
      <c r="H217" s="13"/>
      <c r="I217" s="13"/>
      <c r="J217" s="13"/>
      <c r="K217" s="13"/>
      <c r="L217" s="13"/>
      <c r="M217" s="13"/>
      <c r="N217" s="13"/>
      <c r="O217" s="13"/>
      <c r="P217" s="13"/>
      <c r="Q217" s="13"/>
      <c r="R217" s="13"/>
      <c r="S217" s="13"/>
      <c r="T217" s="13"/>
      <c r="U217" s="13"/>
      <c r="V217" s="13"/>
      <c r="W217" s="13"/>
      <c r="X217" s="13"/>
    </row>
    <row r="218" spans="1:24" ht="12.75">
      <c r="A218" s="255"/>
      <c r="B218" s="13"/>
      <c r="C218" s="495"/>
      <c r="D218" s="495"/>
      <c r="E218" s="13"/>
      <c r="F218" s="13"/>
      <c r="G218" s="13"/>
      <c r="H218" s="13"/>
      <c r="I218" s="13"/>
      <c r="J218" s="13"/>
      <c r="K218" s="13"/>
      <c r="L218" s="13"/>
      <c r="M218" s="13"/>
      <c r="N218" s="13"/>
      <c r="O218" s="13"/>
      <c r="P218" s="13"/>
      <c r="Q218" s="13"/>
      <c r="R218" s="13"/>
      <c r="S218" s="13"/>
      <c r="T218" s="13"/>
      <c r="U218" s="13"/>
      <c r="V218" s="13"/>
      <c r="W218" s="13"/>
      <c r="X218" s="13"/>
    </row>
    <row r="219" spans="1:24" ht="12.75">
      <c r="A219" s="255"/>
      <c r="B219" s="13"/>
      <c r="C219" s="495"/>
      <c r="D219" s="495"/>
      <c r="E219" s="13"/>
      <c r="F219" s="13"/>
      <c r="G219" s="13"/>
      <c r="H219" s="13"/>
      <c r="I219" s="13"/>
      <c r="J219" s="13"/>
      <c r="K219" s="13"/>
      <c r="L219" s="13"/>
      <c r="M219" s="13"/>
      <c r="N219" s="13"/>
      <c r="O219" s="13"/>
      <c r="P219" s="13"/>
      <c r="Q219" s="13"/>
      <c r="R219" s="13"/>
      <c r="S219" s="13"/>
      <c r="T219" s="13"/>
      <c r="U219" s="13"/>
      <c r="V219" s="13"/>
      <c r="W219" s="13"/>
      <c r="X219" s="13"/>
    </row>
    <row r="220" spans="1:24" ht="12.75">
      <c r="A220" s="255"/>
      <c r="B220" s="13"/>
      <c r="C220" s="495"/>
      <c r="D220" s="495"/>
      <c r="E220" s="13"/>
      <c r="F220" s="13"/>
      <c r="G220" s="13"/>
      <c r="H220" s="13"/>
      <c r="I220" s="13"/>
      <c r="J220" s="13"/>
      <c r="K220" s="13"/>
      <c r="L220" s="13"/>
      <c r="M220" s="13"/>
      <c r="N220" s="13"/>
      <c r="O220" s="13"/>
      <c r="P220" s="13"/>
      <c r="Q220" s="13"/>
      <c r="R220" s="13"/>
      <c r="S220" s="13"/>
      <c r="T220" s="13"/>
      <c r="U220" s="13"/>
      <c r="V220" s="13"/>
      <c r="W220" s="13"/>
      <c r="X220" s="13"/>
    </row>
    <row r="221" spans="1:24" ht="12.75">
      <c r="A221" s="255"/>
      <c r="B221" s="13"/>
      <c r="C221" s="495"/>
      <c r="D221" s="495"/>
      <c r="E221" s="13"/>
      <c r="F221" s="13"/>
      <c r="G221" s="13"/>
      <c r="H221" s="13"/>
      <c r="I221" s="13"/>
      <c r="J221" s="13"/>
      <c r="K221" s="13"/>
      <c r="L221" s="13"/>
      <c r="M221" s="13"/>
      <c r="N221" s="13"/>
      <c r="O221" s="13"/>
      <c r="P221" s="13"/>
      <c r="Q221" s="13"/>
      <c r="R221" s="13"/>
      <c r="S221" s="13"/>
      <c r="T221" s="13"/>
      <c r="U221" s="13"/>
      <c r="V221" s="13"/>
      <c r="W221" s="13"/>
      <c r="X221" s="13"/>
    </row>
    <row r="222" spans="1:24" ht="12.75">
      <c r="A222" s="255"/>
      <c r="B222" s="13"/>
      <c r="C222" s="495"/>
      <c r="D222" s="495"/>
      <c r="E222" s="13"/>
      <c r="F222" s="13"/>
      <c r="G222" s="13"/>
      <c r="H222" s="13"/>
      <c r="I222" s="13"/>
      <c r="J222" s="13"/>
      <c r="K222" s="13"/>
      <c r="L222" s="13"/>
      <c r="M222" s="13"/>
      <c r="N222" s="13"/>
      <c r="O222" s="13"/>
      <c r="P222" s="13"/>
      <c r="Q222" s="13"/>
      <c r="R222" s="13"/>
      <c r="S222" s="13"/>
      <c r="T222" s="13"/>
      <c r="U222" s="13"/>
      <c r="V222" s="13"/>
      <c r="W222" s="13"/>
      <c r="X222" s="13"/>
    </row>
    <row r="223" spans="1:24" ht="12.75">
      <c r="A223" s="255"/>
      <c r="B223" s="13"/>
      <c r="C223" s="495"/>
      <c r="D223" s="495"/>
      <c r="E223" s="13"/>
      <c r="F223" s="13"/>
      <c r="G223" s="13"/>
      <c r="H223" s="13"/>
      <c r="I223" s="13"/>
      <c r="J223" s="13"/>
      <c r="K223" s="13"/>
      <c r="L223" s="13"/>
      <c r="M223" s="13"/>
      <c r="N223" s="13"/>
      <c r="O223" s="13"/>
      <c r="P223" s="13"/>
      <c r="Q223" s="13"/>
      <c r="R223" s="13"/>
      <c r="S223" s="13"/>
      <c r="T223" s="13"/>
      <c r="U223" s="13"/>
      <c r="V223" s="13"/>
      <c r="W223" s="13"/>
      <c r="X223" s="13"/>
    </row>
    <row r="224" spans="1:24" ht="12.75">
      <c r="A224" s="255"/>
      <c r="B224" s="13"/>
      <c r="C224" s="495"/>
      <c r="D224" s="495"/>
      <c r="E224" s="13"/>
      <c r="F224" s="13"/>
      <c r="G224" s="13"/>
      <c r="H224" s="13"/>
      <c r="I224" s="13"/>
      <c r="J224" s="13"/>
      <c r="K224" s="13"/>
      <c r="L224" s="13"/>
      <c r="M224" s="13"/>
      <c r="N224" s="13"/>
      <c r="O224" s="13"/>
      <c r="P224" s="13"/>
      <c r="Q224" s="13"/>
      <c r="R224" s="13"/>
      <c r="S224" s="13"/>
      <c r="T224" s="13"/>
      <c r="U224" s="13"/>
      <c r="V224" s="13"/>
      <c r="W224" s="13"/>
      <c r="X224" s="13"/>
    </row>
    <row r="225" spans="1:24" ht="12.75">
      <c r="A225" s="255"/>
      <c r="B225" s="13"/>
      <c r="C225" s="495"/>
      <c r="D225" s="495"/>
      <c r="E225" s="13"/>
      <c r="F225" s="13"/>
      <c r="G225" s="13"/>
      <c r="H225" s="13"/>
      <c r="I225" s="13"/>
      <c r="J225" s="13"/>
      <c r="K225" s="13"/>
      <c r="L225" s="13"/>
      <c r="M225" s="13"/>
      <c r="N225" s="13"/>
      <c r="O225" s="13"/>
      <c r="P225" s="13"/>
      <c r="Q225" s="13"/>
      <c r="R225" s="13"/>
      <c r="S225" s="13"/>
      <c r="T225" s="13"/>
      <c r="U225" s="13"/>
      <c r="V225" s="13"/>
      <c r="W225" s="13"/>
      <c r="X225" s="13"/>
    </row>
    <row r="226" spans="1:24" ht="12.75">
      <c r="A226" s="255"/>
      <c r="B226" s="13"/>
      <c r="C226" s="495"/>
      <c r="D226" s="495"/>
      <c r="E226" s="13"/>
      <c r="F226" s="13"/>
      <c r="G226" s="13"/>
      <c r="H226" s="13"/>
      <c r="I226" s="13"/>
      <c r="J226" s="13"/>
      <c r="K226" s="13"/>
      <c r="L226" s="13"/>
      <c r="M226" s="13"/>
      <c r="N226" s="13"/>
      <c r="O226" s="13"/>
      <c r="P226" s="13"/>
      <c r="Q226" s="13"/>
      <c r="R226" s="13"/>
      <c r="S226" s="13"/>
      <c r="T226" s="13"/>
      <c r="U226" s="13"/>
      <c r="V226" s="13"/>
      <c r="W226" s="13"/>
      <c r="X226" s="13"/>
    </row>
    <row r="227" spans="1:24" ht="12.75">
      <c r="A227" s="255"/>
      <c r="B227" s="13"/>
      <c r="C227" s="495"/>
      <c r="D227" s="495"/>
      <c r="E227" s="13"/>
      <c r="F227" s="13"/>
      <c r="G227" s="13"/>
      <c r="H227" s="13"/>
      <c r="I227" s="13"/>
      <c r="J227" s="13"/>
      <c r="K227" s="13"/>
      <c r="L227" s="13"/>
      <c r="M227" s="13"/>
      <c r="N227" s="13"/>
      <c r="O227" s="13"/>
      <c r="P227" s="13"/>
      <c r="Q227" s="13"/>
      <c r="R227" s="13"/>
      <c r="S227" s="13"/>
      <c r="T227" s="13"/>
      <c r="U227" s="13"/>
      <c r="V227" s="13"/>
      <c r="W227" s="13"/>
      <c r="X227" s="13"/>
    </row>
    <row r="228" spans="1:24" ht="12.75">
      <c r="A228" s="255"/>
      <c r="B228" s="13"/>
      <c r="C228" s="495"/>
      <c r="D228" s="495"/>
      <c r="E228" s="13"/>
      <c r="F228" s="13"/>
      <c r="G228" s="13"/>
      <c r="H228" s="13"/>
      <c r="I228" s="13"/>
      <c r="J228" s="13"/>
      <c r="K228" s="13"/>
      <c r="L228" s="13"/>
      <c r="M228" s="13"/>
      <c r="N228" s="13"/>
      <c r="O228" s="13"/>
      <c r="P228" s="13"/>
      <c r="Q228" s="13"/>
      <c r="R228" s="13"/>
      <c r="S228" s="13"/>
      <c r="T228" s="13"/>
      <c r="U228" s="13"/>
      <c r="V228" s="13"/>
      <c r="W228" s="13"/>
      <c r="X228" s="13"/>
    </row>
    <row r="229" spans="1:24" ht="12.75">
      <c r="A229" s="255"/>
      <c r="B229" s="13"/>
      <c r="C229" s="495"/>
      <c r="D229" s="495"/>
      <c r="E229" s="13"/>
      <c r="F229" s="13"/>
      <c r="G229" s="13"/>
      <c r="H229" s="13"/>
      <c r="I229" s="13"/>
      <c r="J229" s="13"/>
      <c r="K229" s="13"/>
      <c r="L229" s="13"/>
      <c r="M229" s="13"/>
      <c r="N229" s="13"/>
      <c r="O229" s="13"/>
      <c r="P229" s="13"/>
      <c r="Q229" s="13"/>
      <c r="R229" s="13"/>
      <c r="S229" s="13"/>
      <c r="T229" s="13"/>
      <c r="U229" s="13"/>
      <c r="V229" s="13"/>
      <c r="W229" s="13"/>
      <c r="X229" s="13"/>
    </row>
    <row r="230" spans="1:24" ht="12.75">
      <c r="A230" s="255"/>
      <c r="B230" s="13"/>
      <c r="C230" s="495"/>
      <c r="D230" s="495"/>
      <c r="E230" s="13"/>
      <c r="F230" s="13"/>
      <c r="G230" s="13"/>
      <c r="H230" s="13"/>
      <c r="I230" s="13"/>
      <c r="J230" s="13"/>
      <c r="K230" s="13"/>
      <c r="L230" s="13"/>
      <c r="M230" s="13"/>
      <c r="N230" s="13"/>
      <c r="O230" s="13"/>
      <c r="P230" s="13"/>
      <c r="Q230" s="13"/>
      <c r="R230" s="13"/>
      <c r="S230" s="13"/>
      <c r="T230" s="13"/>
      <c r="U230" s="13"/>
      <c r="V230" s="13"/>
      <c r="W230" s="13"/>
      <c r="X230" s="13"/>
    </row>
    <row r="231" spans="1:24" ht="12.75">
      <c r="A231" s="255"/>
      <c r="B231" s="13"/>
      <c r="C231" s="495"/>
      <c r="D231" s="495"/>
      <c r="E231" s="13"/>
      <c r="F231" s="13"/>
      <c r="G231" s="13"/>
      <c r="H231" s="13"/>
      <c r="I231" s="13"/>
      <c r="J231" s="13"/>
      <c r="K231" s="13"/>
      <c r="L231" s="13"/>
      <c r="M231" s="13"/>
      <c r="N231" s="13"/>
      <c r="O231" s="13"/>
      <c r="P231" s="13"/>
      <c r="Q231" s="13"/>
      <c r="R231" s="13"/>
      <c r="S231" s="13"/>
      <c r="T231" s="13"/>
      <c r="U231" s="13"/>
      <c r="V231" s="13"/>
      <c r="W231" s="13"/>
      <c r="X231" s="13"/>
    </row>
    <row r="232" spans="1:24" ht="12.75">
      <c r="A232" s="255"/>
      <c r="B232" s="13"/>
      <c r="C232" s="495"/>
      <c r="D232" s="495"/>
      <c r="E232" s="13"/>
      <c r="F232" s="13"/>
      <c r="G232" s="13"/>
      <c r="H232" s="13"/>
      <c r="I232" s="13"/>
      <c r="J232" s="13"/>
      <c r="K232" s="13"/>
      <c r="L232" s="13"/>
      <c r="M232" s="13"/>
      <c r="N232" s="13"/>
      <c r="O232" s="13"/>
      <c r="P232" s="13"/>
      <c r="Q232" s="13"/>
      <c r="R232" s="13"/>
      <c r="S232" s="13"/>
      <c r="T232" s="13"/>
      <c r="U232" s="13"/>
      <c r="V232" s="13"/>
      <c r="W232" s="13"/>
      <c r="X232" s="13"/>
    </row>
    <row r="233" spans="1:24" ht="12.75">
      <c r="A233" s="255"/>
      <c r="B233" s="13"/>
      <c r="C233" s="495"/>
      <c r="D233" s="495"/>
      <c r="E233" s="13"/>
      <c r="F233" s="13"/>
      <c r="G233" s="13"/>
      <c r="H233" s="13"/>
      <c r="I233" s="13"/>
      <c r="J233" s="13"/>
      <c r="K233" s="13"/>
      <c r="L233" s="13"/>
      <c r="M233" s="13"/>
      <c r="N233" s="13"/>
      <c r="O233" s="13"/>
      <c r="P233" s="13"/>
      <c r="Q233" s="13"/>
      <c r="R233" s="13"/>
      <c r="S233" s="13"/>
      <c r="T233" s="13"/>
      <c r="U233" s="13"/>
      <c r="V233" s="13"/>
      <c r="W233" s="13"/>
      <c r="X233" s="13"/>
    </row>
    <row r="234" spans="1:24" ht="12.75">
      <c r="A234" s="255"/>
      <c r="B234" s="13"/>
      <c r="C234" s="495"/>
      <c r="D234" s="495"/>
      <c r="E234" s="13"/>
      <c r="F234" s="13"/>
      <c r="G234" s="13"/>
      <c r="H234" s="13"/>
      <c r="I234" s="13"/>
      <c r="J234" s="13"/>
      <c r="K234" s="13"/>
      <c r="L234" s="13"/>
      <c r="M234" s="13"/>
      <c r="N234" s="13"/>
      <c r="O234" s="13"/>
      <c r="P234" s="13"/>
      <c r="Q234" s="13"/>
      <c r="R234" s="13"/>
      <c r="S234" s="13"/>
      <c r="T234" s="13"/>
      <c r="U234" s="13"/>
      <c r="V234" s="13"/>
      <c r="W234" s="13"/>
      <c r="X234" s="13"/>
    </row>
    <row r="235" spans="1:24" ht="12.75">
      <c r="A235" s="255"/>
      <c r="B235" s="13"/>
      <c r="C235" s="495"/>
      <c r="D235" s="495"/>
      <c r="E235" s="13"/>
      <c r="F235" s="13"/>
      <c r="G235" s="13"/>
      <c r="H235" s="13"/>
      <c r="I235" s="13"/>
      <c r="J235" s="13"/>
      <c r="K235" s="13"/>
      <c r="L235" s="13"/>
      <c r="M235" s="13"/>
      <c r="N235" s="13"/>
      <c r="O235" s="13"/>
      <c r="P235" s="13"/>
      <c r="Q235" s="13"/>
      <c r="R235" s="13"/>
      <c r="S235" s="13"/>
      <c r="T235" s="13"/>
      <c r="U235" s="13"/>
      <c r="V235" s="13"/>
      <c r="W235" s="13"/>
      <c r="X235" s="13"/>
    </row>
    <row r="236" spans="1:24" ht="12.75">
      <c r="A236" s="255"/>
      <c r="B236" s="13"/>
      <c r="C236" s="495"/>
      <c r="D236" s="495"/>
      <c r="E236" s="13"/>
      <c r="F236" s="13"/>
      <c r="G236" s="13"/>
      <c r="H236" s="13"/>
      <c r="I236" s="13"/>
      <c r="J236" s="13"/>
      <c r="K236" s="13"/>
      <c r="L236" s="13"/>
      <c r="M236" s="13"/>
      <c r="N236" s="13"/>
      <c r="O236" s="13"/>
      <c r="P236" s="13"/>
      <c r="Q236" s="13"/>
      <c r="R236" s="13"/>
      <c r="S236" s="13"/>
      <c r="T236" s="13"/>
      <c r="U236" s="13"/>
      <c r="V236" s="13"/>
      <c r="W236" s="13"/>
      <c r="X236" s="13"/>
    </row>
    <row r="237" spans="1:24" ht="12.75">
      <c r="A237" s="255"/>
      <c r="B237" s="13"/>
      <c r="C237" s="495"/>
      <c r="D237" s="495"/>
      <c r="E237" s="13"/>
      <c r="F237" s="13"/>
      <c r="G237" s="13"/>
      <c r="H237" s="13"/>
      <c r="I237" s="13"/>
      <c r="J237" s="13"/>
      <c r="K237" s="13"/>
      <c r="L237" s="13"/>
      <c r="M237" s="13"/>
      <c r="N237" s="13"/>
      <c r="O237" s="13"/>
      <c r="P237" s="13"/>
      <c r="Q237" s="13"/>
      <c r="R237" s="13"/>
      <c r="S237" s="13"/>
      <c r="T237" s="13"/>
      <c r="U237" s="13"/>
      <c r="V237" s="13"/>
      <c r="W237" s="13"/>
      <c r="X237" s="13"/>
    </row>
    <row r="238" spans="1:24" ht="12.75">
      <c r="A238" s="255"/>
      <c r="B238" s="13"/>
      <c r="C238" s="495"/>
      <c r="D238" s="495"/>
      <c r="E238" s="13"/>
      <c r="F238" s="13"/>
      <c r="G238" s="13"/>
      <c r="H238" s="13"/>
      <c r="I238" s="13"/>
      <c r="J238" s="13"/>
      <c r="K238" s="13"/>
      <c r="L238" s="13"/>
      <c r="M238" s="13"/>
      <c r="N238" s="13"/>
      <c r="O238" s="13"/>
      <c r="P238" s="13"/>
      <c r="Q238" s="13"/>
      <c r="R238" s="13"/>
      <c r="S238" s="13"/>
      <c r="T238" s="13"/>
      <c r="U238" s="13"/>
      <c r="V238" s="13"/>
      <c r="W238" s="13"/>
      <c r="X238" s="13"/>
    </row>
    <row r="239" spans="1:24" ht="12.75">
      <c r="A239" s="255"/>
      <c r="B239" s="13"/>
      <c r="C239" s="495"/>
      <c r="D239" s="495"/>
      <c r="E239" s="13"/>
      <c r="F239" s="13"/>
      <c r="G239" s="13"/>
      <c r="H239" s="13"/>
      <c r="I239" s="13"/>
      <c r="J239" s="13"/>
      <c r="K239" s="13"/>
      <c r="L239" s="13"/>
      <c r="M239" s="13"/>
      <c r="N239" s="13"/>
      <c r="O239" s="13"/>
      <c r="P239" s="13"/>
      <c r="Q239" s="13"/>
      <c r="R239" s="13"/>
      <c r="S239" s="13"/>
      <c r="T239" s="13"/>
      <c r="U239" s="13"/>
      <c r="V239" s="13"/>
      <c r="W239" s="13"/>
      <c r="X239" s="13"/>
    </row>
    <row r="240" spans="1:24" ht="12.75">
      <c r="A240" s="255"/>
      <c r="B240" s="13"/>
      <c r="C240" s="495"/>
      <c r="D240" s="495"/>
      <c r="E240" s="13"/>
      <c r="F240" s="13"/>
      <c r="G240" s="13"/>
      <c r="H240" s="13"/>
      <c r="I240" s="13"/>
      <c r="J240" s="13"/>
      <c r="K240" s="13"/>
      <c r="L240" s="13"/>
      <c r="M240" s="13"/>
      <c r="N240" s="13"/>
      <c r="O240" s="13"/>
      <c r="P240" s="13"/>
      <c r="Q240" s="13"/>
      <c r="R240" s="13"/>
      <c r="S240" s="13"/>
      <c r="T240" s="13"/>
      <c r="U240" s="13"/>
      <c r="V240" s="13"/>
      <c r="W240" s="13"/>
      <c r="X240" s="13"/>
    </row>
    <row r="241" spans="1:24" ht="12.75">
      <c r="A241" s="255"/>
      <c r="B241" s="13"/>
      <c r="C241" s="495"/>
      <c r="D241" s="495"/>
      <c r="E241" s="13"/>
      <c r="F241" s="13"/>
      <c r="G241" s="13"/>
      <c r="H241" s="13"/>
      <c r="I241" s="13"/>
      <c r="J241" s="13"/>
      <c r="K241" s="13"/>
      <c r="L241" s="13"/>
      <c r="M241" s="13"/>
      <c r="N241" s="13"/>
      <c r="O241" s="13"/>
      <c r="P241" s="13"/>
      <c r="Q241" s="13"/>
      <c r="R241" s="13"/>
      <c r="S241" s="13"/>
      <c r="T241" s="13"/>
      <c r="U241" s="13"/>
      <c r="V241" s="13"/>
      <c r="W241" s="13"/>
      <c r="X241" s="13"/>
    </row>
    <row r="242" spans="1:24" ht="12.75">
      <c r="A242" s="255"/>
      <c r="B242" s="13"/>
      <c r="C242" s="495"/>
      <c r="D242" s="495"/>
      <c r="E242" s="13"/>
      <c r="F242" s="13"/>
      <c r="G242" s="13"/>
      <c r="H242" s="13"/>
      <c r="I242" s="13"/>
      <c r="J242" s="13"/>
      <c r="K242" s="13"/>
      <c r="L242" s="13"/>
      <c r="M242" s="13"/>
      <c r="N242" s="13"/>
      <c r="O242" s="13"/>
      <c r="P242" s="13"/>
      <c r="Q242" s="13"/>
      <c r="R242" s="13"/>
      <c r="S242" s="13"/>
      <c r="T242" s="13"/>
      <c r="U242" s="13"/>
      <c r="V242" s="13"/>
      <c r="W242" s="13"/>
      <c r="X242" s="13"/>
    </row>
    <row r="243" spans="1:24" ht="12.75">
      <c r="A243" s="255"/>
      <c r="B243" s="13"/>
      <c r="C243" s="495"/>
      <c r="D243" s="495"/>
      <c r="E243" s="13"/>
      <c r="F243" s="13"/>
      <c r="G243" s="13"/>
      <c r="H243" s="13"/>
      <c r="I243" s="13"/>
      <c r="J243" s="13"/>
      <c r="K243" s="13"/>
      <c r="L243" s="13"/>
      <c r="M243" s="13"/>
      <c r="N243" s="13"/>
      <c r="O243" s="13"/>
      <c r="P243" s="13"/>
      <c r="Q243" s="13"/>
      <c r="R243" s="13"/>
      <c r="S243" s="13"/>
      <c r="T243" s="13"/>
      <c r="U243" s="13"/>
      <c r="V243" s="13"/>
      <c r="W243" s="13"/>
      <c r="X243" s="13"/>
    </row>
    <row r="244" spans="1:24" ht="12.75">
      <c r="A244" s="255"/>
      <c r="B244" s="13"/>
      <c r="C244" s="495"/>
      <c r="D244" s="495"/>
      <c r="E244" s="13"/>
      <c r="F244" s="13"/>
      <c r="G244" s="13"/>
      <c r="H244" s="13"/>
      <c r="I244" s="13"/>
      <c r="J244" s="13"/>
      <c r="K244" s="13"/>
      <c r="L244" s="13"/>
      <c r="M244" s="13"/>
      <c r="N244" s="13"/>
      <c r="O244" s="13"/>
      <c r="P244" s="13"/>
      <c r="Q244" s="13"/>
      <c r="R244" s="13"/>
      <c r="S244" s="13"/>
      <c r="T244" s="13"/>
      <c r="U244" s="13"/>
      <c r="V244" s="13"/>
      <c r="W244" s="13"/>
      <c r="X244" s="13"/>
    </row>
    <row r="245" spans="1:24" ht="12.75">
      <c r="A245" s="255"/>
      <c r="B245" s="13"/>
      <c r="C245" s="495"/>
      <c r="D245" s="495"/>
      <c r="E245" s="13"/>
      <c r="F245" s="13"/>
      <c r="G245" s="13"/>
      <c r="H245" s="13"/>
      <c r="I245" s="13"/>
      <c r="J245" s="13"/>
      <c r="K245" s="13"/>
      <c r="L245" s="13"/>
      <c r="M245" s="13"/>
      <c r="N245" s="13"/>
      <c r="O245" s="13"/>
      <c r="P245" s="13"/>
      <c r="Q245" s="13"/>
      <c r="R245" s="13"/>
      <c r="S245" s="13"/>
      <c r="T245" s="13"/>
      <c r="U245" s="13"/>
      <c r="V245" s="13"/>
      <c r="W245" s="13"/>
      <c r="X245" s="13"/>
    </row>
    <row r="246" spans="1:24" ht="12.75">
      <c r="A246" s="255"/>
      <c r="B246" s="13"/>
      <c r="C246" s="495"/>
      <c r="D246" s="495"/>
      <c r="E246" s="13"/>
      <c r="F246" s="13"/>
      <c r="G246" s="13"/>
      <c r="H246" s="13"/>
      <c r="I246" s="13"/>
      <c r="J246" s="13"/>
      <c r="K246" s="13"/>
      <c r="L246" s="13"/>
      <c r="M246" s="13"/>
      <c r="N246" s="13"/>
      <c r="O246" s="13"/>
      <c r="P246" s="13"/>
      <c r="Q246" s="13"/>
      <c r="R246" s="13"/>
      <c r="S246" s="13"/>
      <c r="T246" s="13"/>
      <c r="U246" s="13"/>
      <c r="V246" s="13"/>
      <c r="W246" s="13"/>
      <c r="X246" s="13"/>
    </row>
    <row r="247" spans="1:24" ht="12.75">
      <c r="A247" s="255"/>
      <c r="B247" s="13"/>
      <c r="C247" s="495"/>
      <c r="D247" s="495"/>
      <c r="E247" s="13"/>
      <c r="F247" s="13"/>
      <c r="G247" s="13"/>
      <c r="H247" s="13"/>
      <c r="I247" s="13"/>
      <c r="J247" s="13"/>
      <c r="K247" s="13"/>
      <c r="L247" s="13"/>
      <c r="M247" s="13"/>
      <c r="N247" s="13"/>
      <c r="O247" s="13"/>
      <c r="P247" s="13"/>
      <c r="Q247" s="13"/>
      <c r="R247" s="13"/>
      <c r="S247" s="13"/>
      <c r="T247" s="13"/>
      <c r="U247" s="13"/>
      <c r="V247" s="13"/>
      <c r="W247" s="13"/>
      <c r="X247" s="13"/>
    </row>
    <row r="248" spans="1:24" ht="12.75">
      <c r="A248" s="255"/>
      <c r="B248" s="13"/>
      <c r="C248" s="495"/>
      <c r="D248" s="495"/>
      <c r="E248" s="13"/>
      <c r="F248" s="13"/>
      <c r="G248" s="13"/>
      <c r="H248" s="13"/>
      <c r="I248" s="13"/>
      <c r="J248" s="13"/>
      <c r="K248" s="13"/>
      <c r="L248" s="13"/>
      <c r="M248" s="13"/>
      <c r="N248" s="13"/>
      <c r="O248" s="13"/>
      <c r="P248" s="13"/>
      <c r="Q248" s="13"/>
      <c r="R248" s="13"/>
      <c r="S248" s="13"/>
      <c r="T248" s="13"/>
      <c r="U248" s="13"/>
      <c r="V248" s="13"/>
      <c r="W248" s="13"/>
      <c r="X248" s="13"/>
    </row>
    <row r="249" spans="1:24" ht="12.75">
      <c r="A249" s="255"/>
      <c r="B249" s="13"/>
      <c r="C249" s="495"/>
      <c r="D249" s="495"/>
      <c r="E249" s="13"/>
      <c r="F249" s="13"/>
      <c r="G249" s="13"/>
      <c r="H249" s="13"/>
      <c r="I249" s="13"/>
      <c r="J249" s="13"/>
      <c r="K249" s="13"/>
      <c r="L249" s="13"/>
      <c r="M249" s="13"/>
      <c r="N249" s="13"/>
      <c r="O249" s="13"/>
      <c r="P249" s="13"/>
      <c r="Q249" s="13"/>
      <c r="R249" s="13"/>
      <c r="S249" s="13"/>
      <c r="T249" s="13"/>
      <c r="U249" s="13"/>
      <c r="V249" s="13"/>
      <c r="W249" s="13"/>
      <c r="X249" s="13"/>
    </row>
    <row r="250" spans="1:24" ht="12.75">
      <c r="A250" s="255"/>
      <c r="B250" s="13"/>
      <c r="C250" s="495"/>
      <c r="D250" s="495"/>
      <c r="E250" s="13"/>
      <c r="F250" s="13"/>
      <c r="G250" s="13"/>
      <c r="H250" s="13"/>
      <c r="I250" s="13"/>
      <c r="J250" s="13"/>
      <c r="K250" s="13"/>
      <c r="L250" s="13"/>
      <c r="M250" s="13"/>
      <c r="N250" s="13"/>
      <c r="O250" s="13"/>
      <c r="P250" s="13"/>
      <c r="Q250" s="13"/>
      <c r="R250" s="13"/>
      <c r="S250" s="13"/>
      <c r="T250" s="13"/>
      <c r="U250" s="13"/>
      <c r="V250" s="13"/>
      <c r="W250" s="13"/>
      <c r="X250" s="13"/>
    </row>
    <row r="251" spans="1:24" ht="12.75">
      <c r="A251" s="255"/>
      <c r="B251" s="13"/>
      <c r="C251" s="495"/>
      <c r="D251" s="495"/>
      <c r="E251" s="13"/>
      <c r="F251" s="13"/>
      <c r="G251" s="13"/>
      <c r="H251" s="13"/>
      <c r="I251" s="13"/>
      <c r="J251" s="13"/>
      <c r="K251" s="13"/>
      <c r="L251" s="13"/>
      <c r="M251" s="13"/>
      <c r="N251" s="13"/>
      <c r="O251" s="13"/>
      <c r="P251" s="13"/>
      <c r="Q251" s="13"/>
      <c r="R251" s="13"/>
      <c r="S251" s="13"/>
      <c r="T251" s="13"/>
      <c r="U251" s="13"/>
      <c r="V251" s="13"/>
      <c r="W251" s="13"/>
      <c r="X251" s="13"/>
    </row>
    <row r="252" spans="1:24" ht="12.75">
      <c r="A252" s="255"/>
      <c r="B252" s="13"/>
      <c r="C252" s="495"/>
      <c r="D252" s="495"/>
      <c r="E252" s="13"/>
      <c r="F252" s="13"/>
      <c r="G252" s="13"/>
      <c r="H252" s="13"/>
      <c r="I252" s="13"/>
      <c r="J252" s="13"/>
      <c r="K252" s="13"/>
      <c r="L252" s="13"/>
      <c r="M252" s="13"/>
      <c r="N252" s="13"/>
      <c r="O252" s="13"/>
      <c r="P252" s="13"/>
      <c r="Q252" s="13"/>
      <c r="R252" s="13"/>
      <c r="S252" s="13"/>
      <c r="T252" s="13"/>
      <c r="U252" s="13"/>
      <c r="V252" s="13"/>
      <c r="W252" s="13"/>
      <c r="X252" s="13"/>
    </row>
    <row r="253" spans="1:24" ht="12.75">
      <c r="A253" s="255"/>
      <c r="B253" s="13"/>
      <c r="C253" s="495"/>
      <c r="D253" s="495"/>
      <c r="E253" s="13"/>
      <c r="F253" s="13"/>
      <c r="G253" s="13"/>
      <c r="H253" s="13"/>
      <c r="I253" s="13"/>
      <c r="J253" s="13"/>
      <c r="K253" s="13"/>
      <c r="L253" s="13"/>
      <c r="M253" s="13"/>
      <c r="N253" s="13"/>
      <c r="O253" s="13"/>
      <c r="P253" s="13"/>
      <c r="Q253" s="13"/>
      <c r="R253" s="13"/>
      <c r="S253" s="13"/>
      <c r="T253" s="13"/>
      <c r="U253" s="13"/>
      <c r="V253" s="13"/>
      <c r="W253" s="13"/>
      <c r="X253" s="13"/>
    </row>
    <row r="254" spans="1:24" ht="12.75">
      <c r="A254" s="255"/>
      <c r="B254" s="13"/>
      <c r="C254" s="495"/>
      <c r="D254" s="495"/>
      <c r="E254" s="13"/>
      <c r="F254" s="13"/>
      <c r="G254" s="13"/>
      <c r="H254" s="13"/>
      <c r="I254" s="13"/>
      <c r="J254" s="13"/>
      <c r="K254" s="13"/>
      <c r="L254" s="13"/>
      <c r="M254" s="13"/>
      <c r="N254" s="13"/>
      <c r="O254" s="13"/>
      <c r="P254" s="13"/>
      <c r="Q254" s="13"/>
      <c r="R254" s="13"/>
      <c r="S254" s="13"/>
      <c r="T254" s="13"/>
      <c r="U254" s="13"/>
      <c r="V254" s="13"/>
      <c r="W254" s="13"/>
      <c r="X254" s="13"/>
    </row>
    <row r="255" spans="1:24" ht="12.75">
      <c r="A255" s="255"/>
      <c r="B255" s="13"/>
      <c r="C255" s="495"/>
      <c r="D255" s="495"/>
      <c r="E255" s="13"/>
      <c r="F255" s="13"/>
      <c r="G255" s="13"/>
      <c r="H255" s="13"/>
      <c r="I255" s="13"/>
      <c r="J255" s="13"/>
      <c r="K255" s="13"/>
      <c r="L255" s="13"/>
      <c r="M255" s="13"/>
      <c r="N255" s="13"/>
      <c r="O255" s="13"/>
      <c r="P255" s="13"/>
      <c r="Q255" s="13"/>
      <c r="R255" s="13"/>
      <c r="S255" s="13"/>
      <c r="T255" s="13"/>
      <c r="U255" s="13"/>
      <c r="V255" s="13"/>
      <c r="W255" s="13"/>
      <c r="X255" s="13"/>
    </row>
    <row r="256" spans="1:24" ht="12.75">
      <c r="A256" s="255"/>
      <c r="B256" s="13"/>
      <c r="C256" s="495"/>
      <c r="D256" s="495"/>
      <c r="E256" s="13"/>
      <c r="F256" s="13"/>
      <c r="G256" s="13"/>
      <c r="H256" s="13"/>
      <c r="I256" s="13"/>
      <c r="J256" s="13"/>
      <c r="K256" s="13"/>
      <c r="L256" s="13"/>
      <c r="M256" s="13"/>
      <c r="N256" s="13"/>
      <c r="O256" s="13"/>
      <c r="P256" s="13"/>
      <c r="Q256" s="13"/>
      <c r="R256" s="13"/>
      <c r="S256" s="13"/>
      <c r="T256" s="13"/>
      <c r="U256" s="13"/>
      <c r="V256" s="13"/>
      <c r="W256" s="13"/>
      <c r="X256" s="13"/>
    </row>
    <row r="257" spans="1:24" ht="12.75">
      <c r="A257" s="255"/>
      <c r="B257" s="13"/>
      <c r="C257" s="495"/>
      <c r="D257" s="495"/>
      <c r="E257" s="13"/>
      <c r="F257" s="13"/>
      <c r="G257" s="13"/>
      <c r="H257" s="13"/>
      <c r="I257" s="13"/>
      <c r="J257" s="13"/>
      <c r="K257" s="13"/>
      <c r="L257" s="13"/>
      <c r="M257" s="13"/>
      <c r="N257" s="13"/>
      <c r="O257" s="13"/>
      <c r="P257" s="13"/>
      <c r="Q257" s="13"/>
      <c r="R257" s="13"/>
      <c r="S257" s="13"/>
      <c r="T257" s="13"/>
      <c r="U257" s="13"/>
      <c r="V257" s="13"/>
      <c r="W257" s="13"/>
      <c r="X257" s="13"/>
    </row>
    <row r="258" spans="1:24" ht="12.75">
      <c r="A258" s="255"/>
      <c r="B258" s="13"/>
      <c r="C258" s="495"/>
      <c r="D258" s="495"/>
      <c r="E258" s="13"/>
      <c r="F258" s="13"/>
      <c r="G258" s="13"/>
      <c r="H258" s="13"/>
      <c r="I258" s="13"/>
      <c r="J258" s="13"/>
      <c r="K258" s="13"/>
      <c r="L258" s="13"/>
      <c r="M258" s="13"/>
      <c r="N258" s="13"/>
      <c r="O258" s="13"/>
      <c r="P258" s="13"/>
      <c r="Q258" s="13"/>
      <c r="R258" s="13"/>
      <c r="S258" s="13"/>
      <c r="T258" s="13"/>
      <c r="U258" s="13"/>
      <c r="V258" s="13"/>
      <c r="W258" s="13"/>
      <c r="X258" s="13"/>
    </row>
    <row r="259" spans="1:24" ht="12.75">
      <c r="A259" s="255"/>
      <c r="B259" s="13"/>
      <c r="C259" s="495"/>
      <c r="D259" s="495"/>
      <c r="E259" s="13"/>
      <c r="F259" s="13"/>
      <c r="G259" s="13"/>
      <c r="H259" s="13"/>
      <c r="I259" s="13"/>
      <c r="J259" s="13"/>
      <c r="K259" s="13"/>
      <c r="L259" s="13"/>
      <c r="M259" s="13"/>
      <c r="N259" s="13"/>
      <c r="O259" s="13"/>
      <c r="P259" s="13"/>
      <c r="Q259" s="13"/>
      <c r="R259" s="13"/>
      <c r="S259" s="13"/>
      <c r="T259" s="13"/>
      <c r="U259" s="13"/>
      <c r="V259" s="13"/>
      <c r="W259" s="13"/>
      <c r="X259" s="13"/>
    </row>
    <row r="260" spans="1:24" ht="12.75">
      <c r="A260" s="255"/>
      <c r="B260" s="13"/>
      <c r="C260" s="495"/>
      <c r="D260" s="495"/>
      <c r="E260" s="13"/>
      <c r="F260" s="13"/>
      <c r="G260" s="13"/>
      <c r="H260" s="13"/>
      <c r="I260" s="13"/>
      <c r="J260" s="13"/>
      <c r="K260" s="13"/>
      <c r="L260" s="13"/>
      <c r="M260" s="13"/>
      <c r="N260" s="13"/>
      <c r="O260" s="13"/>
      <c r="P260" s="13"/>
      <c r="Q260" s="13"/>
      <c r="R260" s="13"/>
      <c r="S260" s="13"/>
      <c r="T260" s="13"/>
      <c r="U260" s="13"/>
      <c r="V260" s="13"/>
      <c r="W260" s="13"/>
      <c r="X260" s="13"/>
    </row>
    <row r="261" spans="1:24" ht="12.75">
      <c r="A261" s="255"/>
      <c r="B261" s="13"/>
      <c r="C261" s="495"/>
      <c r="D261" s="495"/>
      <c r="E261" s="13"/>
      <c r="F261" s="13"/>
      <c r="G261" s="13"/>
      <c r="H261" s="13"/>
      <c r="I261" s="13"/>
      <c r="J261" s="13"/>
      <c r="K261" s="13"/>
      <c r="L261" s="13"/>
      <c r="M261" s="13"/>
      <c r="N261" s="13"/>
      <c r="O261" s="13"/>
      <c r="P261" s="13"/>
      <c r="Q261" s="13"/>
      <c r="R261" s="13"/>
      <c r="S261" s="13"/>
      <c r="T261" s="13"/>
      <c r="U261" s="13"/>
      <c r="V261" s="13"/>
      <c r="W261" s="13"/>
      <c r="X261" s="13"/>
    </row>
    <row r="262" spans="1:24" ht="12.75">
      <c r="A262" s="255"/>
      <c r="B262" s="13"/>
      <c r="C262" s="495"/>
      <c r="D262" s="495"/>
      <c r="E262" s="13"/>
      <c r="F262" s="13"/>
      <c r="G262" s="13"/>
      <c r="H262" s="13"/>
      <c r="I262" s="13"/>
      <c r="J262" s="13"/>
      <c r="K262" s="13"/>
      <c r="L262" s="13"/>
      <c r="M262" s="13"/>
      <c r="N262" s="13"/>
      <c r="O262" s="13"/>
      <c r="P262" s="13"/>
      <c r="Q262" s="13"/>
      <c r="R262" s="13"/>
      <c r="S262" s="13"/>
      <c r="T262" s="13"/>
      <c r="U262" s="13"/>
      <c r="V262" s="13"/>
      <c r="W262" s="13"/>
      <c r="X262" s="13"/>
    </row>
    <row r="263" spans="1:24" ht="12.75">
      <c r="A263" s="255"/>
      <c r="B263" s="13"/>
      <c r="C263" s="495"/>
      <c r="D263" s="495"/>
      <c r="E263" s="13"/>
      <c r="F263" s="13"/>
      <c r="G263" s="13"/>
      <c r="H263" s="13"/>
      <c r="I263" s="13"/>
      <c r="J263" s="13"/>
      <c r="K263" s="13"/>
      <c r="L263" s="13"/>
      <c r="M263" s="13"/>
      <c r="N263" s="13"/>
      <c r="O263" s="13"/>
      <c r="P263" s="13"/>
      <c r="Q263" s="13"/>
      <c r="R263" s="13"/>
      <c r="S263" s="13"/>
      <c r="T263" s="13"/>
      <c r="U263" s="13"/>
      <c r="V263" s="13"/>
      <c r="W263" s="13"/>
      <c r="X263" s="13"/>
    </row>
    <row r="264" spans="1:24" ht="12.75">
      <c r="A264" s="255"/>
      <c r="B264" s="13"/>
      <c r="C264" s="495"/>
      <c r="D264" s="495"/>
      <c r="E264" s="13"/>
      <c r="F264" s="13"/>
      <c r="G264" s="13"/>
      <c r="H264" s="13"/>
      <c r="I264" s="13"/>
      <c r="J264" s="13"/>
      <c r="K264" s="13"/>
      <c r="L264" s="13"/>
      <c r="M264" s="13"/>
      <c r="N264" s="13"/>
      <c r="O264" s="13"/>
      <c r="P264" s="13"/>
      <c r="Q264" s="13"/>
      <c r="R264" s="13"/>
      <c r="S264" s="13"/>
      <c r="T264" s="13"/>
      <c r="U264" s="13"/>
      <c r="V264" s="13"/>
      <c r="W264" s="13"/>
      <c r="X264" s="13"/>
    </row>
    <row r="265" spans="1:24" ht="12.75">
      <c r="A265" s="255"/>
      <c r="B265" s="13"/>
      <c r="C265" s="495"/>
      <c r="D265" s="495"/>
      <c r="E265" s="13"/>
      <c r="F265" s="13"/>
      <c r="G265" s="13"/>
      <c r="H265" s="13"/>
      <c r="I265" s="13"/>
      <c r="J265" s="13"/>
      <c r="K265" s="13"/>
      <c r="L265" s="13"/>
      <c r="M265" s="13"/>
      <c r="N265" s="13"/>
      <c r="O265" s="13"/>
      <c r="P265" s="13"/>
      <c r="Q265" s="13"/>
      <c r="R265" s="13"/>
      <c r="S265" s="13"/>
      <c r="T265" s="13"/>
      <c r="U265" s="13"/>
      <c r="V265" s="13"/>
      <c r="W265" s="13"/>
      <c r="X265" s="13"/>
    </row>
    <row r="266" spans="1:24" ht="12.75">
      <c r="A266" s="255"/>
      <c r="B266" s="13"/>
      <c r="C266" s="495"/>
      <c r="D266" s="495"/>
      <c r="E266" s="13"/>
      <c r="F266" s="13"/>
      <c r="G266" s="13"/>
      <c r="H266" s="13"/>
      <c r="I266" s="13"/>
      <c r="J266" s="13"/>
      <c r="K266" s="13"/>
      <c r="L266" s="13"/>
      <c r="M266" s="13"/>
      <c r="N266" s="13"/>
      <c r="O266" s="13"/>
      <c r="P266" s="13"/>
      <c r="Q266" s="13"/>
      <c r="R266" s="13"/>
      <c r="S266" s="13"/>
      <c r="T266" s="13"/>
      <c r="U266" s="13"/>
      <c r="V266" s="13"/>
      <c r="W266" s="13"/>
      <c r="X266" s="13"/>
    </row>
    <row r="267" spans="1:24" ht="12.75">
      <c r="A267" s="255"/>
      <c r="B267" s="13"/>
      <c r="C267" s="495"/>
      <c r="D267" s="495"/>
      <c r="E267" s="13"/>
      <c r="F267" s="13"/>
      <c r="G267" s="13"/>
      <c r="H267" s="13"/>
      <c r="I267" s="13"/>
      <c r="J267" s="13"/>
      <c r="K267" s="13"/>
      <c r="L267" s="13"/>
      <c r="M267" s="13"/>
      <c r="N267" s="13"/>
      <c r="O267" s="13"/>
      <c r="P267" s="13"/>
      <c r="Q267" s="13"/>
      <c r="R267" s="13"/>
      <c r="S267" s="13"/>
      <c r="T267" s="13"/>
      <c r="U267" s="13"/>
      <c r="V267" s="13"/>
      <c r="W267" s="13"/>
      <c r="X267" s="13"/>
    </row>
    <row r="268" spans="1:24" ht="12.75">
      <c r="A268" s="255"/>
      <c r="B268" s="13"/>
      <c r="C268" s="495"/>
      <c r="D268" s="495"/>
      <c r="E268" s="13"/>
      <c r="F268" s="13"/>
      <c r="G268" s="13"/>
      <c r="H268" s="13"/>
      <c r="I268" s="13"/>
      <c r="J268" s="13"/>
      <c r="K268" s="13"/>
      <c r="L268" s="13"/>
      <c r="M268" s="13"/>
      <c r="N268" s="13"/>
      <c r="O268" s="13"/>
      <c r="P268" s="13"/>
      <c r="Q268" s="13"/>
      <c r="R268" s="13"/>
      <c r="S268" s="13"/>
      <c r="T268" s="13"/>
      <c r="U268" s="13"/>
      <c r="V268" s="13"/>
      <c r="W268" s="13"/>
      <c r="X268" s="13"/>
    </row>
    <row r="269" spans="1:24" ht="12.75">
      <c r="A269" s="255"/>
      <c r="B269" s="13"/>
      <c r="C269" s="495"/>
      <c r="D269" s="495"/>
      <c r="E269" s="13"/>
      <c r="F269" s="13"/>
      <c r="G269" s="13"/>
      <c r="H269" s="13"/>
      <c r="I269" s="13"/>
      <c r="J269" s="13"/>
      <c r="K269" s="13"/>
      <c r="L269" s="13"/>
      <c r="M269" s="13"/>
      <c r="N269" s="13"/>
      <c r="O269" s="13"/>
      <c r="P269" s="13"/>
      <c r="Q269" s="13"/>
      <c r="R269" s="13"/>
      <c r="S269" s="13"/>
      <c r="T269" s="13"/>
      <c r="U269" s="13"/>
      <c r="V269" s="13"/>
      <c r="W269" s="13"/>
      <c r="X269" s="13"/>
    </row>
    <row r="270" spans="1:24" ht="12.75">
      <c r="A270" s="255"/>
      <c r="B270" s="13"/>
      <c r="C270" s="495"/>
      <c r="D270" s="495"/>
      <c r="E270" s="13"/>
      <c r="F270" s="13"/>
      <c r="G270" s="13"/>
      <c r="H270" s="13"/>
      <c r="I270" s="13"/>
      <c r="J270" s="13"/>
      <c r="K270" s="13"/>
      <c r="L270" s="13"/>
      <c r="M270" s="13"/>
      <c r="N270" s="13"/>
      <c r="O270" s="13"/>
      <c r="P270" s="13"/>
      <c r="Q270" s="13"/>
      <c r="R270" s="13"/>
      <c r="S270" s="13"/>
      <c r="T270" s="13"/>
      <c r="U270" s="13"/>
      <c r="V270" s="13"/>
      <c r="W270" s="13"/>
      <c r="X270" s="13"/>
    </row>
    <row r="271" spans="1:24" ht="12.75">
      <c r="A271" s="255"/>
      <c r="B271" s="13"/>
      <c r="C271" s="495"/>
      <c r="D271" s="495"/>
      <c r="E271" s="13"/>
      <c r="F271" s="13"/>
      <c r="G271" s="13"/>
      <c r="H271" s="13"/>
      <c r="I271" s="13"/>
      <c r="J271" s="13"/>
      <c r="K271" s="13"/>
      <c r="L271" s="13"/>
      <c r="M271" s="13"/>
      <c r="N271" s="13"/>
      <c r="O271" s="13"/>
      <c r="P271" s="13"/>
      <c r="Q271" s="13"/>
      <c r="R271" s="13"/>
      <c r="S271" s="13"/>
      <c r="T271" s="13"/>
      <c r="U271" s="13"/>
      <c r="V271" s="13"/>
      <c r="W271" s="13"/>
      <c r="X271" s="13"/>
    </row>
    <row r="272" spans="1:24" ht="12.75">
      <c r="A272" s="255"/>
      <c r="B272" s="13"/>
      <c r="C272" s="495"/>
      <c r="D272" s="495"/>
      <c r="E272" s="13"/>
      <c r="F272" s="13"/>
      <c r="G272" s="13"/>
      <c r="H272" s="13"/>
      <c r="I272" s="13"/>
      <c r="J272" s="13"/>
      <c r="K272" s="13"/>
      <c r="L272" s="13"/>
      <c r="M272" s="13"/>
      <c r="N272" s="13"/>
      <c r="O272" s="13"/>
      <c r="P272" s="13"/>
      <c r="Q272" s="13"/>
      <c r="R272" s="13"/>
      <c r="S272" s="13"/>
      <c r="T272" s="13"/>
      <c r="U272" s="13"/>
      <c r="V272" s="13"/>
      <c r="W272" s="13"/>
      <c r="X272" s="13"/>
    </row>
    <row r="273" spans="1:24" ht="12.75">
      <c r="A273" s="255"/>
      <c r="B273" s="13"/>
      <c r="C273" s="495"/>
      <c r="D273" s="495"/>
      <c r="E273" s="13"/>
      <c r="F273" s="13"/>
      <c r="G273" s="13"/>
      <c r="H273" s="13"/>
      <c r="I273" s="13"/>
      <c r="J273" s="13"/>
      <c r="K273" s="13"/>
      <c r="L273" s="13"/>
      <c r="M273" s="13"/>
      <c r="N273" s="13"/>
      <c r="O273" s="13"/>
      <c r="P273" s="13"/>
      <c r="Q273" s="13"/>
      <c r="R273" s="13"/>
      <c r="S273" s="13"/>
      <c r="T273" s="13"/>
      <c r="U273" s="13"/>
      <c r="V273" s="13"/>
      <c r="W273" s="13"/>
      <c r="X273" s="13"/>
    </row>
    <row r="274" spans="1:24" ht="12.75">
      <c r="A274" s="255"/>
      <c r="B274" s="13"/>
      <c r="C274" s="495"/>
      <c r="D274" s="495"/>
      <c r="E274" s="13"/>
      <c r="F274" s="13"/>
      <c r="G274" s="13"/>
      <c r="H274" s="13"/>
      <c r="I274" s="13"/>
      <c r="J274" s="13"/>
      <c r="K274" s="13"/>
      <c r="L274" s="13"/>
      <c r="M274" s="13"/>
      <c r="N274" s="13"/>
      <c r="O274" s="13"/>
      <c r="P274" s="13"/>
      <c r="Q274" s="13"/>
      <c r="R274" s="13"/>
      <c r="S274" s="13"/>
      <c r="T274" s="13"/>
      <c r="U274" s="13"/>
      <c r="V274" s="13"/>
      <c r="W274" s="13"/>
      <c r="X274" s="13"/>
    </row>
    <row r="275" spans="1:24" ht="12.75">
      <c r="A275" s="255"/>
      <c r="B275" s="13"/>
      <c r="C275" s="495"/>
      <c r="D275" s="495"/>
      <c r="E275" s="13"/>
      <c r="F275" s="13"/>
      <c r="G275" s="13"/>
      <c r="H275" s="13"/>
      <c r="I275" s="13"/>
      <c r="J275" s="13"/>
      <c r="K275" s="13"/>
      <c r="L275" s="13"/>
      <c r="M275" s="13"/>
      <c r="N275" s="13"/>
      <c r="O275" s="13"/>
      <c r="P275" s="13"/>
      <c r="Q275" s="13"/>
      <c r="R275" s="13"/>
      <c r="S275" s="13"/>
      <c r="T275" s="13"/>
      <c r="U275" s="13"/>
      <c r="V275" s="13"/>
      <c r="W275" s="13"/>
      <c r="X275" s="13"/>
    </row>
    <row r="276" spans="1:24" ht="12.75">
      <c r="A276" s="255"/>
      <c r="B276" s="13"/>
      <c r="C276" s="495"/>
      <c r="D276" s="495"/>
      <c r="E276" s="13"/>
      <c r="F276" s="13"/>
      <c r="G276" s="13"/>
      <c r="H276" s="13"/>
      <c r="I276" s="13"/>
      <c r="J276" s="13"/>
      <c r="K276" s="13"/>
      <c r="L276" s="13"/>
      <c r="M276" s="13"/>
      <c r="N276" s="13"/>
      <c r="O276" s="13"/>
      <c r="P276" s="13"/>
      <c r="Q276" s="13"/>
      <c r="R276" s="13"/>
      <c r="S276" s="13"/>
      <c r="T276" s="13"/>
      <c r="U276" s="13"/>
      <c r="V276" s="13"/>
      <c r="W276" s="13"/>
      <c r="X276" s="13"/>
    </row>
    <row r="277" spans="1:24" ht="12.75">
      <c r="A277" s="255"/>
      <c r="B277" s="13"/>
      <c r="C277" s="495"/>
      <c r="D277" s="495"/>
      <c r="E277" s="13"/>
      <c r="F277" s="13"/>
      <c r="G277" s="13"/>
      <c r="H277" s="13"/>
      <c r="I277" s="13"/>
      <c r="J277" s="13"/>
      <c r="K277" s="13"/>
      <c r="L277" s="13"/>
      <c r="M277" s="13"/>
      <c r="N277" s="13"/>
      <c r="O277" s="13"/>
      <c r="P277" s="13"/>
      <c r="Q277" s="13"/>
      <c r="R277" s="13"/>
      <c r="S277" s="13"/>
      <c r="T277" s="13"/>
      <c r="U277" s="13"/>
      <c r="V277" s="13"/>
      <c r="W277" s="13"/>
      <c r="X277" s="13"/>
    </row>
    <row r="278" spans="1:24" ht="12.75">
      <c r="A278" s="255"/>
      <c r="B278" s="13"/>
      <c r="C278" s="495"/>
      <c r="D278" s="495"/>
      <c r="E278" s="13"/>
      <c r="F278" s="13"/>
      <c r="G278" s="13"/>
      <c r="H278" s="13"/>
      <c r="I278" s="13"/>
      <c r="J278" s="13"/>
      <c r="K278" s="13"/>
      <c r="L278" s="13"/>
      <c r="M278" s="13"/>
      <c r="N278" s="13"/>
      <c r="O278" s="13"/>
      <c r="P278" s="13"/>
      <c r="Q278" s="13"/>
      <c r="R278" s="13"/>
      <c r="S278" s="13"/>
      <c r="T278" s="13"/>
      <c r="U278" s="13"/>
      <c r="V278" s="13"/>
      <c r="W278" s="13"/>
      <c r="X278" s="13"/>
    </row>
    <row r="279" spans="1:24" ht="12.75">
      <c r="A279" s="255"/>
      <c r="B279" s="13"/>
      <c r="C279" s="495"/>
      <c r="D279" s="495"/>
      <c r="E279" s="13"/>
      <c r="F279" s="13"/>
      <c r="G279" s="13"/>
      <c r="H279" s="13"/>
      <c r="I279" s="13"/>
      <c r="J279" s="13"/>
      <c r="K279" s="13"/>
      <c r="L279" s="13"/>
      <c r="M279" s="13"/>
      <c r="N279" s="13"/>
      <c r="O279" s="13"/>
      <c r="P279" s="13"/>
      <c r="Q279" s="13"/>
      <c r="R279" s="13"/>
      <c r="S279" s="13"/>
      <c r="T279" s="13"/>
      <c r="U279" s="13"/>
      <c r="V279" s="13"/>
      <c r="W279" s="13"/>
      <c r="X279" s="13"/>
    </row>
    <row r="280" spans="1:24" ht="12.75">
      <c r="A280" s="255"/>
      <c r="B280" s="13"/>
      <c r="C280" s="495"/>
      <c r="D280" s="495"/>
      <c r="E280" s="13"/>
      <c r="F280" s="13"/>
      <c r="G280" s="13"/>
      <c r="H280" s="13"/>
      <c r="I280" s="13"/>
      <c r="J280" s="13"/>
      <c r="K280" s="13"/>
      <c r="L280" s="13"/>
      <c r="M280" s="13"/>
      <c r="N280" s="13"/>
      <c r="O280" s="13"/>
      <c r="P280" s="13"/>
      <c r="Q280" s="13"/>
      <c r="R280" s="13"/>
      <c r="S280" s="13"/>
      <c r="T280" s="13"/>
      <c r="U280" s="13"/>
      <c r="V280" s="13"/>
      <c r="W280" s="13"/>
      <c r="X280" s="13"/>
    </row>
    <row r="281" spans="1:24" ht="12.75">
      <c r="A281" s="255"/>
      <c r="B281" s="13"/>
      <c r="C281" s="495"/>
      <c r="D281" s="495"/>
      <c r="E281" s="13"/>
      <c r="F281" s="13"/>
      <c r="G281" s="13"/>
      <c r="H281" s="13"/>
      <c r="I281" s="13"/>
      <c r="J281" s="13"/>
      <c r="K281" s="13"/>
      <c r="L281" s="13"/>
      <c r="M281" s="13"/>
      <c r="N281" s="13"/>
      <c r="O281" s="13"/>
      <c r="P281" s="13"/>
      <c r="Q281" s="13"/>
      <c r="R281" s="13"/>
      <c r="S281" s="13"/>
      <c r="T281" s="13"/>
      <c r="U281" s="13"/>
      <c r="V281" s="13"/>
      <c r="W281" s="13"/>
      <c r="X281" s="13"/>
    </row>
    <row r="282" spans="1:24" ht="12.75">
      <c r="A282" s="255"/>
      <c r="B282" s="13"/>
      <c r="C282" s="495"/>
      <c r="D282" s="495"/>
      <c r="E282" s="13"/>
      <c r="F282" s="13"/>
      <c r="G282" s="13"/>
      <c r="H282" s="13"/>
      <c r="I282" s="13"/>
      <c r="J282" s="13"/>
      <c r="K282" s="13"/>
      <c r="L282" s="13"/>
      <c r="M282" s="13"/>
      <c r="N282" s="13"/>
      <c r="O282" s="13"/>
      <c r="P282" s="13"/>
      <c r="Q282" s="13"/>
      <c r="R282" s="13"/>
      <c r="S282" s="13"/>
      <c r="T282" s="13"/>
      <c r="U282" s="13"/>
      <c r="V282" s="13"/>
      <c r="W282" s="13"/>
      <c r="X282" s="13"/>
    </row>
    <row r="283" spans="1:24" ht="12.75">
      <c r="A283" s="255"/>
      <c r="B283" s="13"/>
      <c r="C283" s="495"/>
      <c r="D283" s="495"/>
      <c r="E283" s="13"/>
      <c r="F283" s="13"/>
      <c r="G283" s="13"/>
      <c r="H283" s="13"/>
      <c r="I283" s="13"/>
      <c r="J283" s="13"/>
      <c r="K283" s="13"/>
      <c r="L283" s="13"/>
      <c r="M283" s="13"/>
      <c r="N283" s="13"/>
      <c r="O283" s="13"/>
      <c r="P283" s="13"/>
      <c r="Q283" s="13"/>
      <c r="R283" s="13"/>
      <c r="S283" s="13"/>
      <c r="T283" s="13"/>
      <c r="U283" s="13"/>
      <c r="V283" s="13"/>
      <c r="W283" s="13"/>
      <c r="X283" s="13"/>
    </row>
    <row r="284" spans="1:24" ht="12.75">
      <c r="A284" s="255"/>
      <c r="B284" s="13"/>
      <c r="C284" s="495"/>
      <c r="D284" s="495"/>
      <c r="E284" s="13"/>
      <c r="F284" s="13"/>
      <c r="G284" s="13"/>
      <c r="H284" s="13"/>
      <c r="I284" s="13"/>
      <c r="J284" s="13"/>
      <c r="K284" s="13"/>
      <c r="L284" s="13"/>
      <c r="M284" s="13"/>
      <c r="N284" s="13"/>
      <c r="O284" s="13"/>
      <c r="P284" s="13"/>
      <c r="Q284" s="13"/>
      <c r="R284" s="13"/>
      <c r="S284" s="13"/>
      <c r="T284" s="13"/>
      <c r="U284" s="13"/>
      <c r="V284" s="13"/>
      <c r="W284" s="13"/>
      <c r="X284" s="13"/>
    </row>
    <row r="285" spans="1:24" ht="12.75">
      <c r="A285" s="255"/>
      <c r="B285" s="13"/>
      <c r="C285" s="495"/>
      <c r="D285" s="495"/>
      <c r="E285" s="13"/>
      <c r="F285" s="13"/>
      <c r="G285" s="13"/>
      <c r="H285" s="13"/>
      <c r="I285" s="13"/>
      <c r="J285" s="13"/>
      <c r="K285" s="13"/>
      <c r="L285" s="13"/>
      <c r="M285" s="13"/>
      <c r="N285" s="13"/>
      <c r="O285" s="13"/>
      <c r="P285" s="13"/>
      <c r="Q285" s="13"/>
      <c r="R285" s="13"/>
      <c r="S285" s="13"/>
      <c r="T285" s="13"/>
      <c r="U285" s="13"/>
      <c r="V285" s="13"/>
      <c r="W285" s="13"/>
      <c r="X285" s="13"/>
    </row>
    <row r="286" spans="1:24" ht="12.75">
      <c r="A286" s="255"/>
      <c r="B286" s="13"/>
      <c r="C286" s="495"/>
      <c r="D286" s="495"/>
      <c r="E286" s="13"/>
      <c r="F286" s="13"/>
      <c r="G286" s="13"/>
      <c r="H286" s="13"/>
      <c r="I286" s="13"/>
      <c r="J286" s="13"/>
      <c r="K286" s="13"/>
      <c r="L286" s="13"/>
      <c r="M286" s="13"/>
      <c r="N286" s="13"/>
      <c r="O286" s="13"/>
      <c r="P286" s="13"/>
      <c r="Q286" s="13"/>
      <c r="R286" s="13"/>
      <c r="S286" s="13"/>
      <c r="T286" s="13"/>
      <c r="U286" s="13"/>
      <c r="V286" s="13"/>
      <c r="W286" s="13"/>
      <c r="X286" s="13"/>
    </row>
    <row r="287" spans="1:24" ht="12.75">
      <c r="A287" s="255"/>
      <c r="B287" s="13"/>
      <c r="C287" s="495"/>
      <c r="D287" s="495"/>
      <c r="E287" s="13"/>
      <c r="F287" s="13"/>
      <c r="G287" s="13"/>
      <c r="H287" s="13"/>
      <c r="I287" s="13"/>
      <c r="J287" s="13"/>
      <c r="K287" s="13"/>
      <c r="L287" s="13"/>
      <c r="M287" s="13"/>
      <c r="N287" s="13"/>
      <c r="O287" s="13"/>
      <c r="P287" s="13"/>
      <c r="Q287" s="13"/>
      <c r="R287" s="13"/>
      <c r="S287" s="13"/>
      <c r="T287" s="13"/>
      <c r="U287" s="13"/>
      <c r="V287" s="13"/>
      <c r="W287" s="13"/>
      <c r="X287" s="13"/>
    </row>
    <row r="288" spans="1:24" ht="12.75">
      <c r="A288" s="255"/>
      <c r="B288" s="13"/>
      <c r="C288" s="495"/>
      <c r="D288" s="495"/>
      <c r="E288" s="13"/>
      <c r="F288" s="13"/>
      <c r="G288" s="13"/>
      <c r="H288" s="13"/>
      <c r="I288" s="13"/>
      <c r="J288" s="13"/>
      <c r="K288" s="13"/>
      <c r="L288" s="13"/>
      <c r="M288" s="13"/>
      <c r="N288" s="13"/>
      <c r="O288" s="13"/>
      <c r="P288" s="13"/>
      <c r="Q288" s="13"/>
      <c r="R288" s="13"/>
      <c r="S288" s="13"/>
      <c r="T288" s="13"/>
      <c r="U288" s="13"/>
      <c r="V288" s="13"/>
      <c r="W288" s="13"/>
      <c r="X288" s="13"/>
    </row>
    <row r="289" spans="1:24" ht="12.75">
      <c r="A289" s="255"/>
      <c r="B289" s="13"/>
      <c r="C289" s="495"/>
      <c r="D289" s="495"/>
      <c r="E289" s="13"/>
      <c r="F289" s="13"/>
      <c r="G289" s="13"/>
      <c r="H289" s="13"/>
      <c r="I289" s="13"/>
      <c r="J289" s="13"/>
      <c r="K289" s="13"/>
      <c r="L289" s="13"/>
      <c r="M289" s="13"/>
      <c r="N289" s="13"/>
      <c r="O289" s="13"/>
      <c r="P289" s="13"/>
      <c r="Q289" s="13"/>
      <c r="R289" s="13"/>
      <c r="S289" s="13"/>
      <c r="T289" s="13"/>
      <c r="U289" s="13"/>
      <c r="V289" s="13"/>
      <c r="W289" s="13"/>
      <c r="X289" s="13"/>
    </row>
    <row r="290" spans="1:24" ht="12.75">
      <c r="A290" s="255"/>
      <c r="B290" s="13"/>
      <c r="C290" s="495"/>
      <c r="D290" s="495"/>
      <c r="E290" s="13"/>
      <c r="F290" s="13"/>
      <c r="G290" s="13"/>
      <c r="H290" s="13"/>
      <c r="I290" s="13"/>
      <c r="J290" s="13"/>
      <c r="K290" s="13"/>
      <c r="L290" s="13"/>
      <c r="M290" s="13"/>
      <c r="N290" s="13"/>
      <c r="O290" s="13"/>
      <c r="P290" s="13"/>
      <c r="Q290" s="13"/>
      <c r="R290" s="13"/>
      <c r="S290" s="13"/>
      <c r="T290" s="13"/>
      <c r="U290" s="13"/>
      <c r="V290" s="13"/>
      <c r="W290" s="13"/>
      <c r="X290" s="13"/>
    </row>
    <row r="291" spans="1:24" ht="12.75">
      <c r="A291" s="255"/>
      <c r="B291" s="13"/>
      <c r="C291" s="495"/>
      <c r="D291" s="495"/>
      <c r="E291" s="13"/>
      <c r="F291" s="13"/>
      <c r="G291" s="13"/>
      <c r="H291" s="13"/>
      <c r="I291" s="13"/>
      <c r="J291" s="13"/>
      <c r="K291" s="13"/>
      <c r="L291" s="13"/>
      <c r="M291" s="13"/>
      <c r="N291" s="13"/>
      <c r="O291" s="13"/>
      <c r="P291" s="13"/>
      <c r="Q291" s="13"/>
      <c r="R291" s="13"/>
      <c r="S291" s="13"/>
      <c r="T291" s="13"/>
      <c r="U291" s="13"/>
      <c r="V291" s="13"/>
      <c r="W291" s="13"/>
      <c r="X291" s="13"/>
    </row>
    <row r="292" spans="1:24" ht="12.75">
      <c r="A292" s="255"/>
      <c r="B292" s="13"/>
      <c r="C292" s="495"/>
      <c r="D292" s="495"/>
      <c r="E292" s="13"/>
      <c r="F292" s="13"/>
      <c r="G292" s="13"/>
      <c r="H292" s="13"/>
      <c r="I292" s="13"/>
      <c r="J292" s="13"/>
      <c r="K292" s="13"/>
      <c r="L292" s="13"/>
      <c r="M292" s="13"/>
      <c r="N292" s="13"/>
      <c r="O292" s="13"/>
      <c r="P292" s="13"/>
      <c r="Q292" s="13"/>
      <c r="R292" s="13"/>
      <c r="S292" s="13"/>
      <c r="T292" s="13"/>
      <c r="U292" s="13"/>
      <c r="V292" s="13"/>
      <c r="W292" s="13"/>
      <c r="X292" s="13"/>
    </row>
    <row r="293" spans="1:24" ht="12.75">
      <c r="A293" s="255"/>
      <c r="B293" s="13"/>
      <c r="C293" s="495"/>
      <c r="D293" s="495"/>
      <c r="E293" s="13"/>
      <c r="F293" s="13"/>
      <c r="G293" s="13"/>
      <c r="H293" s="13"/>
      <c r="I293" s="13"/>
      <c r="J293" s="13"/>
      <c r="K293" s="13"/>
      <c r="L293" s="13"/>
      <c r="M293" s="13"/>
      <c r="N293" s="13"/>
      <c r="O293" s="13"/>
      <c r="P293" s="13"/>
      <c r="Q293" s="13"/>
      <c r="R293" s="13"/>
      <c r="S293" s="13"/>
      <c r="T293" s="13"/>
      <c r="U293" s="13"/>
      <c r="V293" s="13"/>
      <c r="W293" s="13"/>
      <c r="X293" s="13"/>
    </row>
    <row r="294" spans="1:24" ht="12.75">
      <c r="A294" s="255"/>
      <c r="B294" s="13"/>
      <c r="C294" s="495"/>
      <c r="D294" s="495"/>
      <c r="E294" s="13"/>
      <c r="F294" s="13"/>
      <c r="G294" s="13"/>
      <c r="H294" s="13"/>
      <c r="I294" s="13"/>
      <c r="J294" s="13"/>
      <c r="K294" s="13"/>
      <c r="L294" s="13"/>
      <c r="M294" s="13"/>
      <c r="N294" s="13"/>
      <c r="O294" s="13"/>
      <c r="P294" s="13"/>
      <c r="Q294" s="13"/>
      <c r="R294" s="13"/>
      <c r="S294" s="13"/>
      <c r="T294" s="13"/>
      <c r="U294" s="13"/>
      <c r="V294" s="13"/>
      <c r="W294" s="13"/>
      <c r="X294" s="13"/>
    </row>
    <row r="295" spans="1:24" ht="12.75">
      <c r="A295" s="255"/>
      <c r="B295" s="13"/>
      <c r="C295" s="495"/>
      <c r="D295" s="495"/>
      <c r="E295" s="13"/>
      <c r="F295" s="13"/>
      <c r="G295" s="13"/>
      <c r="H295" s="13"/>
      <c r="I295" s="13"/>
      <c r="J295" s="13"/>
      <c r="K295" s="13"/>
      <c r="L295" s="13"/>
      <c r="M295" s="13"/>
      <c r="N295" s="13"/>
      <c r="O295" s="13"/>
      <c r="P295" s="13"/>
      <c r="Q295" s="13"/>
      <c r="R295" s="13"/>
      <c r="S295" s="13"/>
      <c r="T295" s="13"/>
      <c r="U295" s="13"/>
      <c r="V295" s="13"/>
      <c r="W295" s="13"/>
      <c r="X295" s="13"/>
    </row>
    <row r="296" spans="1:24" ht="12.75">
      <c r="A296" s="255"/>
      <c r="B296" s="13"/>
      <c r="C296" s="495"/>
      <c r="D296" s="495"/>
      <c r="E296" s="13"/>
      <c r="F296" s="13"/>
      <c r="G296" s="13"/>
      <c r="H296" s="13"/>
      <c r="I296" s="13"/>
      <c r="J296" s="13"/>
      <c r="K296" s="13"/>
      <c r="L296" s="13"/>
      <c r="M296" s="13"/>
      <c r="N296" s="13"/>
      <c r="O296" s="13"/>
      <c r="P296" s="13"/>
      <c r="Q296" s="13"/>
      <c r="R296" s="13"/>
      <c r="S296" s="13"/>
      <c r="T296" s="13"/>
      <c r="U296" s="13"/>
      <c r="V296" s="13"/>
      <c r="W296" s="13"/>
      <c r="X296" s="13"/>
    </row>
    <row r="297" spans="1:24" ht="12.75">
      <c r="A297" s="255"/>
      <c r="B297" s="13"/>
      <c r="C297" s="495"/>
      <c r="D297" s="495"/>
      <c r="E297" s="13"/>
      <c r="F297" s="13"/>
      <c r="G297" s="13"/>
      <c r="H297" s="13"/>
      <c r="I297" s="13"/>
      <c r="J297" s="13"/>
      <c r="K297" s="13"/>
      <c r="L297" s="13"/>
      <c r="M297" s="13"/>
      <c r="N297" s="13"/>
      <c r="O297" s="13"/>
      <c r="P297" s="13"/>
      <c r="Q297" s="13"/>
      <c r="R297" s="13"/>
      <c r="S297" s="13"/>
      <c r="T297" s="13"/>
      <c r="U297" s="13"/>
      <c r="V297" s="13"/>
      <c r="W297" s="13"/>
      <c r="X297" s="13"/>
    </row>
    <row r="298" spans="1:24" ht="12.75">
      <c r="A298" s="255"/>
      <c r="B298" s="13"/>
      <c r="C298" s="495"/>
      <c r="D298" s="495"/>
      <c r="E298" s="13"/>
      <c r="F298" s="13"/>
      <c r="G298" s="13"/>
      <c r="H298" s="13"/>
      <c r="I298" s="13"/>
      <c r="J298" s="13"/>
      <c r="K298" s="13"/>
      <c r="L298" s="13"/>
      <c r="M298" s="13"/>
      <c r="N298" s="13"/>
      <c r="O298" s="13"/>
      <c r="P298" s="13"/>
      <c r="Q298" s="13"/>
      <c r="R298" s="13"/>
      <c r="S298" s="13"/>
      <c r="T298" s="13"/>
      <c r="U298" s="13"/>
      <c r="V298" s="13"/>
      <c r="W298" s="13"/>
      <c r="X298" s="13"/>
    </row>
    <row r="299" spans="1:24" ht="12.75">
      <c r="A299" s="255"/>
      <c r="B299" s="13"/>
      <c r="C299" s="495"/>
      <c r="D299" s="495"/>
      <c r="E299" s="13"/>
      <c r="F299" s="13"/>
      <c r="G299" s="13"/>
      <c r="H299" s="13"/>
      <c r="I299" s="13"/>
      <c r="J299" s="13"/>
      <c r="K299" s="13"/>
      <c r="L299" s="13"/>
      <c r="M299" s="13"/>
      <c r="N299" s="13"/>
      <c r="O299" s="13"/>
      <c r="P299" s="13"/>
      <c r="Q299" s="13"/>
      <c r="R299" s="13"/>
      <c r="S299" s="13"/>
      <c r="T299" s="13"/>
      <c r="U299" s="13"/>
      <c r="V299" s="13"/>
      <c r="W299" s="13"/>
      <c r="X299" s="13"/>
    </row>
    <row r="300" spans="1:24" ht="12.75">
      <c r="A300" s="255"/>
      <c r="B300" s="13"/>
      <c r="C300" s="495"/>
      <c r="D300" s="495"/>
      <c r="E300" s="13"/>
      <c r="F300" s="13"/>
      <c r="G300" s="13"/>
      <c r="H300" s="13"/>
      <c r="I300" s="13"/>
      <c r="J300" s="13"/>
      <c r="K300" s="13"/>
      <c r="L300" s="13"/>
      <c r="M300" s="13"/>
      <c r="N300" s="13"/>
      <c r="O300" s="13"/>
      <c r="P300" s="13"/>
      <c r="Q300" s="13"/>
      <c r="R300" s="13"/>
      <c r="S300" s="13"/>
      <c r="T300" s="13"/>
      <c r="U300" s="13"/>
      <c r="V300" s="13"/>
      <c r="W300" s="13"/>
      <c r="X300" s="13"/>
    </row>
    <row r="301" spans="1:24" ht="12.75">
      <c r="A301" s="255"/>
      <c r="B301" s="13"/>
      <c r="C301" s="495"/>
      <c r="D301" s="495"/>
      <c r="E301" s="13"/>
      <c r="F301" s="13"/>
      <c r="G301" s="13"/>
      <c r="H301" s="13"/>
      <c r="I301" s="13"/>
      <c r="J301" s="13"/>
      <c r="K301" s="13"/>
      <c r="L301" s="13"/>
      <c r="M301" s="13"/>
      <c r="N301" s="13"/>
      <c r="O301" s="13"/>
      <c r="P301" s="13"/>
      <c r="Q301" s="13"/>
      <c r="R301" s="13"/>
      <c r="S301" s="13"/>
      <c r="T301" s="13"/>
      <c r="U301" s="13"/>
      <c r="V301" s="13"/>
      <c r="W301" s="13"/>
      <c r="X301" s="13"/>
    </row>
    <row r="302" spans="1:24" ht="12.75">
      <c r="A302" s="255"/>
      <c r="B302" s="13"/>
      <c r="C302" s="495"/>
      <c r="D302" s="495"/>
      <c r="E302" s="13"/>
      <c r="F302" s="13"/>
      <c r="G302" s="13"/>
      <c r="H302" s="13"/>
      <c r="I302" s="13"/>
      <c r="J302" s="13"/>
      <c r="K302" s="13"/>
      <c r="L302" s="13"/>
      <c r="M302" s="13"/>
      <c r="N302" s="13"/>
      <c r="O302" s="13"/>
      <c r="P302" s="13"/>
      <c r="Q302" s="13"/>
      <c r="R302" s="13"/>
      <c r="S302" s="13"/>
      <c r="T302" s="13"/>
      <c r="U302" s="13"/>
      <c r="V302" s="13"/>
      <c r="W302" s="13"/>
      <c r="X302" s="13"/>
    </row>
    <row r="303" spans="1:24" ht="12.75">
      <c r="A303" s="255"/>
      <c r="B303" s="13"/>
      <c r="C303" s="495"/>
      <c r="D303" s="495"/>
      <c r="E303" s="13"/>
      <c r="F303" s="13"/>
      <c r="G303" s="13"/>
      <c r="H303" s="13"/>
      <c r="I303" s="13"/>
      <c r="J303" s="13"/>
      <c r="K303" s="13"/>
      <c r="L303" s="13"/>
      <c r="M303" s="13"/>
      <c r="N303" s="13"/>
      <c r="O303" s="13"/>
      <c r="P303" s="13"/>
      <c r="Q303" s="13"/>
      <c r="R303" s="13"/>
      <c r="S303" s="13"/>
      <c r="T303" s="13"/>
      <c r="U303" s="13"/>
      <c r="V303" s="13"/>
      <c r="W303" s="13"/>
      <c r="X303" s="13"/>
    </row>
    <row r="304" spans="1:24" ht="12.75">
      <c r="A304" s="255"/>
      <c r="B304" s="13"/>
      <c r="C304" s="495"/>
      <c r="D304" s="495"/>
      <c r="E304" s="13"/>
      <c r="F304" s="13"/>
      <c r="G304" s="13"/>
      <c r="H304" s="13"/>
      <c r="I304" s="13"/>
      <c r="J304" s="13"/>
      <c r="K304" s="13"/>
      <c r="L304" s="13"/>
      <c r="M304" s="13"/>
      <c r="N304" s="13"/>
      <c r="O304" s="13"/>
      <c r="P304" s="13"/>
      <c r="Q304" s="13"/>
      <c r="R304" s="13"/>
      <c r="S304" s="13"/>
      <c r="T304" s="13"/>
      <c r="U304" s="13"/>
      <c r="V304" s="13"/>
      <c r="W304" s="13"/>
      <c r="X304" s="13"/>
    </row>
    <row r="305" spans="1:24" ht="12.75">
      <c r="A305" s="255"/>
      <c r="B305" s="13"/>
      <c r="C305" s="495"/>
      <c r="D305" s="495"/>
      <c r="E305" s="13"/>
      <c r="F305" s="13"/>
      <c r="G305" s="13"/>
      <c r="H305" s="13"/>
      <c r="I305" s="13"/>
      <c r="J305" s="13"/>
      <c r="K305" s="13"/>
      <c r="L305" s="13"/>
      <c r="M305" s="13"/>
      <c r="N305" s="13"/>
      <c r="O305" s="13"/>
      <c r="P305" s="13"/>
      <c r="Q305" s="13"/>
      <c r="R305" s="13"/>
      <c r="S305" s="13"/>
      <c r="T305" s="13"/>
      <c r="U305" s="13"/>
      <c r="V305" s="13"/>
      <c r="W305" s="13"/>
      <c r="X305" s="13"/>
    </row>
    <row r="306" spans="1:24" ht="12.75">
      <c r="A306" s="255"/>
      <c r="B306" s="13"/>
      <c r="C306" s="495"/>
      <c r="D306" s="495"/>
      <c r="E306" s="13"/>
      <c r="F306" s="13"/>
      <c r="G306" s="13"/>
      <c r="H306" s="13"/>
      <c r="I306" s="13"/>
      <c r="J306" s="13"/>
      <c r="K306" s="13"/>
      <c r="L306" s="13"/>
      <c r="M306" s="13"/>
      <c r="N306" s="13"/>
      <c r="O306" s="13"/>
      <c r="P306" s="13"/>
      <c r="Q306" s="13"/>
      <c r="R306" s="13"/>
      <c r="S306" s="13"/>
      <c r="T306" s="13"/>
      <c r="U306" s="13"/>
      <c r="V306" s="13"/>
      <c r="W306" s="13"/>
      <c r="X306" s="13"/>
    </row>
    <row r="307" spans="1:24" ht="12.75">
      <c r="A307" s="255"/>
      <c r="B307" s="13"/>
      <c r="C307" s="495"/>
      <c r="D307" s="495"/>
      <c r="E307" s="13"/>
      <c r="F307" s="13"/>
      <c r="G307" s="13"/>
      <c r="H307" s="13"/>
      <c r="I307" s="13"/>
      <c r="J307" s="13"/>
      <c r="K307" s="13"/>
      <c r="L307" s="13"/>
      <c r="M307" s="13"/>
      <c r="N307" s="13"/>
      <c r="O307" s="13"/>
      <c r="P307" s="13"/>
      <c r="Q307" s="13"/>
      <c r="R307" s="13"/>
      <c r="S307" s="13"/>
      <c r="T307" s="13"/>
      <c r="U307" s="13"/>
      <c r="V307" s="13"/>
      <c r="W307" s="13"/>
      <c r="X307" s="13"/>
    </row>
    <row r="308" spans="1:24" ht="12.75">
      <c r="A308" s="255"/>
      <c r="B308" s="13"/>
      <c r="C308" s="495"/>
      <c r="D308" s="495"/>
      <c r="E308" s="13"/>
      <c r="F308" s="13"/>
      <c r="G308" s="13"/>
      <c r="H308" s="13"/>
      <c r="I308" s="13"/>
      <c r="J308" s="13"/>
      <c r="K308" s="13"/>
      <c r="L308" s="13"/>
      <c r="M308" s="13"/>
      <c r="N308" s="13"/>
      <c r="O308" s="13"/>
      <c r="P308" s="13"/>
      <c r="Q308" s="13"/>
      <c r="R308" s="13"/>
      <c r="S308" s="13"/>
      <c r="T308" s="13"/>
      <c r="U308" s="13"/>
      <c r="V308" s="13"/>
      <c r="W308" s="13"/>
      <c r="X308" s="13"/>
    </row>
    <row r="309" spans="1:24" ht="12.75">
      <c r="A309" s="255"/>
      <c r="B309" s="13"/>
      <c r="C309" s="495"/>
      <c r="D309" s="495"/>
      <c r="E309" s="13"/>
      <c r="F309" s="13"/>
      <c r="G309" s="13"/>
      <c r="H309" s="13"/>
      <c r="I309" s="13"/>
      <c r="J309" s="13"/>
      <c r="K309" s="13"/>
      <c r="L309" s="13"/>
      <c r="M309" s="13"/>
      <c r="N309" s="13"/>
      <c r="O309" s="13"/>
      <c r="P309" s="13"/>
      <c r="Q309" s="13"/>
      <c r="R309" s="13"/>
      <c r="S309" s="13"/>
      <c r="T309" s="13"/>
      <c r="U309" s="13"/>
      <c r="V309" s="13"/>
      <c r="W309" s="13"/>
      <c r="X309" s="13"/>
    </row>
    <row r="310" spans="1:24" ht="12.75">
      <c r="A310" s="255"/>
      <c r="B310" s="13"/>
      <c r="C310" s="495"/>
      <c r="D310" s="495"/>
      <c r="E310" s="13"/>
      <c r="F310" s="13"/>
      <c r="G310" s="13"/>
      <c r="H310" s="13"/>
      <c r="I310" s="13"/>
      <c r="J310" s="13"/>
      <c r="K310" s="13"/>
      <c r="L310" s="13"/>
      <c r="M310" s="13"/>
      <c r="N310" s="13"/>
      <c r="O310" s="13"/>
      <c r="P310" s="13"/>
      <c r="Q310" s="13"/>
      <c r="R310" s="13"/>
      <c r="S310" s="13"/>
      <c r="T310" s="13"/>
      <c r="U310" s="13"/>
      <c r="V310" s="13"/>
      <c r="W310" s="13"/>
      <c r="X310" s="13"/>
    </row>
    <row r="311" spans="1:24" ht="12.75">
      <c r="A311" s="255"/>
      <c r="B311" s="13"/>
      <c r="C311" s="495"/>
      <c r="D311" s="495"/>
      <c r="E311" s="13"/>
      <c r="F311" s="13"/>
      <c r="G311" s="13"/>
      <c r="H311" s="13"/>
      <c r="I311" s="13"/>
      <c r="J311" s="13"/>
      <c r="K311" s="13"/>
      <c r="L311" s="13"/>
      <c r="M311" s="13"/>
      <c r="N311" s="13"/>
      <c r="O311" s="13"/>
      <c r="P311" s="13"/>
      <c r="Q311" s="13"/>
      <c r="R311" s="13"/>
      <c r="S311" s="13"/>
      <c r="T311" s="13"/>
      <c r="U311" s="13"/>
      <c r="V311" s="13"/>
      <c r="W311" s="13"/>
      <c r="X311" s="13"/>
    </row>
    <row r="312" spans="1:24" ht="12.75">
      <c r="A312" s="255"/>
      <c r="B312" s="13"/>
      <c r="C312" s="495"/>
      <c r="D312" s="495"/>
      <c r="E312" s="13"/>
      <c r="F312" s="13"/>
      <c r="G312" s="13"/>
      <c r="H312" s="13"/>
      <c r="I312" s="13"/>
      <c r="J312" s="13"/>
      <c r="K312" s="13"/>
      <c r="L312" s="13"/>
      <c r="M312" s="13"/>
      <c r="N312" s="13"/>
      <c r="O312" s="13"/>
      <c r="P312" s="13"/>
      <c r="Q312" s="13"/>
      <c r="R312" s="13"/>
      <c r="S312" s="13"/>
      <c r="T312" s="13"/>
      <c r="U312" s="13"/>
      <c r="V312" s="13"/>
      <c r="W312" s="13"/>
      <c r="X312" s="13"/>
    </row>
    <row r="313" spans="1:24" ht="12.75">
      <c r="A313" s="255"/>
      <c r="B313" s="13"/>
      <c r="C313" s="495"/>
      <c r="D313" s="495"/>
      <c r="E313" s="13"/>
      <c r="F313" s="13"/>
      <c r="G313" s="13"/>
      <c r="H313" s="13"/>
      <c r="I313" s="13"/>
      <c r="J313" s="13"/>
      <c r="K313" s="13"/>
      <c r="L313" s="13"/>
      <c r="M313" s="13"/>
      <c r="N313" s="13"/>
      <c r="O313" s="13"/>
      <c r="P313" s="13"/>
      <c r="Q313" s="13"/>
      <c r="R313" s="13"/>
      <c r="S313" s="13"/>
      <c r="T313" s="13"/>
      <c r="U313" s="13"/>
      <c r="V313" s="13"/>
      <c r="W313" s="13"/>
      <c r="X313" s="13"/>
    </row>
    <row r="314" spans="1:24" ht="12.75">
      <c r="A314" s="255"/>
      <c r="B314" s="13"/>
      <c r="C314" s="495"/>
      <c r="D314" s="495"/>
      <c r="E314" s="13"/>
      <c r="F314" s="13"/>
      <c r="G314" s="13"/>
      <c r="H314" s="13"/>
      <c r="I314" s="13"/>
      <c r="J314" s="13"/>
      <c r="K314" s="13"/>
      <c r="L314" s="13"/>
      <c r="M314" s="13"/>
      <c r="N314" s="13"/>
      <c r="O314" s="13"/>
      <c r="P314" s="13"/>
      <c r="Q314" s="13"/>
      <c r="R314" s="13"/>
      <c r="S314" s="13"/>
      <c r="T314" s="13"/>
      <c r="U314" s="13"/>
      <c r="V314" s="13"/>
      <c r="W314" s="13"/>
      <c r="X314" s="13"/>
    </row>
    <row r="315" spans="1:24" ht="12.75">
      <c r="A315" s="255"/>
      <c r="B315" s="13"/>
      <c r="C315" s="495"/>
      <c r="D315" s="495"/>
      <c r="E315" s="13"/>
      <c r="F315" s="13"/>
      <c r="G315" s="13"/>
      <c r="H315" s="13"/>
      <c r="I315" s="13"/>
      <c r="J315" s="13"/>
      <c r="K315" s="13"/>
      <c r="L315" s="13"/>
      <c r="M315" s="13"/>
      <c r="N315" s="13"/>
      <c r="O315" s="13"/>
      <c r="P315" s="13"/>
      <c r="Q315" s="13"/>
      <c r="R315" s="13"/>
      <c r="S315" s="13"/>
      <c r="T315" s="13"/>
      <c r="U315" s="13"/>
      <c r="V315" s="13"/>
      <c r="W315" s="13"/>
      <c r="X315" s="13"/>
    </row>
    <row r="316" spans="1:24" ht="12.75">
      <c r="A316" s="255"/>
      <c r="B316" s="13"/>
      <c r="C316" s="495"/>
      <c r="D316" s="495"/>
      <c r="E316" s="13"/>
      <c r="F316" s="13"/>
      <c r="G316" s="13"/>
      <c r="H316" s="13"/>
      <c r="I316" s="13"/>
      <c r="J316" s="13"/>
      <c r="K316" s="13"/>
      <c r="L316" s="13"/>
      <c r="M316" s="13"/>
      <c r="N316" s="13"/>
      <c r="O316" s="13"/>
      <c r="P316" s="13"/>
      <c r="Q316" s="13"/>
      <c r="R316" s="13"/>
      <c r="S316" s="13"/>
      <c r="T316" s="13"/>
      <c r="U316" s="13"/>
      <c r="V316" s="13"/>
      <c r="W316" s="13"/>
      <c r="X316" s="13"/>
    </row>
    <row r="317" spans="1:24" ht="12.75">
      <c r="A317" s="255"/>
      <c r="B317" s="13"/>
      <c r="C317" s="495"/>
      <c r="D317" s="495"/>
      <c r="E317" s="13"/>
      <c r="F317" s="13"/>
      <c r="G317" s="13"/>
      <c r="H317" s="13"/>
      <c r="I317" s="13"/>
      <c r="J317" s="13"/>
      <c r="K317" s="13"/>
      <c r="L317" s="13"/>
      <c r="M317" s="13"/>
      <c r="N317" s="13"/>
      <c r="O317" s="13"/>
      <c r="P317" s="13"/>
      <c r="Q317" s="13"/>
      <c r="R317" s="13"/>
      <c r="S317" s="13"/>
      <c r="T317" s="13"/>
      <c r="U317" s="13"/>
      <c r="V317" s="13"/>
      <c r="W317" s="13"/>
      <c r="X317" s="13"/>
    </row>
    <row r="318" spans="1:24" ht="12.75">
      <c r="A318" s="255"/>
      <c r="B318" s="13"/>
      <c r="C318" s="495"/>
      <c r="D318" s="495"/>
      <c r="E318" s="13"/>
      <c r="F318" s="13"/>
      <c r="G318" s="13"/>
      <c r="H318" s="13"/>
      <c r="I318" s="13"/>
      <c r="J318" s="13"/>
      <c r="K318" s="13"/>
      <c r="L318" s="13"/>
      <c r="M318" s="13"/>
      <c r="N318" s="13"/>
      <c r="O318" s="13"/>
      <c r="P318" s="13"/>
      <c r="Q318" s="13"/>
      <c r="R318" s="13"/>
      <c r="S318" s="13"/>
      <c r="T318" s="13"/>
      <c r="U318" s="13"/>
      <c r="V318" s="13"/>
      <c r="W318" s="13"/>
      <c r="X318" s="13"/>
    </row>
    <row r="319" spans="1:24" ht="12.75">
      <c r="A319" s="255"/>
      <c r="B319" s="13"/>
      <c r="C319" s="495"/>
      <c r="D319" s="495"/>
      <c r="E319" s="13"/>
      <c r="F319" s="13"/>
      <c r="G319" s="13"/>
      <c r="H319" s="13"/>
      <c r="I319" s="13"/>
      <c r="J319" s="13"/>
      <c r="K319" s="13"/>
      <c r="L319" s="13"/>
      <c r="M319" s="13"/>
      <c r="N319" s="13"/>
      <c r="O319" s="13"/>
      <c r="P319" s="13"/>
      <c r="Q319" s="13"/>
      <c r="R319" s="13"/>
      <c r="S319" s="13"/>
      <c r="T319" s="13"/>
      <c r="U319" s="13"/>
      <c r="V319" s="13"/>
      <c r="W319" s="13"/>
      <c r="X319" s="13"/>
    </row>
    <row r="320" spans="1:24" ht="12.75">
      <c r="A320" s="255"/>
      <c r="B320" s="13"/>
      <c r="C320" s="495"/>
      <c r="D320" s="495"/>
      <c r="E320" s="13"/>
      <c r="F320" s="13"/>
      <c r="G320" s="13"/>
      <c r="H320" s="13"/>
      <c r="I320" s="13"/>
      <c r="J320" s="13"/>
      <c r="K320" s="13"/>
      <c r="L320" s="13"/>
      <c r="M320" s="13"/>
      <c r="N320" s="13"/>
      <c r="O320" s="13"/>
      <c r="P320" s="13"/>
      <c r="Q320" s="13"/>
      <c r="R320" s="13"/>
      <c r="S320" s="13"/>
      <c r="T320" s="13"/>
      <c r="U320" s="13"/>
      <c r="V320" s="13"/>
      <c r="W320" s="13"/>
      <c r="X320" s="13"/>
    </row>
    <row r="321" spans="1:24" ht="12.75">
      <c r="A321" s="255"/>
      <c r="B321" s="13"/>
      <c r="C321" s="495"/>
      <c r="D321" s="495"/>
      <c r="E321" s="13"/>
      <c r="F321" s="13"/>
      <c r="G321" s="13"/>
      <c r="H321" s="13"/>
      <c r="I321" s="13"/>
      <c r="J321" s="13"/>
      <c r="K321" s="13"/>
      <c r="L321" s="13"/>
      <c r="M321" s="13"/>
      <c r="N321" s="13"/>
      <c r="O321" s="13"/>
      <c r="P321" s="13"/>
      <c r="Q321" s="13"/>
      <c r="R321" s="13"/>
      <c r="S321" s="13"/>
      <c r="T321" s="13"/>
      <c r="U321" s="13"/>
      <c r="V321" s="13"/>
      <c r="W321" s="13"/>
      <c r="X321" s="13"/>
    </row>
    <row r="322" spans="1:24" ht="12.75">
      <c r="A322" s="255"/>
      <c r="B322" s="13"/>
      <c r="C322" s="495"/>
      <c r="D322" s="495"/>
      <c r="E322" s="13"/>
      <c r="F322" s="13"/>
      <c r="G322" s="13"/>
      <c r="H322" s="13"/>
      <c r="I322" s="13"/>
      <c r="J322" s="13"/>
      <c r="K322" s="13"/>
      <c r="L322" s="13"/>
      <c r="M322" s="13"/>
      <c r="N322" s="13"/>
      <c r="O322" s="13"/>
      <c r="P322" s="13"/>
      <c r="Q322" s="13"/>
      <c r="R322" s="13"/>
      <c r="S322" s="13"/>
      <c r="T322" s="13"/>
      <c r="U322" s="13"/>
      <c r="V322" s="13"/>
      <c r="W322" s="13"/>
      <c r="X322" s="13"/>
    </row>
    <row r="323" spans="1:24" ht="12.75">
      <c r="A323" s="255"/>
      <c r="B323" s="13"/>
      <c r="C323" s="495"/>
      <c r="D323" s="495"/>
      <c r="E323" s="13"/>
      <c r="F323" s="13"/>
      <c r="G323" s="13"/>
      <c r="H323" s="13"/>
      <c r="I323" s="13"/>
      <c r="J323" s="13"/>
      <c r="K323" s="13"/>
      <c r="L323" s="13"/>
      <c r="M323" s="13"/>
      <c r="N323" s="13"/>
      <c r="O323" s="13"/>
      <c r="P323" s="13"/>
      <c r="Q323" s="13"/>
      <c r="R323" s="13"/>
      <c r="S323" s="13"/>
      <c r="T323" s="13"/>
      <c r="U323" s="13"/>
      <c r="V323" s="13"/>
      <c r="W323" s="13"/>
      <c r="X323" s="13"/>
    </row>
    <row r="324" spans="1:24" ht="12.75">
      <c r="A324" s="255"/>
      <c r="B324" s="13"/>
      <c r="C324" s="495"/>
      <c r="D324" s="495"/>
      <c r="E324" s="13"/>
      <c r="F324" s="13"/>
      <c r="G324" s="13"/>
      <c r="H324" s="13"/>
      <c r="I324" s="13"/>
      <c r="J324" s="13"/>
      <c r="K324" s="13"/>
      <c r="L324" s="13"/>
      <c r="M324" s="13"/>
      <c r="N324" s="13"/>
      <c r="O324" s="13"/>
      <c r="P324" s="13"/>
      <c r="Q324" s="13"/>
      <c r="R324" s="13"/>
      <c r="S324" s="13"/>
      <c r="T324" s="13"/>
      <c r="U324" s="13"/>
      <c r="V324" s="13"/>
      <c r="W324" s="13"/>
      <c r="X324" s="13"/>
    </row>
    <row r="325" spans="1:24" ht="12.75">
      <c r="A325" s="255"/>
      <c r="B325" s="13"/>
      <c r="C325" s="495"/>
      <c r="D325" s="495"/>
      <c r="E325" s="13"/>
      <c r="F325" s="13"/>
      <c r="G325" s="13"/>
      <c r="H325" s="13"/>
      <c r="I325" s="13"/>
      <c r="J325" s="13"/>
      <c r="K325" s="13"/>
      <c r="L325" s="13"/>
      <c r="M325" s="13"/>
      <c r="N325" s="13"/>
      <c r="O325" s="13"/>
      <c r="P325" s="13"/>
      <c r="Q325" s="13"/>
      <c r="R325" s="13"/>
      <c r="S325" s="13"/>
      <c r="T325" s="13"/>
      <c r="U325" s="13"/>
      <c r="V325" s="13"/>
      <c r="W325" s="13"/>
      <c r="X325" s="13"/>
    </row>
    <row r="326" spans="1:24" ht="12.75">
      <c r="A326" s="255"/>
      <c r="B326" s="13"/>
      <c r="C326" s="495"/>
      <c r="D326" s="495"/>
      <c r="E326" s="13"/>
      <c r="F326" s="13"/>
      <c r="G326" s="13"/>
      <c r="H326" s="13"/>
      <c r="I326" s="13"/>
      <c r="J326" s="13"/>
      <c r="K326" s="13"/>
      <c r="L326" s="13"/>
      <c r="M326" s="13"/>
      <c r="N326" s="13"/>
      <c r="O326" s="13"/>
      <c r="P326" s="13"/>
      <c r="Q326" s="13"/>
      <c r="R326" s="13"/>
      <c r="S326" s="13"/>
      <c r="T326" s="13"/>
      <c r="U326" s="13"/>
      <c r="V326" s="13"/>
      <c r="W326" s="13"/>
      <c r="X326" s="13"/>
    </row>
    <row r="327" spans="1:24" ht="12.75">
      <c r="A327" s="255"/>
      <c r="B327" s="13"/>
      <c r="C327" s="495"/>
      <c r="D327" s="495"/>
      <c r="E327" s="13"/>
      <c r="F327" s="13"/>
      <c r="G327" s="13"/>
      <c r="H327" s="13"/>
      <c r="I327" s="13"/>
      <c r="J327" s="13"/>
      <c r="K327" s="13"/>
      <c r="L327" s="13"/>
      <c r="M327" s="13"/>
      <c r="N327" s="13"/>
      <c r="O327" s="13"/>
      <c r="P327" s="13"/>
      <c r="Q327" s="13"/>
      <c r="R327" s="13"/>
      <c r="S327" s="13"/>
      <c r="T327" s="13"/>
      <c r="U327" s="13"/>
      <c r="V327" s="13"/>
      <c r="W327" s="13"/>
      <c r="X327" s="13"/>
    </row>
    <row r="328" spans="1:24" ht="12.75">
      <c r="A328" s="255"/>
      <c r="B328" s="13"/>
      <c r="C328" s="495"/>
      <c r="D328" s="495"/>
      <c r="E328" s="13"/>
      <c r="F328" s="13"/>
      <c r="G328" s="13"/>
      <c r="H328" s="13"/>
      <c r="I328" s="13"/>
      <c r="J328" s="13"/>
      <c r="K328" s="13"/>
      <c r="L328" s="13"/>
      <c r="M328" s="13"/>
      <c r="N328" s="13"/>
      <c r="O328" s="13"/>
      <c r="P328" s="13"/>
      <c r="Q328" s="13"/>
      <c r="R328" s="13"/>
      <c r="S328" s="13"/>
      <c r="T328" s="13"/>
      <c r="U328" s="13"/>
      <c r="V328" s="13"/>
      <c r="W328" s="13"/>
      <c r="X328" s="13"/>
    </row>
    <row r="329" spans="1:24" ht="12.75">
      <c r="A329" s="255"/>
      <c r="B329" s="13"/>
      <c r="C329" s="495"/>
      <c r="D329" s="495"/>
      <c r="E329" s="13"/>
      <c r="F329" s="13"/>
      <c r="G329" s="13"/>
      <c r="H329" s="13"/>
      <c r="I329" s="13"/>
      <c r="J329" s="13"/>
      <c r="K329" s="13"/>
      <c r="L329" s="13"/>
      <c r="M329" s="13"/>
      <c r="N329" s="13"/>
      <c r="O329" s="13"/>
      <c r="P329" s="13"/>
      <c r="Q329" s="13"/>
      <c r="R329" s="13"/>
      <c r="S329" s="13"/>
      <c r="T329" s="13"/>
      <c r="U329" s="13"/>
      <c r="V329" s="13"/>
      <c r="W329" s="13"/>
      <c r="X329" s="13"/>
    </row>
    <row r="330" spans="1:24" ht="12.75">
      <c r="A330" s="255"/>
      <c r="B330" s="13"/>
      <c r="C330" s="495"/>
      <c r="D330" s="495"/>
      <c r="E330" s="13"/>
      <c r="F330" s="13"/>
      <c r="G330" s="13"/>
      <c r="H330" s="13"/>
      <c r="I330" s="13"/>
      <c r="J330" s="13"/>
      <c r="K330" s="13"/>
      <c r="L330" s="13"/>
      <c r="M330" s="13"/>
      <c r="N330" s="13"/>
      <c r="O330" s="13"/>
      <c r="P330" s="13"/>
      <c r="Q330" s="13"/>
      <c r="R330" s="13"/>
      <c r="S330" s="13"/>
      <c r="T330" s="13"/>
      <c r="U330" s="13"/>
      <c r="V330" s="13"/>
      <c r="W330" s="13"/>
      <c r="X330" s="13"/>
    </row>
    <row r="331" spans="1:24" ht="12.75">
      <c r="A331" s="255"/>
      <c r="B331" s="13"/>
      <c r="C331" s="495"/>
      <c r="D331" s="495"/>
      <c r="E331" s="13"/>
      <c r="F331" s="13"/>
      <c r="G331" s="13"/>
      <c r="H331" s="13"/>
      <c r="I331" s="13"/>
      <c r="J331" s="13"/>
      <c r="K331" s="13"/>
      <c r="L331" s="13"/>
      <c r="M331" s="13"/>
      <c r="N331" s="13"/>
      <c r="O331" s="13"/>
      <c r="P331" s="13"/>
      <c r="Q331" s="13"/>
      <c r="R331" s="13"/>
      <c r="S331" s="13"/>
      <c r="T331" s="13"/>
      <c r="U331" s="13"/>
      <c r="V331" s="13"/>
      <c r="W331" s="13"/>
      <c r="X331" s="13"/>
    </row>
    <row r="332" spans="1:24" ht="12.75">
      <c r="A332" s="255"/>
      <c r="B332" s="13"/>
      <c r="C332" s="495"/>
      <c r="D332" s="495"/>
      <c r="E332" s="13"/>
      <c r="F332" s="13"/>
      <c r="G332" s="13"/>
      <c r="H332" s="13"/>
      <c r="I332" s="13"/>
      <c r="J332" s="13"/>
      <c r="K332" s="13"/>
      <c r="L332" s="13"/>
      <c r="M332" s="13"/>
      <c r="N332" s="13"/>
      <c r="O332" s="13"/>
      <c r="P332" s="13"/>
      <c r="Q332" s="13"/>
      <c r="R332" s="13"/>
      <c r="S332" s="13"/>
      <c r="T332" s="13"/>
      <c r="U332" s="13"/>
      <c r="V332" s="13"/>
      <c r="W332" s="13"/>
      <c r="X332" s="13"/>
    </row>
    <row r="333" spans="1:24" ht="12.75">
      <c r="A333" s="255"/>
      <c r="B333" s="13"/>
      <c r="C333" s="495"/>
      <c r="D333" s="495"/>
      <c r="E333" s="13"/>
      <c r="F333" s="13"/>
      <c r="G333" s="13"/>
      <c r="H333" s="13"/>
      <c r="I333" s="13"/>
      <c r="J333" s="13"/>
      <c r="K333" s="13"/>
      <c r="L333" s="13"/>
      <c r="M333" s="13"/>
      <c r="N333" s="13"/>
      <c r="O333" s="13"/>
      <c r="P333" s="13"/>
      <c r="Q333" s="13"/>
      <c r="R333" s="13"/>
      <c r="S333" s="13"/>
      <c r="T333" s="13"/>
      <c r="U333" s="13"/>
      <c r="V333" s="13"/>
      <c r="W333" s="13"/>
      <c r="X333" s="13"/>
    </row>
    <row r="334" spans="1:24" ht="12.75">
      <c r="A334" s="255"/>
      <c r="B334" s="13"/>
      <c r="C334" s="495"/>
      <c r="D334" s="495"/>
      <c r="E334" s="13"/>
      <c r="F334" s="13"/>
      <c r="G334" s="13"/>
      <c r="H334" s="13"/>
      <c r="I334" s="13"/>
      <c r="J334" s="13"/>
      <c r="K334" s="13"/>
      <c r="L334" s="13"/>
      <c r="M334" s="13"/>
      <c r="N334" s="13"/>
      <c r="O334" s="13"/>
      <c r="P334" s="13"/>
      <c r="Q334" s="13"/>
      <c r="R334" s="13"/>
      <c r="S334" s="13"/>
      <c r="T334" s="13"/>
      <c r="U334" s="13"/>
      <c r="V334" s="13"/>
      <c r="W334" s="13"/>
      <c r="X334" s="13"/>
    </row>
    <row r="335" spans="1:24" ht="12.75">
      <c r="A335" s="255"/>
      <c r="B335" s="13"/>
      <c r="C335" s="495"/>
      <c r="D335" s="495"/>
      <c r="E335" s="13"/>
      <c r="F335" s="13"/>
      <c r="G335" s="13"/>
      <c r="H335" s="13"/>
      <c r="I335" s="13"/>
      <c r="J335" s="13"/>
      <c r="K335" s="13"/>
      <c r="L335" s="13"/>
      <c r="M335" s="13"/>
      <c r="N335" s="13"/>
      <c r="O335" s="13"/>
      <c r="P335" s="13"/>
      <c r="Q335" s="13"/>
      <c r="R335" s="13"/>
      <c r="S335" s="13"/>
      <c r="T335" s="13"/>
      <c r="U335" s="13"/>
      <c r="V335" s="13"/>
      <c r="W335" s="13"/>
      <c r="X335" s="13"/>
    </row>
    <row r="336" spans="1:24" ht="12.75">
      <c r="A336" s="255"/>
      <c r="B336" s="13"/>
      <c r="C336" s="495"/>
      <c r="D336" s="495"/>
      <c r="E336" s="13"/>
      <c r="F336" s="13"/>
      <c r="G336" s="13"/>
      <c r="H336" s="13"/>
      <c r="I336" s="13"/>
      <c r="J336" s="13"/>
      <c r="K336" s="13"/>
      <c r="L336" s="13"/>
      <c r="M336" s="13"/>
      <c r="N336" s="13"/>
      <c r="O336" s="13"/>
      <c r="P336" s="13"/>
      <c r="Q336" s="13"/>
      <c r="R336" s="13"/>
      <c r="S336" s="13"/>
      <c r="T336" s="13"/>
      <c r="U336" s="13"/>
      <c r="V336" s="13"/>
      <c r="W336" s="13"/>
      <c r="X336" s="13"/>
    </row>
    <row r="337" spans="1:24" ht="12.75">
      <c r="A337" s="255"/>
      <c r="B337" s="13"/>
      <c r="C337" s="495"/>
      <c r="D337" s="495"/>
      <c r="E337" s="13"/>
      <c r="F337" s="13"/>
      <c r="G337" s="13"/>
      <c r="H337" s="13"/>
      <c r="I337" s="13"/>
      <c r="J337" s="13"/>
      <c r="K337" s="13"/>
      <c r="L337" s="13"/>
      <c r="M337" s="13"/>
      <c r="N337" s="13"/>
      <c r="O337" s="13"/>
      <c r="P337" s="13"/>
      <c r="Q337" s="13"/>
      <c r="R337" s="13"/>
      <c r="S337" s="13"/>
      <c r="T337" s="13"/>
      <c r="U337" s="13"/>
      <c r="V337" s="13"/>
      <c r="W337" s="13"/>
      <c r="X337" s="13"/>
    </row>
    <row r="338" spans="1:24" ht="12.75">
      <c r="A338" s="255"/>
      <c r="B338" s="13"/>
      <c r="C338" s="495"/>
      <c r="D338" s="495"/>
      <c r="E338" s="13"/>
      <c r="F338" s="13"/>
      <c r="G338" s="13"/>
      <c r="H338" s="13"/>
      <c r="I338" s="13"/>
      <c r="J338" s="13"/>
      <c r="K338" s="13"/>
      <c r="L338" s="13"/>
      <c r="M338" s="13"/>
      <c r="N338" s="13"/>
      <c r="O338" s="13"/>
      <c r="P338" s="13"/>
      <c r="Q338" s="13"/>
      <c r="R338" s="13"/>
      <c r="S338" s="13"/>
      <c r="T338" s="13"/>
      <c r="U338" s="13"/>
      <c r="V338" s="13"/>
      <c r="W338" s="13"/>
      <c r="X338" s="13"/>
    </row>
    <row r="339" spans="1:24" ht="12.75">
      <c r="A339" s="255"/>
      <c r="B339" s="13"/>
      <c r="C339" s="495"/>
      <c r="D339" s="495"/>
      <c r="E339" s="13"/>
      <c r="F339" s="13"/>
      <c r="G339" s="13"/>
      <c r="H339" s="13"/>
      <c r="I339" s="13"/>
      <c r="J339" s="13"/>
      <c r="K339" s="13"/>
      <c r="L339" s="13"/>
      <c r="M339" s="13"/>
      <c r="N339" s="13"/>
      <c r="O339" s="13"/>
      <c r="P339" s="13"/>
      <c r="Q339" s="13"/>
      <c r="R339" s="13"/>
      <c r="S339" s="13"/>
      <c r="T339" s="13"/>
      <c r="U339" s="13"/>
      <c r="V339" s="13"/>
      <c r="W339" s="13"/>
      <c r="X339" s="13"/>
    </row>
    <row r="340" spans="1:24" ht="12.75">
      <c r="A340" s="255"/>
      <c r="B340" s="13"/>
      <c r="C340" s="495"/>
      <c r="D340" s="495"/>
      <c r="E340" s="13"/>
      <c r="F340" s="13"/>
      <c r="G340" s="13"/>
      <c r="H340" s="13"/>
      <c r="I340" s="13"/>
      <c r="J340" s="13"/>
      <c r="K340" s="13"/>
      <c r="L340" s="13"/>
      <c r="M340" s="13"/>
      <c r="N340" s="13"/>
      <c r="O340" s="13"/>
      <c r="P340" s="13"/>
      <c r="Q340" s="13"/>
      <c r="R340" s="13"/>
      <c r="S340" s="13"/>
      <c r="T340" s="13"/>
      <c r="U340" s="13"/>
      <c r="V340" s="13"/>
      <c r="W340" s="13"/>
      <c r="X340" s="13"/>
    </row>
    <row r="341" spans="1:24" ht="12.75">
      <c r="A341" s="255"/>
      <c r="B341" s="13"/>
      <c r="C341" s="495"/>
      <c r="D341" s="495"/>
      <c r="E341" s="13"/>
      <c r="F341" s="13"/>
      <c r="G341" s="13"/>
      <c r="H341" s="13"/>
      <c r="I341" s="13"/>
      <c r="J341" s="13"/>
      <c r="K341" s="13"/>
      <c r="L341" s="13"/>
      <c r="M341" s="13"/>
      <c r="N341" s="13"/>
      <c r="O341" s="13"/>
      <c r="P341" s="13"/>
      <c r="Q341" s="13"/>
      <c r="R341" s="13"/>
      <c r="S341" s="13"/>
      <c r="T341" s="13"/>
      <c r="U341" s="13"/>
      <c r="V341" s="13"/>
      <c r="W341" s="13"/>
      <c r="X341" s="13"/>
    </row>
    <row r="342" spans="1:24" ht="12.75">
      <c r="A342" s="255"/>
      <c r="B342" s="13"/>
      <c r="C342" s="495"/>
      <c r="D342" s="495"/>
      <c r="E342" s="13"/>
      <c r="F342" s="13"/>
      <c r="G342" s="13"/>
      <c r="H342" s="13"/>
      <c r="I342" s="13"/>
      <c r="J342" s="13"/>
      <c r="K342" s="13"/>
      <c r="L342" s="13"/>
      <c r="M342" s="13"/>
      <c r="N342" s="13"/>
      <c r="O342" s="13"/>
      <c r="P342" s="13"/>
      <c r="Q342" s="13"/>
      <c r="R342" s="13"/>
      <c r="S342" s="13"/>
      <c r="T342" s="13"/>
      <c r="U342" s="13"/>
      <c r="V342" s="13"/>
      <c r="W342" s="13"/>
      <c r="X342" s="13"/>
    </row>
    <row r="343" spans="1:24" ht="12.75">
      <c r="A343" s="255"/>
      <c r="B343" s="13"/>
      <c r="C343" s="495"/>
      <c r="D343" s="495"/>
      <c r="E343" s="13"/>
      <c r="F343" s="13"/>
      <c r="G343" s="13"/>
      <c r="H343" s="13"/>
      <c r="I343" s="13"/>
      <c r="J343" s="13"/>
      <c r="K343" s="13"/>
      <c r="L343" s="13"/>
      <c r="M343" s="13"/>
      <c r="N343" s="13"/>
      <c r="O343" s="13"/>
      <c r="P343" s="13"/>
      <c r="Q343" s="13"/>
      <c r="R343" s="13"/>
      <c r="S343" s="13"/>
      <c r="T343" s="13"/>
      <c r="U343" s="13"/>
      <c r="V343" s="13"/>
      <c r="W343" s="13"/>
      <c r="X343" s="13"/>
    </row>
    <row r="344" spans="1:24" ht="12.75">
      <c r="A344" s="255"/>
      <c r="B344" s="13"/>
      <c r="C344" s="495"/>
      <c r="D344" s="495"/>
      <c r="E344" s="13"/>
      <c r="F344" s="13"/>
      <c r="G344" s="13"/>
      <c r="H344" s="13"/>
      <c r="I344" s="13"/>
      <c r="J344" s="13"/>
      <c r="K344" s="13"/>
      <c r="L344" s="13"/>
      <c r="M344" s="13"/>
      <c r="N344" s="13"/>
      <c r="O344" s="13"/>
      <c r="P344" s="13"/>
      <c r="Q344" s="13"/>
      <c r="R344" s="13"/>
      <c r="S344" s="13"/>
      <c r="T344" s="13"/>
      <c r="U344" s="13"/>
      <c r="V344" s="13"/>
      <c r="W344" s="13"/>
      <c r="X344" s="13"/>
    </row>
    <row r="345" spans="1:24" ht="12.75">
      <c r="A345" s="255"/>
      <c r="B345" s="13"/>
      <c r="C345" s="495"/>
      <c r="D345" s="495"/>
      <c r="E345" s="13"/>
      <c r="F345" s="13"/>
      <c r="G345" s="13"/>
      <c r="H345" s="13"/>
      <c r="I345" s="13"/>
      <c r="J345" s="13"/>
      <c r="K345" s="13"/>
      <c r="L345" s="13"/>
      <c r="M345" s="13"/>
      <c r="N345" s="13"/>
      <c r="O345" s="13"/>
      <c r="P345" s="13"/>
      <c r="Q345" s="13"/>
      <c r="R345" s="13"/>
      <c r="S345" s="13"/>
      <c r="T345" s="13"/>
      <c r="U345" s="13"/>
      <c r="V345" s="13"/>
      <c r="W345" s="13"/>
      <c r="X345" s="13"/>
    </row>
    <row r="346" spans="1:24" ht="12.75">
      <c r="A346" s="255"/>
      <c r="B346" s="13"/>
      <c r="C346" s="495"/>
      <c r="D346" s="495"/>
      <c r="E346" s="13"/>
      <c r="F346" s="13"/>
      <c r="G346" s="13"/>
      <c r="H346" s="13"/>
      <c r="I346" s="13"/>
      <c r="J346" s="13"/>
      <c r="K346" s="13"/>
      <c r="L346" s="13"/>
      <c r="M346" s="13"/>
      <c r="N346" s="13"/>
      <c r="O346" s="13"/>
      <c r="P346" s="13"/>
      <c r="Q346" s="13"/>
      <c r="R346" s="13"/>
      <c r="S346" s="13"/>
      <c r="T346" s="13"/>
      <c r="U346" s="13"/>
      <c r="V346" s="13"/>
      <c r="W346" s="13"/>
      <c r="X346" s="13"/>
    </row>
    <row r="347" spans="1:24" ht="12.75">
      <c r="A347" s="255"/>
      <c r="B347" s="13"/>
      <c r="C347" s="495"/>
      <c r="D347" s="495"/>
      <c r="E347" s="13"/>
      <c r="F347" s="13"/>
      <c r="G347" s="13"/>
      <c r="H347" s="13"/>
      <c r="I347" s="13"/>
      <c r="J347" s="13"/>
      <c r="K347" s="13"/>
      <c r="L347" s="13"/>
      <c r="M347" s="13"/>
      <c r="N347" s="13"/>
      <c r="O347" s="13"/>
      <c r="P347" s="13"/>
      <c r="Q347" s="13"/>
      <c r="R347" s="13"/>
      <c r="S347" s="13"/>
      <c r="T347" s="13"/>
      <c r="U347" s="13"/>
      <c r="V347" s="13"/>
      <c r="W347" s="13"/>
      <c r="X347" s="13"/>
    </row>
    <row r="348" spans="1:24" ht="12.75">
      <c r="A348" s="255"/>
      <c r="B348" s="13"/>
      <c r="C348" s="495"/>
      <c r="D348" s="495"/>
      <c r="E348" s="13"/>
      <c r="F348" s="13"/>
      <c r="G348" s="13"/>
      <c r="H348" s="13"/>
      <c r="I348" s="13"/>
      <c r="J348" s="13"/>
      <c r="K348" s="13"/>
      <c r="L348" s="13"/>
      <c r="M348" s="13"/>
      <c r="N348" s="13"/>
      <c r="O348" s="13"/>
      <c r="P348" s="13"/>
      <c r="Q348" s="13"/>
      <c r="R348" s="13"/>
      <c r="S348" s="13"/>
      <c r="T348" s="13"/>
      <c r="U348" s="13"/>
      <c r="V348" s="13"/>
      <c r="W348" s="13"/>
      <c r="X348" s="13"/>
    </row>
    <row r="349" spans="1:24" ht="12.75">
      <c r="A349" s="255"/>
      <c r="B349" s="13"/>
      <c r="C349" s="495"/>
      <c r="D349" s="495"/>
      <c r="E349" s="13"/>
      <c r="F349" s="13"/>
      <c r="G349" s="13"/>
      <c r="H349" s="13"/>
      <c r="I349" s="13"/>
      <c r="J349" s="13"/>
      <c r="K349" s="13"/>
      <c r="L349" s="13"/>
      <c r="M349" s="13"/>
      <c r="N349" s="13"/>
      <c r="O349" s="13"/>
      <c r="P349" s="13"/>
      <c r="Q349" s="13"/>
      <c r="R349" s="13"/>
      <c r="S349" s="13"/>
      <c r="T349" s="13"/>
      <c r="U349" s="13"/>
      <c r="V349" s="13"/>
      <c r="W349" s="13"/>
      <c r="X349" s="13"/>
    </row>
    <row r="350" spans="1:24" ht="12.75">
      <c r="A350" s="255"/>
      <c r="B350" s="13"/>
      <c r="C350" s="495"/>
      <c r="D350" s="495"/>
      <c r="E350" s="13"/>
      <c r="F350" s="13"/>
      <c r="G350" s="13"/>
      <c r="H350" s="13"/>
      <c r="I350" s="13"/>
      <c r="J350" s="13"/>
      <c r="K350" s="13"/>
      <c r="L350" s="13"/>
      <c r="M350" s="13"/>
      <c r="N350" s="13"/>
      <c r="O350" s="13"/>
      <c r="P350" s="13"/>
      <c r="Q350" s="13"/>
      <c r="R350" s="13"/>
      <c r="S350" s="13"/>
      <c r="T350" s="13"/>
      <c r="U350" s="13"/>
      <c r="V350" s="13"/>
      <c r="W350" s="13"/>
      <c r="X350" s="13"/>
    </row>
    <row r="351" spans="1:24" ht="12.75">
      <c r="A351" s="255"/>
      <c r="B351" s="13"/>
      <c r="C351" s="495"/>
      <c r="D351" s="495"/>
      <c r="E351" s="13"/>
      <c r="F351" s="13"/>
      <c r="G351" s="13"/>
      <c r="H351" s="13"/>
      <c r="I351" s="13"/>
      <c r="J351" s="13"/>
      <c r="K351" s="13"/>
      <c r="L351" s="13"/>
      <c r="M351" s="13"/>
      <c r="N351" s="13"/>
      <c r="O351" s="13"/>
      <c r="P351" s="13"/>
      <c r="Q351" s="13"/>
      <c r="R351" s="13"/>
      <c r="S351" s="13"/>
      <c r="T351" s="13"/>
      <c r="U351" s="13"/>
      <c r="V351" s="13"/>
      <c r="W351" s="13"/>
      <c r="X351" s="13"/>
    </row>
    <row r="352" spans="1:24" ht="12.75">
      <c r="A352" s="255"/>
      <c r="B352" s="13"/>
      <c r="C352" s="495"/>
      <c r="D352" s="495"/>
      <c r="E352" s="13"/>
      <c r="F352" s="13"/>
      <c r="G352" s="13"/>
      <c r="H352" s="13"/>
      <c r="I352" s="13"/>
      <c r="J352" s="13"/>
      <c r="K352" s="13"/>
      <c r="L352" s="13"/>
      <c r="M352" s="13"/>
      <c r="N352" s="13"/>
      <c r="O352" s="13"/>
      <c r="P352" s="13"/>
      <c r="Q352" s="13"/>
      <c r="R352" s="13"/>
      <c r="S352" s="13"/>
      <c r="T352" s="13"/>
      <c r="U352" s="13"/>
      <c r="V352" s="13"/>
      <c r="W352" s="13"/>
      <c r="X352" s="13"/>
    </row>
    <row r="353" spans="1:24" ht="12.75">
      <c r="A353" s="255"/>
      <c r="B353" s="13"/>
      <c r="C353" s="495"/>
      <c r="D353" s="495"/>
      <c r="E353" s="13"/>
      <c r="F353" s="13"/>
      <c r="G353" s="13"/>
      <c r="H353" s="13"/>
      <c r="I353" s="13"/>
      <c r="J353" s="13"/>
      <c r="K353" s="13"/>
      <c r="L353" s="13"/>
      <c r="M353" s="13"/>
      <c r="N353" s="13"/>
      <c r="O353" s="13"/>
      <c r="P353" s="13"/>
      <c r="Q353" s="13"/>
      <c r="R353" s="13"/>
      <c r="S353" s="13"/>
      <c r="T353" s="13"/>
      <c r="U353" s="13"/>
      <c r="V353" s="13"/>
      <c r="W353" s="13"/>
      <c r="X353" s="13"/>
    </row>
    <row r="354" spans="1:24" ht="12.75">
      <c r="A354" s="255"/>
      <c r="B354" s="13"/>
      <c r="C354" s="495"/>
      <c r="D354" s="495"/>
      <c r="E354" s="13"/>
      <c r="F354" s="13"/>
      <c r="G354" s="13"/>
      <c r="H354" s="13"/>
      <c r="I354" s="13"/>
      <c r="J354" s="13"/>
      <c r="K354" s="13"/>
      <c r="L354" s="13"/>
      <c r="M354" s="13"/>
      <c r="N354" s="13"/>
      <c r="O354" s="13"/>
      <c r="P354" s="13"/>
      <c r="Q354" s="13"/>
      <c r="R354" s="13"/>
      <c r="S354" s="13"/>
      <c r="T354" s="13"/>
      <c r="U354" s="13"/>
      <c r="V354" s="13"/>
      <c r="W354" s="13"/>
      <c r="X354" s="13"/>
    </row>
    <row r="355" spans="1:24" ht="12.75">
      <c r="A355" s="255"/>
      <c r="B355" s="13"/>
      <c r="C355" s="495"/>
      <c r="D355" s="495"/>
      <c r="E355" s="13"/>
      <c r="F355" s="13"/>
      <c r="G355" s="13"/>
      <c r="H355" s="13"/>
      <c r="I355" s="13"/>
      <c r="J355" s="13"/>
      <c r="K355" s="13"/>
      <c r="L355" s="13"/>
      <c r="M355" s="13"/>
      <c r="N355" s="13"/>
      <c r="O355" s="13"/>
      <c r="P355" s="13"/>
      <c r="Q355" s="13"/>
      <c r="R355" s="13"/>
      <c r="S355" s="13"/>
      <c r="T355" s="13"/>
      <c r="U355" s="13"/>
      <c r="V355" s="13"/>
      <c r="W355" s="13"/>
      <c r="X355" s="13"/>
    </row>
    <row r="356" spans="1:24" ht="12.75">
      <c r="A356" s="255"/>
      <c r="B356" s="13"/>
      <c r="C356" s="495"/>
      <c r="D356" s="495"/>
      <c r="E356" s="13"/>
      <c r="F356" s="13"/>
      <c r="G356" s="13"/>
      <c r="H356" s="13"/>
      <c r="I356" s="13"/>
      <c r="J356" s="13"/>
      <c r="K356" s="13"/>
      <c r="L356" s="13"/>
      <c r="M356" s="13"/>
      <c r="N356" s="13"/>
      <c r="O356" s="13"/>
      <c r="P356" s="13"/>
      <c r="Q356" s="13"/>
      <c r="R356" s="13"/>
      <c r="S356" s="13"/>
      <c r="T356" s="13"/>
      <c r="U356" s="13"/>
      <c r="V356" s="13"/>
      <c r="W356" s="13"/>
      <c r="X356" s="13"/>
    </row>
    <row r="357" spans="1:24" ht="12.75">
      <c r="A357" s="255"/>
      <c r="B357" s="13"/>
      <c r="C357" s="495"/>
      <c r="D357" s="495"/>
      <c r="E357" s="13"/>
      <c r="F357" s="13"/>
      <c r="G357" s="13"/>
      <c r="H357" s="13"/>
      <c r="I357" s="13"/>
      <c r="J357" s="13"/>
      <c r="K357" s="13"/>
      <c r="L357" s="13"/>
      <c r="M357" s="13"/>
      <c r="N357" s="13"/>
      <c r="O357" s="13"/>
      <c r="P357" s="13"/>
      <c r="Q357" s="13"/>
      <c r="R357" s="13"/>
      <c r="S357" s="13"/>
      <c r="T357" s="13"/>
      <c r="U357" s="13"/>
      <c r="V357" s="13"/>
      <c r="W357" s="13"/>
      <c r="X357" s="13"/>
    </row>
    <row r="358" spans="1:24" ht="12.75">
      <c r="A358" s="255"/>
      <c r="B358" s="13"/>
      <c r="C358" s="495"/>
      <c r="D358" s="495"/>
      <c r="E358" s="13"/>
      <c r="F358" s="13"/>
      <c r="G358" s="13"/>
      <c r="H358" s="13"/>
      <c r="I358" s="13"/>
      <c r="J358" s="13"/>
      <c r="K358" s="13"/>
      <c r="L358" s="13"/>
      <c r="M358" s="13"/>
      <c r="N358" s="13"/>
      <c r="O358" s="13"/>
      <c r="P358" s="13"/>
      <c r="Q358" s="13"/>
      <c r="R358" s="13"/>
      <c r="S358" s="13"/>
      <c r="T358" s="13"/>
      <c r="U358" s="13"/>
      <c r="V358" s="13"/>
      <c r="W358" s="13"/>
      <c r="X358" s="13"/>
    </row>
    <row r="359" spans="1:24" ht="12.75">
      <c r="A359" s="255"/>
      <c r="B359" s="13"/>
      <c r="C359" s="495"/>
      <c r="D359" s="495"/>
      <c r="E359" s="13"/>
      <c r="F359" s="13"/>
      <c r="G359" s="13"/>
      <c r="H359" s="13"/>
      <c r="I359" s="13"/>
      <c r="J359" s="13"/>
      <c r="K359" s="13"/>
      <c r="L359" s="13"/>
      <c r="M359" s="13"/>
      <c r="N359" s="13"/>
      <c r="O359" s="13"/>
      <c r="P359" s="13"/>
      <c r="Q359" s="13"/>
      <c r="R359" s="13"/>
      <c r="S359" s="13"/>
      <c r="T359" s="13"/>
      <c r="U359" s="13"/>
      <c r="V359" s="13"/>
      <c r="W359" s="13"/>
      <c r="X359" s="13"/>
    </row>
    <row r="360" spans="1:24" ht="12.75">
      <c r="A360" s="255"/>
      <c r="B360" s="13"/>
      <c r="C360" s="495"/>
      <c r="D360" s="495"/>
      <c r="E360" s="13"/>
      <c r="F360" s="13"/>
      <c r="G360" s="13"/>
      <c r="H360" s="13"/>
      <c r="I360" s="13"/>
      <c r="J360" s="13"/>
      <c r="K360" s="13"/>
      <c r="L360" s="13"/>
      <c r="M360" s="13"/>
      <c r="N360" s="13"/>
      <c r="O360" s="13"/>
      <c r="P360" s="13"/>
      <c r="Q360" s="13"/>
      <c r="R360" s="13"/>
      <c r="S360" s="13"/>
      <c r="T360" s="13"/>
      <c r="U360" s="13"/>
      <c r="V360" s="13"/>
      <c r="W360" s="13"/>
      <c r="X360" s="13"/>
    </row>
    <row r="361" spans="1:24" ht="12.75">
      <c r="A361" s="255"/>
      <c r="B361" s="13"/>
      <c r="C361" s="495"/>
      <c r="D361" s="495"/>
      <c r="E361" s="13"/>
      <c r="F361" s="13"/>
      <c r="G361" s="13"/>
      <c r="H361" s="13"/>
      <c r="I361" s="13"/>
      <c r="J361" s="13"/>
      <c r="K361" s="13"/>
      <c r="L361" s="13"/>
      <c r="M361" s="13"/>
      <c r="N361" s="13"/>
      <c r="O361" s="13"/>
      <c r="P361" s="13"/>
      <c r="Q361" s="13"/>
      <c r="R361" s="13"/>
      <c r="S361" s="13"/>
      <c r="T361" s="13"/>
      <c r="U361" s="13"/>
      <c r="V361" s="13"/>
      <c r="W361" s="13"/>
      <c r="X361" s="13"/>
    </row>
    <row r="362" spans="1:24" ht="12.75">
      <c r="A362" s="255"/>
      <c r="B362" s="13"/>
      <c r="C362" s="495"/>
      <c r="D362" s="495"/>
      <c r="E362" s="13"/>
      <c r="F362" s="13"/>
      <c r="G362" s="13"/>
      <c r="H362" s="13"/>
      <c r="I362" s="13"/>
      <c r="J362" s="13"/>
      <c r="K362" s="13"/>
      <c r="L362" s="13"/>
      <c r="M362" s="13"/>
      <c r="N362" s="13"/>
      <c r="O362" s="13"/>
      <c r="P362" s="13"/>
      <c r="Q362" s="13"/>
      <c r="R362" s="13"/>
      <c r="S362" s="13"/>
      <c r="T362" s="13"/>
      <c r="U362" s="13"/>
      <c r="V362" s="13"/>
      <c r="W362" s="13"/>
      <c r="X362" s="13"/>
    </row>
    <row r="363" spans="1:24" ht="12.75">
      <c r="A363" s="255"/>
      <c r="B363" s="13"/>
      <c r="C363" s="495"/>
      <c r="D363" s="495"/>
      <c r="E363" s="13"/>
      <c r="F363" s="13"/>
      <c r="G363" s="13"/>
      <c r="H363" s="13"/>
      <c r="I363" s="13"/>
      <c r="J363" s="13"/>
      <c r="K363" s="13"/>
      <c r="L363" s="13"/>
      <c r="M363" s="13"/>
      <c r="N363" s="13"/>
      <c r="O363" s="13"/>
      <c r="P363" s="13"/>
      <c r="Q363" s="13"/>
      <c r="R363" s="13"/>
      <c r="S363" s="13"/>
      <c r="T363" s="13"/>
      <c r="U363" s="13"/>
      <c r="V363" s="13"/>
      <c r="W363" s="13"/>
      <c r="X363" s="13"/>
    </row>
    <row r="364" spans="1:24" ht="12.75">
      <c r="A364" s="255"/>
      <c r="B364" s="13"/>
      <c r="C364" s="495"/>
      <c r="D364" s="495"/>
      <c r="E364" s="13"/>
      <c r="F364" s="13"/>
      <c r="G364" s="13"/>
      <c r="H364" s="13"/>
      <c r="I364" s="13"/>
      <c r="J364" s="13"/>
      <c r="K364" s="13"/>
      <c r="L364" s="13"/>
      <c r="M364" s="13"/>
      <c r="N364" s="13"/>
      <c r="O364" s="13"/>
      <c r="P364" s="13"/>
      <c r="Q364" s="13"/>
      <c r="R364" s="13"/>
      <c r="S364" s="13"/>
      <c r="T364" s="13"/>
      <c r="U364" s="13"/>
      <c r="V364" s="13"/>
      <c r="W364" s="13"/>
      <c r="X364" s="13"/>
    </row>
    <row r="365" spans="1:24" ht="12.75">
      <c r="A365" s="255"/>
      <c r="B365" s="13"/>
      <c r="C365" s="495"/>
      <c r="D365" s="495"/>
      <c r="E365" s="13"/>
      <c r="F365" s="13"/>
      <c r="G365" s="13"/>
      <c r="H365" s="13"/>
      <c r="I365" s="13"/>
      <c r="J365" s="13"/>
      <c r="K365" s="13"/>
      <c r="L365" s="13"/>
      <c r="M365" s="13"/>
      <c r="N365" s="13"/>
      <c r="O365" s="13"/>
      <c r="P365" s="13"/>
      <c r="Q365" s="13"/>
      <c r="R365" s="13"/>
      <c r="S365" s="13"/>
      <c r="T365" s="13"/>
      <c r="U365" s="13"/>
      <c r="V365" s="13"/>
      <c r="W365" s="13"/>
      <c r="X365" s="13"/>
    </row>
    <row r="366" spans="1:24" ht="12.75">
      <c r="A366" s="255"/>
      <c r="B366" s="13"/>
      <c r="C366" s="495"/>
      <c r="D366" s="495"/>
      <c r="E366" s="13"/>
      <c r="F366" s="13"/>
      <c r="G366" s="13"/>
      <c r="H366" s="13"/>
      <c r="I366" s="13"/>
      <c r="J366" s="13"/>
      <c r="K366" s="13"/>
      <c r="L366" s="13"/>
      <c r="M366" s="13"/>
      <c r="N366" s="13"/>
      <c r="O366" s="13"/>
      <c r="P366" s="13"/>
      <c r="Q366" s="13"/>
      <c r="R366" s="13"/>
      <c r="S366" s="13"/>
      <c r="T366" s="13"/>
      <c r="U366" s="13"/>
      <c r="V366" s="13"/>
      <c r="W366" s="13"/>
      <c r="X366" s="13"/>
    </row>
    <row r="367" spans="1:24" ht="12.75">
      <c r="A367" s="255"/>
      <c r="B367" s="13"/>
      <c r="C367" s="495"/>
      <c r="D367" s="495"/>
      <c r="E367" s="13"/>
      <c r="F367" s="13"/>
      <c r="G367" s="13"/>
      <c r="H367" s="13"/>
      <c r="I367" s="13"/>
      <c r="J367" s="13"/>
      <c r="K367" s="13"/>
      <c r="L367" s="13"/>
      <c r="M367" s="13"/>
      <c r="N367" s="13"/>
      <c r="O367" s="13"/>
      <c r="P367" s="13"/>
      <c r="Q367" s="13"/>
      <c r="R367" s="13"/>
      <c r="S367" s="13"/>
      <c r="T367" s="13"/>
      <c r="U367" s="13"/>
      <c r="V367" s="13"/>
      <c r="W367" s="13"/>
      <c r="X367" s="13"/>
    </row>
    <row r="368" spans="1:24" ht="12.75">
      <c r="A368" s="255"/>
      <c r="B368" s="13"/>
      <c r="C368" s="495"/>
      <c r="D368" s="495"/>
      <c r="E368" s="13"/>
      <c r="F368" s="13"/>
      <c r="G368" s="13"/>
      <c r="H368" s="13"/>
      <c r="I368" s="13"/>
      <c r="J368" s="13"/>
      <c r="K368" s="13"/>
      <c r="L368" s="13"/>
      <c r="M368" s="13"/>
      <c r="N368" s="13"/>
      <c r="O368" s="13"/>
      <c r="P368" s="13"/>
      <c r="Q368" s="13"/>
      <c r="R368" s="13"/>
      <c r="S368" s="13"/>
      <c r="T368" s="13"/>
      <c r="U368" s="13"/>
      <c r="V368" s="13"/>
      <c r="W368" s="13"/>
      <c r="X368" s="13"/>
    </row>
    <row r="369" spans="1:24" ht="12.75">
      <c r="A369" s="255"/>
      <c r="B369" s="13"/>
      <c r="C369" s="495"/>
      <c r="D369" s="495"/>
      <c r="E369" s="13"/>
      <c r="F369" s="13"/>
      <c r="G369" s="13"/>
      <c r="H369" s="13"/>
      <c r="I369" s="13"/>
      <c r="J369" s="13"/>
      <c r="K369" s="13"/>
      <c r="L369" s="13"/>
      <c r="M369" s="13"/>
      <c r="N369" s="13"/>
      <c r="O369" s="13"/>
      <c r="P369" s="13"/>
      <c r="Q369" s="13"/>
      <c r="R369" s="13"/>
      <c r="S369" s="13"/>
      <c r="T369" s="13"/>
      <c r="U369" s="13"/>
      <c r="V369" s="13"/>
      <c r="W369" s="13"/>
      <c r="X369" s="13"/>
    </row>
    <row r="370" spans="1:24" ht="12.75">
      <c r="A370" s="255"/>
      <c r="B370" s="13"/>
      <c r="C370" s="495"/>
      <c r="D370" s="495"/>
      <c r="E370" s="13"/>
      <c r="F370" s="13"/>
      <c r="G370" s="13"/>
      <c r="H370" s="13"/>
      <c r="I370" s="13"/>
      <c r="J370" s="13"/>
      <c r="K370" s="13"/>
      <c r="L370" s="13"/>
      <c r="M370" s="13"/>
      <c r="N370" s="13"/>
      <c r="O370" s="13"/>
      <c r="P370" s="13"/>
      <c r="Q370" s="13"/>
      <c r="R370" s="13"/>
      <c r="S370" s="13"/>
      <c r="T370" s="13"/>
      <c r="U370" s="13"/>
      <c r="V370" s="13"/>
      <c r="W370" s="13"/>
      <c r="X370" s="13"/>
    </row>
    <row r="371" spans="1:24" ht="12.75">
      <c r="A371" s="255"/>
      <c r="B371" s="13"/>
      <c r="C371" s="495"/>
      <c r="D371" s="495"/>
      <c r="E371" s="13"/>
      <c r="F371" s="13"/>
      <c r="G371" s="13"/>
      <c r="H371" s="13"/>
      <c r="I371" s="13"/>
      <c r="J371" s="13"/>
      <c r="K371" s="13"/>
      <c r="L371" s="13"/>
      <c r="M371" s="13"/>
      <c r="N371" s="13"/>
      <c r="O371" s="13"/>
      <c r="P371" s="13"/>
      <c r="Q371" s="13"/>
      <c r="R371" s="13"/>
      <c r="S371" s="13"/>
      <c r="T371" s="13"/>
      <c r="U371" s="13"/>
      <c r="V371" s="13"/>
      <c r="W371" s="13"/>
      <c r="X371" s="13"/>
    </row>
    <row r="372" spans="1:24" ht="12.75">
      <c r="A372" s="255"/>
      <c r="B372" s="13"/>
      <c r="C372" s="495"/>
      <c r="D372" s="495"/>
      <c r="E372" s="13"/>
      <c r="F372" s="13"/>
      <c r="G372" s="13"/>
      <c r="H372" s="13"/>
      <c r="I372" s="13"/>
      <c r="J372" s="13"/>
      <c r="K372" s="13"/>
      <c r="L372" s="13"/>
      <c r="M372" s="13"/>
      <c r="N372" s="13"/>
      <c r="O372" s="13"/>
      <c r="P372" s="13"/>
      <c r="Q372" s="13"/>
      <c r="R372" s="13"/>
      <c r="S372" s="13"/>
      <c r="T372" s="13"/>
      <c r="U372" s="13"/>
      <c r="V372" s="13"/>
      <c r="W372" s="13"/>
      <c r="X372" s="13"/>
    </row>
    <row r="373" spans="1:24" ht="12.75">
      <c r="A373" s="255"/>
      <c r="B373" s="13"/>
      <c r="C373" s="495"/>
      <c r="D373" s="495"/>
      <c r="E373" s="13"/>
      <c r="F373" s="13"/>
      <c r="G373" s="13"/>
      <c r="H373" s="13"/>
      <c r="I373" s="13"/>
      <c r="J373" s="13"/>
      <c r="K373" s="13"/>
      <c r="L373" s="13"/>
      <c r="M373" s="13"/>
      <c r="N373" s="13"/>
      <c r="O373" s="13"/>
      <c r="P373" s="13"/>
      <c r="Q373" s="13"/>
      <c r="R373" s="13"/>
      <c r="S373" s="13"/>
      <c r="T373" s="13"/>
      <c r="U373" s="13"/>
      <c r="V373" s="13"/>
      <c r="W373" s="13"/>
      <c r="X373" s="13"/>
    </row>
    <row r="374" spans="1:24" ht="12.75">
      <c r="A374" s="255"/>
      <c r="B374" s="13"/>
      <c r="C374" s="495"/>
      <c r="D374" s="495"/>
      <c r="E374" s="13"/>
      <c r="F374" s="13"/>
      <c r="G374" s="13"/>
      <c r="H374" s="13"/>
      <c r="I374" s="13"/>
      <c r="J374" s="13"/>
      <c r="K374" s="13"/>
      <c r="L374" s="13"/>
      <c r="M374" s="13"/>
      <c r="N374" s="13"/>
      <c r="O374" s="13"/>
      <c r="P374" s="13"/>
      <c r="Q374" s="13"/>
      <c r="R374" s="13"/>
      <c r="S374" s="13"/>
      <c r="T374" s="13"/>
      <c r="U374" s="13"/>
      <c r="V374" s="13"/>
      <c r="W374" s="13"/>
      <c r="X374" s="13"/>
    </row>
    <row r="375" spans="1:24" ht="12.75">
      <c r="A375" s="255"/>
      <c r="B375" s="13"/>
      <c r="C375" s="495"/>
      <c r="D375" s="495"/>
      <c r="E375" s="13"/>
      <c r="F375" s="13"/>
      <c r="G375" s="13"/>
      <c r="H375" s="13"/>
      <c r="I375" s="13"/>
      <c r="J375" s="13"/>
      <c r="K375" s="13"/>
      <c r="L375" s="13"/>
      <c r="M375" s="13"/>
      <c r="N375" s="13"/>
      <c r="O375" s="13"/>
      <c r="P375" s="13"/>
      <c r="Q375" s="13"/>
      <c r="R375" s="13"/>
      <c r="S375" s="13"/>
      <c r="T375" s="13"/>
      <c r="U375" s="13"/>
      <c r="V375" s="13"/>
      <c r="W375" s="13"/>
      <c r="X375" s="13"/>
    </row>
    <row r="376" spans="1:24" ht="12.75">
      <c r="A376" s="255"/>
      <c r="B376" s="13"/>
      <c r="C376" s="495"/>
      <c r="D376" s="495"/>
      <c r="E376" s="13"/>
      <c r="F376" s="13"/>
      <c r="G376" s="13"/>
      <c r="H376" s="13"/>
      <c r="I376" s="13"/>
      <c r="J376" s="13"/>
      <c r="K376" s="13"/>
      <c r="L376" s="13"/>
      <c r="M376" s="13"/>
      <c r="N376" s="13"/>
      <c r="O376" s="13"/>
      <c r="P376" s="13"/>
      <c r="Q376" s="13"/>
      <c r="R376" s="13"/>
      <c r="S376" s="13"/>
      <c r="T376" s="13"/>
      <c r="U376" s="13"/>
      <c r="V376" s="13"/>
      <c r="W376" s="13"/>
      <c r="X376" s="13"/>
    </row>
    <row r="377" spans="1:24" ht="12.75">
      <c r="A377" s="255"/>
      <c r="B377" s="13"/>
      <c r="C377" s="495"/>
      <c r="D377" s="495"/>
      <c r="E377" s="13"/>
      <c r="F377" s="13"/>
      <c r="G377" s="13"/>
      <c r="H377" s="13"/>
      <c r="I377" s="13"/>
      <c r="J377" s="13"/>
      <c r="K377" s="13"/>
      <c r="L377" s="13"/>
      <c r="M377" s="13"/>
      <c r="N377" s="13"/>
      <c r="O377" s="13"/>
      <c r="P377" s="13"/>
      <c r="Q377" s="13"/>
      <c r="R377" s="13"/>
      <c r="S377" s="13"/>
      <c r="T377" s="13"/>
      <c r="U377" s="13"/>
      <c r="V377" s="13"/>
      <c r="W377" s="13"/>
      <c r="X377" s="13"/>
    </row>
    <row r="378" spans="1:24" ht="12.75">
      <c r="A378" s="255"/>
      <c r="B378" s="13"/>
      <c r="C378" s="495"/>
      <c r="D378" s="495"/>
      <c r="E378" s="13"/>
      <c r="F378" s="13"/>
      <c r="G378" s="13"/>
      <c r="H378" s="13"/>
      <c r="I378" s="13"/>
      <c r="J378" s="13"/>
      <c r="K378" s="13"/>
      <c r="L378" s="13"/>
      <c r="M378" s="13"/>
      <c r="N378" s="13"/>
      <c r="O378" s="13"/>
      <c r="P378" s="13"/>
      <c r="Q378" s="13"/>
      <c r="R378" s="13"/>
      <c r="S378" s="13"/>
      <c r="T378" s="13"/>
      <c r="U378" s="13"/>
      <c r="V378" s="13"/>
      <c r="W378" s="13"/>
      <c r="X378" s="13"/>
    </row>
    <row r="379" spans="1:24" ht="12.75">
      <c r="A379" s="255"/>
      <c r="B379" s="13"/>
      <c r="C379" s="495"/>
      <c r="D379" s="495"/>
      <c r="E379" s="13"/>
      <c r="F379" s="13"/>
      <c r="G379" s="13"/>
      <c r="H379" s="13"/>
      <c r="I379" s="13"/>
      <c r="J379" s="13"/>
      <c r="K379" s="13"/>
      <c r="L379" s="13"/>
      <c r="M379" s="13"/>
      <c r="N379" s="13"/>
      <c r="O379" s="13"/>
      <c r="P379" s="13"/>
      <c r="Q379" s="13"/>
      <c r="R379" s="13"/>
      <c r="S379" s="13"/>
      <c r="T379" s="13"/>
      <c r="U379" s="13"/>
      <c r="V379" s="13"/>
      <c r="W379" s="13"/>
      <c r="X379" s="13"/>
    </row>
    <row r="380" spans="1:24" ht="12.75">
      <c r="A380" s="255"/>
      <c r="B380" s="13"/>
      <c r="C380" s="495"/>
      <c r="D380" s="495"/>
      <c r="E380" s="13"/>
      <c r="F380" s="13"/>
      <c r="G380" s="13"/>
      <c r="H380" s="13"/>
      <c r="I380" s="13"/>
      <c r="J380" s="13"/>
      <c r="K380" s="13"/>
      <c r="L380" s="13"/>
      <c r="M380" s="13"/>
      <c r="N380" s="13"/>
      <c r="O380" s="13"/>
      <c r="P380" s="13"/>
      <c r="Q380" s="13"/>
      <c r="R380" s="13"/>
      <c r="S380" s="13"/>
      <c r="T380" s="13"/>
      <c r="U380" s="13"/>
      <c r="V380" s="13"/>
      <c r="W380" s="13"/>
      <c r="X380" s="13"/>
    </row>
    <row r="381" spans="1:24" ht="12.75">
      <c r="A381" s="255"/>
      <c r="B381" s="13"/>
      <c r="C381" s="495"/>
      <c r="D381" s="495"/>
      <c r="E381" s="13"/>
      <c r="F381" s="13"/>
      <c r="G381" s="13"/>
      <c r="H381" s="13"/>
      <c r="I381" s="13"/>
      <c r="J381" s="13"/>
      <c r="K381" s="13"/>
      <c r="L381" s="13"/>
      <c r="M381" s="13"/>
      <c r="N381" s="13"/>
      <c r="O381" s="13"/>
      <c r="P381" s="13"/>
      <c r="Q381" s="13"/>
      <c r="R381" s="13"/>
      <c r="S381" s="13"/>
      <c r="T381" s="13"/>
      <c r="U381" s="13"/>
      <c r="V381" s="13"/>
      <c r="W381" s="13"/>
      <c r="X381" s="13"/>
    </row>
    <row r="382" spans="1:24" ht="12.75">
      <c r="A382" s="255"/>
      <c r="B382" s="13"/>
      <c r="C382" s="495"/>
      <c r="D382" s="495"/>
      <c r="E382" s="13"/>
      <c r="F382" s="13"/>
      <c r="G382" s="13"/>
      <c r="H382" s="13"/>
      <c r="I382" s="13"/>
      <c r="J382" s="13"/>
      <c r="K382" s="13"/>
      <c r="L382" s="13"/>
      <c r="M382" s="13"/>
      <c r="N382" s="13"/>
      <c r="O382" s="13"/>
      <c r="P382" s="13"/>
      <c r="Q382" s="13"/>
      <c r="R382" s="13"/>
      <c r="S382" s="13"/>
      <c r="T382" s="13"/>
      <c r="U382" s="13"/>
      <c r="V382" s="13"/>
      <c r="W382" s="13"/>
      <c r="X382" s="13"/>
    </row>
    <row r="383" spans="1:24" ht="12.75">
      <c r="A383" s="255"/>
      <c r="B383" s="13"/>
      <c r="C383" s="495"/>
      <c r="D383" s="495"/>
      <c r="E383" s="13"/>
      <c r="F383" s="13"/>
      <c r="G383" s="13"/>
      <c r="H383" s="13"/>
      <c r="I383" s="13"/>
      <c r="J383" s="13"/>
      <c r="K383" s="13"/>
      <c r="L383" s="13"/>
      <c r="M383" s="13"/>
      <c r="N383" s="13"/>
      <c r="O383" s="13"/>
      <c r="P383" s="13"/>
      <c r="Q383" s="13"/>
      <c r="R383" s="13"/>
      <c r="S383" s="13"/>
      <c r="T383" s="13"/>
      <c r="U383" s="13"/>
      <c r="V383" s="13"/>
      <c r="W383" s="13"/>
      <c r="X383" s="13"/>
    </row>
    <row r="384" spans="1:24" ht="12.75">
      <c r="A384" s="255"/>
      <c r="B384" s="13"/>
      <c r="C384" s="495"/>
      <c r="D384" s="495"/>
      <c r="E384" s="13"/>
      <c r="F384" s="13"/>
      <c r="G384" s="13"/>
      <c r="H384" s="13"/>
      <c r="I384" s="13"/>
      <c r="J384" s="13"/>
      <c r="K384" s="13"/>
      <c r="L384" s="13"/>
      <c r="M384" s="13"/>
      <c r="N384" s="13"/>
      <c r="O384" s="13"/>
      <c r="P384" s="13"/>
      <c r="Q384" s="13"/>
      <c r="R384" s="13"/>
      <c r="S384" s="13"/>
      <c r="T384" s="13"/>
      <c r="U384" s="13"/>
      <c r="V384" s="13"/>
      <c r="W384" s="13"/>
      <c r="X384" s="13"/>
    </row>
    <row r="385" spans="1:24" ht="12.75">
      <c r="A385" s="255"/>
      <c r="B385" s="13"/>
      <c r="C385" s="495"/>
      <c r="D385" s="495"/>
      <c r="E385" s="13"/>
      <c r="F385" s="13"/>
      <c r="G385" s="13"/>
      <c r="H385" s="13"/>
      <c r="I385" s="13"/>
      <c r="J385" s="13"/>
      <c r="K385" s="13"/>
      <c r="L385" s="13"/>
      <c r="M385" s="13"/>
      <c r="N385" s="13"/>
      <c r="O385" s="13"/>
      <c r="P385" s="13"/>
      <c r="Q385" s="13"/>
      <c r="R385" s="13"/>
      <c r="S385" s="13"/>
      <c r="T385" s="13"/>
      <c r="U385" s="13"/>
      <c r="V385" s="13"/>
      <c r="W385" s="13"/>
      <c r="X385" s="13"/>
    </row>
    <row r="386" spans="1:24" ht="12.75">
      <c r="A386" s="255"/>
      <c r="B386" s="13"/>
      <c r="C386" s="495"/>
      <c r="D386" s="495"/>
      <c r="E386" s="13"/>
      <c r="F386" s="13"/>
      <c r="G386" s="13"/>
      <c r="H386" s="13"/>
      <c r="I386" s="13"/>
      <c r="J386" s="13"/>
      <c r="K386" s="13"/>
      <c r="L386" s="13"/>
      <c r="M386" s="13"/>
      <c r="N386" s="13"/>
      <c r="O386" s="13"/>
      <c r="P386" s="13"/>
      <c r="Q386" s="13"/>
      <c r="R386" s="13"/>
      <c r="S386" s="13"/>
      <c r="T386" s="13"/>
      <c r="U386" s="13"/>
      <c r="V386" s="13"/>
      <c r="W386" s="13"/>
      <c r="X386" s="13"/>
    </row>
    <row r="387" spans="1:24" ht="12.75">
      <c r="A387" s="255"/>
      <c r="B387" s="13"/>
      <c r="C387" s="495"/>
      <c r="D387" s="495"/>
      <c r="E387" s="13"/>
      <c r="F387" s="13"/>
      <c r="G387" s="13"/>
      <c r="H387" s="13"/>
      <c r="I387" s="13"/>
      <c r="J387" s="13"/>
      <c r="K387" s="13"/>
      <c r="L387" s="13"/>
      <c r="M387" s="13"/>
      <c r="N387" s="13"/>
      <c r="O387" s="13"/>
      <c r="P387" s="13"/>
      <c r="Q387" s="13"/>
      <c r="R387" s="13"/>
      <c r="S387" s="13"/>
      <c r="T387" s="13"/>
      <c r="U387" s="13"/>
      <c r="V387" s="13"/>
      <c r="W387" s="13"/>
      <c r="X387" s="13"/>
    </row>
    <row r="388" spans="1:24" ht="12.75">
      <c r="A388" s="255"/>
      <c r="B388" s="13"/>
      <c r="C388" s="495"/>
      <c r="D388" s="495"/>
      <c r="E388" s="13"/>
      <c r="F388" s="13"/>
      <c r="G388" s="13"/>
      <c r="H388" s="13"/>
      <c r="I388" s="13"/>
      <c r="J388" s="13"/>
      <c r="K388" s="13"/>
      <c r="L388" s="13"/>
      <c r="M388" s="13"/>
      <c r="N388" s="13"/>
      <c r="O388" s="13"/>
      <c r="P388" s="13"/>
      <c r="Q388" s="13"/>
      <c r="R388" s="13"/>
      <c r="S388" s="13"/>
      <c r="T388" s="13"/>
      <c r="U388" s="13"/>
      <c r="V388" s="13"/>
      <c r="W388" s="13"/>
      <c r="X388" s="13"/>
    </row>
    <row r="389" spans="1:24" ht="12.75">
      <c r="A389" s="255"/>
      <c r="B389" s="13"/>
      <c r="C389" s="495"/>
      <c r="D389" s="495"/>
      <c r="E389" s="13"/>
      <c r="F389" s="13"/>
      <c r="G389" s="13"/>
      <c r="H389" s="13"/>
      <c r="I389" s="13"/>
      <c r="J389" s="13"/>
      <c r="K389" s="13"/>
      <c r="L389" s="13"/>
      <c r="M389" s="13"/>
      <c r="N389" s="13"/>
      <c r="O389" s="13"/>
      <c r="P389" s="13"/>
      <c r="Q389" s="13"/>
      <c r="R389" s="13"/>
      <c r="S389" s="13"/>
      <c r="T389" s="13"/>
      <c r="U389" s="13"/>
      <c r="V389" s="13"/>
      <c r="W389" s="13"/>
      <c r="X389" s="13"/>
    </row>
    <row r="390" spans="1:24" ht="12.75">
      <c r="A390" s="255"/>
      <c r="B390" s="13"/>
      <c r="C390" s="495"/>
      <c r="D390" s="495"/>
      <c r="E390" s="13"/>
      <c r="F390" s="13"/>
      <c r="G390" s="13"/>
      <c r="H390" s="13"/>
      <c r="I390" s="13"/>
      <c r="J390" s="13"/>
      <c r="K390" s="13"/>
      <c r="L390" s="13"/>
      <c r="M390" s="13"/>
      <c r="N390" s="13"/>
      <c r="O390" s="13"/>
      <c r="P390" s="13"/>
      <c r="Q390" s="13"/>
      <c r="R390" s="13"/>
      <c r="S390" s="13"/>
      <c r="T390" s="13"/>
      <c r="U390" s="13"/>
      <c r="V390" s="13"/>
      <c r="W390" s="13"/>
      <c r="X390" s="13"/>
    </row>
    <row r="391" spans="1:24" ht="12.75">
      <c r="A391" s="255"/>
      <c r="B391" s="13"/>
      <c r="C391" s="495"/>
      <c r="D391" s="495"/>
      <c r="E391" s="13"/>
      <c r="F391" s="13"/>
      <c r="G391" s="13"/>
      <c r="H391" s="13"/>
      <c r="I391" s="13"/>
      <c r="J391" s="13"/>
      <c r="K391" s="13"/>
      <c r="L391" s="13"/>
      <c r="M391" s="13"/>
      <c r="N391" s="13"/>
      <c r="O391" s="13"/>
      <c r="P391" s="13"/>
      <c r="Q391" s="13"/>
      <c r="R391" s="13"/>
      <c r="S391" s="13"/>
      <c r="T391" s="13"/>
      <c r="U391" s="13"/>
      <c r="V391" s="13"/>
      <c r="W391" s="13"/>
      <c r="X391" s="13"/>
    </row>
    <row r="392" spans="1:24" ht="12.75">
      <c r="A392" s="255"/>
      <c r="B392" s="13"/>
      <c r="C392" s="495"/>
      <c r="D392" s="495"/>
      <c r="E392" s="13"/>
      <c r="F392" s="13"/>
      <c r="G392" s="13"/>
      <c r="H392" s="13"/>
      <c r="I392" s="13"/>
      <c r="J392" s="13"/>
      <c r="K392" s="13"/>
      <c r="L392" s="13"/>
      <c r="M392" s="13"/>
      <c r="N392" s="13"/>
      <c r="O392" s="13"/>
      <c r="P392" s="13"/>
      <c r="Q392" s="13"/>
      <c r="R392" s="13"/>
      <c r="S392" s="13"/>
      <c r="T392" s="13"/>
      <c r="U392" s="13"/>
      <c r="V392" s="13"/>
      <c r="W392" s="13"/>
      <c r="X392" s="13"/>
    </row>
    <row r="393" spans="1:24" ht="12.75">
      <c r="A393" s="255"/>
      <c r="B393" s="13"/>
      <c r="C393" s="495"/>
      <c r="D393" s="495"/>
      <c r="E393" s="13"/>
      <c r="F393" s="13"/>
      <c r="G393" s="13"/>
      <c r="H393" s="13"/>
      <c r="I393" s="13"/>
      <c r="J393" s="13"/>
      <c r="K393" s="13"/>
      <c r="L393" s="13"/>
      <c r="M393" s="13"/>
      <c r="N393" s="13"/>
      <c r="O393" s="13"/>
      <c r="P393" s="13"/>
      <c r="Q393" s="13"/>
      <c r="R393" s="13"/>
      <c r="S393" s="13"/>
      <c r="T393" s="13"/>
      <c r="U393" s="13"/>
      <c r="V393" s="13"/>
      <c r="W393" s="13"/>
      <c r="X393" s="13"/>
    </row>
    <row r="394" spans="1:24" ht="12.75">
      <c r="A394" s="255"/>
      <c r="B394" s="13"/>
      <c r="C394" s="495"/>
      <c r="D394" s="495"/>
      <c r="E394" s="13"/>
      <c r="F394" s="13"/>
      <c r="G394" s="13"/>
      <c r="H394" s="13"/>
      <c r="I394" s="13"/>
      <c r="J394" s="13"/>
      <c r="K394" s="13"/>
      <c r="L394" s="13"/>
      <c r="M394" s="13"/>
      <c r="N394" s="13"/>
      <c r="O394" s="13"/>
      <c r="P394" s="13"/>
      <c r="Q394" s="13"/>
      <c r="R394" s="13"/>
      <c r="S394" s="13"/>
      <c r="T394" s="13"/>
      <c r="U394" s="13"/>
      <c r="V394" s="13"/>
      <c r="W394" s="13"/>
      <c r="X394" s="13"/>
    </row>
    <row r="395" spans="1:24" ht="12.75">
      <c r="A395" s="255"/>
      <c r="B395" s="13"/>
      <c r="C395" s="495"/>
      <c r="D395" s="495"/>
      <c r="E395" s="13"/>
      <c r="F395" s="13"/>
      <c r="G395" s="13"/>
      <c r="H395" s="13"/>
      <c r="I395" s="13"/>
      <c r="J395" s="13"/>
      <c r="K395" s="13"/>
      <c r="L395" s="13"/>
      <c r="M395" s="13"/>
      <c r="N395" s="13"/>
      <c r="O395" s="13"/>
      <c r="P395" s="13"/>
      <c r="Q395" s="13"/>
      <c r="R395" s="13"/>
      <c r="S395" s="13"/>
      <c r="T395" s="13"/>
      <c r="U395" s="13"/>
      <c r="V395" s="13"/>
      <c r="W395" s="13"/>
      <c r="X395" s="13"/>
    </row>
    <row r="396" spans="1:24" ht="12.75">
      <c r="A396" s="255"/>
      <c r="B396" s="13"/>
      <c r="C396" s="495"/>
      <c r="D396" s="495"/>
      <c r="E396" s="13"/>
      <c r="F396" s="13"/>
      <c r="G396" s="13"/>
      <c r="H396" s="13"/>
      <c r="I396" s="13"/>
      <c r="J396" s="13"/>
      <c r="K396" s="13"/>
      <c r="L396" s="13"/>
      <c r="M396" s="13"/>
      <c r="N396" s="13"/>
      <c r="O396" s="13"/>
      <c r="P396" s="13"/>
      <c r="Q396" s="13"/>
      <c r="R396" s="13"/>
      <c r="S396" s="13"/>
      <c r="T396" s="13"/>
      <c r="U396" s="13"/>
      <c r="V396" s="13"/>
      <c r="W396" s="13"/>
      <c r="X396" s="13"/>
    </row>
    <row r="397" spans="1:24" ht="12.75">
      <c r="A397" s="255"/>
      <c r="B397" s="13"/>
      <c r="C397" s="495"/>
      <c r="D397" s="495"/>
      <c r="E397" s="13"/>
      <c r="F397" s="13"/>
      <c r="G397" s="13"/>
      <c r="H397" s="13"/>
      <c r="I397" s="13"/>
      <c r="J397" s="13"/>
      <c r="K397" s="13"/>
      <c r="L397" s="13"/>
      <c r="M397" s="13"/>
      <c r="N397" s="13"/>
      <c r="O397" s="13"/>
      <c r="P397" s="13"/>
      <c r="Q397" s="13"/>
      <c r="R397" s="13"/>
      <c r="S397" s="13"/>
      <c r="T397" s="13"/>
      <c r="U397" s="13"/>
      <c r="V397" s="13"/>
      <c r="W397" s="13"/>
      <c r="X397" s="13"/>
    </row>
    <row r="398" spans="1:24" ht="12.75">
      <c r="A398" s="255"/>
      <c r="B398" s="13"/>
      <c r="C398" s="495"/>
      <c r="D398" s="495"/>
      <c r="E398" s="13"/>
      <c r="F398" s="13"/>
      <c r="G398" s="13"/>
      <c r="H398" s="13"/>
      <c r="I398" s="13"/>
      <c r="J398" s="13"/>
      <c r="K398" s="13"/>
      <c r="L398" s="13"/>
      <c r="M398" s="13"/>
      <c r="N398" s="13"/>
      <c r="O398" s="13"/>
      <c r="P398" s="13"/>
      <c r="Q398" s="13"/>
      <c r="R398" s="13"/>
      <c r="S398" s="13"/>
      <c r="T398" s="13"/>
      <c r="U398" s="13"/>
      <c r="V398" s="13"/>
      <c r="W398" s="13"/>
      <c r="X398" s="13"/>
    </row>
    <row r="399" spans="1:24" ht="12.75">
      <c r="A399" s="255"/>
      <c r="B399" s="13"/>
      <c r="C399" s="495"/>
      <c r="D399" s="495"/>
      <c r="E399" s="13"/>
      <c r="F399" s="13"/>
      <c r="G399" s="13"/>
      <c r="H399" s="13"/>
      <c r="I399" s="13"/>
      <c r="J399" s="13"/>
      <c r="K399" s="13"/>
      <c r="L399" s="13"/>
      <c r="M399" s="13"/>
      <c r="N399" s="13"/>
      <c r="O399" s="13"/>
      <c r="P399" s="13"/>
      <c r="Q399" s="13"/>
      <c r="R399" s="13"/>
      <c r="S399" s="13"/>
      <c r="T399" s="13"/>
      <c r="U399" s="13"/>
      <c r="V399" s="13"/>
      <c r="W399" s="13"/>
      <c r="X399" s="13"/>
    </row>
    <row r="400" spans="1:24" ht="12.75">
      <c r="A400" s="255"/>
      <c r="B400" s="13"/>
      <c r="C400" s="495"/>
      <c r="D400" s="495"/>
      <c r="E400" s="13"/>
      <c r="F400" s="13"/>
      <c r="G400" s="13"/>
      <c r="H400" s="13"/>
      <c r="I400" s="13"/>
      <c r="J400" s="13"/>
      <c r="K400" s="13"/>
      <c r="L400" s="13"/>
      <c r="M400" s="13"/>
      <c r="N400" s="13"/>
      <c r="O400" s="13"/>
      <c r="P400" s="13"/>
      <c r="Q400" s="13"/>
      <c r="R400" s="13"/>
      <c r="S400" s="13"/>
      <c r="T400" s="13"/>
      <c r="U400" s="13"/>
      <c r="V400" s="13"/>
      <c r="W400" s="13"/>
      <c r="X400" s="13"/>
    </row>
    <row r="401" spans="1:24" ht="12.75">
      <c r="A401" s="255"/>
      <c r="B401" s="13"/>
      <c r="C401" s="495"/>
      <c r="D401" s="495"/>
      <c r="E401" s="13"/>
      <c r="F401" s="13"/>
      <c r="G401" s="13"/>
      <c r="H401" s="13"/>
      <c r="I401" s="13"/>
      <c r="J401" s="13"/>
      <c r="K401" s="13"/>
      <c r="L401" s="13"/>
      <c r="M401" s="13"/>
      <c r="N401" s="13"/>
      <c r="O401" s="13"/>
      <c r="P401" s="13"/>
      <c r="Q401" s="13"/>
      <c r="R401" s="13"/>
      <c r="S401" s="13"/>
      <c r="T401" s="13"/>
      <c r="U401" s="13"/>
      <c r="V401" s="13"/>
      <c r="W401" s="13"/>
      <c r="X401" s="13"/>
    </row>
    <row r="402" spans="1:24" ht="12.75">
      <c r="A402" s="255"/>
      <c r="B402" s="13"/>
      <c r="C402" s="495"/>
      <c r="D402" s="495"/>
      <c r="E402" s="13"/>
      <c r="F402" s="13"/>
      <c r="G402" s="13"/>
      <c r="H402" s="13"/>
      <c r="I402" s="13"/>
      <c r="J402" s="13"/>
      <c r="K402" s="13"/>
      <c r="L402" s="13"/>
      <c r="M402" s="13"/>
      <c r="N402" s="13"/>
      <c r="O402" s="13"/>
      <c r="P402" s="13"/>
      <c r="Q402" s="13"/>
      <c r="R402" s="13"/>
      <c r="S402" s="13"/>
      <c r="T402" s="13"/>
      <c r="U402" s="13"/>
      <c r="V402" s="13"/>
      <c r="W402" s="13"/>
      <c r="X402" s="13"/>
    </row>
    <row r="403" spans="1:24" ht="12.75">
      <c r="A403" s="255"/>
      <c r="B403" s="13"/>
      <c r="C403" s="495"/>
      <c r="D403" s="495"/>
      <c r="E403" s="13"/>
      <c r="F403" s="13"/>
      <c r="G403" s="13"/>
      <c r="H403" s="13"/>
      <c r="I403" s="13"/>
      <c r="J403" s="13"/>
      <c r="K403" s="13"/>
      <c r="L403" s="13"/>
      <c r="M403" s="13"/>
      <c r="N403" s="13"/>
      <c r="O403" s="13"/>
      <c r="P403" s="13"/>
      <c r="Q403" s="13"/>
      <c r="R403" s="13"/>
      <c r="S403" s="13"/>
      <c r="T403" s="13"/>
      <c r="U403" s="13"/>
      <c r="V403" s="13"/>
      <c r="W403" s="13"/>
      <c r="X403" s="13"/>
    </row>
    <row r="404" spans="1:24" ht="12.75">
      <c r="A404" s="255"/>
      <c r="B404" s="13"/>
      <c r="C404" s="495"/>
      <c r="D404" s="495"/>
      <c r="E404" s="13"/>
      <c r="F404" s="13"/>
      <c r="G404" s="13"/>
      <c r="H404" s="13"/>
      <c r="I404" s="13"/>
      <c r="J404" s="13"/>
      <c r="K404" s="13"/>
      <c r="L404" s="13"/>
      <c r="M404" s="13"/>
      <c r="N404" s="13"/>
      <c r="O404" s="13"/>
      <c r="P404" s="13"/>
      <c r="Q404" s="13"/>
      <c r="R404" s="13"/>
      <c r="S404" s="13"/>
      <c r="T404" s="13"/>
      <c r="U404" s="13"/>
      <c r="V404" s="13"/>
      <c r="W404" s="13"/>
      <c r="X404" s="13"/>
    </row>
    <row r="405" spans="1:24" ht="12.75">
      <c r="A405" s="255"/>
      <c r="B405" s="13"/>
      <c r="C405" s="495"/>
      <c r="D405" s="495"/>
      <c r="E405" s="13"/>
      <c r="F405" s="13"/>
      <c r="G405" s="13"/>
      <c r="H405" s="13"/>
      <c r="I405" s="13"/>
      <c r="J405" s="13"/>
      <c r="K405" s="13"/>
      <c r="L405" s="13"/>
      <c r="M405" s="13"/>
      <c r="N405" s="13"/>
      <c r="O405" s="13"/>
      <c r="P405" s="13"/>
      <c r="Q405" s="13"/>
      <c r="R405" s="13"/>
      <c r="S405" s="13"/>
      <c r="T405" s="13"/>
      <c r="U405" s="13"/>
      <c r="V405" s="13"/>
      <c r="W405" s="13"/>
      <c r="X405" s="13"/>
    </row>
    <row r="406" spans="1:24" ht="12.75">
      <c r="A406" s="255"/>
      <c r="B406" s="13"/>
      <c r="C406" s="495"/>
      <c r="D406" s="495"/>
      <c r="E406" s="13"/>
      <c r="F406" s="13"/>
      <c r="G406" s="13"/>
      <c r="H406" s="13"/>
      <c r="I406" s="13"/>
      <c r="J406" s="13"/>
      <c r="K406" s="13"/>
      <c r="L406" s="13"/>
      <c r="M406" s="13"/>
      <c r="N406" s="13"/>
      <c r="O406" s="13"/>
      <c r="P406" s="13"/>
      <c r="Q406" s="13"/>
      <c r="R406" s="13"/>
      <c r="S406" s="13"/>
      <c r="T406" s="13"/>
      <c r="U406" s="13"/>
      <c r="V406" s="13"/>
      <c r="W406" s="13"/>
      <c r="X406" s="13"/>
    </row>
    <row r="407" spans="1:24" ht="12.75">
      <c r="A407" s="255"/>
      <c r="B407" s="13"/>
      <c r="C407" s="495"/>
      <c r="D407" s="495"/>
      <c r="E407" s="13"/>
      <c r="F407" s="13"/>
      <c r="G407" s="13"/>
      <c r="H407" s="13"/>
      <c r="I407" s="13"/>
      <c r="J407" s="13"/>
      <c r="K407" s="13"/>
      <c r="L407" s="13"/>
      <c r="M407" s="13"/>
      <c r="N407" s="13"/>
      <c r="O407" s="13"/>
      <c r="P407" s="13"/>
      <c r="Q407" s="13"/>
      <c r="R407" s="13"/>
      <c r="S407" s="13"/>
      <c r="T407" s="13"/>
      <c r="U407" s="13"/>
      <c r="V407" s="13"/>
      <c r="W407" s="13"/>
      <c r="X407" s="13"/>
    </row>
    <row r="408" spans="1:24" ht="12.75">
      <c r="A408" s="255"/>
      <c r="B408" s="13"/>
      <c r="C408" s="495"/>
      <c r="D408" s="495"/>
      <c r="E408" s="13"/>
      <c r="F408" s="13"/>
      <c r="G408" s="13"/>
      <c r="H408" s="13"/>
      <c r="I408" s="13"/>
      <c r="J408" s="13"/>
      <c r="K408" s="13"/>
      <c r="L408" s="13"/>
      <c r="M408" s="13"/>
      <c r="N408" s="13"/>
      <c r="O408" s="13"/>
      <c r="P408" s="13"/>
      <c r="Q408" s="13"/>
      <c r="R408" s="13"/>
      <c r="S408" s="13"/>
      <c r="T408" s="13"/>
      <c r="U408" s="13"/>
      <c r="V408" s="13"/>
      <c r="W408" s="13"/>
      <c r="X408" s="13"/>
    </row>
    <row r="409" spans="1:24" ht="12.75">
      <c r="A409" s="255"/>
      <c r="B409" s="13"/>
      <c r="C409" s="495"/>
      <c r="D409" s="495"/>
      <c r="E409" s="13"/>
      <c r="F409" s="13"/>
      <c r="G409" s="13"/>
      <c r="H409" s="13"/>
      <c r="I409" s="13"/>
      <c r="J409" s="13"/>
      <c r="K409" s="13"/>
      <c r="L409" s="13"/>
      <c r="M409" s="13"/>
      <c r="N409" s="13"/>
      <c r="O409" s="13"/>
      <c r="P409" s="13"/>
      <c r="Q409" s="13"/>
      <c r="R409" s="13"/>
      <c r="S409" s="13"/>
      <c r="T409" s="13"/>
      <c r="U409" s="13"/>
      <c r="V409" s="13"/>
      <c r="W409" s="13"/>
      <c r="X409" s="13"/>
    </row>
    <row r="410" spans="1:24" ht="12.75">
      <c r="A410" s="255"/>
      <c r="B410" s="13"/>
      <c r="C410" s="495"/>
      <c r="D410" s="495"/>
      <c r="E410" s="13"/>
      <c r="F410" s="13"/>
      <c r="G410" s="13"/>
      <c r="H410" s="13"/>
      <c r="I410" s="13"/>
      <c r="J410" s="13"/>
      <c r="K410" s="13"/>
      <c r="L410" s="13"/>
      <c r="M410" s="13"/>
      <c r="N410" s="13"/>
      <c r="O410" s="13"/>
      <c r="P410" s="13"/>
      <c r="Q410" s="13"/>
      <c r="R410" s="13"/>
      <c r="S410" s="13"/>
      <c r="T410" s="13"/>
      <c r="U410" s="13"/>
      <c r="V410" s="13"/>
      <c r="W410" s="13"/>
      <c r="X410" s="13"/>
    </row>
    <row r="411" spans="1:24" ht="12.75">
      <c r="A411" s="255"/>
      <c r="B411" s="13"/>
      <c r="C411" s="495"/>
      <c r="D411" s="495"/>
      <c r="E411" s="13"/>
      <c r="F411" s="13"/>
      <c r="G411" s="13"/>
      <c r="H411" s="13"/>
      <c r="I411" s="13"/>
      <c r="J411" s="13"/>
      <c r="K411" s="13"/>
      <c r="L411" s="13"/>
      <c r="M411" s="13"/>
      <c r="N411" s="13"/>
      <c r="O411" s="13"/>
      <c r="P411" s="13"/>
      <c r="Q411" s="13"/>
      <c r="R411" s="13"/>
      <c r="S411" s="13"/>
      <c r="T411" s="13"/>
      <c r="U411" s="13"/>
      <c r="V411" s="13"/>
      <c r="W411" s="13"/>
      <c r="X411" s="13"/>
    </row>
    <row r="412" spans="1:24" ht="12.75">
      <c r="A412" s="255"/>
      <c r="B412" s="13"/>
      <c r="C412" s="495"/>
      <c r="D412" s="495"/>
      <c r="E412" s="13"/>
      <c r="F412" s="13"/>
      <c r="G412" s="13"/>
      <c r="H412" s="13"/>
      <c r="I412" s="13"/>
      <c r="J412" s="13"/>
      <c r="K412" s="13"/>
      <c r="L412" s="13"/>
      <c r="M412" s="13"/>
      <c r="N412" s="13"/>
      <c r="O412" s="13"/>
      <c r="P412" s="13"/>
      <c r="Q412" s="13"/>
      <c r="R412" s="13"/>
      <c r="S412" s="13"/>
      <c r="T412" s="13"/>
      <c r="U412" s="13"/>
      <c r="V412" s="13"/>
      <c r="W412" s="13"/>
      <c r="X412" s="13"/>
    </row>
    <row r="413" spans="1:24" ht="12.75">
      <c r="A413" s="255"/>
      <c r="B413" s="13"/>
      <c r="C413" s="495"/>
      <c r="D413" s="495"/>
      <c r="E413" s="13"/>
      <c r="F413" s="13"/>
      <c r="G413" s="13"/>
      <c r="H413" s="13"/>
      <c r="I413" s="13"/>
      <c r="J413" s="13"/>
      <c r="K413" s="13"/>
      <c r="L413" s="13"/>
      <c r="M413" s="13"/>
      <c r="N413" s="13"/>
      <c r="O413" s="13"/>
      <c r="P413" s="13"/>
      <c r="Q413" s="13"/>
      <c r="R413" s="13"/>
      <c r="S413" s="13"/>
      <c r="T413" s="13"/>
      <c r="U413" s="13"/>
      <c r="V413" s="13"/>
      <c r="W413" s="13"/>
      <c r="X413" s="13"/>
    </row>
    <row r="414" spans="1:24" ht="12.75">
      <c r="A414" s="255"/>
      <c r="B414" s="13"/>
      <c r="C414" s="495"/>
      <c r="D414" s="495"/>
      <c r="E414" s="13"/>
      <c r="F414" s="13"/>
      <c r="G414" s="13"/>
      <c r="H414" s="13"/>
      <c r="I414" s="13"/>
      <c r="J414" s="13"/>
      <c r="K414" s="13"/>
      <c r="L414" s="13"/>
      <c r="M414" s="13"/>
      <c r="N414" s="13"/>
      <c r="O414" s="13"/>
      <c r="P414" s="13"/>
      <c r="Q414" s="13"/>
      <c r="R414" s="13"/>
      <c r="S414" s="13"/>
      <c r="T414" s="13"/>
      <c r="U414" s="13"/>
      <c r="V414" s="13"/>
      <c r="W414" s="13"/>
      <c r="X414" s="13"/>
    </row>
    <row r="415" spans="1:24" ht="12.75">
      <c r="A415" s="255"/>
      <c r="B415" s="13"/>
      <c r="C415" s="495"/>
      <c r="D415" s="495"/>
      <c r="E415" s="13"/>
      <c r="F415" s="13"/>
      <c r="G415" s="13"/>
      <c r="H415" s="13"/>
      <c r="I415" s="13"/>
      <c r="J415" s="13"/>
      <c r="K415" s="13"/>
      <c r="L415" s="13"/>
      <c r="M415" s="13"/>
      <c r="N415" s="13"/>
      <c r="O415" s="13"/>
      <c r="P415" s="13"/>
      <c r="Q415" s="13"/>
      <c r="R415" s="13"/>
      <c r="S415" s="13"/>
      <c r="T415" s="13"/>
      <c r="U415" s="13"/>
      <c r="V415" s="13"/>
      <c r="W415" s="13"/>
      <c r="X415" s="13"/>
    </row>
    <row r="416" spans="1:24" ht="12.75">
      <c r="A416" s="255"/>
      <c r="B416" s="13"/>
      <c r="C416" s="495"/>
      <c r="D416" s="495"/>
      <c r="E416" s="13"/>
      <c r="F416" s="13"/>
      <c r="G416" s="13"/>
      <c r="H416" s="13"/>
      <c r="I416" s="13"/>
      <c r="J416" s="13"/>
      <c r="K416" s="13"/>
      <c r="L416" s="13"/>
      <c r="M416" s="13"/>
      <c r="N416" s="13"/>
      <c r="O416" s="13"/>
      <c r="P416" s="13"/>
      <c r="Q416" s="13"/>
      <c r="R416" s="13"/>
      <c r="S416" s="13"/>
      <c r="T416" s="13"/>
      <c r="U416" s="13"/>
      <c r="V416" s="13"/>
      <c r="W416" s="13"/>
      <c r="X416" s="13"/>
    </row>
    <row r="417" spans="1:24" ht="12.75">
      <c r="A417" s="255"/>
      <c r="B417" s="13"/>
      <c r="C417" s="495"/>
      <c r="D417" s="495"/>
      <c r="E417" s="13"/>
      <c r="F417" s="13"/>
      <c r="G417" s="13"/>
      <c r="H417" s="13"/>
      <c r="I417" s="13"/>
      <c r="J417" s="13"/>
      <c r="K417" s="13"/>
      <c r="L417" s="13"/>
      <c r="M417" s="13"/>
      <c r="N417" s="13"/>
      <c r="O417" s="13"/>
      <c r="P417" s="13"/>
      <c r="Q417" s="13"/>
      <c r="R417" s="13"/>
      <c r="S417" s="13"/>
      <c r="T417" s="13"/>
      <c r="U417" s="13"/>
      <c r="V417" s="13"/>
      <c r="W417" s="13"/>
      <c r="X417" s="13"/>
    </row>
    <row r="418" spans="1:24" ht="12.75">
      <c r="A418" s="255"/>
      <c r="B418" s="13"/>
      <c r="C418" s="495"/>
      <c r="D418" s="495"/>
      <c r="E418" s="13"/>
      <c r="F418" s="13"/>
      <c r="G418" s="13"/>
      <c r="H418" s="13"/>
      <c r="I418" s="13"/>
      <c r="J418" s="13"/>
      <c r="K418" s="13"/>
      <c r="L418" s="13"/>
      <c r="M418" s="13"/>
      <c r="N418" s="13"/>
      <c r="O418" s="13"/>
      <c r="P418" s="13"/>
      <c r="Q418" s="13"/>
      <c r="R418" s="13"/>
      <c r="S418" s="13"/>
      <c r="T418" s="13"/>
      <c r="U418" s="13"/>
      <c r="V418" s="13"/>
      <c r="W418" s="13"/>
      <c r="X418" s="13"/>
    </row>
    <row r="419" spans="1:24" ht="12.75">
      <c r="A419" s="255"/>
      <c r="B419" s="13"/>
      <c r="C419" s="495"/>
      <c r="D419" s="495"/>
      <c r="E419" s="13"/>
      <c r="F419" s="13"/>
      <c r="G419" s="13"/>
      <c r="H419" s="13"/>
      <c r="I419" s="13"/>
      <c r="J419" s="13"/>
      <c r="K419" s="13"/>
      <c r="L419" s="13"/>
      <c r="M419" s="13"/>
      <c r="N419" s="13"/>
      <c r="O419" s="13"/>
      <c r="P419" s="13"/>
      <c r="Q419" s="13"/>
      <c r="R419" s="13"/>
      <c r="S419" s="13"/>
      <c r="T419" s="13"/>
      <c r="U419" s="13"/>
      <c r="V419" s="13"/>
      <c r="W419" s="13"/>
      <c r="X419" s="13"/>
    </row>
    <row r="420" spans="1:24" ht="12.75">
      <c r="A420" s="255"/>
      <c r="B420" s="13"/>
      <c r="C420" s="495"/>
      <c r="D420" s="495"/>
      <c r="E420" s="13"/>
      <c r="F420" s="13"/>
      <c r="G420" s="13"/>
      <c r="H420" s="13"/>
      <c r="I420" s="13"/>
      <c r="J420" s="13"/>
      <c r="K420" s="13"/>
      <c r="L420" s="13"/>
      <c r="M420" s="13"/>
      <c r="N420" s="13"/>
      <c r="O420" s="13"/>
      <c r="P420" s="13"/>
      <c r="Q420" s="13"/>
      <c r="R420" s="13"/>
      <c r="S420" s="13"/>
      <c r="T420" s="13"/>
      <c r="U420" s="13"/>
      <c r="V420" s="13"/>
      <c r="W420" s="13"/>
      <c r="X420" s="13"/>
    </row>
    <row r="421" spans="1:24" ht="12.75">
      <c r="A421" s="255"/>
      <c r="B421" s="13"/>
      <c r="C421" s="495"/>
      <c r="D421" s="495"/>
      <c r="E421" s="13"/>
      <c r="F421" s="13"/>
      <c r="G421" s="13"/>
      <c r="H421" s="13"/>
      <c r="I421" s="13"/>
      <c r="J421" s="13"/>
      <c r="K421" s="13"/>
      <c r="L421" s="13"/>
      <c r="M421" s="13"/>
      <c r="N421" s="13"/>
      <c r="O421" s="13"/>
      <c r="P421" s="13"/>
      <c r="Q421" s="13"/>
      <c r="R421" s="13"/>
      <c r="S421" s="13"/>
      <c r="T421" s="13"/>
      <c r="U421" s="13"/>
      <c r="V421" s="13"/>
      <c r="W421" s="13"/>
      <c r="X421" s="13"/>
    </row>
    <row r="422" spans="1:24" ht="12.75">
      <c r="A422" s="255"/>
      <c r="B422" s="13"/>
      <c r="C422" s="495"/>
      <c r="D422" s="495"/>
      <c r="E422" s="13"/>
      <c r="F422" s="13"/>
      <c r="G422" s="13"/>
      <c r="H422" s="13"/>
      <c r="I422" s="13"/>
      <c r="J422" s="13"/>
      <c r="K422" s="13"/>
      <c r="L422" s="13"/>
      <c r="M422" s="13"/>
      <c r="N422" s="13"/>
      <c r="O422" s="13"/>
      <c r="P422" s="13"/>
      <c r="Q422" s="13"/>
      <c r="R422" s="13"/>
      <c r="S422" s="13"/>
      <c r="T422" s="13"/>
      <c r="U422" s="13"/>
      <c r="V422" s="13"/>
      <c r="W422" s="13"/>
      <c r="X422" s="13"/>
    </row>
    <row r="423" spans="1:24" ht="12.75">
      <c r="A423" s="255"/>
      <c r="B423" s="13"/>
      <c r="C423" s="495"/>
      <c r="D423" s="495"/>
      <c r="E423" s="13"/>
      <c r="F423" s="13"/>
      <c r="G423" s="13"/>
      <c r="H423" s="13"/>
      <c r="I423" s="13"/>
      <c r="J423" s="13"/>
      <c r="K423" s="13"/>
      <c r="L423" s="13"/>
      <c r="M423" s="13"/>
      <c r="N423" s="13"/>
      <c r="O423" s="13"/>
      <c r="P423" s="13"/>
      <c r="Q423" s="13"/>
      <c r="R423" s="13"/>
      <c r="S423" s="13"/>
      <c r="T423" s="13"/>
      <c r="U423" s="13"/>
      <c r="V423" s="13"/>
      <c r="W423" s="13"/>
      <c r="X423" s="13"/>
    </row>
    <row r="424" spans="1:24" ht="12.75">
      <c r="A424" s="255"/>
      <c r="B424" s="13"/>
      <c r="C424" s="495"/>
      <c r="D424" s="495"/>
      <c r="E424" s="13"/>
      <c r="F424" s="13"/>
      <c r="G424" s="13"/>
      <c r="H424" s="13"/>
      <c r="I424" s="13"/>
      <c r="J424" s="13"/>
      <c r="K424" s="13"/>
      <c r="L424" s="13"/>
      <c r="M424" s="13"/>
      <c r="N424" s="13"/>
      <c r="O424" s="13"/>
      <c r="P424" s="13"/>
      <c r="Q424" s="13"/>
      <c r="R424" s="13"/>
      <c r="S424" s="13"/>
      <c r="T424" s="13"/>
      <c r="U424" s="13"/>
      <c r="V424" s="13"/>
      <c r="W424" s="13"/>
      <c r="X424" s="13"/>
    </row>
    <row r="425" spans="1:24" ht="12.75">
      <c r="A425" s="255"/>
      <c r="B425" s="13"/>
      <c r="C425" s="495"/>
      <c r="D425" s="495"/>
      <c r="E425" s="13"/>
      <c r="F425" s="13"/>
      <c r="G425" s="13"/>
      <c r="H425" s="13"/>
      <c r="I425" s="13"/>
      <c r="J425" s="13"/>
      <c r="K425" s="13"/>
      <c r="L425" s="13"/>
      <c r="M425" s="13"/>
      <c r="N425" s="13"/>
      <c r="O425" s="13"/>
      <c r="P425" s="13"/>
      <c r="Q425" s="13"/>
      <c r="R425" s="13"/>
      <c r="S425" s="13"/>
      <c r="T425" s="13"/>
      <c r="U425" s="13"/>
      <c r="V425" s="13"/>
      <c r="W425" s="13"/>
      <c r="X425" s="13"/>
    </row>
    <row r="426" spans="1:24" ht="12.75">
      <c r="A426" s="255"/>
      <c r="B426" s="13"/>
      <c r="C426" s="495"/>
      <c r="D426" s="495"/>
      <c r="E426" s="13"/>
      <c r="F426" s="13"/>
      <c r="G426" s="13"/>
      <c r="H426" s="13"/>
      <c r="I426" s="13"/>
      <c r="J426" s="13"/>
      <c r="K426" s="13"/>
      <c r="L426" s="13"/>
      <c r="M426" s="13"/>
      <c r="N426" s="13"/>
      <c r="O426" s="13"/>
      <c r="P426" s="13"/>
      <c r="Q426" s="13"/>
      <c r="R426" s="13"/>
      <c r="S426" s="13"/>
      <c r="T426" s="13"/>
      <c r="U426" s="13"/>
      <c r="V426" s="13"/>
      <c r="W426" s="13"/>
      <c r="X426" s="13"/>
    </row>
    <row r="427" spans="1:24" ht="12.75">
      <c r="A427" s="255"/>
      <c r="B427" s="13"/>
      <c r="C427" s="495"/>
      <c r="D427" s="495"/>
      <c r="E427" s="13"/>
      <c r="F427" s="13"/>
      <c r="G427" s="13"/>
      <c r="H427" s="13"/>
      <c r="I427" s="13"/>
      <c r="J427" s="13"/>
      <c r="K427" s="13"/>
      <c r="L427" s="13"/>
      <c r="M427" s="13"/>
      <c r="N427" s="13"/>
      <c r="O427" s="13"/>
      <c r="P427" s="13"/>
      <c r="Q427" s="13"/>
      <c r="R427" s="13"/>
      <c r="S427" s="13"/>
      <c r="T427" s="13"/>
      <c r="U427" s="13"/>
      <c r="V427" s="13"/>
      <c r="W427" s="13"/>
      <c r="X427" s="13"/>
    </row>
    <row r="428" spans="1:24" ht="12.75">
      <c r="A428" s="255"/>
      <c r="B428" s="13"/>
      <c r="C428" s="495"/>
      <c r="D428" s="495"/>
      <c r="E428" s="13"/>
      <c r="F428" s="13"/>
      <c r="G428" s="13"/>
      <c r="H428" s="13"/>
      <c r="I428" s="13"/>
      <c r="J428" s="13"/>
      <c r="K428" s="13"/>
      <c r="L428" s="13"/>
      <c r="M428" s="13"/>
      <c r="N428" s="13"/>
      <c r="O428" s="13"/>
      <c r="P428" s="13"/>
      <c r="Q428" s="13"/>
      <c r="R428" s="13"/>
      <c r="S428" s="13"/>
      <c r="T428" s="13"/>
      <c r="U428" s="13"/>
      <c r="V428" s="13"/>
      <c r="W428" s="13"/>
      <c r="X428" s="13"/>
    </row>
    <row r="429" spans="1:24" ht="12.75">
      <c r="A429" s="255"/>
      <c r="B429" s="13"/>
      <c r="C429" s="495"/>
      <c r="D429" s="495"/>
      <c r="E429" s="13"/>
      <c r="F429" s="13"/>
      <c r="G429" s="13"/>
      <c r="H429" s="13"/>
      <c r="I429" s="13"/>
      <c r="J429" s="13"/>
      <c r="K429" s="13"/>
      <c r="L429" s="13"/>
      <c r="M429" s="13"/>
      <c r="N429" s="13"/>
      <c r="O429" s="13"/>
      <c r="P429" s="13"/>
      <c r="Q429" s="13"/>
      <c r="R429" s="13"/>
      <c r="S429" s="13"/>
      <c r="T429" s="13"/>
      <c r="U429" s="13"/>
      <c r="V429" s="13"/>
      <c r="W429" s="13"/>
      <c r="X429" s="13"/>
    </row>
    <row r="430" spans="1:24" ht="12.75">
      <c r="A430" s="255"/>
      <c r="B430" s="13"/>
      <c r="C430" s="495"/>
      <c r="D430" s="495"/>
      <c r="E430" s="13"/>
      <c r="F430" s="13"/>
      <c r="G430" s="13"/>
      <c r="H430" s="13"/>
      <c r="I430" s="13"/>
      <c r="J430" s="13"/>
      <c r="K430" s="13"/>
      <c r="L430" s="13"/>
      <c r="M430" s="13"/>
      <c r="N430" s="13"/>
      <c r="O430" s="13"/>
      <c r="P430" s="13"/>
      <c r="Q430" s="13"/>
      <c r="R430" s="13"/>
      <c r="S430" s="13"/>
      <c r="T430" s="13"/>
      <c r="U430" s="13"/>
      <c r="V430" s="13"/>
      <c r="W430" s="13"/>
      <c r="X430" s="13"/>
    </row>
    <row r="431" spans="1:24" ht="12.75">
      <c r="A431" s="255"/>
      <c r="B431" s="13"/>
      <c r="C431" s="495"/>
      <c r="D431" s="495"/>
      <c r="E431" s="13"/>
      <c r="F431" s="13"/>
      <c r="G431" s="13"/>
      <c r="H431" s="13"/>
      <c r="I431" s="13"/>
      <c r="J431" s="13"/>
      <c r="K431" s="13"/>
      <c r="L431" s="13"/>
      <c r="M431" s="13"/>
      <c r="N431" s="13"/>
      <c r="O431" s="13"/>
      <c r="P431" s="13"/>
      <c r="Q431" s="13"/>
      <c r="R431" s="13"/>
      <c r="S431" s="13"/>
      <c r="T431" s="13"/>
      <c r="U431" s="13"/>
      <c r="V431" s="13"/>
      <c r="W431" s="13"/>
      <c r="X431" s="13"/>
    </row>
    <row r="432" spans="1:24" ht="12.75">
      <c r="A432" s="255"/>
      <c r="B432" s="13"/>
      <c r="C432" s="495"/>
      <c r="D432" s="495"/>
      <c r="E432" s="13"/>
      <c r="F432" s="13"/>
      <c r="G432" s="13"/>
      <c r="H432" s="13"/>
      <c r="I432" s="13"/>
      <c r="J432" s="13"/>
      <c r="K432" s="13"/>
      <c r="L432" s="13"/>
      <c r="M432" s="13"/>
      <c r="N432" s="13"/>
      <c r="O432" s="13"/>
      <c r="P432" s="13"/>
      <c r="Q432" s="13"/>
      <c r="R432" s="13"/>
      <c r="S432" s="13"/>
      <c r="T432" s="13"/>
      <c r="U432" s="13"/>
      <c r="V432" s="13"/>
      <c r="W432" s="13"/>
      <c r="X432" s="13"/>
    </row>
    <row r="433" spans="1:24" ht="12.75">
      <c r="A433" s="255"/>
      <c r="B433" s="13"/>
      <c r="C433" s="495"/>
      <c r="D433" s="495"/>
      <c r="E433" s="13"/>
      <c r="F433" s="13"/>
      <c r="G433" s="13"/>
      <c r="H433" s="13"/>
      <c r="I433" s="13"/>
      <c r="J433" s="13"/>
      <c r="K433" s="13"/>
      <c r="L433" s="13"/>
      <c r="M433" s="13"/>
      <c r="N433" s="13"/>
      <c r="O433" s="13"/>
      <c r="P433" s="13"/>
      <c r="Q433" s="13"/>
      <c r="R433" s="13"/>
      <c r="S433" s="13"/>
      <c r="T433" s="13"/>
      <c r="U433" s="13"/>
      <c r="V433" s="13"/>
      <c r="W433" s="13"/>
      <c r="X433" s="13"/>
    </row>
    <row r="434" spans="1:24" ht="12.75">
      <c r="A434" s="255"/>
      <c r="B434" s="13"/>
      <c r="C434" s="495"/>
      <c r="D434" s="495"/>
      <c r="E434" s="13"/>
      <c r="F434" s="13"/>
      <c r="G434" s="13"/>
      <c r="H434" s="13"/>
      <c r="I434" s="13"/>
      <c r="J434" s="13"/>
      <c r="K434" s="13"/>
      <c r="L434" s="13"/>
      <c r="M434" s="13"/>
      <c r="N434" s="13"/>
      <c r="O434" s="13"/>
      <c r="P434" s="13"/>
      <c r="Q434" s="13"/>
      <c r="R434" s="13"/>
      <c r="S434" s="13"/>
      <c r="T434" s="13"/>
      <c r="U434" s="13"/>
      <c r="V434" s="13"/>
      <c r="W434" s="13"/>
      <c r="X434" s="13"/>
    </row>
    <row r="435" spans="1:24" ht="12.75">
      <c r="A435" s="255"/>
      <c r="B435" s="13"/>
      <c r="C435" s="495"/>
      <c r="D435" s="495"/>
      <c r="E435" s="13"/>
      <c r="F435" s="13"/>
      <c r="G435" s="13"/>
      <c r="H435" s="13"/>
      <c r="I435" s="13"/>
      <c r="J435" s="13"/>
      <c r="K435" s="13"/>
      <c r="L435" s="13"/>
      <c r="M435" s="13"/>
      <c r="N435" s="13"/>
      <c r="O435" s="13"/>
      <c r="P435" s="13"/>
      <c r="Q435" s="13"/>
      <c r="R435" s="13"/>
      <c r="S435" s="13"/>
      <c r="T435" s="13"/>
      <c r="U435" s="13"/>
      <c r="V435" s="13"/>
      <c r="W435" s="13"/>
      <c r="X435" s="13"/>
    </row>
    <row r="436" spans="1:24" ht="12.75">
      <c r="A436" s="255"/>
      <c r="B436" s="13"/>
      <c r="C436" s="495"/>
      <c r="D436" s="495"/>
      <c r="E436" s="13"/>
      <c r="F436" s="13"/>
      <c r="G436" s="13"/>
      <c r="H436" s="13"/>
      <c r="I436" s="13"/>
      <c r="J436" s="13"/>
      <c r="K436" s="13"/>
      <c r="L436" s="13"/>
      <c r="M436" s="13"/>
      <c r="N436" s="13"/>
      <c r="O436" s="13"/>
      <c r="P436" s="13"/>
      <c r="Q436" s="13"/>
      <c r="R436" s="13"/>
      <c r="S436" s="13"/>
      <c r="T436" s="13"/>
      <c r="U436" s="13"/>
      <c r="V436" s="13"/>
      <c r="W436" s="13"/>
      <c r="X436" s="13"/>
    </row>
    <row r="437" spans="1:24" ht="12.75">
      <c r="A437" s="255"/>
      <c r="B437" s="13"/>
      <c r="C437" s="495"/>
      <c r="D437" s="495"/>
      <c r="E437" s="13"/>
      <c r="F437" s="13"/>
      <c r="G437" s="13"/>
      <c r="H437" s="13"/>
      <c r="I437" s="13"/>
      <c r="J437" s="13"/>
      <c r="K437" s="13"/>
      <c r="L437" s="13"/>
      <c r="M437" s="13"/>
      <c r="N437" s="13"/>
      <c r="O437" s="13"/>
      <c r="P437" s="13"/>
      <c r="Q437" s="13"/>
      <c r="R437" s="13"/>
      <c r="S437" s="13"/>
      <c r="T437" s="13"/>
      <c r="U437" s="13"/>
      <c r="V437" s="13"/>
      <c r="W437" s="13"/>
      <c r="X437" s="13"/>
    </row>
    <row r="438" spans="1:24" ht="12.75">
      <c r="A438" s="255"/>
      <c r="B438" s="13"/>
      <c r="C438" s="495"/>
      <c r="D438" s="495"/>
      <c r="E438" s="13"/>
      <c r="F438" s="13"/>
      <c r="G438" s="13"/>
      <c r="H438" s="13"/>
      <c r="I438" s="13"/>
      <c r="J438" s="13"/>
      <c r="K438" s="13"/>
      <c r="L438" s="13"/>
      <c r="M438" s="13"/>
      <c r="N438" s="13"/>
      <c r="O438" s="13"/>
      <c r="P438" s="13"/>
      <c r="Q438" s="13"/>
      <c r="R438" s="13"/>
      <c r="S438" s="13"/>
      <c r="T438" s="13"/>
      <c r="U438" s="13"/>
      <c r="V438" s="13"/>
      <c r="W438" s="13"/>
      <c r="X438" s="13"/>
    </row>
    <row r="439" spans="1:24" ht="12.75">
      <c r="A439" s="255"/>
      <c r="B439" s="13"/>
      <c r="C439" s="495"/>
      <c r="D439" s="495"/>
      <c r="E439" s="13"/>
      <c r="F439" s="13"/>
      <c r="G439" s="13"/>
      <c r="H439" s="13"/>
      <c r="I439" s="13"/>
      <c r="J439" s="13"/>
      <c r="K439" s="13"/>
      <c r="L439" s="13"/>
      <c r="M439" s="13"/>
      <c r="N439" s="13"/>
      <c r="O439" s="13"/>
      <c r="P439" s="13"/>
      <c r="Q439" s="13"/>
      <c r="R439" s="13"/>
      <c r="S439" s="13"/>
      <c r="T439" s="13"/>
      <c r="U439" s="13"/>
      <c r="V439" s="13"/>
      <c r="W439" s="13"/>
      <c r="X439" s="13"/>
    </row>
    <row r="440" spans="1:24" ht="12.75">
      <c r="A440" s="255"/>
      <c r="B440" s="13"/>
      <c r="C440" s="495"/>
      <c r="D440" s="495"/>
      <c r="E440" s="13"/>
      <c r="F440" s="13"/>
      <c r="G440" s="13"/>
      <c r="H440" s="13"/>
      <c r="I440" s="13"/>
      <c r="J440" s="13"/>
      <c r="K440" s="13"/>
      <c r="L440" s="13"/>
      <c r="M440" s="13"/>
      <c r="N440" s="13"/>
      <c r="O440" s="13"/>
      <c r="P440" s="13"/>
      <c r="Q440" s="13"/>
      <c r="R440" s="13"/>
      <c r="S440" s="13"/>
      <c r="T440" s="13"/>
      <c r="U440" s="13"/>
      <c r="V440" s="13"/>
      <c r="W440" s="13"/>
      <c r="X440" s="13"/>
    </row>
    <row r="441" spans="1:24" ht="12.75">
      <c r="A441" s="255"/>
      <c r="B441" s="13"/>
      <c r="C441" s="495"/>
      <c r="D441" s="495"/>
      <c r="E441" s="13"/>
      <c r="F441" s="13"/>
      <c r="G441" s="13"/>
      <c r="H441" s="13"/>
      <c r="I441" s="13"/>
      <c r="J441" s="13"/>
      <c r="K441" s="13"/>
      <c r="L441" s="13"/>
      <c r="M441" s="13"/>
      <c r="N441" s="13"/>
      <c r="O441" s="13"/>
      <c r="P441" s="13"/>
      <c r="Q441" s="13"/>
      <c r="R441" s="13"/>
      <c r="S441" s="13"/>
      <c r="T441" s="13"/>
      <c r="U441" s="13"/>
      <c r="V441" s="13"/>
      <c r="W441" s="13"/>
      <c r="X441" s="13"/>
    </row>
    <row r="442" spans="1:24" ht="12.75">
      <c r="A442" s="255"/>
      <c r="B442" s="13"/>
      <c r="C442" s="495"/>
      <c r="D442" s="495"/>
      <c r="E442" s="13"/>
      <c r="F442" s="13"/>
      <c r="G442" s="13"/>
      <c r="H442" s="13"/>
      <c r="I442" s="13"/>
      <c r="J442" s="13"/>
      <c r="K442" s="13"/>
      <c r="L442" s="13"/>
      <c r="M442" s="13"/>
      <c r="N442" s="13"/>
      <c r="O442" s="13"/>
      <c r="P442" s="13"/>
      <c r="Q442" s="13"/>
      <c r="R442" s="13"/>
      <c r="S442" s="13"/>
      <c r="T442" s="13"/>
      <c r="U442" s="13"/>
      <c r="V442" s="13"/>
      <c r="W442" s="13"/>
      <c r="X442" s="13"/>
    </row>
    <row r="443" spans="1:24" ht="12.75">
      <c r="A443" s="255"/>
      <c r="B443" s="13"/>
      <c r="C443" s="495"/>
      <c r="D443" s="495"/>
      <c r="E443" s="13"/>
      <c r="F443" s="13"/>
      <c r="G443" s="13"/>
      <c r="H443" s="13"/>
      <c r="I443" s="13"/>
      <c r="J443" s="13"/>
      <c r="K443" s="13"/>
      <c r="L443" s="13"/>
      <c r="M443" s="13"/>
      <c r="N443" s="13"/>
      <c r="O443" s="13"/>
      <c r="P443" s="13"/>
      <c r="Q443" s="13"/>
      <c r="R443" s="13"/>
      <c r="S443" s="13"/>
      <c r="T443" s="13"/>
      <c r="U443" s="13"/>
      <c r="V443" s="13"/>
      <c r="W443" s="13"/>
      <c r="X443" s="13"/>
    </row>
    <row r="444" spans="1:24" ht="12.75">
      <c r="A444" s="255"/>
      <c r="B444" s="13"/>
      <c r="C444" s="495"/>
      <c r="D444" s="495"/>
      <c r="E444" s="13"/>
      <c r="F444" s="13"/>
      <c r="G444" s="13"/>
      <c r="H444" s="13"/>
      <c r="I444" s="13"/>
      <c r="J444" s="13"/>
      <c r="K444" s="13"/>
      <c r="L444" s="13"/>
      <c r="M444" s="13"/>
      <c r="N444" s="13"/>
      <c r="O444" s="13"/>
      <c r="P444" s="13"/>
      <c r="Q444" s="13"/>
      <c r="R444" s="13"/>
      <c r="S444" s="13"/>
      <c r="T444" s="13"/>
      <c r="U444" s="13"/>
      <c r="V444" s="13"/>
      <c r="W444" s="13"/>
      <c r="X444" s="13"/>
    </row>
    <row r="445" spans="1:24" ht="12.75">
      <c r="A445" s="255"/>
      <c r="B445" s="13"/>
      <c r="C445" s="495"/>
      <c r="D445" s="495"/>
      <c r="E445" s="13"/>
      <c r="F445" s="13"/>
      <c r="G445" s="13"/>
      <c r="H445" s="13"/>
      <c r="I445" s="13"/>
      <c r="J445" s="13"/>
      <c r="K445" s="13"/>
      <c r="L445" s="13"/>
      <c r="M445" s="13"/>
      <c r="N445" s="13"/>
      <c r="O445" s="13"/>
      <c r="P445" s="13"/>
      <c r="Q445" s="13"/>
      <c r="R445" s="13"/>
      <c r="S445" s="13"/>
      <c r="T445" s="13"/>
      <c r="U445" s="13"/>
      <c r="V445" s="13"/>
      <c r="W445" s="13"/>
      <c r="X445" s="13"/>
    </row>
    <row r="446" spans="1:24" ht="12.75">
      <c r="A446" s="255"/>
      <c r="B446" s="13"/>
      <c r="C446" s="495"/>
      <c r="D446" s="495"/>
      <c r="E446" s="13"/>
      <c r="F446" s="13"/>
      <c r="G446" s="13"/>
      <c r="H446" s="13"/>
      <c r="I446" s="13"/>
      <c r="J446" s="13"/>
      <c r="K446" s="13"/>
      <c r="L446" s="13"/>
      <c r="M446" s="13"/>
      <c r="N446" s="13"/>
      <c r="O446" s="13"/>
      <c r="P446" s="13"/>
      <c r="Q446" s="13"/>
      <c r="R446" s="13"/>
      <c r="S446" s="13"/>
      <c r="T446" s="13"/>
      <c r="U446" s="13"/>
      <c r="V446" s="13"/>
      <c r="W446" s="13"/>
      <c r="X446" s="13"/>
    </row>
    <row r="447" spans="1:24" ht="12.75">
      <c r="A447" s="255"/>
      <c r="B447" s="13"/>
      <c r="C447" s="495"/>
      <c r="D447" s="495"/>
      <c r="E447" s="13"/>
      <c r="F447" s="13"/>
      <c r="G447" s="13"/>
      <c r="H447" s="13"/>
      <c r="I447" s="13"/>
      <c r="J447" s="13"/>
      <c r="K447" s="13"/>
      <c r="L447" s="13"/>
      <c r="M447" s="13"/>
      <c r="N447" s="13"/>
      <c r="O447" s="13"/>
      <c r="P447" s="13"/>
      <c r="Q447" s="13"/>
      <c r="R447" s="13"/>
      <c r="S447" s="13"/>
      <c r="T447" s="13"/>
      <c r="U447" s="13"/>
      <c r="V447" s="13"/>
      <c r="W447" s="13"/>
      <c r="X447" s="13"/>
    </row>
    <row r="448" spans="1:24" ht="12.75">
      <c r="A448" s="255"/>
      <c r="B448" s="13"/>
      <c r="C448" s="495"/>
      <c r="D448" s="495"/>
      <c r="E448" s="13"/>
      <c r="F448" s="13"/>
      <c r="G448" s="13"/>
      <c r="H448" s="13"/>
      <c r="I448" s="13"/>
      <c r="J448" s="13"/>
      <c r="K448" s="13"/>
      <c r="L448" s="13"/>
      <c r="M448" s="13"/>
      <c r="N448" s="13"/>
      <c r="O448" s="13"/>
      <c r="P448" s="13"/>
      <c r="Q448" s="13"/>
      <c r="R448" s="13"/>
      <c r="S448" s="13"/>
      <c r="T448" s="13"/>
      <c r="U448" s="13"/>
      <c r="V448" s="13"/>
      <c r="W448" s="13"/>
      <c r="X448" s="13"/>
    </row>
    <row r="449" spans="1:24" ht="12.75">
      <c r="A449" s="255"/>
      <c r="B449" s="13"/>
      <c r="C449" s="495"/>
      <c r="D449" s="495"/>
      <c r="E449" s="13"/>
      <c r="F449" s="13"/>
      <c r="G449" s="13"/>
      <c r="H449" s="13"/>
      <c r="I449" s="13"/>
      <c r="J449" s="13"/>
      <c r="K449" s="13"/>
      <c r="L449" s="13"/>
      <c r="M449" s="13"/>
      <c r="N449" s="13"/>
      <c r="O449" s="13"/>
      <c r="P449" s="13"/>
      <c r="Q449" s="13"/>
      <c r="R449" s="13"/>
      <c r="S449" s="13"/>
      <c r="T449" s="13"/>
      <c r="U449" s="13"/>
      <c r="V449" s="13"/>
      <c r="W449" s="13"/>
      <c r="X449" s="13"/>
    </row>
    <row r="450" spans="1:24" ht="12.75">
      <c r="A450" s="255"/>
      <c r="B450" s="13"/>
      <c r="C450" s="495"/>
      <c r="D450" s="495"/>
      <c r="E450" s="13"/>
      <c r="F450" s="13"/>
      <c r="G450" s="13"/>
      <c r="H450" s="13"/>
      <c r="I450" s="13"/>
      <c r="J450" s="13"/>
      <c r="K450" s="13"/>
      <c r="L450" s="13"/>
      <c r="M450" s="13"/>
      <c r="N450" s="13"/>
      <c r="O450" s="13"/>
      <c r="P450" s="13"/>
      <c r="Q450" s="13"/>
      <c r="R450" s="13"/>
      <c r="S450" s="13"/>
      <c r="T450" s="13"/>
      <c r="U450" s="13"/>
      <c r="V450" s="13"/>
      <c r="W450" s="13"/>
      <c r="X450" s="13"/>
    </row>
    <row r="451" spans="1:24" ht="12.75">
      <c r="A451" s="255"/>
      <c r="B451" s="13"/>
      <c r="C451" s="495"/>
      <c r="D451" s="495"/>
      <c r="E451" s="13"/>
      <c r="F451" s="13"/>
      <c r="G451" s="13"/>
      <c r="H451" s="13"/>
      <c r="I451" s="13"/>
      <c r="J451" s="13"/>
      <c r="K451" s="13"/>
      <c r="L451" s="13"/>
      <c r="M451" s="13"/>
      <c r="N451" s="13"/>
      <c r="O451" s="13"/>
      <c r="P451" s="13"/>
      <c r="Q451" s="13"/>
      <c r="R451" s="13"/>
      <c r="S451" s="13"/>
      <c r="T451" s="13"/>
      <c r="U451" s="13"/>
      <c r="V451" s="13"/>
      <c r="W451" s="13"/>
      <c r="X451" s="13"/>
    </row>
    <row r="452" spans="1:24" ht="12.75">
      <c r="A452" s="255"/>
      <c r="B452" s="13"/>
      <c r="C452" s="495"/>
      <c r="D452" s="495"/>
      <c r="E452" s="13"/>
      <c r="F452" s="13"/>
      <c r="G452" s="13"/>
      <c r="H452" s="13"/>
      <c r="I452" s="13"/>
      <c r="J452" s="13"/>
      <c r="K452" s="13"/>
      <c r="L452" s="13"/>
      <c r="M452" s="13"/>
      <c r="N452" s="13"/>
      <c r="O452" s="13"/>
      <c r="P452" s="13"/>
      <c r="Q452" s="13"/>
      <c r="R452" s="13"/>
      <c r="S452" s="13"/>
      <c r="T452" s="13"/>
      <c r="U452" s="13"/>
      <c r="V452" s="13"/>
      <c r="W452" s="13"/>
      <c r="X452" s="13"/>
    </row>
    <row r="453" spans="1:24" ht="12.75">
      <c r="A453" s="255"/>
      <c r="B453" s="13"/>
      <c r="C453" s="495"/>
      <c r="D453" s="495"/>
      <c r="E453" s="13"/>
      <c r="F453" s="13"/>
      <c r="G453" s="13"/>
      <c r="H453" s="13"/>
      <c r="I453" s="13"/>
      <c r="J453" s="13"/>
      <c r="K453" s="13"/>
      <c r="L453" s="13"/>
      <c r="M453" s="13"/>
      <c r="N453" s="13"/>
      <c r="O453" s="13"/>
      <c r="P453" s="13"/>
      <c r="Q453" s="13"/>
      <c r="R453" s="13"/>
      <c r="S453" s="13"/>
      <c r="T453" s="13"/>
      <c r="U453" s="13"/>
      <c r="V453" s="13"/>
      <c r="W453" s="13"/>
      <c r="X453" s="13"/>
    </row>
    <row r="454" spans="1:24" ht="12.75">
      <c r="A454" s="255"/>
      <c r="B454" s="13"/>
      <c r="C454" s="495"/>
      <c r="D454" s="495"/>
      <c r="E454" s="13"/>
      <c r="F454" s="13"/>
      <c r="G454" s="13"/>
      <c r="H454" s="13"/>
      <c r="I454" s="13"/>
      <c r="J454" s="13"/>
      <c r="K454" s="13"/>
      <c r="L454" s="13"/>
      <c r="M454" s="13"/>
      <c r="N454" s="13"/>
      <c r="O454" s="13"/>
      <c r="P454" s="13"/>
      <c r="Q454" s="13"/>
      <c r="R454" s="13"/>
      <c r="S454" s="13"/>
      <c r="T454" s="13"/>
      <c r="U454" s="13"/>
      <c r="V454" s="13"/>
      <c r="W454" s="13"/>
      <c r="X454" s="13"/>
    </row>
    <row r="455" spans="1:24" ht="12.75">
      <c r="A455" s="255"/>
      <c r="B455" s="13"/>
      <c r="C455" s="495"/>
      <c r="D455" s="495"/>
      <c r="E455" s="13"/>
      <c r="F455" s="13"/>
      <c r="G455" s="13"/>
      <c r="H455" s="13"/>
      <c r="I455" s="13"/>
      <c r="J455" s="13"/>
      <c r="K455" s="13"/>
      <c r="L455" s="13"/>
      <c r="M455" s="13"/>
      <c r="N455" s="13"/>
      <c r="O455" s="13"/>
      <c r="P455" s="13"/>
      <c r="Q455" s="13"/>
      <c r="R455" s="13"/>
      <c r="S455" s="13"/>
      <c r="T455" s="13"/>
      <c r="U455" s="13"/>
      <c r="V455" s="13"/>
      <c r="W455" s="13"/>
      <c r="X455" s="13"/>
    </row>
    <row r="456" spans="1:24" ht="12.75">
      <c r="A456" s="255"/>
      <c r="B456" s="13"/>
      <c r="C456" s="495"/>
      <c r="D456" s="495"/>
      <c r="E456" s="13"/>
      <c r="F456" s="13"/>
      <c r="G456" s="13"/>
      <c r="H456" s="13"/>
      <c r="I456" s="13"/>
      <c r="J456" s="13"/>
      <c r="K456" s="13"/>
      <c r="L456" s="13"/>
      <c r="M456" s="13"/>
      <c r="N456" s="13"/>
      <c r="O456" s="13"/>
      <c r="P456" s="13"/>
      <c r="Q456" s="13"/>
      <c r="R456" s="13"/>
      <c r="S456" s="13"/>
      <c r="T456" s="13"/>
      <c r="U456" s="13"/>
      <c r="V456" s="13"/>
      <c r="W456" s="13"/>
      <c r="X456" s="13"/>
    </row>
    <row r="457" spans="1:24" ht="12.75">
      <c r="A457" s="255"/>
      <c r="B457" s="13"/>
      <c r="C457" s="495"/>
      <c r="D457" s="495"/>
      <c r="E457" s="13"/>
      <c r="F457" s="13"/>
      <c r="G457" s="13"/>
      <c r="H457" s="13"/>
      <c r="I457" s="13"/>
      <c r="J457" s="13"/>
      <c r="K457" s="13"/>
      <c r="L457" s="13"/>
      <c r="M457" s="13"/>
      <c r="N457" s="13"/>
      <c r="O457" s="13"/>
      <c r="P457" s="13"/>
      <c r="Q457" s="13"/>
      <c r="R457" s="13"/>
      <c r="S457" s="13"/>
      <c r="T457" s="13"/>
      <c r="U457" s="13"/>
      <c r="V457" s="13"/>
      <c r="W457" s="13"/>
      <c r="X457" s="13"/>
    </row>
    <row r="458" spans="1:24" ht="12.75">
      <c r="A458" s="255"/>
      <c r="B458" s="13"/>
      <c r="C458" s="495"/>
      <c r="D458" s="495"/>
      <c r="E458" s="13"/>
      <c r="F458" s="13"/>
      <c r="G458" s="13"/>
      <c r="H458" s="13"/>
      <c r="I458" s="13"/>
      <c r="J458" s="13"/>
      <c r="K458" s="13"/>
      <c r="L458" s="13"/>
      <c r="M458" s="13"/>
      <c r="N458" s="13"/>
      <c r="O458" s="13"/>
      <c r="P458" s="13"/>
      <c r="Q458" s="13"/>
      <c r="R458" s="13"/>
      <c r="S458" s="13"/>
      <c r="T458" s="13"/>
      <c r="U458" s="13"/>
      <c r="V458" s="13"/>
      <c r="W458" s="13"/>
      <c r="X458" s="13"/>
    </row>
    <row r="459" spans="1:24" ht="12.75">
      <c r="A459" s="255"/>
      <c r="B459" s="13"/>
      <c r="C459" s="495"/>
      <c r="D459" s="495"/>
      <c r="E459" s="13"/>
      <c r="F459" s="13"/>
      <c r="G459" s="13"/>
      <c r="H459" s="13"/>
      <c r="I459" s="13"/>
      <c r="J459" s="13"/>
      <c r="K459" s="13"/>
      <c r="L459" s="13"/>
      <c r="M459" s="13"/>
      <c r="N459" s="13"/>
      <c r="O459" s="13"/>
      <c r="P459" s="13"/>
      <c r="Q459" s="13"/>
      <c r="R459" s="13"/>
      <c r="S459" s="13"/>
      <c r="T459" s="13"/>
      <c r="U459" s="13"/>
      <c r="V459" s="13"/>
      <c r="W459" s="13"/>
      <c r="X459" s="13"/>
    </row>
    <row r="460" spans="1:24" ht="12.75">
      <c r="A460" s="255"/>
      <c r="B460" s="13"/>
      <c r="C460" s="495"/>
      <c r="D460" s="495"/>
      <c r="E460" s="13"/>
      <c r="F460" s="13"/>
      <c r="G460" s="13"/>
      <c r="H460" s="13"/>
      <c r="I460" s="13"/>
      <c r="J460" s="13"/>
      <c r="K460" s="13"/>
      <c r="L460" s="13"/>
      <c r="M460" s="13"/>
      <c r="N460" s="13"/>
      <c r="O460" s="13"/>
      <c r="P460" s="13"/>
      <c r="Q460" s="13"/>
      <c r="R460" s="13"/>
      <c r="S460" s="13"/>
      <c r="T460" s="13"/>
      <c r="U460" s="13"/>
      <c r="V460" s="13"/>
      <c r="W460" s="13"/>
      <c r="X460" s="13"/>
    </row>
    <row r="461" spans="1:24" ht="12.75">
      <c r="A461" s="255"/>
      <c r="B461" s="13"/>
      <c r="C461" s="495"/>
      <c r="D461" s="495"/>
      <c r="E461" s="13"/>
      <c r="F461" s="13"/>
      <c r="G461" s="13"/>
      <c r="H461" s="13"/>
      <c r="I461" s="13"/>
      <c r="J461" s="13"/>
      <c r="K461" s="13"/>
      <c r="L461" s="13"/>
      <c r="M461" s="13"/>
      <c r="N461" s="13"/>
      <c r="O461" s="13"/>
      <c r="P461" s="13"/>
      <c r="Q461" s="13"/>
      <c r="R461" s="13"/>
      <c r="S461" s="13"/>
      <c r="T461" s="13"/>
      <c r="U461" s="13"/>
      <c r="V461" s="13"/>
      <c r="W461" s="13"/>
      <c r="X461" s="13"/>
    </row>
    <row r="462" spans="1:24" ht="12.75">
      <c r="A462" s="255"/>
      <c r="B462" s="13"/>
      <c r="C462" s="495"/>
      <c r="D462" s="495"/>
      <c r="E462" s="13"/>
      <c r="F462" s="13"/>
      <c r="G462" s="13"/>
      <c r="H462" s="13"/>
      <c r="I462" s="13"/>
      <c r="J462" s="13"/>
      <c r="K462" s="13"/>
      <c r="L462" s="13"/>
      <c r="M462" s="13"/>
      <c r="N462" s="13"/>
      <c r="O462" s="13"/>
      <c r="P462" s="13"/>
      <c r="Q462" s="13"/>
      <c r="R462" s="13"/>
      <c r="S462" s="13"/>
      <c r="T462" s="13"/>
      <c r="U462" s="13"/>
      <c r="V462" s="13"/>
      <c r="W462" s="13"/>
      <c r="X462" s="13"/>
    </row>
    <row r="463" spans="1:24" ht="12.75">
      <c r="A463" s="255"/>
      <c r="B463" s="13"/>
      <c r="C463" s="495"/>
      <c r="D463" s="495"/>
      <c r="E463" s="13"/>
      <c r="F463" s="13"/>
      <c r="G463" s="13"/>
      <c r="H463" s="13"/>
      <c r="I463" s="13"/>
      <c r="J463" s="13"/>
      <c r="K463" s="13"/>
      <c r="L463" s="13"/>
      <c r="M463" s="13"/>
      <c r="N463" s="13"/>
      <c r="O463" s="13"/>
      <c r="P463" s="13"/>
      <c r="Q463" s="13"/>
      <c r="R463" s="13"/>
      <c r="S463" s="13"/>
      <c r="T463" s="13"/>
      <c r="U463" s="13"/>
      <c r="V463" s="13"/>
      <c r="W463" s="13"/>
      <c r="X463" s="13"/>
    </row>
    <row r="464" spans="1:24" ht="12.75">
      <c r="A464" s="255"/>
      <c r="B464" s="13"/>
      <c r="C464" s="495"/>
      <c r="D464" s="495"/>
      <c r="E464" s="13"/>
      <c r="F464" s="13"/>
      <c r="G464" s="13"/>
      <c r="H464" s="13"/>
      <c r="I464" s="13"/>
      <c r="J464" s="13"/>
      <c r="K464" s="13"/>
      <c r="L464" s="13"/>
      <c r="M464" s="13"/>
      <c r="N464" s="13"/>
      <c r="O464" s="13"/>
      <c r="P464" s="13"/>
      <c r="Q464" s="13"/>
      <c r="R464" s="13"/>
      <c r="S464" s="13"/>
      <c r="T464" s="13"/>
      <c r="U464" s="13"/>
      <c r="V464" s="13"/>
      <c r="W464" s="13"/>
      <c r="X464" s="13"/>
    </row>
    <row r="465" spans="1:24" ht="12.75">
      <c r="A465" s="255"/>
      <c r="B465" s="13"/>
      <c r="C465" s="495"/>
      <c r="D465" s="495"/>
      <c r="E465" s="13"/>
      <c r="F465" s="13"/>
      <c r="G465" s="13"/>
      <c r="H465" s="13"/>
      <c r="I465" s="13"/>
      <c r="J465" s="13"/>
      <c r="K465" s="13"/>
      <c r="L465" s="13"/>
      <c r="M465" s="13"/>
      <c r="N465" s="13"/>
      <c r="O465" s="13"/>
      <c r="P465" s="13"/>
      <c r="Q465" s="13"/>
      <c r="R465" s="13"/>
      <c r="S465" s="13"/>
      <c r="T465" s="13"/>
      <c r="U465" s="13"/>
      <c r="V465" s="13"/>
      <c r="W465" s="13"/>
      <c r="X465" s="13"/>
    </row>
    <row r="466" spans="1:24" ht="12.75">
      <c r="A466" s="255"/>
      <c r="B466" s="13"/>
      <c r="C466" s="495"/>
      <c r="D466" s="495"/>
      <c r="E466" s="13"/>
      <c r="F466" s="13"/>
      <c r="G466" s="13"/>
      <c r="H466" s="13"/>
      <c r="I466" s="13"/>
      <c r="J466" s="13"/>
      <c r="K466" s="13"/>
      <c r="L466" s="13"/>
      <c r="M466" s="13"/>
      <c r="N466" s="13"/>
      <c r="O466" s="13"/>
      <c r="P466" s="13"/>
      <c r="Q466" s="13"/>
      <c r="R466" s="13"/>
      <c r="S466" s="13"/>
      <c r="T466" s="13"/>
      <c r="U466" s="13"/>
      <c r="V466" s="13"/>
      <c r="W466" s="13"/>
      <c r="X466" s="13"/>
    </row>
    <row r="467" spans="1:24" ht="12.75">
      <c r="A467" s="255"/>
      <c r="B467" s="13"/>
      <c r="C467" s="495"/>
      <c r="D467" s="495"/>
      <c r="E467" s="13"/>
      <c r="F467" s="13"/>
      <c r="G467" s="13"/>
      <c r="H467" s="13"/>
      <c r="I467" s="13"/>
      <c r="J467" s="13"/>
      <c r="K467" s="13"/>
      <c r="L467" s="13"/>
      <c r="M467" s="13"/>
      <c r="N467" s="13"/>
      <c r="O467" s="13"/>
      <c r="P467" s="13"/>
      <c r="Q467" s="13"/>
      <c r="R467" s="13"/>
      <c r="S467" s="13"/>
      <c r="T467" s="13"/>
      <c r="U467" s="13"/>
      <c r="V467" s="13"/>
      <c r="W467" s="13"/>
      <c r="X467" s="13"/>
    </row>
    <row r="468" spans="1:24" ht="12.75">
      <c r="A468" s="255"/>
      <c r="B468" s="13"/>
      <c r="C468" s="495"/>
      <c r="D468" s="495"/>
      <c r="E468" s="13"/>
      <c r="F468" s="13"/>
      <c r="G468" s="13"/>
      <c r="H468" s="13"/>
      <c r="I468" s="13"/>
      <c r="J468" s="13"/>
      <c r="K468" s="13"/>
      <c r="L468" s="13"/>
      <c r="M468" s="13"/>
      <c r="N468" s="13"/>
      <c r="O468" s="13"/>
      <c r="P468" s="13"/>
      <c r="Q468" s="13"/>
      <c r="R468" s="13"/>
      <c r="S468" s="13"/>
      <c r="T468" s="13"/>
      <c r="U468" s="13"/>
      <c r="V468" s="13"/>
      <c r="W468" s="13"/>
      <c r="X468" s="13"/>
    </row>
    <row r="469" spans="1:24" ht="12.75">
      <c r="A469" s="255"/>
      <c r="B469" s="13"/>
      <c r="C469" s="495"/>
      <c r="D469" s="495"/>
      <c r="E469" s="13"/>
      <c r="F469" s="13"/>
      <c r="G469" s="13"/>
      <c r="H469" s="13"/>
      <c r="I469" s="13"/>
      <c r="J469" s="13"/>
      <c r="K469" s="13"/>
      <c r="L469" s="13"/>
      <c r="M469" s="13"/>
      <c r="N469" s="13"/>
      <c r="O469" s="13"/>
      <c r="P469" s="13"/>
      <c r="Q469" s="13"/>
      <c r="R469" s="13"/>
      <c r="S469" s="13"/>
      <c r="T469" s="13"/>
      <c r="U469" s="13"/>
      <c r="V469" s="13"/>
      <c r="W469" s="13"/>
      <c r="X469" s="13"/>
    </row>
    <row r="470" spans="1:24" ht="12.75">
      <c r="A470" s="255"/>
      <c r="B470" s="13"/>
      <c r="C470" s="495"/>
      <c r="D470" s="495"/>
      <c r="E470" s="13"/>
      <c r="F470" s="13"/>
      <c r="G470" s="13"/>
      <c r="H470" s="13"/>
      <c r="I470" s="13"/>
      <c r="J470" s="13"/>
      <c r="K470" s="13"/>
      <c r="L470" s="13"/>
      <c r="M470" s="13"/>
      <c r="N470" s="13"/>
      <c r="O470" s="13"/>
      <c r="P470" s="13"/>
      <c r="Q470" s="13"/>
      <c r="R470" s="13"/>
      <c r="S470" s="13"/>
      <c r="T470" s="13"/>
      <c r="U470" s="13"/>
      <c r="V470" s="13"/>
      <c r="W470" s="13"/>
      <c r="X470" s="13"/>
    </row>
    <row r="471" spans="1:24" ht="12.75">
      <c r="A471" s="255"/>
      <c r="B471" s="13"/>
      <c r="C471" s="495"/>
      <c r="D471" s="495"/>
      <c r="E471" s="13"/>
      <c r="F471" s="13"/>
      <c r="G471" s="13"/>
      <c r="H471" s="13"/>
      <c r="I471" s="13"/>
      <c r="J471" s="13"/>
      <c r="K471" s="13"/>
      <c r="L471" s="13"/>
      <c r="M471" s="13"/>
      <c r="N471" s="13"/>
      <c r="O471" s="13"/>
      <c r="P471" s="13"/>
      <c r="Q471" s="13"/>
      <c r="R471" s="13"/>
      <c r="S471" s="13"/>
      <c r="T471" s="13"/>
      <c r="U471" s="13"/>
      <c r="V471" s="13"/>
      <c r="W471" s="13"/>
      <c r="X471" s="13"/>
    </row>
    <row r="472" spans="1:24" ht="12.75">
      <c r="A472" s="255"/>
      <c r="B472" s="13"/>
      <c r="C472" s="495"/>
      <c r="D472" s="495"/>
      <c r="E472" s="13"/>
      <c r="F472" s="13"/>
      <c r="G472" s="13"/>
      <c r="H472" s="13"/>
      <c r="I472" s="13"/>
      <c r="J472" s="13"/>
      <c r="K472" s="13"/>
      <c r="L472" s="13"/>
      <c r="M472" s="13"/>
      <c r="N472" s="13"/>
      <c r="O472" s="13"/>
      <c r="P472" s="13"/>
      <c r="Q472" s="13"/>
      <c r="R472" s="13"/>
      <c r="S472" s="13"/>
      <c r="T472" s="13"/>
      <c r="U472" s="13"/>
      <c r="V472" s="13"/>
      <c r="W472" s="13"/>
      <c r="X472" s="13"/>
    </row>
    <row r="473" spans="1:24" ht="12.75">
      <c r="A473" s="255"/>
      <c r="B473" s="13"/>
      <c r="C473" s="495"/>
      <c r="D473" s="495"/>
      <c r="E473" s="13"/>
      <c r="F473" s="13"/>
      <c r="G473" s="13"/>
      <c r="H473" s="13"/>
      <c r="I473" s="13"/>
      <c r="J473" s="13"/>
      <c r="K473" s="13"/>
      <c r="L473" s="13"/>
      <c r="M473" s="13"/>
      <c r="N473" s="13"/>
      <c r="O473" s="13"/>
      <c r="P473" s="13"/>
      <c r="Q473" s="13"/>
      <c r="R473" s="13"/>
      <c r="S473" s="13"/>
      <c r="T473" s="13"/>
      <c r="U473" s="13"/>
      <c r="V473" s="13"/>
      <c r="W473" s="13"/>
      <c r="X473" s="13"/>
    </row>
    <row r="474" spans="1:24" ht="12.75">
      <c r="A474" s="255"/>
      <c r="B474" s="13"/>
      <c r="C474" s="495"/>
      <c r="D474" s="495"/>
      <c r="E474" s="13"/>
      <c r="F474" s="13"/>
      <c r="G474" s="13"/>
      <c r="H474" s="13"/>
      <c r="I474" s="13"/>
      <c r="J474" s="13"/>
      <c r="K474" s="13"/>
      <c r="L474" s="13"/>
      <c r="M474" s="13"/>
      <c r="N474" s="13"/>
      <c r="O474" s="13"/>
      <c r="P474" s="13"/>
      <c r="Q474" s="13"/>
      <c r="R474" s="13"/>
      <c r="S474" s="13"/>
      <c r="T474" s="13"/>
      <c r="U474" s="13"/>
      <c r="V474" s="13"/>
      <c r="W474" s="13"/>
      <c r="X474" s="13"/>
    </row>
    <row r="475" spans="1:24" ht="12.75">
      <c r="A475" s="255"/>
      <c r="B475" s="13"/>
      <c r="C475" s="495"/>
      <c r="D475" s="495"/>
      <c r="E475" s="13"/>
      <c r="F475" s="13"/>
      <c r="G475" s="13"/>
      <c r="H475" s="13"/>
      <c r="I475" s="13"/>
      <c r="J475" s="13"/>
      <c r="K475" s="13"/>
      <c r="L475" s="13"/>
      <c r="M475" s="13"/>
      <c r="N475" s="13"/>
      <c r="O475" s="13"/>
      <c r="P475" s="13"/>
      <c r="Q475" s="13"/>
      <c r="R475" s="13"/>
      <c r="S475" s="13"/>
      <c r="T475" s="13"/>
      <c r="U475" s="13"/>
      <c r="V475" s="13"/>
      <c r="W475" s="13"/>
      <c r="X475" s="13"/>
    </row>
    <row r="476" spans="1:24" ht="12.75">
      <c r="A476" s="255"/>
      <c r="B476" s="13"/>
      <c r="C476" s="495"/>
      <c r="D476" s="495"/>
      <c r="E476" s="13"/>
      <c r="F476" s="13"/>
      <c r="G476" s="13"/>
      <c r="H476" s="13"/>
      <c r="I476" s="13"/>
      <c r="J476" s="13"/>
      <c r="K476" s="13"/>
      <c r="L476" s="13"/>
      <c r="M476" s="13"/>
      <c r="N476" s="13"/>
      <c r="O476" s="13"/>
      <c r="P476" s="13"/>
      <c r="Q476" s="13"/>
      <c r="R476" s="13"/>
      <c r="S476" s="13"/>
      <c r="T476" s="13"/>
      <c r="U476" s="13"/>
      <c r="V476" s="13"/>
      <c r="W476" s="13"/>
      <c r="X476" s="13"/>
    </row>
    <row r="477" spans="1:24" ht="12.75">
      <c r="A477" s="255"/>
      <c r="B477" s="13"/>
      <c r="C477" s="495"/>
      <c r="D477" s="495"/>
      <c r="E477" s="13"/>
      <c r="F477" s="13"/>
      <c r="G477" s="13"/>
      <c r="H477" s="13"/>
      <c r="I477" s="13"/>
      <c r="J477" s="13"/>
      <c r="K477" s="13"/>
      <c r="L477" s="13"/>
      <c r="M477" s="13"/>
      <c r="N477" s="13"/>
      <c r="O477" s="13"/>
      <c r="P477" s="13"/>
      <c r="Q477" s="13"/>
      <c r="R477" s="13"/>
      <c r="S477" s="13"/>
      <c r="T477" s="13"/>
      <c r="U477" s="13"/>
      <c r="V477" s="13"/>
      <c r="W477" s="13"/>
      <c r="X477" s="13"/>
    </row>
    <row r="478" spans="1:24" ht="12.75">
      <c r="A478" s="255"/>
      <c r="B478" s="13"/>
      <c r="C478" s="495"/>
      <c r="D478" s="495"/>
      <c r="E478" s="13"/>
      <c r="F478" s="13"/>
      <c r="G478" s="13"/>
      <c r="H478" s="13"/>
      <c r="I478" s="13"/>
      <c r="J478" s="13"/>
      <c r="K478" s="13"/>
      <c r="L478" s="13"/>
      <c r="M478" s="13"/>
      <c r="N478" s="13"/>
      <c r="O478" s="13"/>
      <c r="P478" s="13"/>
      <c r="Q478" s="13"/>
      <c r="R478" s="13"/>
      <c r="S478" s="13"/>
      <c r="T478" s="13"/>
      <c r="U478" s="13"/>
      <c r="V478" s="13"/>
      <c r="W478" s="13"/>
      <c r="X478" s="13"/>
    </row>
    <row r="479" spans="1:24" ht="12.75">
      <c r="A479" s="255"/>
      <c r="B479" s="13"/>
      <c r="C479" s="495"/>
      <c r="D479" s="495"/>
      <c r="E479" s="13"/>
      <c r="F479" s="13"/>
      <c r="G479" s="13"/>
      <c r="H479" s="13"/>
      <c r="I479" s="13"/>
      <c r="J479" s="13"/>
      <c r="K479" s="13"/>
      <c r="L479" s="13"/>
      <c r="M479" s="13"/>
      <c r="N479" s="13"/>
      <c r="O479" s="13"/>
      <c r="P479" s="13"/>
      <c r="Q479" s="13"/>
      <c r="R479" s="13"/>
      <c r="S479" s="13"/>
      <c r="T479" s="13"/>
      <c r="U479" s="13"/>
      <c r="V479" s="13"/>
      <c r="W479" s="13"/>
      <c r="X479" s="13"/>
    </row>
    <row r="480" spans="1:24" ht="12.75">
      <c r="A480" s="255"/>
      <c r="B480" s="13"/>
      <c r="C480" s="495"/>
      <c r="D480" s="495"/>
      <c r="E480" s="13"/>
      <c r="F480" s="13"/>
      <c r="G480" s="13"/>
      <c r="H480" s="13"/>
      <c r="I480" s="13"/>
      <c r="J480" s="13"/>
      <c r="K480" s="13"/>
      <c r="L480" s="13"/>
      <c r="M480" s="13"/>
      <c r="N480" s="13"/>
      <c r="O480" s="13"/>
      <c r="P480" s="13"/>
      <c r="Q480" s="13"/>
      <c r="R480" s="13"/>
      <c r="S480" s="13"/>
      <c r="T480" s="13"/>
      <c r="U480" s="13"/>
      <c r="V480" s="13"/>
      <c r="W480" s="13"/>
      <c r="X480" s="13"/>
    </row>
    <row r="481" spans="1:24" ht="12.75">
      <c r="A481" s="255"/>
      <c r="B481" s="13"/>
      <c r="C481" s="495"/>
      <c r="D481" s="495"/>
      <c r="E481" s="13"/>
      <c r="F481" s="13"/>
      <c r="G481" s="13"/>
      <c r="H481" s="13"/>
      <c r="I481" s="13"/>
      <c r="J481" s="13"/>
      <c r="K481" s="13"/>
      <c r="L481" s="13"/>
      <c r="M481" s="13"/>
      <c r="N481" s="13"/>
      <c r="O481" s="13"/>
      <c r="P481" s="13"/>
      <c r="Q481" s="13"/>
      <c r="R481" s="13"/>
      <c r="S481" s="13"/>
      <c r="T481" s="13"/>
      <c r="U481" s="13"/>
      <c r="V481" s="13"/>
      <c r="W481" s="13"/>
      <c r="X481" s="13"/>
    </row>
    <row r="482" spans="1:24" ht="12.75">
      <c r="A482" s="255"/>
      <c r="B482" s="13"/>
      <c r="C482" s="495"/>
      <c r="D482" s="495"/>
      <c r="E482" s="13"/>
      <c r="F482" s="13"/>
      <c r="G482" s="13"/>
      <c r="H482" s="13"/>
      <c r="I482" s="13"/>
      <c r="J482" s="13"/>
      <c r="K482" s="13"/>
      <c r="L482" s="13"/>
      <c r="M482" s="13"/>
      <c r="N482" s="13"/>
      <c r="O482" s="13"/>
      <c r="P482" s="13"/>
      <c r="Q482" s="13"/>
      <c r="R482" s="13"/>
      <c r="S482" s="13"/>
      <c r="T482" s="13"/>
      <c r="U482" s="13"/>
      <c r="V482" s="13"/>
      <c r="W482" s="13"/>
      <c r="X482" s="13"/>
    </row>
    <row r="483" spans="1:24" ht="12.75">
      <c r="A483" s="255"/>
      <c r="B483" s="13"/>
      <c r="C483" s="495"/>
      <c r="D483" s="495"/>
      <c r="E483" s="13"/>
      <c r="F483" s="13"/>
      <c r="G483" s="13"/>
      <c r="H483" s="13"/>
      <c r="I483" s="13"/>
      <c r="J483" s="13"/>
      <c r="K483" s="13"/>
      <c r="L483" s="13"/>
      <c r="M483" s="13"/>
      <c r="N483" s="13"/>
      <c r="O483" s="13"/>
      <c r="P483" s="13"/>
      <c r="Q483" s="13"/>
      <c r="R483" s="13"/>
      <c r="S483" s="13"/>
      <c r="T483" s="13"/>
      <c r="U483" s="13"/>
      <c r="V483" s="13"/>
      <c r="W483" s="13"/>
      <c r="X483" s="13"/>
    </row>
    <row r="484" spans="1:24" ht="12.75">
      <c r="A484" s="255"/>
      <c r="B484" s="13"/>
      <c r="C484" s="495"/>
      <c r="D484" s="495"/>
      <c r="E484" s="13"/>
      <c r="F484" s="13"/>
      <c r="G484" s="13"/>
      <c r="H484" s="13"/>
      <c r="I484" s="13"/>
      <c r="J484" s="13"/>
      <c r="K484" s="13"/>
      <c r="L484" s="13"/>
      <c r="M484" s="13"/>
      <c r="N484" s="13"/>
      <c r="O484" s="13"/>
      <c r="P484" s="13"/>
      <c r="Q484" s="13"/>
      <c r="R484" s="13"/>
      <c r="S484" s="13"/>
      <c r="T484" s="13"/>
      <c r="U484" s="13"/>
      <c r="V484" s="13"/>
      <c r="W484" s="13"/>
      <c r="X484" s="13"/>
    </row>
    <row r="485" spans="1:24" ht="12.75">
      <c r="A485" s="255"/>
      <c r="B485" s="13"/>
      <c r="C485" s="495"/>
      <c r="D485" s="495"/>
      <c r="E485" s="13"/>
      <c r="F485" s="13"/>
      <c r="G485" s="13"/>
      <c r="H485" s="13"/>
      <c r="I485" s="13"/>
      <c r="J485" s="13"/>
      <c r="K485" s="13"/>
      <c r="L485" s="13"/>
      <c r="M485" s="13"/>
      <c r="N485" s="13"/>
      <c r="O485" s="13"/>
      <c r="P485" s="13"/>
      <c r="Q485" s="13"/>
      <c r="R485" s="13"/>
      <c r="S485" s="13"/>
      <c r="T485" s="13"/>
      <c r="U485" s="13"/>
      <c r="V485" s="13"/>
      <c r="W485" s="13"/>
      <c r="X485" s="13"/>
    </row>
    <row r="486" spans="1:24" ht="12.75">
      <c r="A486" s="255"/>
      <c r="B486" s="13"/>
      <c r="C486" s="495"/>
      <c r="D486" s="495"/>
      <c r="E486" s="13"/>
      <c r="F486" s="13"/>
      <c r="G486" s="13"/>
      <c r="H486" s="13"/>
      <c r="I486" s="13"/>
      <c r="J486" s="13"/>
      <c r="K486" s="13"/>
      <c r="L486" s="13"/>
      <c r="M486" s="13"/>
      <c r="N486" s="13"/>
      <c r="O486" s="13"/>
      <c r="P486" s="13"/>
      <c r="Q486" s="13"/>
      <c r="R486" s="13"/>
      <c r="S486" s="13"/>
      <c r="T486" s="13"/>
      <c r="U486" s="13"/>
      <c r="V486" s="13"/>
      <c r="W486" s="13"/>
      <c r="X486" s="13"/>
    </row>
    <row r="487" spans="1:24" ht="12.75">
      <c r="A487" s="255"/>
      <c r="B487" s="13"/>
      <c r="C487" s="495"/>
      <c r="D487" s="495"/>
      <c r="E487" s="13"/>
      <c r="F487" s="13"/>
      <c r="G487" s="13"/>
      <c r="H487" s="13"/>
      <c r="I487" s="13"/>
      <c r="J487" s="13"/>
      <c r="K487" s="13"/>
      <c r="L487" s="13"/>
      <c r="M487" s="13"/>
      <c r="N487" s="13"/>
      <c r="O487" s="13"/>
      <c r="P487" s="13"/>
      <c r="Q487" s="13"/>
      <c r="R487" s="13"/>
      <c r="S487" s="13"/>
      <c r="T487" s="13"/>
      <c r="U487" s="13"/>
      <c r="V487" s="13"/>
      <c r="W487" s="13"/>
      <c r="X487" s="13"/>
    </row>
    <row r="488" spans="1:24" ht="12.75">
      <c r="A488" s="255"/>
      <c r="B488" s="13"/>
      <c r="C488" s="495"/>
      <c r="D488" s="495"/>
      <c r="E488" s="13"/>
      <c r="F488" s="13"/>
      <c r="G488" s="13"/>
      <c r="H488" s="13"/>
      <c r="I488" s="13"/>
      <c r="J488" s="13"/>
      <c r="K488" s="13"/>
      <c r="L488" s="13"/>
      <c r="M488" s="13"/>
      <c r="N488" s="13"/>
      <c r="O488" s="13"/>
      <c r="P488" s="13"/>
      <c r="Q488" s="13"/>
      <c r="R488" s="13"/>
      <c r="S488" s="13"/>
      <c r="T488" s="13"/>
      <c r="U488" s="13"/>
      <c r="V488" s="13"/>
      <c r="W488" s="13"/>
      <c r="X488" s="13"/>
    </row>
    <row r="489" spans="1:24" ht="12.75">
      <c r="A489" s="255"/>
      <c r="B489" s="13"/>
      <c r="C489" s="495"/>
      <c r="D489" s="495"/>
      <c r="E489" s="13"/>
      <c r="F489" s="13"/>
      <c r="G489" s="13"/>
      <c r="H489" s="13"/>
      <c r="I489" s="13"/>
      <c r="J489" s="13"/>
      <c r="K489" s="13"/>
      <c r="L489" s="13"/>
      <c r="M489" s="13"/>
      <c r="N489" s="13"/>
      <c r="O489" s="13"/>
      <c r="P489" s="13"/>
      <c r="Q489" s="13"/>
      <c r="R489" s="13"/>
      <c r="S489" s="13"/>
      <c r="T489" s="13"/>
      <c r="U489" s="13"/>
      <c r="V489" s="13"/>
      <c r="W489" s="13"/>
      <c r="X489" s="13"/>
    </row>
    <row r="490" spans="1:24" ht="12.75">
      <c r="A490" s="255"/>
      <c r="B490" s="13"/>
      <c r="C490" s="495"/>
      <c r="D490" s="495"/>
      <c r="E490" s="13"/>
      <c r="F490" s="13"/>
      <c r="G490" s="13"/>
      <c r="H490" s="13"/>
      <c r="I490" s="13"/>
      <c r="J490" s="13"/>
      <c r="K490" s="13"/>
      <c r="L490" s="13"/>
      <c r="M490" s="13"/>
      <c r="N490" s="13"/>
      <c r="O490" s="13"/>
      <c r="P490" s="13"/>
      <c r="Q490" s="13"/>
      <c r="R490" s="13"/>
      <c r="S490" s="13"/>
      <c r="T490" s="13"/>
      <c r="U490" s="13"/>
      <c r="V490" s="13"/>
      <c r="W490" s="13"/>
      <c r="X490" s="13"/>
    </row>
    <row r="491" spans="1:24" ht="12.75">
      <c r="A491" s="255"/>
      <c r="B491" s="13"/>
      <c r="C491" s="495"/>
      <c r="D491" s="495"/>
      <c r="E491" s="13"/>
      <c r="F491" s="13"/>
      <c r="G491" s="13"/>
      <c r="H491" s="13"/>
      <c r="I491" s="13"/>
      <c r="J491" s="13"/>
      <c r="K491" s="13"/>
      <c r="L491" s="13"/>
      <c r="M491" s="13"/>
      <c r="N491" s="13"/>
      <c r="O491" s="13"/>
      <c r="P491" s="13"/>
      <c r="Q491" s="13"/>
      <c r="R491" s="13"/>
      <c r="S491" s="13"/>
      <c r="T491" s="13"/>
      <c r="U491" s="13"/>
      <c r="V491" s="13"/>
      <c r="W491" s="13"/>
      <c r="X491" s="13"/>
    </row>
    <row r="492" spans="1:24" ht="12.75">
      <c r="A492" s="255"/>
      <c r="B492" s="13"/>
      <c r="C492" s="495"/>
      <c r="D492" s="495"/>
      <c r="E492" s="13"/>
      <c r="F492" s="13"/>
      <c r="G492" s="13"/>
      <c r="H492" s="13"/>
      <c r="I492" s="13"/>
      <c r="J492" s="13"/>
      <c r="K492" s="13"/>
      <c r="L492" s="13"/>
      <c r="M492" s="13"/>
      <c r="N492" s="13"/>
      <c r="O492" s="13"/>
      <c r="P492" s="13"/>
      <c r="Q492" s="13"/>
      <c r="R492" s="13"/>
      <c r="S492" s="13"/>
      <c r="T492" s="13"/>
      <c r="U492" s="13"/>
      <c r="V492" s="13"/>
      <c r="W492" s="13"/>
      <c r="X492" s="13"/>
    </row>
    <row r="493" spans="1:24" ht="12.75">
      <c r="A493" s="255"/>
      <c r="B493" s="13"/>
      <c r="C493" s="495"/>
      <c r="D493" s="495"/>
      <c r="E493" s="13"/>
      <c r="F493" s="13"/>
      <c r="G493" s="13"/>
      <c r="H493" s="13"/>
      <c r="I493" s="13"/>
      <c r="J493" s="13"/>
      <c r="K493" s="13"/>
      <c r="L493" s="13"/>
      <c r="M493" s="13"/>
      <c r="N493" s="13"/>
      <c r="O493" s="13"/>
      <c r="P493" s="13"/>
      <c r="Q493" s="13"/>
      <c r="R493" s="13"/>
      <c r="S493" s="13"/>
      <c r="T493" s="13"/>
      <c r="U493" s="13"/>
      <c r="V493" s="13"/>
      <c r="W493" s="13"/>
      <c r="X493" s="13"/>
    </row>
    <row r="494" spans="1:24" ht="12.75">
      <c r="A494" s="255"/>
      <c r="B494" s="13"/>
      <c r="C494" s="495"/>
      <c r="D494" s="495"/>
      <c r="E494" s="13"/>
      <c r="F494" s="13"/>
      <c r="G494" s="13"/>
      <c r="H494" s="13"/>
      <c r="I494" s="13"/>
      <c r="J494" s="13"/>
      <c r="K494" s="13"/>
      <c r="L494" s="13"/>
      <c r="M494" s="13"/>
      <c r="N494" s="13"/>
      <c r="O494" s="13"/>
      <c r="P494" s="13"/>
      <c r="Q494" s="13"/>
      <c r="R494" s="13"/>
      <c r="S494" s="13"/>
      <c r="T494" s="13"/>
      <c r="U494" s="13"/>
      <c r="V494" s="13"/>
      <c r="W494" s="13"/>
      <c r="X494" s="13"/>
    </row>
    <row r="495" spans="1:24" ht="12.75">
      <c r="A495" s="255"/>
      <c r="B495" s="13"/>
      <c r="C495" s="495"/>
      <c r="D495" s="495"/>
      <c r="E495" s="13"/>
      <c r="F495" s="13"/>
      <c r="G495" s="13"/>
      <c r="H495" s="13"/>
      <c r="I495" s="13"/>
      <c r="J495" s="13"/>
      <c r="K495" s="13"/>
      <c r="L495" s="13"/>
      <c r="M495" s="13"/>
      <c r="N495" s="13"/>
      <c r="O495" s="13"/>
      <c r="P495" s="13"/>
      <c r="Q495" s="13"/>
      <c r="R495" s="13"/>
      <c r="S495" s="13"/>
      <c r="T495" s="13"/>
      <c r="U495" s="13"/>
      <c r="V495" s="13"/>
      <c r="W495" s="13"/>
      <c r="X495" s="13"/>
    </row>
    <row r="496" spans="1:24" ht="12.75">
      <c r="A496" s="255"/>
      <c r="B496" s="13"/>
      <c r="C496" s="495"/>
      <c r="D496" s="495"/>
      <c r="E496" s="13"/>
      <c r="F496" s="13"/>
      <c r="G496" s="13"/>
      <c r="H496" s="13"/>
      <c r="I496" s="13"/>
      <c r="J496" s="13"/>
      <c r="K496" s="13"/>
      <c r="L496" s="13"/>
      <c r="M496" s="13"/>
      <c r="N496" s="13"/>
      <c r="O496" s="13"/>
      <c r="P496" s="13"/>
      <c r="Q496" s="13"/>
      <c r="R496" s="13"/>
      <c r="S496" s="13"/>
      <c r="T496" s="13"/>
      <c r="U496" s="13"/>
      <c r="V496" s="13"/>
      <c r="W496" s="13"/>
      <c r="X496" s="13"/>
    </row>
    <row r="497" spans="1:24" ht="12.75">
      <c r="A497" s="255"/>
      <c r="B497" s="13"/>
      <c r="C497" s="495"/>
      <c r="D497" s="495"/>
      <c r="E497" s="13"/>
      <c r="F497" s="13"/>
      <c r="G497" s="13"/>
      <c r="H497" s="13"/>
      <c r="I497" s="13"/>
      <c r="J497" s="13"/>
      <c r="K497" s="13"/>
      <c r="L497" s="13"/>
      <c r="M497" s="13"/>
      <c r="N497" s="13"/>
      <c r="O497" s="13"/>
      <c r="P497" s="13"/>
      <c r="Q497" s="13"/>
      <c r="R497" s="13"/>
      <c r="S497" s="13"/>
      <c r="T497" s="13"/>
      <c r="U497" s="13"/>
      <c r="V497" s="13"/>
      <c r="W497" s="13"/>
      <c r="X497" s="13"/>
    </row>
    <row r="498" spans="1:24" ht="12.75">
      <c r="A498" s="255"/>
      <c r="B498" s="13"/>
      <c r="C498" s="495"/>
      <c r="D498" s="495"/>
      <c r="E498" s="13"/>
      <c r="F498" s="13"/>
      <c r="G498" s="13"/>
      <c r="H498" s="13"/>
      <c r="I498" s="13"/>
      <c r="J498" s="13"/>
      <c r="K498" s="13"/>
      <c r="L498" s="13"/>
      <c r="M498" s="13"/>
      <c r="N498" s="13"/>
      <c r="O498" s="13"/>
      <c r="P498" s="13"/>
      <c r="Q498" s="13"/>
      <c r="R498" s="13"/>
      <c r="S498" s="13"/>
      <c r="T498" s="13"/>
      <c r="U498" s="13"/>
      <c r="V498" s="13"/>
      <c r="W498" s="13"/>
      <c r="X498" s="13"/>
    </row>
    <row r="499" spans="1:24" ht="12.75">
      <c r="A499" s="255"/>
      <c r="B499" s="13"/>
      <c r="C499" s="495"/>
      <c r="D499" s="495"/>
      <c r="E499" s="13"/>
      <c r="F499" s="13"/>
      <c r="G499" s="13"/>
      <c r="H499" s="13"/>
      <c r="I499" s="13"/>
      <c r="J499" s="13"/>
      <c r="K499" s="13"/>
      <c r="L499" s="13"/>
      <c r="M499" s="13"/>
      <c r="N499" s="13"/>
      <c r="O499" s="13"/>
      <c r="P499" s="13"/>
      <c r="Q499" s="13"/>
      <c r="R499" s="13"/>
      <c r="S499" s="13"/>
      <c r="T499" s="13"/>
      <c r="U499" s="13"/>
      <c r="V499" s="13"/>
      <c r="W499" s="13"/>
      <c r="X499" s="13"/>
    </row>
    <row r="500" spans="1:24" ht="12.75">
      <c r="A500" s="255"/>
      <c r="B500" s="13"/>
      <c r="C500" s="495"/>
      <c r="D500" s="495"/>
      <c r="E500" s="13"/>
      <c r="F500" s="13"/>
      <c r="G500" s="13"/>
      <c r="H500" s="13"/>
      <c r="I500" s="13"/>
      <c r="J500" s="13"/>
      <c r="K500" s="13"/>
      <c r="L500" s="13"/>
      <c r="M500" s="13"/>
      <c r="N500" s="13"/>
      <c r="O500" s="13"/>
      <c r="P500" s="13"/>
      <c r="Q500" s="13"/>
      <c r="R500" s="13"/>
      <c r="S500" s="13"/>
      <c r="T500" s="13"/>
      <c r="U500" s="13"/>
      <c r="V500" s="13"/>
      <c r="W500" s="13"/>
      <c r="X500" s="13"/>
    </row>
    <row r="501" spans="1:24" ht="12.75">
      <c r="A501" s="255"/>
      <c r="B501" s="13"/>
      <c r="C501" s="495"/>
      <c r="D501" s="495"/>
      <c r="E501" s="13"/>
      <c r="F501" s="13"/>
      <c r="G501" s="13"/>
      <c r="H501" s="13"/>
      <c r="I501" s="13"/>
      <c r="J501" s="13"/>
      <c r="K501" s="13"/>
      <c r="L501" s="13"/>
      <c r="M501" s="13"/>
      <c r="N501" s="13"/>
      <c r="O501" s="13"/>
      <c r="P501" s="13"/>
      <c r="Q501" s="13"/>
      <c r="R501" s="13"/>
      <c r="S501" s="13"/>
      <c r="T501" s="13"/>
      <c r="U501" s="13"/>
      <c r="V501" s="13"/>
      <c r="W501" s="13"/>
      <c r="X501" s="13"/>
    </row>
  </sheetData>
  <sheetProtection/>
  <mergeCells count="6">
    <mergeCell ref="A32:G32"/>
    <mergeCell ref="E1:G1"/>
    <mergeCell ref="E2:G2"/>
    <mergeCell ref="E3:G3"/>
    <mergeCell ref="A4:B4"/>
    <mergeCell ref="B18:G18"/>
  </mergeCells>
  <hyperlinks>
    <hyperlink ref="A4" location="'1.1aSummary'!A1" display="Summary"/>
  </hyperlinks>
  <printOptions/>
  <pageMargins left="0.75" right="0.75" top="0.52" bottom="0.64" header="0.5" footer="0.5"/>
  <pageSetup fitToHeight="1" fitToWidth="1" horizontalDpi="600" verticalDpi="600" orientation="portrait" scale="95" r:id="rId1"/>
  <headerFooter alignWithMargins="0">
    <oddFooter>&amp;L&amp;"Times New Roman,Regular"&amp;11&amp;F, Tab:&amp;A&amp;C&amp;"Times New Roman,Regular"&amp;11&amp;D&amp;R&amp;"Times New Roman,Regular"&amp;11&amp;P of &amp;N</oddFooter>
  </headerFooter>
</worksheet>
</file>

<file path=xl/worksheets/sheet7.xml><?xml version="1.0" encoding="utf-8"?>
<worksheet xmlns="http://schemas.openxmlformats.org/spreadsheetml/2006/main" xmlns:r="http://schemas.openxmlformats.org/officeDocument/2006/relationships">
  <sheetPr>
    <tabColor rgb="FFCC00CC"/>
  </sheetPr>
  <dimension ref="A1:AW168"/>
  <sheetViews>
    <sheetView zoomScalePageLayoutView="0" workbookViewId="0" topLeftCell="A1">
      <selection activeCell="F37" sqref="F37"/>
    </sheetView>
  </sheetViews>
  <sheetFormatPr defaultColWidth="9.140625" defaultRowHeight="12.75"/>
  <cols>
    <col min="1" max="1" width="4.7109375" style="4" customWidth="1"/>
    <col min="2" max="2" width="48.7109375" style="0" customWidth="1"/>
    <col min="3" max="3" width="12.8515625" style="0" customWidth="1"/>
    <col min="4" max="4" width="11.28125" style="0" bestFit="1" customWidth="1"/>
    <col min="5" max="5" width="4.7109375" style="0" customWidth="1"/>
    <col min="6" max="6" width="12.140625" style="0" customWidth="1"/>
    <col min="7" max="7" width="14.00390625" style="0" bestFit="1" customWidth="1"/>
    <col min="8" max="8" width="4.28125" style="3" customWidth="1"/>
    <col min="9" max="9" width="14.140625" style="0" customWidth="1"/>
    <col min="10" max="10" width="13.57421875" style="0" customWidth="1"/>
    <col min="11" max="11" width="11.00390625" style="0" customWidth="1"/>
    <col min="12" max="12" width="11.00390625" style="0" bestFit="1" customWidth="1"/>
  </cols>
  <sheetData>
    <row r="1" spans="1:12" s="13" customFormat="1" ht="20.25">
      <c r="A1" s="476" t="str">
        <f>'1.2 INC STMT'!A1</f>
        <v>Pineview West Water Company</v>
      </c>
      <c r="B1" s="28"/>
      <c r="C1" s="28"/>
      <c r="D1" s="28"/>
      <c r="E1" s="28"/>
      <c r="F1" s="124"/>
      <c r="G1" s="28"/>
      <c r="H1" s="29"/>
      <c r="I1" s="28"/>
      <c r="L1" s="511" t="s">
        <v>479</v>
      </c>
    </row>
    <row r="2" spans="1:12" s="13" customFormat="1" ht="18.75">
      <c r="A2" s="481" t="s">
        <v>40</v>
      </c>
      <c r="B2" s="28"/>
      <c r="C2" s="28"/>
      <c r="D2" s="28"/>
      <c r="E2" s="28"/>
      <c r="F2" s="124"/>
      <c r="G2" s="28"/>
      <c r="H2" s="29"/>
      <c r="I2" s="28"/>
      <c r="K2" s="488"/>
      <c r="L2" s="511" t="s">
        <v>477</v>
      </c>
    </row>
    <row r="3" spans="1:12" s="13" customFormat="1" ht="15.75">
      <c r="A3" s="443" t="str">
        <f>'1.2 INC STMT'!A3</f>
        <v>Year Ended December 31, 2008</v>
      </c>
      <c r="B3" s="28"/>
      <c r="C3" s="28"/>
      <c r="D3" s="28"/>
      <c r="E3" s="28"/>
      <c r="F3" s="124"/>
      <c r="G3" s="28"/>
      <c r="H3" s="29"/>
      <c r="I3" s="28"/>
      <c r="K3" s="488"/>
      <c r="L3" s="511" t="s">
        <v>478</v>
      </c>
    </row>
    <row r="4" spans="1:11" s="13" customFormat="1" ht="15.75">
      <c r="A4" s="743" t="s">
        <v>482</v>
      </c>
      <c r="B4" s="744"/>
      <c r="C4" s="28"/>
      <c r="D4" s="505"/>
      <c r="E4" s="505"/>
      <c r="F4" s="28"/>
      <c r="G4" s="28"/>
      <c r="H4" s="29"/>
      <c r="I4" s="28"/>
      <c r="J4" s="510"/>
      <c r="K4" s="488"/>
    </row>
    <row r="5" spans="1:10" s="13" customFormat="1" ht="15.75">
      <c r="A5" s="488"/>
      <c r="B5" s="456"/>
      <c r="C5" s="456" t="s">
        <v>1</v>
      </c>
      <c r="D5" s="456" t="s">
        <v>5</v>
      </c>
      <c r="E5" s="456"/>
      <c r="F5" s="456" t="s">
        <v>7</v>
      </c>
      <c r="G5" s="456" t="s">
        <v>69</v>
      </c>
      <c r="H5" s="456"/>
      <c r="I5" s="506"/>
      <c r="J5" s="506"/>
    </row>
    <row r="6" spans="1:49" ht="15.75">
      <c r="A6" s="430"/>
      <c r="B6" s="436" t="s">
        <v>17</v>
      </c>
      <c r="C6" s="431"/>
      <c r="D6" s="431"/>
      <c r="E6" s="431"/>
      <c r="F6" s="431"/>
      <c r="G6" s="430" t="s">
        <v>530</v>
      </c>
      <c r="H6" s="433"/>
      <c r="I6" s="433" t="s">
        <v>481</v>
      </c>
      <c r="J6" s="433"/>
      <c r="K6" s="433"/>
      <c r="L6" s="43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row>
    <row r="7" spans="1:49" ht="16.5" thickBot="1">
      <c r="A7" s="456">
        <v>1</v>
      </c>
      <c r="B7" s="124" t="s">
        <v>4</v>
      </c>
      <c r="C7" s="28"/>
      <c r="D7" s="28"/>
      <c r="E7" s="28"/>
      <c r="F7" s="28"/>
      <c r="G7" s="423">
        <f>'1.6 Rev Req'!C15</f>
        <v>82122.95312</v>
      </c>
      <c r="H7" s="29"/>
      <c r="I7" s="447" t="s">
        <v>575</v>
      </c>
      <c r="J7" s="28"/>
      <c r="K7" s="504"/>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row>
    <row r="8" spans="1:49" ht="16.5" thickTop="1">
      <c r="A8" s="456"/>
      <c r="B8" s="124"/>
      <c r="C8" s="28"/>
      <c r="D8" s="28"/>
      <c r="E8" s="28"/>
      <c r="F8" s="28"/>
      <c r="G8" s="125"/>
      <c r="H8" s="29"/>
      <c r="I8" s="447"/>
      <c r="J8" s="28"/>
      <c r="K8" s="504"/>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row>
    <row r="9" spans="1:49" ht="15.75">
      <c r="A9" s="540"/>
      <c r="B9" s="541" t="s">
        <v>412</v>
      </c>
      <c r="C9" s="542" t="s">
        <v>527</v>
      </c>
      <c r="D9" s="542" t="s">
        <v>89</v>
      </c>
      <c r="E9" s="542"/>
      <c r="F9" s="542" t="s">
        <v>523</v>
      </c>
      <c r="G9" s="543" t="s">
        <v>3</v>
      </c>
      <c r="H9" s="544"/>
      <c r="I9" s="545"/>
      <c r="J9" s="545"/>
      <c r="K9" s="545" t="s">
        <v>61</v>
      </c>
      <c r="L9" s="545"/>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row>
    <row r="10" spans="1:49" ht="15.75">
      <c r="A10" s="553">
        <v>2</v>
      </c>
      <c r="B10" s="556" t="s">
        <v>414</v>
      </c>
      <c r="C10" s="592">
        <v>54</v>
      </c>
      <c r="D10" s="593">
        <v>20</v>
      </c>
      <c r="E10" s="596" t="s">
        <v>0</v>
      </c>
      <c r="F10" s="606">
        <v>12</v>
      </c>
      <c r="G10" s="593">
        <f>C10*D10*F10</f>
        <v>12960</v>
      </c>
      <c r="H10" s="556"/>
      <c r="I10" s="621" t="s">
        <v>578</v>
      </c>
      <c r="J10" s="594"/>
      <c r="K10" s="621"/>
      <c r="L10" s="621"/>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row>
    <row r="11" spans="1:49" ht="15.75">
      <c r="A11" s="540">
        <v>3</v>
      </c>
      <c r="B11" s="544" t="s">
        <v>659</v>
      </c>
      <c r="C11" s="229">
        <v>3</v>
      </c>
      <c r="D11" s="229">
        <v>3500</v>
      </c>
      <c r="E11" s="229"/>
      <c r="F11" s="541"/>
      <c r="G11" s="229">
        <f>C11*D11</f>
        <v>10500</v>
      </c>
      <c r="H11" s="544"/>
      <c r="I11" s="622" t="s">
        <v>661</v>
      </c>
      <c r="J11" s="546"/>
      <c r="K11" s="545" t="s">
        <v>61</v>
      </c>
      <c r="L11" s="545"/>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row>
    <row r="12" spans="1:49" ht="15.75">
      <c r="A12" s="540">
        <v>4</v>
      </c>
      <c r="B12" s="544" t="s">
        <v>11</v>
      </c>
      <c r="C12" s="229">
        <v>3</v>
      </c>
      <c r="D12" s="229">
        <v>100</v>
      </c>
      <c r="E12" s="229"/>
      <c r="F12" s="541"/>
      <c r="G12" s="229">
        <f>'1.2 INC STMT'!G20</f>
        <v>900</v>
      </c>
      <c r="H12" s="544"/>
      <c r="I12" s="622" t="s">
        <v>576</v>
      </c>
      <c r="J12" s="546"/>
      <c r="K12" s="545" t="s">
        <v>61</v>
      </c>
      <c r="L12" s="545"/>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row>
    <row r="13" spans="1:49" ht="15.75">
      <c r="A13" s="540">
        <v>5</v>
      </c>
      <c r="B13" s="544" t="s">
        <v>574</v>
      </c>
      <c r="C13" s="229">
        <v>0</v>
      </c>
      <c r="D13" s="229">
        <v>0</v>
      </c>
      <c r="E13" s="229"/>
      <c r="F13" s="541"/>
      <c r="G13" s="229">
        <f>'1.2 INC STMT'!G24</f>
        <v>5300</v>
      </c>
      <c r="H13" s="544"/>
      <c r="I13" s="622" t="s">
        <v>544</v>
      </c>
      <c r="J13" s="546"/>
      <c r="K13" s="545"/>
      <c r="L13" s="545"/>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row>
    <row r="14" spans="1:49" ht="15.75">
      <c r="A14" s="540">
        <v>6</v>
      </c>
      <c r="B14" s="541" t="s">
        <v>472</v>
      </c>
      <c r="C14" s="541"/>
      <c r="D14" s="541"/>
      <c r="E14" s="541"/>
      <c r="F14" s="541"/>
      <c r="G14" s="603">
        <f>SUM(G10:G13)</f>
        <v>29660</v>
      </c>
      <c r="H14" s="546"/>
      <c r="I14" s="545"/>
      <c r="J14" s="546"/>
      <c r="K14" s="545"/>
      <c r="L14" s="545"/>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row>
    <row r="15" spans="1:49" ht="15.75">
      <c r="A15" s="456"/>
      <c r="B15" s="28"/>
      <c r="C15" s="28"/>
      <c r="D15" s="35"/>
      <c r="E15" s="35"/>
      <c r="F15" s="126"/>
      <c r="G15" s="28"/>
      <c r="H15" s="29"/>
      <c r="I15" s="447"/>
      <c r="J15" s="28"/>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row>
    <row r="16" spans="1:49" ht="15.75">
      <c r="A16" s="547"/>
      <c r="B16" s="548" t="s">
        <v>557</v>
      </c>
      <c r="C16" s="62"/>
      <c r="D16" s="236"/>
      <c r="E16" s="236"/>
      <c r="F16" s="236"/>
      <c r="G16" s="62"/>
      <c r="H16" s="549"/>
      <c r="I16" s="550"/>
      <c r="J16" s="62"/>
      <c r="K16" s="62"/>
      <c r="L16" s="62"/>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row>
    <row r="17" spans="1:49" ht="15.75">
      <c r="A17" s="547">
        <v>7</v>
      </c>
      <c r="B17" s="62" t="s">
        <v>473</v>
      </c>
      <c r="C17" s="233">
        <f>'1.3 Grth Proj'!J8</f>
        <v>61</v>
      </c>
      <c r="D17" s="551"/>
      <c r="E17" s="551"/>
      <c r="F17" s="236"/>
      <c r="G17" s="62"/>
      <c r="H17" s="549"/>
      <c r="I17" s="552" t="s">
        <v>579</v>
      </c>
      <c r="J17" s="62"/>
      <c r="K17" s="62"/>
      <c r="L17" s="62"/>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row>
    <row r="18" spans="1:49" ht="15.75">
      <c r="A18" s="547">
        <v>8</v>
      </c>
      <c r="B18" s="62" t="s">
        <v>558</v>
      </c>
      <c r="C18" s="62"/>
      <c r="D18" s="601">
        <v>35</v>
      </c>
      <c r="E18" s="62"/>
      <c r="F18" s="236"/>
      <c r="G18" s="62"/>
      <c r="H18" s="62"/>
      <c r="I18" s="552"/>
      <c r="J18" s="62"/>
      <c r="K18" s="62"/>
      <c r="L18" s="62"/>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row>
    <row r="19" spans="1:49" ht="15.75">
      <c r="A19" s="547" t="s">
        <v>559</v>
      </c>
      <c r="B19" s="643" t="s">
        <v>558</v>
      </c>
      <c r="C19" s="645"/>
      <c r="D19" s="644">
        <f>Fixed/(C17*F23)</f>
        <v>34.53193049180327</v>
      </c>
      <c r="E19" s="62"/>
      <c r="F19" s="236"/>
      <c r="G19" s="62"/>
      <c r="H19" s="62"/>
      <c r="I19" s="552"/>
      <c r="J19" s="62"/>
      <c r="K19" s="62"/>
      <c r="L19" s="62"/>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row>
    <row r="20" spans="1:49" ht="15.75">
      <c r="A20" s="547">
        <v>9</v>
      </c>
      <c r="B20" s="62" t="s">
        <v>513</v>
      </c>
      <c r="C20" s="418">
        <v>7500</v>
      </c>
      <c r="D20" s="62"/>
      <c r="E20" s="62"/>
      <c r="F20" s="62"/>
      <c r="G20" s="62"/>
      <c r="H20" s="62"/>
      <c r="I20" s="552" t="s">
        <v>475</v>
      </c>
      <c r="J20" s="62"/>
      <c r="K20" s="62"/>
      <c r="L20" s="62"/>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row>
    <row r="21" spans="1:49" ht="15.75">
      <c r="A21" s="547">
        <v>10</v>
      </c>
      <c r="B21" s="62" t="s">
        <v>474</v>
      </c>
      <c r="C21" s="62"/>
      <c r="D21" s="62"/>
      <c r="E21" s="62"/>
      <c r="F21" s="614">
        <f>D18*C17</f>
        <v>2135</v>
      </c>
      <c r="G21" s="62"/>
      <c r="H21" s="62"/>
      <c r="I21" s="62"/>
      <c r="J21" s="62"/>
      <c r="K21" s="62"/>
      <c r="L21" s="62"/>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row>
    <row r="22" spans="1:49" ht="15.75">
      <c r="A22" s="547"/>
      <c r="B22" s="62"/>
      <c r="C22" s="62"/>
      <c r="D22" s="62"/>
      <c r="E22" s="62"/>
      <c r="F22" s="62"/>
      <c r="G22" s="62"/>
      <c r="H22" s="62" t="s">
        <v>62</v>
      </c>
      <c r="I22" s="774" t="s">
        <v>105</v>
      </c>
      <c r="J22" s="552"/>
      <c r="K22" s="62"/>
      <c r="L22" s="62"/>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row>
    <row r="23" spans="1:49" ht="15.75">
      <c r="A23" s="547">
        <v>11</v>
      </c>
      <c r="B23" s="62" t="s">
        <v>415</v>
      </c>
      <c r="C23" s="62"/>
      <c r="D23" s="62"/>
      <c r="E23" s="62"/>
      <c r="F23" s="607">
        <v>12</v>
      </c>
      <c r="G23" s="62"/>
      <c r="H23" s="62"/>
      <c r="I23" s="775"/>
      <c r="J23" s="552"/>
      <c r="K23" s="62"/>
      <c r="L23" s="62"/>
      <c r="M23" s="13"/>
      <c r="N23" s="15"/>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row>
    <row r="24" spans="1:49" ht="16.5" thickBot="1">
      <c r="A24" s="547">
        <v>12</v>
      </c>
      <c r="B24" s="62" t="s">
        <v>580</v>
      </c>
      <c r="C24" s="62"/>
      <c r="D24" s="62"/>
      <c r="E24" s="62"/>
      <c r="F24" s="62"/>
      <c r="G24" s="604">
        <f>F21*F23</f>
        <v>25620</v>
      </c>
      <c r="H24" s="62"/>
      <c r="I24" s="449">
        <f>Fixed_Exp</f>
        <v>25277.373119999997</v>
      </c>
      <c r="J24" s="552" t="s">
        <v>476</v>
      </c>
      <c r="K24" s="62"/>
      <c r="L24" s="62"/>
      <c r="M24" s="13"/>
      <c r="N24" s="15"/>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row>
    <row r="25" spans="1:49" ht="16.5" thickTop="1">
      <c r="A25" s="456"/>
      <c r="B25" s="28"/>
      <c r="C25" s="28"/>
      <c r="D25" s="28"/>
      <c r="E25" s="28"/>
      <c r="F25" s="28"/>
      <c r="G25" s="595"/>
      <c r="H25" s="28"/>
      <c r="I25" s="595"/>
      <c r="J25" s="501"/>
      <c r="K25" s="507"/>
      <c r="L25" s="13"/>
      <c r="M25" s="13"/>
      <c r="N25" s="34"/>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row>
    <row r="26" spans="1:49" ht="15.75">
      <c r="A26" s="553"/>
      <c r="B26" s="554" t="s">
        <v>531</v>
      </c>
      <c r="C26" s="556"/>
      <c r="D26" s="556"/>
      <c r="E26" s="556"/>
      <c r="F26" s="556"/>
      <c r="G26" s="612"/>
      <c r="H26" s="556"/>
      <c r="I26" s="612"/>
      <c r="J26" s="557"/>
      <c r="K26" s="557"/>
      <c r="L26" s="557"/>
      <c r="M26" s="13"/>
      <c r="N26" s="15"/>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row>
    <row r="27" spans="1:49" ht="4.5" customHeight="1">
      <c r="A27" s="553"/>
      <c r="B27" s="554"/>
      <c r="C27" s="556"/>
      <c r="D27" s="556"/>
      <c r="E27" s="556"/>
      <c r="F27" s="556"/>
      <c r="G27" s="612"/>
      <c r="H27" s="556"/>
      <c r="I27" s="612"/>
      <c r="J27" s="557"/>
      <c r="K27" s="557"/>
      <c r="L27" s="557"/>
      <c r="M27" s="13"/>
      <c r="N27" s="15"/>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row>
    <row r="28" spans="1:49" ht="15.75">
      <c r="A28" s="553">
        <v>13</v>
      </c>
      <c r="B28" s="556" t="s">
        <v>473</v>
      </c>
      <c r="C28" s="592">
        <f>'1.3 Grth Proj'!J8</f>
        <v>61</v>
      </c>
      <c r="D28" s="556"/>
      <c r="E28" s="556"/>
      <c r="F28" s="556"/>
      <c r="G28" s="613"/>
      <c r="H28" s="556"/>
      <c r="I28" s="612"/>
      <c r="J28" s="557"/>
      <c r="K28" s="557"/>
      <c r="L28" s="557"/>
      <c r="M28" s="13"/>
      <c r="N28" s="15"/>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row>
    <row r="29" spans="1:49" ht="15.75">
      <c r="A29" s="553">
        <v>14</v>
      </c>
      <c r="B29" s="556" t="s">
        <v>663</v>
      </c>
      <c r="C29" s="556"/>
      <c r="D29" s="602">
        <f>G57</f>
        <v>20</v>
      </c>
      <c r="E29" s="560" t="s">
        <v>0</v>
      </c>
      <c r="F29" s="556"/>
      <c r="G29" s="613"/>
      <c r="H29" s="556"/>
      <c r="I29" s="621" t="s">
        <v>581</v>
      </c>
      <c r="J29" s="557"/>
      <c r="K29" s="557"/>
      <c r="L29" s="557"/>
      <c r="M29" s="13"/>
      <c r="N29" s="15"/>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row>
    <row r="30" spans="1:49" ht="15.75">
      <c r="A30" s="553">
        <v>15</v>
      </c>
      <c r="B30" s="556" t="s">
        <v>533</v>
      </c>
      <c r="C30" s="556"/>
      <c r="D30" s="556"/>
      <c r="E30" s="560"/>
      <c r="F30" s="729">
        <f>C28*D29</f>
        <v>1220</v>
      </c>
      <c r="G30" s="611"/>
      <c r="H30" s="556"/>
      <c r="I30" s="556"/>
      <c r="J30" s="556"/>
      <c r="K30" s="557"/>
      <c r="L30" s="557"/>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row>
    <row r="31" spans="1:49" ht="15.75">
      <c r="A31" s="553">
        <v>16</v>
      </c>
      <c r="B31" s="556" t="s">
        <v>415</v>
      </c>
      <c r="C31" s="556"/>
      <c r="D31" s="556"/>
      <c r="E31" s="560"/>
      <c r="F31" s="560">
        <v>12</v>
      </c>
      <c r="G31" s="611"/>
      <c r="H31" s="556"/>
      <c r="I31" s="556"/>
      <c r="J31" s="556"/>
      <c r="K31" s="557"/>
      <c r="L31" s="557"/>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row>
    <row r="32" spans="1:49" ht="15.75">
      <c r="A32" s="553">
        <v>17</v>
      </c>
      <c r="B32" s="554" t="s">
        <v>532</v>
      </c>
      <c r="C32" s="556"/>
      <c r="D32" s="556"/>
      <c r="E32" s="560"/>
      <c r="F32" s="556"/>
      <c r="G32" s="728">
        <f>F30*F31</f>
        <v>14640</v>
      </c>
      <c r="H32" s="556"/>
      <c r="I32" s="556"/>
      <c r="J32" s="556"/>
      <c r="K32" s="557"/>
      <c r="L32" s="557"/>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row>
    <row r="33" spans="1:49" ht="15.75">
      <c r="A33" s="553"/>
      <c r="B33" s="594" t="s">
        <v>534</v>
      </c>
      <c r="C33" s="556"/>
      <c r="D33" s="556"/>
      <c r="E33" s="560"/>
      <c r="F33" s="556"/>
      <c r="G33" s="611"/>
      <c r="H33" s="556"/>
      <c r="I33" s="556"/>
      <c r="J33" s="556"/>
      <c r="K33" s="557"/>
      <c r="L33" s="557"/>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row>
    <row r="34" spans="1:49" ht="15.75">
      <c r="A34" s="456"/>
      <c r="B34" s="28"/>
      <c r="C34" s="28"/>
      <c r="D34" s="28"/>
      <c r="E34" s="28"/>
      <c r="F34" s="28"/>
      <c r="G34" s="28"/>
      <c r="H34" s="28"/>
      <c r="I34" s="28"/>
      <c r="J34" s="28"/>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row>
    <row r="35" spans="1:49" ht="15.75">
      <c r="A35" s="456">
        <v>18</v>
      </c>
      <c r="B35" s="124" t="s">
        <v>535</v>
      </c>
      <c r="C35" s="28"/>
      <c r="D35" s="418">
        <f>D18+D29</f>
        <v>55</v>
      </c>
      <c r="E35" s="28"/>
      <c r="F35" s="731">
        <f>Total_Min_Billing/C20*1000</f>
        <v>7.333333333333333</v>
      </c>
      <c r="G35" s="732" t="s">
        <v>573</v>
      </c>
      <c r="H35" s="733"/>
      <c r="I35" s="734"/>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row>
    <row r="36" spans="1:49" ht="15.75">
      <c r="A36" s="456"/>
      <c r="B36" s="124"/>
      <c r="C36" s="28"/>
      <c r="D36" s="615"/>
      <c r="E36" s="28"/>
      <c r="F36" s="28"/>
      <c r="G36" s="28"/>
      <c r="H36" s="28"/>
      <c r="I36" s="28"/>
      <c r="J36" s="28"/>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row>
    <row r="37" spans="1:49" ht="15.75">
      <c r="A37" s="456"/>
      <c r="B37" s="124"/>
      <c r="C37" s="28"/>
      <c r="D37" s="615"/>
      <c r="E37" s="28"/>
      <c r="F37" s="28"/>
      <c r="G37" s="28"/>
      <c r="H37" s="28"/>
      <c r="I37" s="13"/>
      <c r="J37" s="28"/>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row>
    <row r="38" spans="1:49" ht="15.75">
      <c r="A38" s="456"/>
      <c r="B38" s="28"/>
      <c r="C38" s="28"/>
      <c r="D38" s="28"/>
      <c r="E38" s="28"/>
      <c r="F38" s="127" t="s">
        <v>61</v>
      </c>
      <c r="G38" s="28"/>
      <c r="H38" s="255"/>
      <c r="I38" s="501"/>
      <c r="J38" s="501"/>
      <c r="K38" s="15"/>
      <c r="L38" s="28"/>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row>
    <row r="39" spans="1:49" ht="15.75">
      <c r="A39" s="553">
        <v>19</v>
      </c>
      <c r="B39" s="554" t="s">
        <v>413</v>
      </c>
      <c r="C39" s="683"/>
      <c r="D39" s="555"/>
      <c r="E39" s="555"/>
      <c r="F39" s="557"/>
      <c r="G39" s="728">
        <f>'Usage Model'!AO73</f>
        <v>12538</v>
      </c>
      <c r="H39" s="684" t="s">
        <v>63</v>
      </c>
      <c r="I39" s="557"/>
      <c r="J39" s="557"/>
      <c r="K39" s="557"/>
      <c r="L39" s="557"/>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row>
    <row r="40" spans="1:49" ht="15.75">
      <c r="A40" s="553"/>
      <c r="B40" s="554"/>
      <c r="C40" s="683"/>
      <c r="D40" s="555"/>
      <c r="E40" s="555"/>
      <c r="F40" s="557"/>
      <c r="G40" s="559"/>
      <c r="H40" s="684"/>
      <c r="I40" s="557"/>
      <c r="J40" s="557"/>
      <c r="K40" s="557"/>
      <c r="L40" s="557"/>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row>
    <row r="41" spans="1:49" ht="15.75">
      <c r="A41" s="553">
        <v>20</v>
      </c>
      <c r="B41" s="554" t="s">
        <v>561</v>
      </c>
      <c r="C41" s="554"/>
      <c r="D41" s="418">
        <v>5</v>
      </c>
      <c r="E41" s="555"/>
      <c r="F41" s="557"/>
      <c r="G41" s="559"/>
      <c r="H41" s="560"/>
      <c r="I41" s="557"/>
      <c r="J41" s="557"/>
      <c r="K41" s="557"/>
      <c r="L41" s="557"/>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row>
    <row r="42" spans="1:49" ht="15.75">
      <c r="A42" s="553" t="s">
        <v>562</v>
      </c>
      <c r="B42" s="724" t="s">
        <v>560</v>
      </c>
      <c r="C42" s="725"/>
      <c r="D42" s="726">
        <f>'Usage Model'!AW74</f>
        <v>4.866387430212157</v>
      </c>
      <c r="E42" s="555"/>
      <c r="F42" s="557"/>
      <c r="G42" s="559"/>
      <c r="H42" s="560"/>
      <c r="I42" s="557"/>
      <c r="J42" s="557"/>
      <c r="K42" s="557"/>
      <c r="L42" s="557"/>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row>
    <row r="43" spans="1:49" ht="15.75">
      <c r="A43" s="456"/>
      <c r="B43" s="124"/>
      <c r="C43" s="124"/>
      <c r="D43" s="642"/>
      <c r="E43" s="128"/>
      <c r="F43" s="641"/>
      <c r="G43" s="125"/>
      <c r="H43" s="29"/>
      <c r="I43" s="660"/>
      <c r="J43" s="660"/>
      <c r="K43" s="15"/>
      <c r="L43" s="15"/>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row>
    <row r="44" spans="1:49" ht="15.75">
      <c r="A44" s="456">
        <v>21</v>
      </c>
      <c r="B44" s="124" t="s">
        <v>536</v>
      </c>
      <c r="C44" s="124"/>
      <c r="D44" s="642"/>
      <c r="E44" s="128"/>
      <c r="F44" s="13"/>
      <c r="G44" s="727">
        <f>G14+G24+G32+G39</f>
        <v>82458</v>
      </c>
      <c r="H44" s="29"/>
      <c r="I44" s="501"/>
      <c r="J44" s="501"/>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row>
    <row r="45" spans="1:49" ht="15.75">
      <c r="A45" s="456"/>
      <c r="B45" s="124"/>
      <c r="C45" s="124"/>
      <c r="D45" s="128"/>
      <c r="E45" s="128"/>
      <c r="F45" s="28"/>
      <c r="G45" s="125"/>
      <c r="H45" s="29"/>
      <c r="I45" s="501"/>
      <c r="J45" s="501"/>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row>
    <row r="46" spans="1:49" ht="15.75">
      <c r="A46" s="661">
        <v>22</v>
      </c>
      <c r="B46" s="419" t="s">
        <v>537</v>
      </c>
      <c r="C46" s="419"/>
      <c r="D46" s="419"/>
      <c r="E46" s="419"/>
      <c r="F46" s="259"/>
      <c r="G46" s="605">
        <f>G44-G7</f>
        <v>335.0468799999944</v>
      </c>
      <c r="H46" s="29"/>
      <c r="I46" s="501"/>
      <c r="J46" s="501"/>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row>
    <row r="47" spans="1:49" ht="15.75">
      <c r="A47" s="456"/>
      <c r="B47" s="124"/>
      <c r="C47" s="124"/>
      <c r="D47" s="128"/>
      <c r="E47" s="128"/>
      <c r="F47" s="125"/>
      <c r="G47" s="83"/>
      <c r="H47" s="29"/>
      <c r="I47" s="447"/>
      <c r="J47" s="28"/>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row>
    <row r="48" spans="1:49" ht="15.75">
      <c r="A48" s="596" t="s">
        <v>0</v>
      </c>
      <c r="B48" s="554" t="s">
        <v>524</v>
      </c>
      <c r="C48" s="616" t="s">
        <v>529</v>
      </c>
      <c r="D48" s="616"/>
      <c r="E48" s="616"/>
      <c r="F48" s="617" t="s">
        <v>523</v>
      </c>
      <c r="G48" s="522" t="s">
        <v>657</v>
      </c>
      <c r="H48" s="609"/>
      <c r="I48" s="522" t="s">
        <v>481</v>
      </c>
      <c r="J48" s="610"/>
      <c r="K48" s="610"/>
      <c r="L48" s="610"/>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row>
    <row r="49" spans="1:49" ht="15.75">
      <c r="A49" s="553">
        <v>23</v>
      </c>
      <c r="B49" s="556" t="s">
        <v>16</v>
      </c>
      <c r="C49" s="730">
        <f>-'1.4 Dep &amp; CIAC'!S44</f>
        <v>1674.1142472764027</v>
      </c>
      <c r="D49" s="555"/>
      <c r="E49" s="555"/>
      <c r="F49" s="559"/>
      <c r="G49" s="597"/>
      <c r="H49" s="560"/>
      <c r="I49" s="623" t="s">
        <v>545</v>
      </c>
      <c r="J49" s="594"/>
      <c r="K49" s="597"/>
      <c r="L49" s="597"/>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row>
    <row r="50" spans="1:49" ht="15.75">
      <c r="A50" s="553">
        <v>24</v>
      </c>
      <c r="B50" s="556" t="s">
        <v>525</v>
      </c>
      <c r="C50" s="592">
        <f>-'1.4 Dep &amp; CIAC'!S49</f>
        <v>25821.8857527236</v>
      </c>
      <c r="D50" s="555"/>
      <c r="E50" s="555"/>
      <c r="F50" s="559"/>
      <c r="G50" s="597"/>
      <c r="H50" s="560"/>
      <c r="I50" s="623" t="s">
        <v>546</v>
      </c>
      <c r="J50" s="594"/>
      <c r="K50" s="597"/>
      <c r="L50" s="597"/>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row>
    <row r="51" spans="1:49" ht="15.75">
      <c r="A51" s="553">
        <v>25</v>
      </c>
      <c r="B51" s="624" t="s">
        <v>547</v>
      </c>
      <c r="C51" s="728">
        <f>SUM(C49:C50)</f>
        <v>27496.000000000004</v>
      </c>
      <c r="D51" s="555"/>
      <c r="E51" s="555"/>
      <c r="F51" s="559"/>
      <c r="G51" s="597"/>
      <c r="H51" s="560"/>
      <c r="I51" s="597"/>
      <c r="J51" s="594"/>
      <c r="K51" s="597"/>
      <c r="L51" s="597"/>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row>
    <row r="52" spans="1:49" ht="15.75">
      <c r="A52" s="553"/>
      <c r="B52" s="598"/>
      <c r="C52" s="554"/>
      <c r="D52" s="555"/>
      <c r="E52" s="555"/>
      <c r="F52" s="559"/>
      <c r="G52" s="597"/>
      <c r="H52" s="560"/>
      <c r="I52" s="597"/>
      <c r="J52" s="594"/>
      <c r="K52" s="597"/>
      <c r="L52" s="597"/>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row>
    <row r="53" spans="1:49" ht="15.75">
      <c r="A53" s="553">
        <v>26</v>
      </c>
      <c r="B53" s="556" t="s">
        <v>526</v>
      </c>
      <c r="C53" s="592">
        <f>C10</f>
        <v>54</v>
      </c>
      <c r="D53" s="555"/>
      <c r="E53" s="555"/>
      <c r="F53" s="559"/>
      <c r="G53" s="597"/>
      <c r="H53" s="560"/>
      <c r="I53" s="623" t="s">
        <v>548</v>
      </c>
      <c r="J53" s="594"/>
      <c r="K53" s="597"/>
      <c r="L53" s="597"/>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row>
    <row r="54" spans="1:49" ht="15.75">
      <c r="A54" s="553">
        <v>27</v>
      </c>
      <c r="B54" s="556" t="s">
        <v>664</v>
      </c>
      <c r="C54" s="592">
        <f>C17</f>
        <v>61</v>
      </c>
      <c r="D54" s="555"/>
      <c r="E54" s="555"/>
      <c r="F54" s="559"/>
      <c r="G54" s="597"/>
      <c r="H54" s="560"/>
      <c r="I54" s="623" t="s">
        <v>548</v>
      </c>
      <c r="J54" s="594"/>
      <c r="K54" s="597"/>
      <c r="L54" s="597"/>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row>
    <row r="55" spans="1:49" ht="15.75">
      <c r="A55" s="553">
        <v>28</v>
      </c>
      <c r="B55" s="556" t="s">
        <v>528</v>
      </c>
      <c r="C55" s="599">
        <f>SUM(C53:C54)</f>
        <v>115</v>
      </c>
      <c r="D55" s="555"/>
      <c r="E55" s="555"/>
      <c r="F55" s="559"/>
      <c r="G55" s="597"/>
      <c r="H55" s="560"/>
      <c r="I55" s="594"/>
      <c r="J55" s="594"/>
      <c r="K55" s="597"/>
      <c r="L55" s="597"/>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row>
    <row r="56" spans="1:49" ht="15.75">
      <c r="A56" s="553"/>
      <c r="B56" s="554"/>
      <c r="C56" s="554"/>
      <c r="D56" s="555"/>
      <c r="E56" s="555"/>
      <c r="F56" s="559"/>
      <c r="G56" s="597"/>
      <c r="H56" s="560"/>
      <c r="I56" s="594"/>
      <c r="J56" s="594"/>
      <c r="K56" s="597"/>
      <c r="L56" s="597"/>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row>
    <row r="57" spans="1:49" ht="31.5">
      <c r="A57" s="553">
        <v>29</v>
      </c>
      <c r="B57" s="600" t="s">
        <v>549</v>
      </c>
      <c r="C57" s="728">
        <f>ROUND(C51/C55,0)+1</f>
        <v>240</v>
      </c>
      <c r="D57" s="555"/>
      <c r="E57" s="597"/>
      <c r="F57" s="608">
        <v>12</v>
      </c>
      <c r="G57" s="728">
        <f>ROUND(C57/F57,0)</f>
        <v>20</v>
      </c>
      <c r="H57" s="560"/>
      <c r="I57" s="594"/>
      <c r="J57" s="594"/>
      <c r="K57" s="597"/>
      <c r="L57" s="597"/>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row>
    <row r="58" spans="1:49" ht="15.75">
      <c r="A58" s="456"/>
      <c r="B58" s="124"/>
      <c r="C58" s="124"/>
      <c r="D58" s="128"/>
      <c r="E58" s="128"/>
      <c r="F58" s="125"/>
      <c r="G58" s="83"/>
      <c r="H58" s="29"/>
      <c r="I58" s="447"/>
      <c r="J58" s="28"/>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row>
    <row r="59" spans="1:49" ht="15.75">
      <c r="A59" s="456"/>
      <c r="B59" s="124"/>
      <c r="C59" s="124"/>
      <c r="D59" s="128"/>
      <c r="E59" s="128"/>
      <c r="F59" s="125"/>
      <c r="G59" s="83"/>
      <c r="H59" s="29"/>
      <c r="I59" s="447"/>
      <c r="J59" s="28"/>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row>
    <row r="60" spans="1:49" ht="15.75">
      <c r="A60" s="456"/>
      <c r="B60" s="124" t="s">
        <v>577</v>
      </c>
      <c r="C60" s="13"/>
      <c r="D60" s="13"/>
      <c r="E60" s="13"/>
      <c r="F60" s="13"/>
      <c r="G60" s="13"/>
      <c r="H60" s="29"/>
      <c r="I60" s="447"/>
      <c r="J60" s="28"/>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row>
    <row r="61" spans="1:49" ht="15.75">
      <c r="A61" s="456"/>
      <c r="B61" s="447"/>
      <c r="C61" s="433" t="s">
        <v>514</v>
      </c>
      <c r="D61" s="433" t="s">
        <v>519</v>
      </c>
      <c r="E61" s="433"/>
      <c r="F61" s="433" t="s">
        <v>515</v>
      </c>
      <c r="G61" s="13"/>
      <c r="H61" s="29"/>
      <c r="I61" s="447"/>
      <c r="J61" s="28"/>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row>
    <row r="62" spans="1:49" ht="15.75">
      <c r="A62" s="456">
        <v>30</v>
      </c>
      <c r="B62" s="420" t="s">
        <v>665</v>
      </c>
      <c r="C62" s="35">
        <f>'Usage Model'!AK73</f>
        <v>3330043.3343333337</v>
      </c>
      <c r="D62" s="581">
        <f>ROUND(C62/C64,2)</f>
        <v>0.57</v>
      </c>
      <c r="E62" s="581"/>
      <c r="F62" s="34">
        <f>G24</f>
        <v>25620</v>
      </c>
      <c r="G62" s="13"/>
      <c r="H62" s="29"/>
      <c r="I62" s="13"/>
      <c r="J62" s="28"/>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row>
    <row r="63" spans="1:49" ht="15.75">
      <c r="A63" s="456">
        <v>31</v>
      </c>
      <c r="B63" s="420" t="s">
        <v>516</v>
      </c>
      <c r="C63" s="35">
        <f>'Usage Model'!AL73</f>
        <v>2507600</v>
      </c>
      <c r="D63" s="581">
        <f>C63/C64</f>
        <v>0.4295569044535283</v>
      </c>
      <c r="E63" s="581"/>
      <c r="F63" s="35">
        <f>G39</f>
        <v>12538</v>
      </c>
      <c r="G63" s="13"/>
      <c r="H63" s="29"/>
      <c r="I63" s="447"/>
      <c r="J63" s="28"/>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row>
    <row r="64" spans="1:49" ht="16.5" thickBot="1">
      <c r="A64" s="456">
        <v>32</v>
      </c>
      <c r="B64" s="420" t="s">
        <v>57</v>
      </c>
      <c r="C64" s="474">
        <f>'Usage Model'!AJ73</f>
        <v>5837643.334333333</v>
      </c>
      <c r="D64" s="582">
        <f>SUM(D62:D63)</f>
        <v>0.9995569044535282</v>
      </c>
      <c r="E64" s="581"/>
      <c r="F64" s="80">
        <f>F62+F63</f>
        <v>38158</v>
      </c>
      <c r="G64" s="13"/>
      <c r="H64" s="29"/>
      <c r="I64" s="447"/>
      <c r="J64" s="28"/>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row>
    <row r="65" spans="1:49" ht="16.5" thickTop="1">
      <c r="A65" s="456"/>
      <c r="B65" s="421"/>
      <c r="C65" s="13"/>
      <c r="D65" s="421"/>
      <c r="E65" s="421"/>
      <c r="F65" s="126"/>
      <c r="G65" s="82"/>
      <c r="H65" s="29"/>
      <c r="I65" s="447"/>
      <c r="J65" s="28"/>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row>
    <row r="66" spans="1:49" ht="15.75">
      <c r="A66" s="464"/>
      <c r="B66" s="13"/>
      <c r="C66" s="13"/>
      <c r="D66" s="13"/>
      <c r="E66" s="13"/>
      <c r="F66" s="127"/>
      <c r="G66" s="82"/>
      <c r="H66" s="82"/>
      <c r="I66" s="450"/>
      <c r="J66" s="83"/>
      <c r="K66" s="15"/>
      <c r="L66" s="15"/>
      <c r="M66" s="15"/>
      <c r="N66" s="15"/>
      <c r="O66" s="15"/>
      <c r="P66" s="15"/>
      <c r="Q66" s="15"/>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row>
    <row r="67" spans="1:49" s="5" customFormat="1" ht="15.75">
      <c r="A67" s="82"/>
      <c r="B67" s="13"/>
      <c r="C67" s="13"/>
      <c r="D67" s="13"/>
      <c r="E67" s="13"/>
      <c r="F67" s="127"/>
      <c r="G67" s="82"/>
      <c r="H67" s="82"/>
      <c r="I67" s="450"/>
      <c r="J67" s="128"/>
      <c r="K67" s="256"/>
      <c r="L67" s="256"/>
      <c r="M67" s="256"/>
      <c r="N67" s="256"/>
      <c r="O67" s="256"/>
      <c r="P67" s="256"/>
      <c r="Q67" s="256"/>
      <c r="R67" s="496"/>
      <c r="S67" s="496"/>
      <c r="T67" s="496"/>
      <c r="U67" s="496"/>
      <c r="V67" s="496"/>
      <c r="W67" s="496"/>
      <c r="X67" s="496"/>
      <c r="Y67" s="496"/>
      <c r="Z67" s="496"/>
      <c r="AA67" s="496"/>
      <c r="AB67" s="496"/>
      <c r="AC67" s="496"/>
      <c r="AD67" s="496"/>
      <c r="AE67" s="496"/>
      <c r="AF67" s="496"/>
      <c r="AG67" s="496"/>
      <c r="AH67" s="496"/>
      <c r="AI67" s="496"/>
      <c r="AJ67" s="496"/>
      <c r="AK67" s="496"/>
      <c r="AL67" s="496"/>
      <c r="AM67" s="496"/>
      <c r="AN67" s="496"/>
      <c r="AO67" s="496"/>
      <c r="AP67" s="496"/>
      <c r="AQ67" s="496"/>
      <c r="AR67" s="496"/>
      <c r="AS67" s="496"/>
      <c r="AT67" s="496"/>
      <c r="AU67" s="496"/>
      <c r="AV67" s="496"/>
      <c r="AW67" s="496"/>
    </row>
    <row r="68" spans="1:49" s="5" customFormat="1" ht="15.75">
      <c r="A68" s="82"/>
      <c r="B68" s="13"/>
      <c r="C68" s="13"/>
      <c r="D68" s="13"/>
      <c r="E68" s="13"/>
      <c r="F68" s="127"/>
      <c r="G68" s="82"/>
      <c r="H68" s="82"/>
      <c r="I68" s="450"/>
      <c r="J68" s="128"/>
      <c r="K68" s="256"/>
      <c r="L68" s="256"/>
      <c r="M68" s="256"/>
      <c r="N68" s="256"/>
      <c r="O68" s="256"/>
      <c r="P68" s="256"/>
      <c r="Q68" s="256"/>
      <c r="R68" s="496"/>
      <c r="S68" s="496"/>
      <c r="T68" s="496"/>
      <c r="U68" s="496"/>
      <c r="V68" s="496"/>
      <c r="W68" s="496"/>
      <c r="X68" s="496"/>
      <c r="Y68" s="496"/>
      <c r="Z68" s="496"/>
      <c r="AA68" s="496"/>
      <c r="AB68" s="496"/>
      <c r="AC68" s="496"/>
      <c r="AD68" s="496"/>
      <c r="AE68" s="496"/>
      <c r="AF68" s="496"/>
      <c r="AG68" s="496"/>
      <c r="AH68" s="496"/>
      <c r="AI68" s="496"/>
      <c r="AJ68" s="496"/>
      <c r="AK68" s="496"/>
      <c r="AL68" s="496"/>
      <c r="AM68" s="496"/>
      <c r="AN68" s="496"/>
      <c r="AO68" s="496"/>
      <c r="AP68" s="496"/>
      <c r="AQ68" s="496"/>
      <c r="AR68" s="496"/>
      <c r="AS68" s="496"/>
      <c r="AT68" s="496"/>
      <c r="AU68" s="496"/>
      <c r="AV68" s="496"/>
      <c r="AW68" s="496"/>
    </row>
    <row r="69" spans="1:49" ht="15.75">
      <c r="A69" s="82"/>
      <c r="B69" s="13"/>
      <c r="C69" s="13"/>
      <c r="D69" s="13"/>
      <c r="E69" s="13"/>
      <c r="F69" s="13"/>
      <c r="G69" s="13"/>
      <c r="H69" s="82"/>
      <c r="I69" s="450"/>
      <c r="J69" s="83"/>
      <c r="K69" s="15"/>
      <c r="L69" s="15"/>
      <c r="M69" s="15"/>
      <c r="N69" s="15"/>
      <c r="O69" s="15"/>
      <c r="P69" s="15"/>
      <c r="Q69" s="15"/>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row>
    <row r="70" spans="1:49" ht="15.75">
      <c r="A70" s="82"/>
      <c r="B70" s="13"/>
      <c r="C70" s="13"/>
      <c r="D70" s="13"/>
      <c r="E70" s="13"/>
      <c r="F70" s="13"/>
      <c r="G70" s="13"/>
      <c r="H70" s="82"/>
      <c r="I70" s="450"/>
      <c r="J70" s="83"/>
      <c r="K70" s="15"/>
      <c r="L70" s="15"/>
      <c r="M70" s="15"/>
      <c r="N70" s="15"/>
      <c r="O70" s="15"/>
      <c r="P70" s="15"/>
      <c r="Q70" s="15"/>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row>
    <row r="71" spans="1:49" ht="15.75">
      <c r="A71" s="82"/>
      <c r="B71" s="13"/>
      <c r="C71" s="13"/>
      <c r="D71" s="13"/>
      <c r="E71" s="13"/>
      <c r="F71" s="13"/>
      <c r="G71" s="13"/>
      <c r="H71" s="82"/>
      <c r="I71" s="450"/>
      <c r="J71" s="83"/>
      <c r="K71" s="15"/>
      <c r="L71" s="15"/>
      <c r="M71" s="15"/>
      <c r="N71" s="15"/>
      <c r="O71" s="15"/>
      <c r="P71" s="15"/>
      <c r="Q71" s="15"/>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row>
    <row r="72" spans="1:49" ht="15.75">
      <c r="A72" s="82"/>
      <c r="B72" s="13"/>
      <c r="C72" s="13"/>
      <c r="D72" s="13"/>
      <c r="E72" s="13"/>
      <c r="F72" s="13"/>
      <c r="G72" s="13"/>
      <c r="H72" s="82"/>
      <c r="I72" s="450"/>
      <c r="J72" s="83"/>
      <c r="K72" s="15"/>
      <c r="L72" s="15"/>
      <c r="M72" s="15"/>
      <c r="N72" s="15"/>
      <c r="O72" s="15"/>
      <c r="P72" s="15"/>
      <c r="Q72" s="15"/>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row>
    <row r="73" spans="1:49" ht="15.75">
      <c r="A73" s="82"/>
      <c r="B73" s="13"/>
      <c r="C73" s="13"/>
      <c r="D73" s="13"/>
      <c r="E73" s="13"/>
      <c r="F73" s="13"/>
      <c r="G73" s="13"/>
      <c r="H73" s="82"/>
      <c r="I73" s="450"/>
      <c r="J73" s="83"/>
      <c r="K73" s="15"/>
      <c r="L73" s="15"/>
      <c r="M73" s="15"/>
      <c r="N73" s="15"/>
      <c r="O73" s="15"/>
      <c r="P73" s="15"/>
      <c r="Q73" s="15"/>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row>
    <row r="74" spans="1:49" ht="15.75">
      <c r="A74" s="82"/>
      <c r="B74" s="13"/>
      <c r="C74" s="13"/>
      <c r="D74" s="13"/>
      <c r="E74" s="13"/>
      <c r="F74" s="13"/>
      <c r="G74" s="13"/>
      <c r="H74" s="82"/>
      <c r="I74" s="450"/>
      <c r="J74" s="83"/>
      <c r="K74" s="15"/>
      <c r="L74" s="15"/>
      <c r="M74" s="15"/>
      <c r="N74" s="15"/>
      <c r="O74" s="15"/>
      <c r="P74" s="15"/>
      <c r="Q74" s="15"/>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row>
    <row r="75" spans="1:49" ht="15.75">
      <c r="A75" s="82"/>
      <c r="B75" s="13"/>
      <c r="C75" s="13"/>
      <c r="D75" s="13"/>
      <c r="E75" s="13"/>
      <c r="F75" s="13"/>
      <c r="G75" s="13"/>
      <c r="H75" s="82"/>
      <c r="I75" s="450"/>
      <c r="J75" s="83"/>
      <c r="K75" s="15"/>
      <c r="L75" s="15"/>
      <c r="M75" s="15"/>
      <c r="N75" s="15"/>
      <c r="O75" s="15"/>
      <c r="P75" s="15"/>
      <c r="Q75" s="15"/>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row>
    <row r="76" spans="1:49" ht="15.75">
      <c r="A76" s="82"/>
      <c r="B76" s="13"/>
      <c r="C76" s="13"/>
      <c r="D76" s="13"/>
      <c r="E76" s="13"/>
      <c r="F76" s="13"/>
      <c r="G76" s="13"/>
      <c r="H76" s="258"/>
      <c r="I76" s="450"/>
      <c r="J76" s="83"/>
      <c r="K76" s="15"/>
      <c r="L76" s="15"/>
      <c r="M76" s="15"/>
      <c r="N76" s="15"/>
      <c r="O76" s="15"/>
      <c r="P76" s="15"/>
      <c r="Q76" s="15"/>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row>
    <row r="77" spans="1:49" ht="15.75">
      <c r="A77" s="82"/>
      <c r="B77" s="13"/>
      <c r="C77" s="13"/>
      <c r="D77" s="13"/>
      <c r="E77" s="13"/>
      <c r="F77" s="13"/>
      <c r="G77" s="13"/>
      <c r="H77" s="135"/>
      <c r="I77" s="450"/>
      <c r="J77" s="83"/>
      <c r="K77" s="15"/>
      <c r="L77" s="15"/>
      <c r="M77" s="15"/>
      <c r="N77" s="15"/>
      <c r="O77" s="15"/>
      <c r="P77" s="15"/>
      <c r="Q77" s="15"/>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row>
    <row r="78" spans="1:49" ht="15.75">
      <c r="A78" s="82"/>
      <c r="B78" s="13"/>
      <c r="C78" s="13"/>
      <c r="D78" s="13"/>
      <c r="E78" s="13"/>
      <c r="F78" s="13"/>
      <c r="G78" s="13"/>
      <c r="H78" s="82"/>
      <c r="I78" s="450"/>
      <c r="J78" s="83"/>
      <c r="K78" s="15"/>
      <c r="L78" s="15"/>
      <c r="M78" s="15"/>
      <c r="N78" s="15"/>
      <c r="O78" s="15"/>
      <c r="P78" s="15"/>
      <c r="Q78" s="15"/>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row>
    <row r="79" spans="1:49" ht="15.75">
      <c r="A79" s="82"/>
      <c r="B79" s="13"/>
      <c r="C79" s="13"/>
      <c r="D79" s="13"/>
      <c r="E79" s="13"/>
      <c r="F79" s="13"/>
      <c r="G79" s="13"/>
      <c r="H79" s="82"/>
      <c r="I79" s="450"/>
      <c r="J79" s="83"/>
      <c r="K79" s="15"/>
      <c r="L79" s="15"/>
      <c r="M79" s="15"/>
      <c r="N79" s="15"/>
      <c r="O79" s="15"/>
      <c r="P79" s="15"/>
      <c r="Q79" s="15"/>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row>
    <row r="80" spans="1:49" ht="15.75">
      <c r="A80" s="82"/>
      <c r="B80" s="13"/>
      <c r="C80" s="13"/>
      <c r="D80" s="13"/>
      <c r="E80" s="13"/>
      <c r="F80" s="13"/>
      <c r="G80" s="13"/>
      <c r="H80" s="82"/>
      <c r="I80" s="450"/>
      <c r="J80" s="83"/>
      <c r="K80" s="15"/>
      <c r="L80" s="15"/>
      <c r="M80" s="15"/>
      <c r="N80" s="15"/>
      <c r="O80" s="15"/>
      <c r="P80" s="15"/>
      <c r="Q80" s="15"/>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row>
    <row r="81" spans="1:49" ht="15.75">
      <c r="A81" s="82"/>
      <c r="B81" s="13"/>
      <c r="C81" s="13"/>
      <c r="D81" s="13"/>
      <c r="E81" s="13"/>
      <c r="F81" s="13"/>
      <c r="G81" s="13"/>
      <c r="H81" s="82"/>
      <c r="I81" s="450"/>
      <c r="J81" s="83"/>
      <c r="K81" s="15"/>
      <c r="L81" s="15"/>
      <c r="M81" s="15"/>
      <c r="N81" s="15"/>
      <c r="O81" s="15"/>
      <c r="P81" s="15"/>
      <c r="Q81" s="15"/>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row>
    <row r="82" spans="1:49" ht="15.75">
      <c r="A82" s="82"/>
      <c r="B82" s="13"/>
      <c r="C82" s="13"/>
      <c r="D82" s="13"/>
      <c r="E82" s="13"/>
      <c r="F82" s="13"/>
      <c r="G82" s="13"/>
      <c r="H82" s="82"/>
      <c r="I82" s="450"/>
      <c r="J82" s="83"/>
      <c r="K82" s="15"/>
      <c r="L82" s="15"/>
      <c r="M82" s="15"/>
      <c r="N82" s="15"/>
      <c r="O82" s="15"/>
      <c r="P82" s="15"/>
      <c r="Q82" s="15"/>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row>
    <row r="83" spans="1:49" ht="15.75">
      <c r="A83" s="82"/>
      <c r="B83" s="13"/>
      <c r="C83" s="13"/>
      <c r="D83" s="13"/>
      <c r="E83" s="13"/>
      <c r="F83" s="13"/>
      <c r="G83" s="13"/>
      <c r="H83" s="82"/>
      <c r="I83" s="450"/>
      <c r="J83" s="83"/>
      <c r="K83" s="15"/>
      <c r="L83" s="15"/>
      <c r="M83" s="15"/>
      <c r="N83" s="15"/>
      <c r="O83" s="15"/>
      <c r="P83" s="15"/>
      <c r="Q83" s="15"/>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row>
    <row r="84" spans="1:49" ht="15.75">
      <c r="A84" s="82"/>
      <c r="I84" s="450"/>
      <c r="J84" s="83"/>
      <c r="K84" s="15"/>
      <c r="L84" s="15"/>
      <c r="M84" s="15"/>
      <c r="N84" s="15"/>
      <c r="O84" s="15"/>
      <c r="P84" s="15"/>
      <c r="Q84" s="15"/>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row>
    <row r="85" spans="1:49" ht="15.75">
      <c r="A85" s="82"/>
      <c r="B85" s="83"/>
      <c r="C85" s="83"/>
      <c r="D85" s="83"/>
      <c r="E85" s="83"/>
      <c r="F85" s="83"/>
      <c r="G85" s="83"/>
      <c r="H85" s="82"/>
      <c r="I85" s="450"/>
      <c r="J85" s="83"/>
      <c r="K85" s="15"/>
      <c r="L85" s="15"/>
      <c r="M85" s="15"/>
      <c r="N85" s="15"/>
      <c r="O85" s="15"/>
      <c r="P85" s="15"/>
      <c r="Q85" s="15"/>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row>
    <row r="86" spans="1:49" ht="15.75">
      <c r="A86" s="82"/>
      <c r="B86" s="745" t="s">
        <v>572</v>
      </c>
      <c r="C86" s="746"/>
      <c r="D86" s="746"/>
      <c r="E86" s="746"/>
      <c r="F86" s="746"/>
      <c r="G86" s="746"/>
      <c r="H86" s="746"/>
      <c r="I86" s="450"/>
      <c r="J86" s="83"/>
      <c r="K86" s="15"/>
      <c r="L86" s="15"/>
      <c r="M86" s="15"/>
      <c r="N86" s="15"/>
      <c r="O86" s="15"/>
      <c r="P86" s="15"/>
      <c r="Q86" s="15"/>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row>
    <row r="87" spans="1:49" ht="15.75">
      <c r="A87" s="234"/>
      <c r="B87" s="83"/>
      <c r="C87" s="490" t="s">
        <v>653</v>
      </c>
      <c r="D87" s="490" t="s">
        <v>654</v>
      </c>
      <c r="E87" s="13"/>
      <c r="F87" s="83" t="s">
        <v>655</v>
      </c>
      <c r="G87" s="83" t="s">
        <v>656</v>
      </c>
      <c r="H87" s="82"/>
      <c r="I87" s="450"/>
      <c r="J87" s="83"/>
      <c r="K87" s="15"/>
      <c r="L87" s="15"/>
      <c r="M87" s="15"/>
      <c r="N87" s="15"/>
      <c r="O87" s="15"/>
      <c r="P87" s="15"/>
      <c r="Q87" s="15"/>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row>
    <row r="88" spans="1:49" ht="15.75">
      <c r="A88" s="234"/>
      <c r="B88" s="83" t="s">
        <v>650</v>
      </c>
      <c r="C88" s="490">
        <v>7500</v>
      </c>
      <c r="D88" s="13">
        <v>55</v>
      </c>
      <c r="E88" s="13"/>
      <c r="F88" s="723">
        <f>(C88-7500)*5.25/1000</f>
        <v>0</v>
      </c>
      <c r="G88" s="723">
        <f>D88+F88</f>
        <v>55</v>
      </c>
      <c r="H88" s="82"/>
      <c r="I88" s="83"/>
      <c r="J88" s="83"/>
      <c r="K88" s="15"/>
      <c r="L88" s="15"/>
      <c r="M88" s="15"/>
      <c r="N88" s="15"/>
      <c r="O88" s="15"/>
      <c r="P88" s="15"/>
      <c r="Q88" s="15"/>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row>
    <row r="89" spans="1:49" ht="15.75">
      <c r="A89" s="234"/>
      <c r="B89" s="83" t="s">
        <v>651</v>
      </c>
      <c r="C89" s="13">
        <v>20000</v>
      </c>
      <c r="D89" s="13">
        <v>55</v>
      </c>
      <c r="E89" s="13"/>
      <c r="F89" s="723">
        <f>(C89-7500)*5.25/1000</f>
        <v>65.625</v>
      </c>
      <c r="G89" s="723">
        <f>D89+F89</f>
        <v>120.625</v>
      </c>
      <c r="H89" s="82"/>
      <c r="I89" s="83"/>
      <c r="J89" s="83"/>
      <c r="K89" s="15"/>
      <c r="L89" s="15"/>
      <c r="M89" s="15"/>
      <c r="N89" s="15"/>
      <c r="O89" s="15"/>
      <c r="P89" s="15"/>
      <c r="Q89" s="15"/>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row>
    <row r="90" spans="1:49" ht="15.75">
      <c r="A90" s="234"/>
      <c r="B90" s="83" t="s">
        <v>652</v>
      </c>
      <c r="C90" s="83">
        <v>45000</v>
      </c>
      <c r="D90" s="13">
        <v>55</v>
      </c>
      <c r="E90" s="83"/>
      <c r="F90" s="723">
        <f>(C90-7500)*5.25/1000</f>
        <v>196.875</v>
      </c>
      <c r="G90" s="723">
        <f>D90+F90</f>
        <v>251.875</v>
      </c>
      <c r="H90" s="82"/>
      <c r="I90" s="83"/>
      <c r="J90" s="83"/>
      <c r="K90" s="15"/>
      <c r="L90" s="15"/>
      <c r="M90" s="15"/>
      <c r="N90" s="15"/>
      <c r="O90" s="15"/>
      <c r="P90" s="15"/>
      <c r="Q90" s="15"/>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row>
    <row r="91" spans="1:49" ht="15.75">
      <c r="A91" s="234"/>
      <c r="B91" s="83"/>
      <c r="C91" s="83"/>
      <c r="D91" s="83"/>
      <c r="E91" s="83"/>
      <c r="F91" s="723"/>
      <c r="G91" s="723"/>
      <c r="H91" s="82"/>
      <c r="I91" s="83"/>
      <c r="J91" s="83"/>
      <c r="K91" s="15"/>
      <c r="L91" s="15"/>
      <c r="M91" s="15"/>
      <c r="N91" s="15"/>
      <c r="O91" s="15"/>
      <c r="P91" s="15"/>
      <c r="Q91" s="15"/>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row>
    <row r="92" spans="1:49" ht="15.75">
      <c r="A92" s="234"/>
      <c r="B92" s="83"/>
      <c r="C92" s="83"/>
      <c r="D92" s="83"/>
      <c r="E92" s="83"/>
      <c r="F92" s="723"/>
      <c r="G92" s="723"/>
      <c r="H92" s="82"/>
      <c r="I92" s="83"/>
      <c r="J92" s="83"/>
      <c r="K92" s="15"/>
      <c r="L92" s="15"/>
      <c r="M92" s="15"/>
      <c r="N92" s="15"/>
      <c r="O92" s="15"/>
      <c r="P92" s="15"/>
      <c r="Q92" s="15"/>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row>
    <row r="93" spans="1:49" ht="15.75">
      <c r="A93" s="234"/>
      <c r="B93" s="83"/>
      <c r="C93" s="83"/>
      <c r="D93" s="83"/>
      <c r="E93" s="83"/>
      <c r="F93" s="723"/>
      <c r="G93" s="723"/>
      <c r="H93" s="82"/>
      <c r="I93" s="83"/>
      <c r="J93" s="83"/>
      <c r="K93" s="15"/>
      <c r="L93" s="15"/>
      <c r="M93" s="15"/>
      <c r="N93" s="15"/>
      <c r="O93" s="15"/>
      <c r="P93" s="15"/>
      <c r="Q93" s="15"/>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row>
    <row r="94" spans="1:49" ht="15.75">
      <c r="A94" s="234"/>
      <c r="B94" s="83"/>
      <c r="C94" s="490" t="s">
        <v>653</v>
      </c>
      <c r="D94" s="490" t="s">
        <v>654</v>
      </c>
      <c r="E94" s="13"/>
      <c r="F94" s="723" t="s">
        <v>655</v>
      </c>
      <c r="G94" s="723" t="s">
        <v>656</v>
      </c>
      <c r="H94" s="82"/>
      <c r="I94" s="83"/>
      <c r="J94" s="83"/>
      <c r="K94" s="15"/>
      <c r="L94" s="15"/>
      <c r="M94" s="15"/>
      <c r="N94" s="15"/>
      <c r="O94" s="15"/>
      <c r="P94" s="15"/>
      <c r="Q94" s="15"/>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row>
    <row r="95" spans="1:49" ht="15.75">
      <c r="A95" s="234"/>
      <c r="B95" s="83" t="s">
        <v>650</v>
      </c>
      <c r="C95" s="490">
        <v>7500</v>
      </c>
      <c r="D95" s="13">
        <v>15</v>
      </c>
      <c r="E95" s="13"/>
      <c r="F95" s="723">
        <f>(C95-6000)*2.5/1000</f>
        <v>3.75</v>
      </c>
      <c r="G95" s="723">
        <f>D95+F95</f>
        <v>18.75</v>
      </c>
      <c r="H95" s="82"/>
      <c r="I95" s="33">
        <f>G88/G95</f>
        <v>2.933333333333333</v>
      </c>
      <c r="J95" s="83"/>
      <c r="K95" s="15"/>
      <c r="L95" s="15"/>
      <c r="M95" s="15"/>
      <c r="N95" s="15"/>
      <c r="O95" s="15"/>
      <c r="P95" s="15"/>
      <c r="Q95" s="15"/>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row>
    <row r="96" spans="1:49" ht="15.75">
      <c r="A96" s="456"/>
      <c r="B96" s="83" t="s">
        <v>651</v>
      </c>
      <c r="C96" s="13">
        <v>20000</v>
      </c>
      <c r="D96" s="13">
        <v>15</v>
      </c>
      <c r="E96" s="13"/>
      <c r="F96" s="723">
        <f>(C96-6000)*2.5/1000</f>
        <v>35</v>
      </c>
      <c r="G96" s="723">
        <f>D96+F96</f>
        <v>50</v>
      </c>
      <c r="H96" s="82"/>
      <c r="I96" s="33">
        <f>G89/G96</f>
        <v>2.4125</v>
      </c>
      <c r="J96" s="28"/>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row>
    <row r="97" spans="1:49" ht="15.75">
      <c r="A97" s="456"/>
      <c r="B97" s="83" t="s">
        <v>652</v>
      </c>
      <c r="C97" s="83">
        <v>45000</v>
      </c>
      <c r="D97" s="13">
        <v>15</v>
      </c>
      <c r="E97" s="83"/>
      <c r="F97" s="723">
        <f>(C97-6000)*2.5/1000</f>
        <v>97.5</v>
      </c>
      <c r="G97" s="723">
        <f>D97+F97</f>
        <v>112.5</v>
      </c>
      <c r="H97" s="82"/>
      <c r="I97" s="33">
        <f>G90/G97</f>
        <v>2.238888888888889</v>
      </c>
      <c r="J97" s="28"/>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row>
    <row r="98" spans="1:49" ht="15.75">
      <c r="A98" s="456"/>
      <c r="B98" s="83"/>
      <c r="C98" s="83"/>
      <c r="D98" s="83"/>
      <c r="E98" s="83"/>
      <c r="F98" s="723"/>
      <c r="G98" s="723"/>
      <c r="H98" s="82"/>
      <c r="I98" s="28"/>
      <c r="J98" s="28"/>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row>
    <row r="99" spans="1:49" ht="15.75">
      <c r="A99" s="456"/>
      <c r="B99" s="83" t="s">
        <v>650</v>
      </c>
      <c r="C99" s="490">
        <f aca="true" t="shared" si="0" ref="C99:D101">C95*3</f>
        <v>22500</v>
      </c>
      <c r="D99" s="490">
        <f t="shared" si="0"/>
        <v>45</v>
      </c>
      <c r="E99" s="13"/>
      <c r="F99" s="723">
        <f>(C99-18000)*2.5/1000</f>
        <v>11.25</v>
      </c>
      <c r="G99" s="723">
        <f>D99+F99</f>
        <v>56.25</v>
      </c>
      <c r="H99" s="82"/>
      <c r="I99" s="33"/>
      <c r="J99" s="28"/>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row>
    <row r="100" spans="1:49" ht="15.75">
      <c r="A100" s="234"/>
      <c r="B100" s="83" t="s">
        <v>651</v>
      </c>
      <c r="C100" s="490">
        <f t="shared" si="0"/>
        <v>60000</v>
      </c>
      <c r="D100" s="490">
        <f t="shared" si="0"/>
        <v>45</v>
      </c>
      <c r="E100" s="13"/>
      <c r="F100" s="723">
        <f>(C100-18000)*2.5/1000</f>
        <v>105</v>
      </c>
      <c r="G100" s="723">
        <f>D100+F100</f>
        <v>150</v>
      </c>
      <c r="H100" s="82"/>
      <c r="I100" s="33"/>
      <c r="J100" s="83"/>
      <c r="K100" s="15"/>
      <c r="L100" s="15"/>
      <c r="M100" s="15"/>
      <c r="N100" s="15"/>
      <c r="O100" s="15"/>
      <c r="P100" s="15"/>
      <c r="Q100" s="15"/>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row>
    <row r="101" spans="1:49" ht="15.75">
      <c r="A101" s="234"/>
      <c r="B101" s="83" t="s">
        <v>652</v>
      </c>
      <c r="C101" s="490">
        <f t="shared" si="0"/>
        <v>135000</v>
      </c>
      <c r="D101" s="490">
        <f t="shared" si="0"/>
        <v>45</v>
      </c>
      <c r="E101" s="83"/>
      <c r="F101" s="723">
        <f>(C101-18000)*2.5/1000</f>
        <v>292.5</v>
      </c>
      <c r="G101" s="723">
        <f>D101+F101</f>
        <v>337.5</v>
      </c>
      <c r="H101" s="82"/>
      <c r="I101" s="33"/>
      <c r="J101" s="83"/>
      <c r="K101" s="15"/>
      <c r="L101" s="15"/>
      <c r="M101" s="15"/>
      <c r="N101" s="15"/>
      <c r="O101" s="15"/>
      <c r="P101" s="15"/>
      <c r="Q101" s="15"/>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row>
    <row r="102" spans="1:49" ht="15.75">
      <c r="A102" s="234"/>
      <c r="B102" s="83"/>
      <c r="C102" s="83"/>
      <c r="D102" s="83"/>
      <c r="E102" s="83"/>
      <c r="F102" s="723"/>
      <c r="G102" s="723"/>
      <c r="H102" s="82"/>
      <c r="I102" s="83"/>
      <c r="J102" s="83"/>
      <c r="K102" s="15"/>
      <c r="L102" s="15"/>
      <c r="M102" s="15"/>
      <c r="N102" s="15"/>
      <c r="O102" s="15"/>
      <c r="P102" s="15"/>
      <c r="Q102" s="15"/>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row>
    <row r="103" spans="1:49" ht="15.75">
      <c r="A103" s="234"/>
      <c r="B103" s="83" t="s">
        <v>650</v>
      </c>
      <c r="C103" s="490">
        <f aca="true" t="shared" si="1" ref="C103:D105">C88*3</f>
        <v>22500</v>
      </c>
      <c r="D103" s="13">
        <f t="shared" si="1"/>
        <v>165</v>
      </c>
      <c r="E103" s="13"/>
      <c r="F103" s="723">
        <f>(C103-22500)*5/1000</f>
        <v>0</v>
      </c>
      <c r="G103" s="723">
        <f>D103+F103</f>
        <v>165</v>
      </c>
      <c r="H103" s="82"/>
      <c r="I103" s="33">
        <f>G103/G99</f>
        <v>2.933333333333333</v>
      </c>
      <c r="J103" s="83"/>
      <c r="K103" s="15"/>
      <c r="L103" s="15"/>
      <c r="M103" s="15"/>
      <c r="N103" s="15"/>
      <c r="O103" s="15"/>
      <c r="P103" s="15"/>
      <c r="Q103" s="15"/>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row>
    <row r="104" spans="1:49" ht="15.75">
      <c r="A104" s="234"/>
      <c r="B104" s="83" t="s">
        <v>651</v>
      </c>
      <c r="C104" s="490">
        <f t="shared" si="1"/>
        <v>60000</v>
      </c>
      <c r="D104" s="13">
        <f t="shared" si="1"/>
        <v>165</v>
      </c>
      <c r="E104" s="13"/>
      <c r="F104" s="723">
        <f>(C104-22500)*5/1000</f>
        <v>187.5</v>
      </c>
      <c r="G104" s="723">
        <f>D104+F104</f>
        <v>352.5</v>
      </c>
      <c r="H104" s="82"/>
      <c r="I104" s="33">
        <f>G104/G100</f>
        <v>2.35</v>
      </c>
      <c r="J104" s="83"/>
      <c r="K104" s="15"/>
      <c r="L104" s="15"/>
      <c r="M104" s="15"/>
      <c r="N104" s="15"/>
      <c r="O104" s="15"/>
      <c r="P104" s="15"/>
      <c r="Q104" s="15"/>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row>
    <row r="105" spans="1:49" ht="15.75">
      <c r="A105" s="234"/>
      <c r="B105" s="83" t="s">
        <v>652</v>
      </c>
      <c r="C105" s="490">
        <f t="shared" si="1"/>
        <v>135000</v>
      </c>
      <c r="D105" s="13">
        <f t="shared" si="1"/>
        <v>165</v>
      </c>
      <c r="E105" s="83"/>
      <c r="F105" s="723">
        <f>(C105-22500)*5/1000</f>
        <v>562.5</v>
      </c>
      <c r="G105" s="723">
        <f>D105+F105</f>
        <v>727.5</v>
      </c>
      <c r="H105" s="82"/>
      <c r="I105" s="33">
        <f>G105/G101</f>
        <v>2.1555555555555554</v>
      </c>
      <c r="J105" s="83"/>
      <c r="K105" s="15"/>
      <c r="L105" s="15"/>
      <c r="M105" s="15"/>
      <c r="N105" s="15"/>
      <c r="O105" s="15"/>
      <c r="P105" s="15"/>
      <c r="Q105" s="15"/>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row>
    <row r="106" spans="1:49" ht="15.75">
      <c r="A106" s="234"/>
      <c r="B106" s="83"/>
      <c r="C106" s="83"/>
      <c r="D106" s="83"/>
      <c r="E106" s="83"/>
      <c r="F106" s="723"/>
      <c r="G106" s="723"/>
      <c r="H106" s="82"/>
      <c r="I106" s="83"/>
      <c r="J106" s="83"/>
      <c r="K106" s="15"/>
      <c r="L106" s="15"/>
      <c r="M106" s="15"/>
      <c r="N106" s="15"/>
      <c r="O106" s="15"/>
      <c r="P106" s="15"/>
      <c r="Q106" s="15"/>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row>
    <row r="107" spans="1:49" ht="15.75">
      <c r="A107" s="234"/>
      <c r="B107" s="83"/>
      <c r="C107" s="83"/>
      <c r="D107" s="83"/>
      <c r="E107" s="83"/>
      <c r="F107" s="83"/>
      <c r="G107" s="83"/>
      <c r="H107" s="82"/>
      <c r="I107" s="83"/>
      <c r="J107" s="83"/>
      <c r="K107" s="15"/>
      <c r="L107" s="15"/>
      <c r="M107" s="15"/>
      <c r="N107" s="15"/>
      <c r="O107" s="15"/>
      <c r="P107" s="15"/>
      <c r="Q107" s="15"/>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row>
    <row r="108" spans="1:49" ht="15.75">
      <c r="A108" s="234"/>
      <c r="B108" s="83"/>
      <c r="C108" s="83"/>
      <c r="D108" s="83"/>
      <c r="E108" s="83"/>
      <c r="F108" s="83"/>
      <c r="G108" s="83"/>
      <c r="H108" s="82"/>
      <c r="I108" s="83">
        <f>G99*I103</f>
        <v>165</v>
      </c>
      <c r="J108" s="83"/>
      <c r="K108" s="15"/>
      <c r="L108" s="15"/>
      <c r="M108" s="15"/>
      <c r="N108" s="15"/>
      <c r="O108" s="15"/>
      <c r="P108" s="15"/>
      <c r="Q108" s="15"/>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row>
    <row r="109" spans="1:49" ht="15.75">
      <c r="A109" s="234"/>
      <c r="B109" s="83"/>
      <c r="C109" s="83"/>
      <c r="D109" s="83"/>
      <c r="E109" s="83"/>
      <c r="F109" s="83"/>
      <c r="G109" s="83"/>
      <c r="H109" s="82"/>
      <c r="I109" s="83"/>
      <c r="J109" s="83"/>
      <c r="K109" s="15"/>
      <c r="L109" s="15"/>
      <c r="M109" s="15"/>
      <c r="N109" s="15"/>
      <c r="O109" s="15"/>
      <c r="P109" s="15"/>
      <c r="Q109" s="15"/>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row>
    <row r="110" spans="1:49" ht="15.75">
      <c r="A110" s="234"/>
      <c r="B110" s="83"/>
      <c r="C110" s="83"/>
      <c r="D110" s="83"/>
      <c r="E110" s="83"/>
      <c r="F110" s="83"/>
      <c r="G110" s="83"/>
      <c r="H110" s="82"/>
      <c r="I110" s="83"/>
      <c r="J110" s="83"/>
      <c r="K110" s="15"/>
      <c r="L110" s="15"/>
      <c r="M110" s="15"/>
      <c r="N110" s="15"/>
      <c r="O110" s="15"/>
      <c r="P110" s="15"/>
      <c r="Q110" s="15"/>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row>
    <row r="111" spans="1:49" ht="15.75">
      <c r="A111" s="234"/>
      <c r="B111" s="83"/>
      <c r="C111" s="83"/>
      <c r="D111" s="83"/>
      <c r="E111" s="83"/>
      <c r="F111" s="83"/>
      <c r="G111" s="83"/>
      <c r="H111" s="82"/>
      <c r="I111" s="83"/>
      <c r="J111" s="83"/>
      <c r="K111" s="15"/>
      <c r="L111" s="15"/>
      <c r="M111" s="15"/>
      <c r="N111" s="15"/>
      <c r="O111" s="15"/>
      <c r="P111" s="15"/>
      <c r="Q111" s="15"/>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row>
    <row r="112" spans="1:49" ht="15.75">
      <c r="A112" s="234"/>
      <c r="B112" s="83"/>
      <c r="C112" s="83"/>
      <c r="D112" s="83"/>
      <c r="E112" s="83"/>
      <c r="F112" s="83"/>
      <c r="G112" s="83"/>
      <c r="H112" s="82"/>
      <c r="I112" s="83"/>
      <c r="J112" s="83"/>
      <c r="K112" s="15"/>
      <c r="L112" s="15"/>
      <c r="M112" s="15"/>
      <c r="N112" s="15"/>
      <c r="O112" s="15"/>
      <c r="P112" s="15"/>
      <c r="Q112" s="15"/>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row>
    <row r="113" spans="1:49" ht="15.75">
      <c r="A113" s="234"/>
      <c r="B113" s="83"/>
      <c r="C113" s="83"/>
      <c r="D113" s="83"/>
      <c r="E113" s="83"/>
      <c r="F113" s="83"/>
      <c r="G113" s="83"/>
      <c r="H113" s="82"/>
      <c r="I113" s="83"/>
      <c r="J113" s="83"/>
      <c r="K113" s="15"/>
      <c r="L113" s="15"/>
      <c r="M113" s="15"/>
      <c r="N113" s="15"/>
      <c r="O113" s="15"/>
      <c r="P113" s="15"/>
      <c r="Q113" s="15"/>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row>
    <row r="114" spans="1:49" ht="15.75">
      <c r="A114" s="234"/>
      <c r="B114" s="83"/>
      <c r="C114" s="83"/>
      <c r="D114" s="83"/>
      <c r="E114" s="83"/>
      <c r="F114" s="83"/>
      <c r="G114" s="83"/>
      <c r="H114" s="82"/>
      <c r="I114" s="83"/>
      <c r="J114" s="83"/>
      <c r="K114" s="15"/>
      <c r="L114" s="15"/>
      <c r="M114" s="15"/>
      <c r="N114" s="15"/>
      <c r="O114" s="15"/>
      <c r="P114" s="15"/>
      <c r="Q114" s="15"/>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row>
    <row r="115" spans="1:49" ht="15.75">
      <c r="A115" s="234"/>
      <c r="B115" s="83"/>
      <c r="C115" s="83"/>
      <c r="D115" s="83"/>
      <c r="E115" s="83"/>
      <c r="F115" s="83"/>
      <c r="G115" s="83"/>
      <c r="H115" s="82"/>
      <c r="I115" s="83"/>
      <c r="J115" s="83"/>
      <c r="K115" s="15"/>
      <c r="L115" s="15"/>
      <c r="M115" s="15"/>
      <c r="N115" s="15"/>
      <c r="O115" s="15"/>
      <c r="P115" s="15"/>
      <c r="Q115" s="15"/>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row>
    <row r="116" spans="1:49" ht="15.75">
      <c r="A116" s="234"/>
      <c r="B116" s="83"/>
      <c r="C116" s="83"/>
      <c r="D116" s="83"/>
      <c r="E116" s="83"/>
      <c r="F116" s="83"/>
      <c r="G116" s="83"/>
      <c r="H116" s="82"/>
      <c r="I116" s="83"/>
      <c r="J116" s="83"/>
      <c r="K116" s="15"/>
      <c r="L116" s="15"/>
      <c r="M116" s="15"/>
      <c r="N116" s="15"/>
      <c r="O116" s="15"/>
      <c r="P116" s="15"/>
      <c r="Q116" s="15"/>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row>
    <row r="117" spans="1:49" ht="15.75">
      <c r="A117" s="234"/>
      <c r="B117" s="83"/>
      <c r="C117" s="83"/>
      <c r="D117" s="83"/>
      <c r="E117" s="83"/>
      <c r="F117" s="83"/>
      <c r="G117" s="83"/>
      <c r="H117" s="82"/>
      <c r="I117" s="83"/>
      <c r="J117" s="83"/>
      <c r="K117" s="15"/>
      <c r="L117" s="15"/>
      <c r="M117" s="15"/>
      <c r="N117" s="15"/>
      <c r="O117" s="15"/>
      <c r="P117" s="15"/>
      <c r="Q117" s="15"/>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row>
    <row r="118" spans="1:49" ht="15.75">
      <c r="A118" s="234"/>
      <c r="B118" s="83"/>
      <c r="C118" s="83"/>
      <c r="D118" s="83"/>
      <c r="E118" s="83"/>
      <c r="F118" s="83"/>
      <c r="G118" s="83"/>
      <c r="H118" s="82"/>
      <c r="I118" s="83"/>
      <c r="J118" s="83"/>
      <c r="K118" s="15"/>
      <c r="L118" s="15"/>
      <c r="M118" s="15"/>
      <c r="N118" s="15"/>
      <c r="O118" s="15"/>
      <c r="P118" s="15"/>
      <c r="Q118" s="15"/>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row>
    <row r="119" spans="1:49" ht="15.75">
      <c r="A119" s="234"/>
      <c r="B119" s="83"/>
      <c r="C119" s="83"/>
      <c r="D119" s="83"/>
      <c r="E119" s="83"/>
      <c r="F119" s="83"/>
      <c r="G119" s="83"/>
      <c r="H119" s="82"/>
      <c r="I119" s="83"/>
      <c r="J119" s="83"/>
      <c r="K119" s="15"/>
      <c r="L119" s="15"/>
      <c r="M119" s="15"/>
      <c r="N119" s="15"/>
      <c r="O119" s="15"/>
      <c r="P119" s="15"/>
      <c r="Q119" s="15"/>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row>
    <row r="120" spans="1:49" ht="15.75">
      <c r="A120" s="234"/>
      <c r="B120" s="83"/>
      <c r="C120" s="83"/>
      <c r="D120" s="83"/>
      <c r="E120" s="83"/>
      <c r="F120" s="83"/>
      <c r="G120" s="83"/>
      <c r="H120" s="82"/>
      <c r="I120" s="83"/>
      <c r="J120" s="83"/>
      <c r="K120" s="15"/>
      <c r="L120" s="15"/>
      <c r="M120" s="15"/>
      <c r="N120" s="15"/>
      <c r="O120" s="15"/>
      <c r="P120" s="15"/>
      <c r="Q120" s="15"/>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row>
    <row r="121" spans="1:49" ht="15.75">
      <c r="A121" s="234"/>
      <c r="B121" s="83"/>
      <c r="C121" s="83"/>
      <c r="D121" s="83"/>
      <c r="E121" s="83"/>
      <c r="F121" s="83"/>
      <c r="G121" s="83"/>
      <c r="H121" s="82"/>
      <c r="I121" s="83"/>
      <c r="J121" s="83"/>
      <c r="K121" s="15"/>
      <c r="L121" s="15"/>
      <c r="M121" s="15"/>
      <c r="N121" s="15"/>
      <c r="O121" s="15"/>
      <c r="P121" s="15"/>
      <c r="Q121" s="15"/>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row>
    <row r="122" spans="1:49" ht="15.75">
      <c r="A122" s="234"/>
      <c r="B122" s="83"/>
      <c r="C122" s="83"/>
      <c r="D122" s="83"/>
      <c r="E122" s="83"/>
      <c r="F122" s="83"/>
      <c r="G122" s="83"/>
      <c r="H122" s="82"/>
      <c r="I122" s="83"/>
      <c r="J122" s="83"/>
      <c r="K122" s="15"/>
      <c r="L122" s="15"/>
      <c r="M122" s="15"/>
      <c r="N122" s="15"/>
      <c r="O122" s="15"/>
      <c r="P122" s="15"/>
      <c r="Q122" s="15"/>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row>
    <row r="123" spans="1:49" ht="15.75">
      <c r="A123" s="234"/>
      <c r="B123" s="83"/>
      <c r="C123" s="83"/>
      <c r="D123" s="83"/>
      <c r="E123" s="83"/>
      <c r="F123" s="83"/>
      <c r="G123" s="83"/>
      <c r="H123" s="82"/>
      <c r="I123" s="83"/>
      <c r="J123" s="83"/>
      <c r="K123" s="15"/>
      <c r="L123" s="15"/>
      <c r="M123" s="15"/>
      <c r="N123" s="15"/>
      <c r="O123" s="15"/>
      <c r="P123" s="15"/>
      <c r="Q123" s="15"/>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row>
    <row r="124" spans="1:49" ht="15.75">
      <c r="A124" s="234"/>
      <c r="B124" s="83"/>
      <c r="C124" s="83"/>
      <c r="D124" s="83"/>
      <c r="E124" s="83"/>
      <c r="F124" s="83"/>
      <c r="G124" s="83"/>
      <c r="H124" s="82"/>
      <c r="I124" s="83"/>
      <c r="J124" s="83"/>
      <c r="K124" s="15"/>
      <c r="L124" s="15"/>
      <c r="M124" s="15"/>
      <c r="N124" s="15"/>
      <c r="O124" s="15"/>
      <c r="P124" s="15"/>
      <c r="Q124" s="15"/>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row>
    <row r="125" spans="1:49" ht="15.75">
      <c r="A125" s="234"/>
      <c r="B125" s="83"/>
      <c r="C125" s="83"/>
      <c r="D125" s="83"/>
      <c r="E125" s="83"/>
      <c r="F125" s="83"/>
      <c r="G125" s="83"/>
      <c r="H125" s="82"/>
      <c r="I125" s="83"/>
      <c r="J125" s="83"/>
      <c r="K125" s="15"/>
      <c r="L125" s="15"/>
      <c r="M125" s="15"/>
      <c r="N125" s="15"/>
      <c r="O125" s="15"/>
      <c r="P125" s="15"/>
      <c r="Q125" s="15"/>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row>
    <row r="126" spans="1:49" ht="15.75">
      <c r="A126" s="234"/>
      <c r="B126" s="83"/>
      <c r="C126" s="83"/>
      <c r="D126" s="83"/>
      <c r="E126" s="83"/>
      <c r="F126" s="83"/>
      <c r="G126" s="83"/>
      <c r="H126" s="82"/>
      <c r="I126" s="83"/>
      <c r="J126" s="83"/>
      <c r="K126" s="15"/>
      <c r="L126" s="15"/>
      <c r="M126" s="15"/>
      <c r="N126" s="15"/>
      <c r="O126" s="15"/>
      <c r="P126" s="15"/>
      <c r="Q126" s="15"/>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row>
    <row r="127" spans="1:49" ht="15.75">
      <c r="A127" s="234"/>
      <c r="B127" s="83"/>
      <c r="C127" s="83"/>
      <c r="D127" s="83"/>
      <c r="E127" s="83"/>
      <c r="F127" s="83"/>
      <c r="G127" s="83"/>
      <c r="H127" s="82"/>
      <c r="I127" s="83"/>
      <c r="J127" s="83"/>
      <c r="K127" s="15"/>
      <c r="L127" s="15"/>
      <c r="M127" s="15"/>
      <c r="N127" s="15"/>
      <c r="O127" s="15"/>
      <c r="P127" s="15"/>
      <c r="Q127" s="15"/>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row>
    <row r="128" spans="1:49" ht="15.75">
      <c r="A128" s="234"/>
      <c r="B128" s="83"/>
      <c r="C128" s="83"/>
      <c r="D128" s="83"/>
      <c r="E128" s="83"/>
      <c r="F128" s="83"/>
      <c r="G128" s="83"/>
      <c r="H128" s="82"/>
      <c r="I128" s="83"/>
      <c r="J128" s="83"/>
      <c r="K128" s="15"/>
      <c r="L128" s="15"/>
      <c r="M128" s="15"/>
      <c r="N128" s="15"/>
      <c r="O128" s="15"/>
      <c r="P128" s="15"/>
      <c r="Q128" s="15"/>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row>
    <row r="129" spans="1:49" ht="15.75">
      <c r="A129" s="234"/>
      <c r="B129" s="83"/>
      <c r="C129" s="83"/>
      <c r="D129" s="83"/>
      <c r="E129" s="83"/>
      <c r="F129" s="83"/>
      <c r="G129" s="83"/>
      <c r="H129" s="82"/>
      <c r="I129" s="83"/>
      <c r="J129" s="83"/>
      <c r="K129" s="15"/>
      <c r="L129" s="15"/>
      <c r="M129" s="15"/>
      <c r="N129" s="15"/>
      <c r="O129" s="15"/>
      <c r="P129" s="15"/>
      <c r="Q129" s="15"/>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row>
    <row r="130" spans="1:49" ht="15.75">
      <c r="A130" s="234"/>
      <c r="B130" s="83"/>
      <c r="C130" s="83"/>
      <c r="D130" s="83"/>
      <c r="E130" s="83"/>
      <c r="F130" s="83"/>
      <c r="G130" s="83"/>
      <c r="H130" s="82"/>
      <c r="I130" s="83"/>
      <c r="J130" s="83"/>
      <c r="K130" s="15"/>
      <c r="L130" s="15"/>
      <c r="M130" s="15"/>
      <c r="N130" s="15"/>
      <c r="O130" s="15"/>
      <c r="P130" s="15"/>
      <c r="Q130" s="15"/>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row>
    <row r="131" spans="1:49" ht="15.75">
      <c r="A131" s="234"/>
      <c r="B131" s="83"/>
      <c r="C131" s="83"/>
      <c r="D131" s="83"/>
      <c r="E131" s="83"/>
      <c r="F131" s="83"/>
      <c r="G131" s="83"/>
      <c r="H131" s="82"/>
      <c r="I131" s="83"/>
      <c r="J131" s="83"/>
      <c r="K131" s="15"/>
      <c r="L131" s="15"/>
      <c r="M131" s="15"/>
      <c r="N131" s="15"/>
      <c r="O131" s="15"/>
      <c r="P131" s="15"/>
      <c r="Q131" s="15"/>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row>
    <row r="132" spans="1:49" ht="15.75">
      <c r="A132" s="234"/>
      <c r="B132" s="83"/>
      <c r="C132" s="83"/>
      <c r="D132" s="83"/>
      <c r="E132" s="83"/>
      <c r="F132" s="83"/>
      <c r="G132" s="83"/>
      <c r="H132" s="82"/>
      <c r="I132" s="83"/>
      <c r="J132" s="83"/>
      <c r="K132" s="15"/>
      <c r="L132" s="15"/>
      <c r="M132" s="15"/>
      <c r="N132" s="15"/>
      <c r="O132" s="15"/>
      <c r="P132" s="15"/>
      <c r="Q132" s="15"/>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row>
    <row r="133" spans="1:49" ht="15.75">
      <c r="A133" s="234"/>
      <c r="B133" s="83"/>
      <c r="C133" s="83"/>
      <c r="D133" s="83"/>
      <c r="E133" s="83"/>
      <c r="F133" s="83"/>
      <c r="G133" s="83"/>
      <c r="H133" s="82"/>
      <c r="I133" s="83"/>
      <c r="J133" s="83"/>
      <c r="K133" s="15"/>
      <c r="L133" s="15"/>
      <c r="M133" s="15"/>
      <c r="N133" s="15"/>
      <c r="O133" s="15"/>
      <c r="P133" s="15"/>
      <c r="Q133" s="15"/>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row>
    <row r="134" spans="1:49" ht="15.75">
      <c r="A134" s="234"/>
      <c r="B134" s="83"/>
      <c r="C134" s="83"/>
      <c r="D134" s="83"/>
      <c r="E134" s="83"/>
      <c r="F134" s="83"/>
      <c r="G134" s="83"/>
      <c r="H134" s="82"/>
      <c r="I134" s="83"/>
      <c r="J134" s="83"/>
      <c r="K134" s="15"/>
      <c r="L134" s="15"/>
      <c r="M134" s="15"/>
      <c r="N134" s="15"/>
      <c r="O134" s="15"/>
      <c r="P134" s="15"/>
      <c r="Q134" s="15"/>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row>
    <row r="135" spans="1:49" ht="15.75">
      <c r="A135" s="234"/>
      <c r="B135" s="83"/>
      <c r="C135" s="83"/>
      <c r="D135" s="83"/>
      <c r="E135" s="83"/>
      <c r="F135" s="83"/>
      <c r="G135" s="83"/>
      <c r="H135" s="82"/>
      <c r="I135" s="83"/>
      <c r="J135" s="83"/>
      <c r="K135" s="15"/>
      <c r="L135" s="15"/>
      <c r="M135" s="15"/>
      <c r="N135" s="15"/>
      <c r="O135" s="15"/>
      <c r="P135" s="15"/>
      <c r="Q135" s="15"/>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row>
    <row r="136" spans="1:49" ht="15.75">
      <c r="A136" s="234"/>
      <c r="B136" s="83"/>
      <c r="C136" s="83"/>
      <c r="D136" s="83"/>
      <c r="E136" s="83"/>
      <c r="F136" s="83"/>
      <c r="G136" s="83"/>
      <c r="H136" s="82"/>
      <c r="I136" s="83"/>
      <c r="J136" s="83"/>
      <c r="K136" s="15"/>
      <c r="L136" s="15"/>
      <c r="M136" s="15"/>
      <c r="N136" s="15"/>
      <c r="O136" s="15"/>
      <c r="P136" s="15"/>
      <c r="Q136" s="15"/>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row>
    <row r="137" spans="1:49" ht="15.75">
      <c r="A137" s="234"/>
      <c r="B137" s="83"/>
      <c r="C137" s="83"/>
      <c r="D137" s="83"/>
      <c r="E137" s="83"/>
      <c r="F137" s="83"/>
      <c r="G137" s="83"/>
      <c r="H137" s="82"/>
      <c r="I137" s="83"/>
      <c r="J137" s="83"/>
      <c r="K137" s="15"/>
      <c r="L137" s="15"/>
      <c r="M137" s="15"/>
      <c r="N137" s="15"/>
      <c r="O137" s="15"/>
      <c r="P137" s="15"/>
      <c r="Q137" s="15"/>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row>
    <row r="138" spans="1:49" ht="15.75">
      <c r="A138" s="234"/>
      <c r="B138" s="83"/>
      <c r="C138" s="83"/>
      <c r="D138" s="83"/>
      <c r="E138" s="83"/>
      <c r="F138" s="83"/>
      <c r="G138" s="83"/>
      <c r="H138" s="82"/>
      <c r="I138" s="83"/>
      <c r="J138" s="83"/>
      <c r="K138" s="15"/>
      <c r="L138" s="15"/>
      <c r="M138" s="15"/>
      <c r="N138" s="15"/>
      <c r="O138" s="15"/>
      <c r="P138" s="15"/>
      <c r="Q138" s="15"/>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row>
    <row r="139" spans="1:49" ht="15.75">
      <c r="A139" s="234"/>
      <c r="B139" s="83"/>
      <c r="C139" s="83"/>
      <c r="D139" s="83"/>
      <c r="E139" s="83"/>
      <c r="F139" s="83"/>
      <c r="G139" s="83"/>
      <c r="H139" s="82"/>
      <c r="I139" s="83"/>
      <c r="J139" s="83"/>
      <c r="K139" s="15"/>
      <c r="L139" s="15"/>
      <c r="M139" s="15"/>
      <c r="N139" s="15"/>
      <c r="O139" s="15"/>
      <c r="P139" s="15"/>
      <c r="Q139" s="15"/>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row>
    <row r="140" spans="1:49" ht="15.75">
      <c r="A140" s="234"/>
      <c r="B140" s="83"/>
      <c r="C140" s="83"/>
      <c r="D140" s="83"/>
      <c r="E140" s="83"/>
      <c r="F140" s="83"/>
      <c r="G140" s="83"/>
      <c r="H140" s="82"/>
      <c r="I140" s="83"/>
      <c r="J140" s="83"/>
      <c r="K140" s="15"/>
      <c r="L140" s="15"/>
      <c r="M140" s="15"/>
      <c r="N140" s="15"/>
      <c r="O140" s="15"/>
      <c r="P140" s="15"/>
      <c r="Q140" s="15"/>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row>
    <row r="141" spans="1:49" ht="15.75">
      <c r="A141" s="234"/>
      <c r="B141" s="83"/>
      <c r="C141" s="83"/>
      <c r="D141" s="83"/>
      <c r="E141" s="83"/>
      <c r="F141" s="83"/>
      <c r="G141" s="83"/>
      <c r="H141" s="82"/>
      <c r="I141" s="83"/>
      <c r="J141" s="83"/>
      <c r="K141" s="15"/>
      <c r="L141" s="15"/>
      <c r="M141" s="15"/>
      <c r="N141" s="15"/>
      <c r="O141" s="15"/>
      <c r="P141" s="15"/>
      <c r="Q141" s="15"/>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row>
    <row r="142" spans="1:49" ht="15.75">
      <c r="A142" s="234"/>
      <c r="B142" s="83"/>
      <c r="C142" s="83"/>
      <c r="D142" s="83"/>
      <c r="E142" s="83"/>
      <c r="F142" s="83"/>
      <c r="G142" s="83"/>
      <c r="H142" s="82"/>
      <c r="I142" s="83"/>
      <c r="J142" s="83"/>
      <c r="K142" s="15"/>
      <c r="L142" s="15"/>
      <c r="M142" s="15"/>
      <c r="N142" s="15"/>
      <c r="O142" s="15"/>
      <c r="P142" s="15"/>
      <c r="Q142" s="15"/>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row>
    <row r="143" spans="1:49" ht="15.75">
      <c r="A143" s="234"/>
      <c r="B143" s="83"/>
      <c r="C143" s="83"/>
      <c r="D143" s="83"/>
      <c r="E143" s="83"/>
      <c r="F143" s="83"/>
      <c r="G143" s="83"/>
      <c r="H143" s="82"/>
      <c r="I143" s="83"/>
      <c r="J143" s="83"/>
      <c r="K143" s="15"/>
      <c r="L143" s="15"/>
      <c r="M143" s="15"/>
      <c r="N143" s="15"/>
      <c r="O143" s="15"/>
      <c r="P143" s="15"/>
      <c r="Q143" s="15"/>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row>
    <row r="144" spans="1:49" ht="15.75">
      <c r="A144" s="234"/>
      <c r="B144" s="83"/>
      <c r="C144" s="83"/>
      <c r="D144" s="83"/>
      <c r="E144" s="83"/>
      <c r="F144" s="83"/>
      <c r="G144" s="83"/>
      <c r="H144" s="82"/>
      <c r="I144" s="83"/>
      <c r="J144" s="83"/>
      <c r="K144" s="15"/>
      <c r="L144" s="15"/>
      <c r="M144" s="15"/>
      <c r="N144" s="15"/>
      <c r="O144" s="15"/>
      <c r="P144" s="15"/>
      <c r="Q144" s="15"/>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row>
    <row r="145" spans="1:49" ht="15.75">
      <c r="A145" s="234"/>
      <c r="B145" s="83"/>
      <c r="C145" s="83"/>
      <c r="D145" s="83"/>
      <c r="E145" s="83"/>
      <c r="F145" s="83"/>
      <c r="G145" s="83"/>
      <c r="H145" s="82"/>
      <c r="I145" s="83"/>
      <c r="J145" s="83"/>
      <c r="K145" s="15"/>
      <c r="L145" s="15"/>
      <c r="M145" s="15"/>
      <c r="N145" s="15"/>
      <c r="O145" s="15"/>
      <c r="P145" s="15"/>
      <c r="Q145" s="15"/>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row>
    <row r="146" spans="1:49" ht="15.75">
      <c r="A146" s="234"/>
      <c r="B146" s="83"/>
      <c r="C146" s="83"/>
      <c r="D146" s="83"/>
      <c r="E146" s="83"/>
      <c r="F146" s="83"/>
      <c r="G146" s="83"/>
      <c r="H146" s="82"/>
      <c r="I146" s="83"/>
      <c r="J146" s="83"/>
      <c r="K146" s="15"/>
      <c r="L146" s="15"/>
      <c r="M146" s="15"/>
      <c r="N146" s="15"/>
      <c r="O146" s="15"/>
      <c r="P146" s="15"/>
      <c r="Q146" s="15"/>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row>
    <row r="147" spans="1:49" ht="15.75">
      <c r="A147" s="234"/>
      <c r="B147" s="83"/>
      <c r="C147" s="83"/>
      <c r="D147" s="83"/>
      <c r="E147" s="83"/>
      <c r="F147" s="83"/>
      <c r="G147" s="83"/>
      <c r="H147" s="82"/>
      <c r="I147" s="83"/>
      <c r="J147" s="83"/>
      <c r="K147" s="15"/>
      <c r="L147" s="15"/>
      <c r="M147" s="15"/>
      <c r="N147" s="15"/>
      <c r="O147" s="15"/>
      <c r="P147" s="15"/>
      <c r="Q147" s="15"/>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row>
    <row r="148" spans="1:49" ht="15.75">
      <c r="A148" s="234"/>
      <c r="B148" s="83"/>
      <c r="C148" s="83"/>
      <c r="D148" s="83"/>
      <c r="E148" s="83"/>
      <c r="F148" s="83"/>
      <c r="G148" s="83"/>
      <c r="H148" s="82"/>
      <c r="I148" s="83"/>
      <c r="J148" s="83"/>
      <c r="K148" s="15"/>
      <c r="L148" s="15"/>
      <c r="M148" s="15"/>
      <c r="N148" s="15"/>
      <c r="O148" s="15"/>
      <c r="P148" s="15"/>
      <c r="Q148" s="15"/>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row>
    <row r="149" spans="1:49" ht="15.75">
      <c r="A149" s="234"/>
      <c r="B149" s="83"/>
      <c r="C149" s="83"/>
      <c r="D149" s="83"/>
      <c r="E149" s="83"/>
      <c r="F149" s="83"/>
      <c r="G149" s="83"/>
      <c r="H149" s="82"/>
      <c r="I149" s="83"/>
      <c r="J149" s="83"/>
      <c r="K149" s="15"/>
      <c r="L149" s="15"/>
      <c r="M149" s="15"/>
      <c r="N149" s="15"/>
      <c r="O149" s="15"/>
      <c r="P149" s="15"/>
      <c r="Q149" s="15"/>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row>
    <row r="150" spans="1:49" ht="15.75">
      <c r="A150" s="234"/>
      <c r="B150" s="83"/>
      <c r="C150" s="83"/>
      <c r="D150" s="83"/>
      <c r="E150" s="83"/>
      <c r="F150" s="83"/>
      <c r="G150" s="83"/>
      <c r="H150" s="82"/>
      <c r="I150" s="83"/>
      <c r="J150" s="83"/>
      <c r="K150" s="15"/>
      <c r="L150" s="15"/>
      <c r="M150" s="15"/>
      <c r="N150" s="15"/>
      <c r="O150" s="15"/>
      <c r="P150" s="15"/>
      <c r="Q150" s="15"/>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row>
    <row r="151" spans="1:49" ht="15.75">
      <c r="A151" s="234"/>
      <c r="B151" s="83"/>
      <c r="C151" s="83"/>
      <c r="D151" s="83"/>
      <c r="E151" s="83"/>
      <c r="F151" s="83"/>
      <c r="G151" s="83"/>
      <c r="H151" s="82"/>
      <c r="I151" s="83"/>
      <c r="J151" s="83"/>
      <c r="K151" s="15"/>
      <c r="L151" s="15"/>
      <c r="M151" s="15"/>
      <c r="N151" s="15"/>
      <c r="O151" s="15"/>
      <c r="P151" s="15"/>
      <c r="Q151" s="15"/>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row>
    <row r="152" spans="1:49" ht="15.75">
      <c r="A152" s="234"/>
      <c r="B152" s="83"/>
      <c r="C152" s="83"/>
      <c r="D152" s="83"/>
      <c r="E152" s="83"/>
      <c r="F152" s="83"/>
      <c r="G152" s="83"/>
      <c r="H152" s="82"/>
      <c r="I152" s="83"/>
      <c r="J152" s="83"/>
      <c r="K152" s="15"/>
      <c r="L152" s="15"/>
      <c r="M152" s="15"/>
      <c r="N152" s="15"/>
      <c r="O152" s="15"/>
      <c r="P152" s="15"/>
      <c r="Q152" s="15"/>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row>
    <row r="153" spans="1:49" ht="15.75">
      <c r="A153" s="234"/>
      <c r="B153" s="83"/>
      <c r="C153" s="83"/>
      <c r="D153" s="83"/>
      <c r="E153" s="83"/>
      <c r="F153" s="83"/>
      <c r="G153" s="83"/>
      <c r="H153" s="82"/>
      <c r="I153" s="83"/>
      <c r="J153" s="83"/>
      <c r="K153" s="15"/>
      <c r="L153" s="15"/>
      <c r="M153" s="15"/>
      <c r="N153" s="15"/>
      <c r="O153" s="15"/>
      <c r="P153" s="15"/>
      <c r="Q153" s="15"/>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row>
    <row r="154" spans="1:49" ht="15.75">
      <c r="A154" s="234"/>
      <c r="B154" s="83"/>
      <c r="C154" s="83"/>
      <c r="D154" s="83"/>
      <c r="E154" s="83"/>
      <c r="F154" s="83"/>
      <c r="G154" s="83"/>
      <c r="H154" s="82"/>
      <c r="I154" s="83"/>
      <c r="J154" s="83"/>
      <c r="K154" s="15"/>
      <c r="L154" s="15"/>
      <c r="M154" s="15"/>
      <c r="N154" s="15"/>
      <c r="O154" s="15"/>
      <c r="P154" s="15"/>
      <c r="Q154" s="15"/>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row>
    <row r="155" spans="1:49" ht="15.75">
      <c r="A155" s="234"/>
      <c r="B155" s="83"/>
      <c r="C155" s="83"/>
      <c r="D155" s="83"/>
      <c r="E155" s="83"/>
      <c r="F155" s="83"/>
      <c r="G155" s="83"/>
      <c r="H155" s="82"/>
      <c r="I155" s="83"/>
      <c r="J155" s="83"/>
      <c r="K155" s="15"/>
      <c r="L155" s="15"/>
      <c r="M155" s="15"/>
      <c r="N155" s="15"/>
      <c r="O155" s="15"/>
      <c r="P155" s="15"/>
      <c r="Q155" s="15"/>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row>
    <row r="156" spans="1:49" ht="15.75">
      <c r="A156" s="234"/>
      <c r="B156" s="83"/>
      <c r="C156" s="83"/>
      <c r="D156" s="83"/>
      <c r="E156" s="83"/>
      <c r="F156" s="83"/>
      <c r="G156" s="83"/>
      <c r="H156" s="82"/>
      <c r="I156" s="83"/>
      <c r="J156" s="83"/>
      <c r="K156" s="15"/>
      <c r="L156" s="15"/>
      <c r="M156" s="15"/>
      <c r="N156" s="15"/>
      <c r="O156" s="15"/>
      <c r="P156" s="15"/>
      <c r="Q156" s="15"/>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row>
    <row r="157" spans="1:49" ht="15.75">
      <c r="A157" s="234"/>
      <c r="B157" s="83"/>
      <c r="C157" s="83"/>
      <c r="D157" s="83"/>
      <c r="E157" s="83"/>
      <c r="F157" s="83"/>
      <c r="G157" s="83"/>
      <c r="H157" s="82"/>
      <c r="I157" s="83"/>
      <c r="J157" s="83"/>
      <c r="K157" s="15"/>
      <c r="L157" s="15"/>
      <c r="M157" s="15"/>
      <c r="N157" s="15"/>
      <c r="O157" s="15"/>
      <c r="P157" s="15"/>
      <c r="Q157" s="15"/>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row>
    <row r="158" spans="1:49" ht="15.75">
      <c r="A158" s="234"/>
      <c r="B158" s="83"/>
      <c r="C158" s="83"/>
      <c r="D158" s="83"/>
      <c r="E158" s="83"/>
      <c r="F158" s="83"/>
      <c r="G158" s="83"/>
      <c r="H158" s="82"/>
      <c r="I158" s="83"/>
      <c r="J158" s="83"/>
      <c r="K158" s="15"/>
      <c r="L158" s="15"/>
      <c r="M158" s="15"/>
      <c r="N158" s="15"/>
      <c r="O158" s="15"/>
      <c r="P158" s="15"/>
      <c r="Q158" s="15"/>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row>
    <row r="159" spans="1:49" ht="15.75">
      <c r="A159" s="234"/>
      <c r="B159" s="83"/>
      <c r="C159" s="83"/>
      <c r="D159" s="83"/>
      <c r="E159" s="83"/>
      <c r="F159" s="83"/>
      <c r="G159" s="83"/>
      <c r="H159" s="82"/>
      <c r="I159" s="83"/>
      <c r="J159" s="83"/>
      <c r="K159" s="15"/>
      <c r="L159" s="15"/>
      <c r="M159" s="15"/>
      <c r="N159" s="15"/>
      <c r="O159" s="15"/>
      <c r="P159" s="15"/>
      <c r="Q159" s="15"/>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row>
    <row r="160" spans="1:49" ht="15.75">
      <c r="A160" s="234"/>
      <c r="B160" s="83"/>
      <c r="C160" s="83"/>
      <c r="D160" s="83"/>
      <c r="E160" s="83"/>
      <c r="F160" s="83"/>
      <c r="G160" s="83"/>
      <c r="H160" s="82"/>
      <c r="I160" s="83"/>
      <c r="J160" s="83"/>
      <c r="K160" s="15"/>
      <c r="L160" s="15"/>
      <c r="M160" s="15"/>
      <c r="N160" s="15"/>
      <c r="O160" s="15"/>
      <c r="P160" s="15"/>
      <c r="Q160" s="15"/>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row>
    <row r="161" spans="1:49" ht="15.75">
      <c r="A161" s="234"/>
      <c r="B161" s="83"/>
      <c r="C161" s="83"/>
      <c r="D161" s="83"/>
      <c r="E161" s="83"/>
      <c r="F161" s="83"/>
      <c r="G161" s="83"/>
      <c r="H161" s="82"/>
      <c r="I161" s="83"/>
      <c r="J161" s="83"/>
      <c r="K161" s="15"/>
      <c r="L161" s="15"/>
      <c r="M161" s="15"/>
      <c r="N161" s="15"/>
      <c r="O161" s="15"/>
      <c r="P161" s="15"/>
      <c r="Q161" s="15"/>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row>
    <row r="162" spans="1:49" ht="15.75">
      <c r="A162" s="234"/>
      <c r="B162" s="83"/>
      <c r="C162" s="83"/>
      <c r="D162" s="83"/>
      <c r="E162" s="83"/>
      <c r="F162" s="83"/>
      <c r="G162" s="83"/>
      <c r="H162" s="82"/>
      <c r="I162" s="83"/>
      <c r="J162" s="83"/>
      <c r="K162" s="15"/>
      <c r="L162" s="15"/>
      <c r="M162" s="15"/>
      <c r="N162" s="15"/>
      <c r="O162" s="15"/>
      <c r="P162" s="15"/>
      <c r="Q162" s="15"/>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row>
    <row r="163" spans="1:49" ht="15.75">
      <c r="A163" s="16"/>
      <c r="B163" s="17"/>
      <c r="C163" s="17"/>
      <c r="D163" s="17"/>
      <c r="E163" s="17"/>
      <c r="F163" s="17"/>
      <c r="G163" s="28"/>
      <c r="H163" s="29"/>
      <c r="I163" s="28"/>
      <c r="J163" s="28"/>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row>
    <row r="164" spans="1:49" ht="15.75">
      <c r="A164" s="16"/>
      <c r="B164" s="17"/>
      <c r="C164" s="17"/>
      <c r="D164" s="17"/>
      <c r="E164" s="17"/>
      <c r="F164" s="17"/>
      <c r="G164" s="28"/>
      <c r="H164" s="29"/>
      <c r="I164" s="28"/>
      <c r="J164" s="28"/>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row>
    <row r="165" spans="1:49" ht="15.75">
      <c r="A165" s="16"/>
      <c r="B165" s="17"/>
      <c r="C165" s="17"/>
      <c r="D165" s="17"/>
      <c r="E165" s="17"/>
      <c r="F165" s="17"/>
      <c r="G165" s="28"/>
      <c r="H165" s="29"/>
      <c r="I165" s="28"/>
      <c r="J165" s="28"/>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row>
    <row r="166" spans="1:49" ht="15.75">
      <c r="A166" s="16"/>
      <c r="B166" s="17"/>
      <c r="C166" s="17"/>
      <c r="D166" s="17"/>
      <c r="E166" s="17"/>
      <c r="F166" s="17"/>
      <c r="G166" s="28"/>
      <c r="H166" s="29"/>
      <c r="I166" s="28"/>
      <c r="J166" s="28"/>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row>
    <row r="167" spans="1:10" ht="15.75">
      <c r="A167" s="16"/>
      <c r="B167" s="17"/>
      <c r="C167" s="17"/>
      <c r="D167" s="17"/>
      <c r="E167" s="17"/>
      <c r="F167" s="17"/>
      <c r="G167" s="17"/>
      <c r="H167" s="18"/>
      <c r="I167" s="17"/>
      <c r="J167" s="17"/>
    </row>
    <row r="168" spans="1:10" ht="15.75">
      <c r="A168" s="16"/>
      <c r="B168" s="17"/>
      <c r="C168" s="17"/>
      <c r="D168" s="17"/>
      <c r="E168" s="17"/>
      <c r="F168" s="17"/>
      <c r="G168" s="17"/>
      <c r="H168" s="18"/>
      <c r="I168" s="17"/>
      <c r="J168" s="17"/>
    </row>
  </sheetData>
  <sheetProtection/>
  <mergeCells count="3">
    <mergeCell ref="I22:I23"/>
    <mergeCell ref="A4:B4"/>
    <mergeCell ref="B86:H86"/>
  </mergeCells>
  <hyperlinks>
    <hyperlink ref="A4" location="'1.1aSummary'!A1" display="Summary"/>
  </hyperlinks>
  <printOptions/>
  <pageMargins left="0.75" right="0.28" top="0.63" bottom="1" header="0.5" footer="0.5"/>
  <pageSetup fitToHeight="4" horizontalDpi="600" verticalDpi="600" orientation="landscape" scale="79" r:id="rId2"/>
  <headerFooter alignWithMargins="0">
    <oddFooter>&amp;L&amp;"Times New Roman,Regular"&amp;11&amp;F, Tab:&amp;A&amp;C&amp;"Times New Roman,Regular"&amp;11&amp;D&amp;R&amp;"Times New Roman,Regular"&amp;11&amp;P of &amp;N</oddFooter>
  </headerFooter>
  <rowBreaks count="2" manualBreakCount="2">
    <brk id="37" max="11" man="1"/>
    <brk id="65" max="11"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U228"/>
  <sheetViews>
    <sheetView zoomScalePageLayoutView="0" workbookViewId="0" topLeftCell="A1">
      <selection activeCell="U8" sqref="U8"/>
    </sheetView>
  </sheetViews>
  <sheetFormatPr defaultColWidth="9.140625" defaultRowHeight="12.75"/>
  <cols>
    <col min="1" max="1" width="9.140625" style="694" customWidth="1"/>
    <col min="2" max="2" width="17.00390625" style="694" customWidth="1"/>
    <col min="3" max="3" width="11.8515625" style="694" bestFit="1" customWidth="1"/>
    <col min="4" max="4" width="2.7109375" style="694" customWidth="1"/>
    <col min="5" max="5" width="9.140625" style="694" customWidth="1"/>
    <col min="6" max="6" width="2.7109375" style="694" customWidth="1"/>
    <col min="7" max="7" width="9.140625" style="694" customWidth="1"/>
    <col min="8" max="8" width="2.7109375" style="694" customWidth="1"/>
    <col min="9" max="9" width="18.140625" style="694" bestFit="1" customWidth="1"/>
    <col min="10" max="10" width="2.7109375" style="694" customWidth="1"/>
    <col min="11" max="11" width="57.28125" style="694" bestFit="1" customWidth="1"/>
    <col min="12" max="12" width="2.7109375" style="694" customWidth="1"/>
    <col min="13" max="13" width="19.28125" style="694" bestFit="1" customWidth="1"/>
    <col min="14" max="14" width="2.7109375" style="694" customWidth="1"/>
    <col min="15" max="15" width="8.421875" style="694" bestFit="1" customWidth="1"/>
    <col min="16" max="16" width="2.7109375" style="694" customWidth="1"/>
    <col min="17" max="17" width="8.421875" style="694" bestFit="1" customWidth="1"/>
    <col min="18" max="18" width="2.7109375" style="694" customWidth="1"/>
    <col min="19" max="19" width="9.140625" style="694" customWidth="1"/>
    <col min="20" max="20" width="9.7109375" style="694" bestFit="1" customWidth="1"/>
    <col min="21" max="16384" width="9.140625" style="694" customWidth="1"/>
  </cols>
  <sheetData>
    <row r="1" spans="1:17" ht="20.25">
      <c r="A1" s="695" t="s">
        <v>113</v>
      </c>
      <c r="N1" s="711"/>
      <c r="O1" s="710"/>
      <c r="P1" s="710"/>
      <c r="Q1" s="511" t="s">
        <v>647</v>
      </c>
    </row>
    <row r="2" spans="1:17" ht="18.75">
      <c r="A2" s="696" t="s">
        <v>583</v>
      </c>
      <c r="N2" s="711"/>
      <c r="O2" s="710"/>
      <c r="P2" s="710"/>
      <c r="Q2" s="511" t="s">
        <v>477</v>
      </c>
    </row>
    <row r="3" spans="1:17" ht="15.75">
      <c r="A3" s="697" t="s">
        <v>380</v>
      </c>
      <c r="N3" s="711"/>
      <c r="O3" s="710"/>
      <c r="P3" s="710"/>
      <c r="Q3" s="511" t="s">
        <v>478</v>
      </c>
    </row>
    <row r="5" ht="12.75">
      <c r="A5" s="694" t="s">
        <v>584</v>
      </c>
    </row>
    <row r="6" ht="12.75">
      <c r="A6" s="694" t="s">
        <v>585</v>
      </c>
    </row>
    <row r="7" ht="12.75">
      <c r="A7" s="694" t="s">
        <v>586</v>
      </c>
    </row>
    <row r="8" spans="1:17" ht="13.5" thickBot="1">
      <c r="A8" s="698"/>
      <c r="B8" s="698"/>
      <c r="C8" s="699" t="s">
        <v>587</v>
      </c>
      <c r="D8" s="700"/>
      <c r="E8" s="699" t="s">
        <v>588</v>
      </c>
      <c r="F8" s="700"/>
      <c r="G8" s="699" t="s">
        <v>589</v>
      </c>
      <c r="H8" s="700"/>
      <c r="I8" s="699" t="s">
        <v>590</v>
      </c>
      <c r="J8" s="700"/>
      <c r="K8" s="699" t="s">
        <v>591</v>
      </c>
      <c r="L8" s="700"/>
      <c r="M8" s="699" t="s">
        <v>592</v>
      </c>
      <c r="N8" s="700"/>
      <c r="O8" s="699" t="s">
        <v>3</v>
      </c>
      <c r="P8" s="700"/>
      <c r="Q8" s="699" t="s">
        <v>593</v>
      </c>
    </row>
    <row r="9" spans="1:17" ht="13.5" thickTop="1">
      <c r="A9" s="701" t="s">
        <v>594</v>
      </c>
      <c r="B9" s="701"/>
      <c r="C9" s="701"/>
      <c r="D9" s="701"/>
      <c r="E9" s="702"/>
      <c r="F9" s="701"/>
      <c r="G9" s="701"/>
      <c r="H9" s="701"/>
      <c r="I9" s="701"/>
      <c r="J9" s="701"/>
      <c r="K9" s="701"/>
      <c r="L9" s="701"/>
      <c r="M9" s="701"/>
      <c r="N9" s="701"/>
      <c r="O9" s="703"/>
      <c r="P9" s="701"/>
      <c r="Q9" s="703">
        <v>-40088.85</v>
      </c>
    </row>
    <row r="10" spans="1:20" ht="12.75">
      <c r="A10" s="701"/>
      <c r="B10" s="701" t="s">
        <v>595</v>
      </c>
      <c r="C10" s="701"/>
      <c r="D10" s="701"/>
      <c r="E10" s="702"/>
      <c r="F10" s="701"/>
      <c r="G10" s="701"/>
      <c r="H10" s="701"/>
      <c r="I10" s="701"/>
      <c r="J10" s="701"/>
      <c r="K10" s="701"/>
      <c r="L10" s="701"/>
      <c r="M10" s="701"/>
      <c r="N10" s="701"/>
      <c r="O10" s="703"/>
      <c r="P10" s="701"/>
      <c r="Q10" s="703">
        <v>-8650</v>
      </c>
      <c r="R10" s="720" t="s">
        <v>0</v>
      </c>
      <c r="T10" s="722"/>
    </row>
    <row r="11" spans="1:17" ht="12.75">
      <c r="A11" s="704"/>
      <c r="B11" s="704"/>
      <c r="C11" s="704" t="s">
        <v>596</v>
      </c>
      <c r="D11" s="704"/>
      <c r="E11" s="705">
        <v>39762</v>
      </c>
      <c r="F11" s="704"/>
      <c r="G11" s="704" t="s">
        <v>597</v>
      </c>
      <c r="H11" s="704"/>
      <c r="I11" s="704" t="s">
        <v>598</v>
      </c>
      <c r="J11" s="704"/>
      <c r="K11" s="704" t="s">
        <v>599</v>
      </c>
      <c r="L11" s="704"/>
      <c r="M11" s="704" t="s">
        <v>600</v>
      </c>
      <c r="N11" s="704"/>
      <c r="O11" s="706">
        <v>-6000</v>
      </c>
      <c r="P11" s="704"/>
      <c r="Q11" s="706">
        <f>ROUND(Q10+O11,5)</f>
        <v>-14650</v>
      </c>
    </row>
    <row r="12" spans="1:17" ht="12.75">
      <c r="A12" s="704"/>
      <c r="B12" s="704"/>
      <c r="C12" s="704" t="s">
        <v>601</v>
      </c>
      <c r="D12" s="704"/>
      <c r="E12" s="705">
        <v>39764</v>
      </c>
      <c r="F12" s="704"/>
      <c r="G12" s="704" t="s">
        <v>602</v>
      </c>
      <c r="H12" s="704"/>
      <c r="I12" s="704" t="s">
        <v>603</v>
      </c>
      <c r="J12" s="704"/>
      <c r="K12" s="704" t="s">
        <v>604</v>
      </c>
      <c r="L12" s="704"/>
      <c r="M12" s="704" t="s">
        <v>605</v>
      </c>
      <c r="N12" s="704"/>
      <c r="O12" s="706">
        <v>4000</v>
      </c>
      <c r="P12" s="704"/>
      <c r="Q12" s="706">
        <f>ROUND(Q11+O12,5)</f>
        <v>-10650</v>
      </c>
    </row>
    <row r="13" spans="1:17" ht="13.5" thickBot="1">
      <c r="A13" s="704"/>
      <c r="B13" s="704"/>
      <c r="C13" s="704" t="s">
        <v>596</v>
      </c>
      <c r="D13" s="704"/>
      <c r="E13" s="705">
        <v>39770</v>
      </c>
      <c r="F13" s="704"/>
      <c r="G13" s="704" t="s">
        <v>606</v>
      </c>
      <c r="H13" s="704"/>
      <c r="I13" s="704"/>
      <c r="J13" s="704"/>
      <c r="K13" s="704"/>
      <c r="L13" s="704"/>
      <c r="M13" s="704" t="s">
        <v>607</v>
      </c>
      <c r="N13" s="704"/>
      <c r="O13" s="707">
        <v>-2500</v>
      </c>
      <c r="P13" s="704"/>
      <c r="Q13" s="707">
        <f>ROUND(Q12+O13,5)</f>
        <v>-13150</v>
      </c>
    </row>
    <row r="14" spans="1:17" ht="12.75">
      <c r="A14" s="704"/>
      <c r="B14" s="704" t="s">
        <v>608</v>
      </c>
      <c r="C14" s="704"/>
      <c r="D14" s="704"/>
      <c r="E14" s="705"/>
      <c r="F14" s="704"/>
      <c r="G14" s="704"/>
      <c r="H14" s="704"/>
      <c r="I14" s="704"/>
      <c r="J14" s="704"/>
      <c r="K14" s="704"/>
      <c r="L14" s="704"/>
      <c r="M14" s="704"/>
      <c r="N14" s="704"/>
      <c r="O14" s="706">
        <f>ROUND(SUM(O10:O13),5)</f>
        <v>-4500</v>
      </c>
      <c r="P14" s="704"/>
      <c r="Q14" s="706">
        <f>Q13</f>
        <v>-13150</v>
      </c>
    </row>
    <row r="15" spans="1:17" ht="12.75">
      <c r="A15" s="704"/>
      <c r="B15" s="704"/>
      <c r="C15" s="704"/>
      <c r="D15" s="704"/>
      <c r="E15" s="705"/>
      <c r="F15" s="704"/>
      <c r="G15" s="704"/>
      <c r="H15" s="704"/>
      <c r="I15" s="704"/>
      <c r="J15" s="704"/>
      <c r="K15" s="704"/>
      <c r="L15" s="704"/>
      <c r="M15" s="704"/>
      <c r="N15" s="704"/>
      <c r="O15" s="706"/>
      <c r="P15" s="704"/>
      <c r="Q15" s="706"/>
    </row>
    <row r="16" spans="1:17" ht="12.75">
      <c r="A16" s="701"/>
      <c r="B16" s="701" t="s">
        <v>609</v>
      </c>
      <c r="C16" s="701"/>
      <c r="D16" s="701"/>
      <c r="E16" s="702"/>
      <c r="F16" s="701"/>
      <c r="G16" s="701"/>
      <c r="H16" s="701"/>
      <c r="I16" s="701"/>
      <c r="J16" s="701"/>
      <c r="K16" s="701"/>
      <c r="L16" s="701"/>
      <c r="M16" s="701"/>
      <c r="N16" s="701"/>
      <c r="O16" s="703"/>
      <c r="P16" s="701"/>
      <c r="Q16" s="703">
        <v>-8239.7</v>
      </c>
    </row>
    <row r="17" spans="1:17" ht="12.75">
      <c r="A17" s="704"/>
      <c r="B17" s="704"/>
      <c r="C17" s="704" t="s">
        <v>610</v>
      </c>
      <c r="D17" s="704"/>
      <c r="E17" s="705">
        <v>39493</v>
      </c>
      <c r="F17" s="704"/>
      <c r="G17" s="704"/>
      <c r="H17" s="704"/>
      <c r="I17" s="704" t="s">
        <v>611</v>
      </c>
      <c r="J17" s="704"/>
      <c r="K17" s="704" t="s">
        <v>610</v>
      </c>
      <c r="L17" s="704"/>
      <c r="M17" s="704" t="s">
        <v>605</v>
      </c>
      <c r="N17" s="704"/>
      <c r="O17" s="706">
        <v>-500</v>
      </c>
      <c r="P17" s="704"/>
      <c r="Q17" s="706">
        <f aca="true" t="shared" si="0" ref="Q17:Q23">ROUND(Q16+O17,5)</f>
        <v>-8739.7</v>
      </c>
    </row>
    <row r="18" spans="1:17" ht="12.75">
      <c r="A18" s="704"/>
      <c r="B18" s="704"/>
      <c r="C18" s="704" t="s">
        <v>610</v>
      </c>
      <c r="D18" s="704"/>
      <c r="E18" s="705">
        <v>39496</v>
      </c>
      <c r="F18" s="704"/>
      <c r="G18" s="704"/>
      <c r="H18" s="704"/>
      <c r="I18" s="704" t="s">
        <v>611</v>
      </c>
      <c r="J18" s="704"/>
      <c r="K18" s="704" t="s">
        <v>610</v>
      </c>
      <c r="L18" s="704"/>
      <c r="M18" s="704" t="s">
        <v>605</v>
      </c>
      <c r="N18" s="704"/>
      <c r="O18" s="706">
        <v>-10000</v>
      </c>
      <c r="P18" s="704"/>
      <c r="Q18" s="706">
        <f t="shared" si="0"/>
        <v>-18739.7</v>
      </c>
    </row>
    <row r="19" spans="1:17" ht="12.75">
      <c r="A19" s="704"/>
      <c r="B19" s="704"/>
      <c r="C19" s="704" t="s">
        <v>610</v>
      </c>
      <c r="D19" s="704"/>
      <c r="E19" s="705">
        <v>39528</v>
      </c>
      <c r="F19" s="704"/>
      <c r="G19" s="704"/>
      <c r="H19" s="704"/>
      <c r="I19" s="704" t="s">
        <v>611</v>
      </c>
      <c r="J19" s="704"/>
      <c r="K19" s="704" t="s">
        <v>610</v>
      </c>
      <c r="L19" s="704"/>
      <c r="M19" s="704" t="s">
        <v>605</v>
      </c>
      <c r="N19" s="704"/>
      <c r="O19" s="706">
        <v>-500</v>
      </c>
      <c r="P19" s="704"/>
      <c r="Q19" s="706">
        <f t="shared" si="0"/>
        <v>-19239.7</v>
      </c>
    </row>
    <row r="20" spans="1:17" ht="12.75">
      <c r="A20" s="704"/>
      <c r="B20" s="704"/>
      <c r="C20" s="704" t="s">
        <v>596</v>
      </c>
      <c r="D20" s="704"/>
      <c r="E20" s="705">
        <v>39556</v>
      </c>
      <c r="F20" s="704"/>
      <c r="G20" s="704" t="s">
        <v>612</v>
      </c>
      <c r="H20" s="704"/>
      <c r="I20" s="704" t="s">
        <v>611</v>
      </c>
      <c r="J20" s="704"/>
      <c r="K20" s="704" t="s">
        <v>613</v>
      </c>
      <c r="L20" s="704"/>
      <c r="M20" s="704" t="s">
        <v>37</v>
      </c>
      <c r="N20" s="704"/>
      <c r="O20" s="706">
        <v>-73.7</v>
      </c>
      <c r="P20" s="704"/>
      <c r="Q20" s="706">
        <f t="shared" si="0"/>
        <v>-19313.4</v>
      </c>
    </row>
    <row r="21" spans="1:17" ht="12.75">
      <c r="A21" s="704"/>
      <c r="B21" s="704"/>
      <c r="C21" s="704" t="s">
        <v>596</v>
      </c>
      <c r="D21" s="704"/>
      <c r="E21" s="705">
        <v>39608</v>
      </c>
      <c r="F21" s="704"/>
      <c r="G21" s="704" t="s">
        <v>614</v>
      </c>
      <c r="H21" s="704"/>
      <c r="I21" s="704" t="s">
        <v>611</v>
      </c>
      <c r="J21" s="704"/>
      <c r="K21" s="704" t="s">
        <v>615</v>
      </c>
      <c r="L21" s="704"/>
      <c r="M21" s="704" t="s">
        <v>37</v>
      </c>
      <c r="N21" s="704"/>
      <c r="O21" s="706">
        <v>-73.7</v>
      </c>
      <c r="P21" s="704"/>
      <c r="Q21" s="706">
        <f t="shared" si="0"/>
        <v>-19387.1</v>
      </c>
    </row>
    <row r="22" spans="1:17" ht="12.75">
      <c r="A22" s="704"/>
      <c r="B22" s="704"/>
      <c r="C22" s="704" t="s">
        <v>596</v>
      </c>
      <c r="D22" s="704"/>
      <c r="E22" s="705">
        <v>39654</v>
      </c>
      <c r="F22" s="704"/>
      <c r="G22" s="704" t="s">
        <v>616</v>
      </c>
      <c r="H22" s="704"/>
      <c r="I22" s="704" t="s">
        <v>611</v>
      </c>
      <c r="J22" s="704"/>
      <c r="K22" s="704" t="s">
        <v>617</v>
      </c>
      <c r="L22" s="704"/>
      <c r="M22" s="704" t="s">
        <v>37</v>
      </c>
      <c r="N22" s="704"/>
      <c r="O22" s="706">
        <v>-22.26</v>
      </c>
      <c r="P22" s="704"/>
      <c r="Q22" s="706">
        <f t="shared" si="0"/>
        <v>-19409.36</v>
      </c>
    </row>
    <row r="23" spans="1:17" ht="13.5" thickBot="1">
      <c r="A23" s="704"/>
      <c r="B23" s="704"/>
      <c r="C23" s="704" t="s">
        <v>596</v>
      </c>
      <c r="D23" s="704"/>
      <c r="E23" s="705">
        <v>39741</v>
      </c>
      <c r="F23" s="704"/>
      <c r="G23" s="704" t="s">
        <v>618</v>
      </c>
      <c r="H23" s="704"/>
      <c r="I23" s="704"/>
      <c r="J23" s="704"/>
      <c r="K23" s="704" t="s">
        <v>619</v>
      </c>
      <c r="L23" s="704"/>
      <c r="M23" s="704" t="s">
        <v>37</v>
      </c>
      <c r="N23" s="704"/>
      <c r="O23" s="707">
        <v>-38.22</v>
      </c>
      <c r="P23" s="704"/>
      <c r="Q23" s="707">
        <f t="shared" si="0"/>
        <v>-19447.58</v>
      </c>
    </row>
    <row r="24" spans="1:20" ht="12.75">
      <c r="A24" s="704"/>
      <c r="B24" s="704" t="s">
        <v>620</v>
      </c>
      <c r="C24" s="704"/>
      <c r="D24" s="704"/>
      <c r="E24" s="705"/>
      <c r="F24" s="704"/>
      <c r="G24" s="704"/>
      <c r="H24" s="704"/>
      <c r="I24" s="704"/>
      <c r="J24" s="704"/>
      <c r="K24" s="704"/>
      <c r="L24" s="704"/>
      <c r="M24" s="704"/>
      <c r="N24" s="704"/>
      <c r="O24" s="706">
        <f>ROUND(SUM(O16:O23),5)</f>
        <v>-11207.88</v>
      </c>
      <c r="P24" s="704"/>
      <c r="Q24" s="706">
        <f>Q23</f>
        <v>-19447.58</v>
      </c>
      <c r="T24" s="722"/>
    </row>
    <row r="25" spans="1:17" ht="12.75">
      <c r="A25" s="704"/>
      <c r="B25" s="704"/>
      <c r="C25" s="704"/>
      <c r="D25" s="704"/>
      <c r="E25" s="705"/>
      <c r="F25" s="704"/>
      <c r="G25" s="704"/>
      <c r="H25" s="704"/>
      <c r="I25" s="704"/>
      <c r="J25" s="704"/>
      <c r="K25" s="704"/>
      <c r="L25" s="704"/>
      <c r="M25" s="704"/>
      <c r="N25" s="704"/>
      <c r="O25" s="706"/>
      <c r="P25" s="704"/>
      <c r="Q25" s="706"/>
    </row>
    <row r="26" spans="1:17" ht="12.75">
      <c r="A26" s="701"/>
      <c r="B26" s="701" t="s">
        <v>621</v>
      </c>
      <c r="C26" s="701"/>
      <c r="D26" s="701"/>
      <c r="E26" s="702"/>
      <c r="F26" s="701"/>
      <c r="G26" s="701"/>
      <c r="H26" s="701"/>
      <c r="I26" s="701"/>
      <c r="J26" s="701"/>
      <c r="K26" s="701"/>
      <c r="L26" s="701"/>
      <c r="M26" s="701"/>
      <c r="N26" s="701"/>
      <c r="O26" s="703"/>
      <c r="P26" s="701"/>
      <c r="Q26" s="703">
        <v>-13366.65</v>
      </c>
    </row>
    <row r="27" spans="1:17" ht="12.75">
      <c r="A27" s="704"/>
      <c r="B27" s="704"/>
      <c r="C27" s="704" t="s">
        <v>610</v>
      </c>
      <c r="D27" s="704"/>
      <c r="E27" s="705">
        <v>39504</v>
      </c>
      <c r="F27" s="704"/>
      <c r="G27" s="704"/>
      <c r="H27" s="704"/>
      <c r="I27" s="704" t="s">
        <v>622</v>
      </c>
      <c r="J27" s="704"/>
      <c r="K27" s="704" t="s">
        <v>610</v>
      </c>
      <c r="L27" s="704"/>
      <c r="M27" s="704" t="s">
        <v>605</v>
      </c>
      <c r="N27" s="704"/>
      <c r="O27" s="706">
        <v>-3500</v>
      </c>
      <c r="P27" s="704"/>
      <c r="Q27" s="706">
        <f aca="true" t="shared" si="1" ref="Q27:Q32">ROUND(Q26+O27,5)</f>
        <v>-16866.65</v>
      </c>
    </row>
    <row r="28" spans="1:17" ht="12.75">
      <c r="A28" s="704"/>
      <c r="B28" s="704"/>
      <c r="C28" s="704" t="s">
        <v>610</v>
      </c>
      <c r="D28" s="704"/>
      <c r="E28" s="705">
        <v>39552</v>
      </c>
      <c r="F28" s="704"/>
      <c r="G28" s="704"/>
      <c r="H28" s="704"/>
      <c r="I28" s="704" t="s">
        <v>622</v>
      </c>
      <c r="J28" s="704"/>
      <c r="K28" s="704" t="s">
        <v>623</v>
      </c>
      <c r="L28" s="704"/>
      <c r="M28" s="704" t="s">
        <v>605</v>
      </c>
      <c r="N28" s="704"/>
      <c r="O28" s="706">
        <v>-750</v>
      </c>
      <c r="P28" s="704"/>
      <c r="Q28" s="706">
        <f t="shared" si="1"/>
        <v>-17616.65</v>
      </c>
    </row>
    <row r="29" spans="1:17" ht="12.75">
      <c r="A29" s="704"/>
      <c r="B29" s="704"/>
      <c r="C29" s="704" t="s">
        <v>610</v>
      </c>
      <c r="D29" s="704"/>
      <c r="E29" s="705">
        <v>39576</v>
      </c>
      <c r="F29" s="704"/>
      <c r="G29" s="704"/>
      <c r="H29" s="704"/>
      <c r="I29" s="704" t="s">
        <v>622</v>
      </c>
      <c r="J29" s="704"/>
      <c r="K29" s="704" t="s">
        <v>610</v>
      </c>
      <c r="L29" s="704"/>
      <c r="M29" s="704" t="s">
        <v>605</v>
      </c>
      <c r="N29" s="704"/>
      <c r="O29" s="706">
        <v>-166</v>
      </c>
      <c r="P29" s="704"/>
      <c r="Q29" s="706">
        <f t="shared" si="1"/>
        <v>-17782.65</v>
      </c>
    </row>
    <row r="30" spans="1:17" ht="12.75">
      <c r="A30" s="704"/>
      <c r="B30" s="704"/>
      <c r="C30" s="704" t="s">
        <v>601</v>
      </c>
      <c r="D30" s="704"/>
      <c r="E30" s="705">
        <v>39603</v>
      </c>
      <c r="F30" s="704"/>
      <c r="G30" s="704" t="s">
        <v>624</v>
      </c>
      <c r="H30" s="704"/>
      <c r="I30" s="704" t="s">
        <v>625</v>
      </c>
      <c r="J30" s="704"/>
      <c r="K30" s="704" t="s">
        <v>626</v>
      </c>
      <c r="L30" s="704"/>
      <c r="M30" s="704" t="s">
        <v>605</v>
      </c>
      <c r="N30" s="704"/>
      <c r="O30" s="706">
        <v>6.79</v>
      </c>
      <c r="P30" s="704"/>
      <c r="Q30" s="706">
        <f t="shared" si="1"/>
        <v>-17775.86</v>
      </c>
    </row>
    <row r="31" spans="1:17" ht="12.75">
      <c r="A31" s="704"/>
      <c r="B31" s="704"/>
      <c r="C31" s="704" t="s">
        <v>601</v>
      </c>
      <c r="D31" s="704"/>
      <c r="E31" s="705">
        <v>39617</v>
      </c>
      <c r="F31" s="704"/>
      <c r="G31" s="704" t="s">
        <v>627</v>
      </c>
      <c r="H31" s="704"/>
      <c r="I31" s="704" t="s">
        <v>628</v>
      </c>
      <c r="J31" s="704"/>
      <c r="K31" s="704" t="s">
        <v>629</v>
      </c>
      <c r="L31" s="704"/>
      <c r="M31" s="704" t="s">
        <v>605</v>
      </c>
      <c r="N31" s="704"/>
      <c r="O31" s="706">
        <v>244.25</v>
      </c>
      <c r="P31" s="704"/>
      <c r="Q31" s="706">
        <f t="shared" si="1"/>
        <v>-17531.61</v>
      </c>
    </row>
    <row r="32" spans="1:17" ht="13.5" thickBot="1">
      <c r="A32" s="704"/>
      <c r="B32" s="704"/>
      <c r="C32" s="704" t="s">
        <v>601</v>
      </c>
      <c r="D32" s="704"/>
      <c r="E32" s="705">
        <v>39646</v>
      </c>
      <c r="F32" s="704"/>
      <c r="G32" s="704" t="s">
        <v>630</v>
      </c>
      <c r="H32" s="704"/>
      <c r="I32" s="704" t="s">
        <v>631</v>
      </c>
      <c r="J32" s="704"/>
      <c r="K32" s="704" t="s">
        <v>632</v>
      </c>
      <c r="L32" s="704"/>
      <c r="M32" s="704" t="s">
        <v>605</v>
      </c>
      <c r="N32" s="704"/>
      <c r="O32" s="707">
        <v>430</v>
      </c>
      <c r="P32" s="704"/>
      <c r="Q32" s="707">
        <f t="shared" si="1"/>
        <v>-17101.61</v>
      </c>
    </row>
    <row r="33" spans="1:20" ht="12.75">
      <c r="A33" s="704"/>
      <c r="B33" s="704" t="s">
        <v>633</v>
      </c>
      <c r="C33" s="704"/>
      <c r="D33" s="704"/>
      <c r="E33" s="705"/>
      <c r="F33" s="704"/>
      <c r="G33" s="704"/>
      <c r="H33" s="704"/>
      <c r="I33" s="704"/>
      <c r="J33" s="704"/>
      <c r="K33" s="704"/>
      <c r="L33" s="704"/>
      <c r="M33" s="704"/>
      <c r="N33" s="704"/>
      <c r="O33" s="706">
        <f>ROUND(SUM(O26:O32),5)</f>
        <v>-3734.96</v>
      </c>
      <c r="P33" s="704"/>
      <c r="Q33" s="706">
        <f>Q32</f>
        <v>-17101.61</v>
      </c>
      <c r="T33" s="722"/>
    </row>
    <row r="34" spans="1:17" ht="12.75">
      <c r="A34" s="704"/>
      <c r="B34" s="704"/>
      <c r="C34" s="704"/>
      <c r="D34" s="704"/>
      <c r="E34" s="705"/>
      <c r="F34" s="704"/>
      <c r="G34" s="704"/>
      <c r="H34" s="704"/>
      <c r="I34" s="704"/>
      <c r="J34" s="704"/>
      <c r="K34" s="704"/>
      <c r="L34" s="704"/>
      <c r="M34" s="704"/>
      <c r="N34" s="704"/>
      <c r="O34" s="706"/>
      <c r="P34" s="704"/>
      <c r="Q34" s="706"/>
    </row>
    <row r="35" spans="1:17" ht="13.5" thickBot="1">
      <c r="A35" s="701"/>
      <c r="B35" s="701" t="s">
        <v>634</v>
      </c>
      <c r="C35" s="701"/>
      <c r="D35" s="701"/>
      <c r="E35" s="702"/>
      <c r="F35" s="701"/>
      <c r="G35" s="701"/>
      <c r="H35" s="701"/>
      <c r="I35" s="701"/>
      <c r="J35" s="701"/>
      <c r="K35" s="701"/>
      <c r="L35" s="701"/>
      <c r="M35" s="701"/>
      <c r="N35" s="701"/>
      <c r="O35" s="707">
        <v>0</v>
      </c>
      <c r="P35" s="701"/>
      <c r="Q35" s="708">
        <v>-9832.5</v>
      </c>
    </row>
    <row r="36" spans="1:20" ht="12.75">
      <c r="A36" s="704"/>
      <c r="B36" s="704" t="s">
        <v>635</v>
      </c>
      <c r="C36" s="704"/>
      <c r="D36" s="704"/>
      <c r="E36" s="705"/>
      <c r="F36" s="704"/>
      <c r="G36" s="704"/>
      <c r="H36" s="704"/>
      <c r="I36" s="704"/>
      <c r="J36" s="704"/>
      <c r="K36" s="704"/>
      <c r="L36" s="704"/>
      <c r="M36" s="704"/>
      <c r="N36" s="704"/>
      <c r="O36" s="706"/>
      <c r="P36" s="704"/>
      <c r="Q36" s="706">
        <f>Q35</f>
        <v>-9832.5</v>
      </c>
      <c r="T36" s="722"/>
    </row>
    <row r="37" spans="1:17" ht="12.75">
      <c r="A37" s="704"/>
      <c r="B37" s="704"/>
      <c r="C37" s="704"/>
      <c r="D37" s="698"/>
      <c r="E37" s="698"/>
      <c r="F37" s="698"/>
      <c r="G37" s="698"/>
      <c r="H37" s="698"/>
      <c r="I37" s="698"/>
      <c r="J37" s="698"/>
      <c r="K37" s="698"/>
      <c r="L37" s="698"/>
      <c r="M37" s="698"/>
      <c r="N37" s="698"/>
      <c r="O37" s="698"/>
      <c r="P37" s="698"/>
      <c r="Q37" s="698"/>
    </row>
    <row r="38" spans="1:17" ht="12.75">
      <c r="A38" s="704"/>
      <c r="B38" s="704"/>
      <c r="C38" s="704"/>
      <c r="D38" s="704"/>
      <c r="E38" s="705" t="s">
        <v>636</v>
      </c>
      <c r="F38" s="704"/>
      <c r="G38" s="704"/>
      <c r="H38" s="704"/>
      <c r="I38" s="704"/>
      <c r="J38" s="704"/>
      <c r="K38" s="704"/>
      <c r="L38" s="704"/>
      <c r="M38" s="704"/>
      <c r="N38" s="704"/>
      <c r="O38" s="703">
        <f>O14+O24+O33</f>
        <v>-19442.84</v>
      </c>
      <c r="P38" s="701"/>
      <c r="Q38" s="703">
        <f>Q14+Q24+Q33+Q36</f>
        <v>-59531.69</v>
      </c>
    </row>
    <row r="39" spans="1:21" ht="12.75">
      <c r="A39" s="704"/>
      <c r="B39" s="704"/>
      <c r="C39" s="704"/>
      <c r="D39" s="704"/>
      <c r="E39" s="705"/>
      <c r="F39" s="704"/>
      <c r="G39" s="704"/>
      <c r="H39" s="704"/>
      <c r="I39" s="704"/>
      <c r="J39" s="704"/>
      <c r="K39" s="704"/>
      <c r="L39" s="704"/>
      <c r="M39" s="704"/>
      <c r="N39" s="704"/>
      <c r="O39" s="706"/>
      <c r="P39" s="704"/>
      <c r="Q39" s="706"/>
      <c r="T39" s="722"/>
      <c r="U39" s="722"/>
    </row>
    <row r="40" spans="1:17" ht="12.75">
      <c r="A40" s="704"/>
      <c r="B40" s="704"/>
      <c r="C40" s="704"/>
      <c r="D40" s="704"/>
      <c r="E40" s="705"/>
      <c r="F40" s="704"/>
      <c r="G40" s="704"/>
      <c r="H40" s="704"/>
      <c r="I40" s="704"/>
      <c r="J40" s="704"/>
      <c r="K40" s="704"/>
      <c r="L40" s="704"/>
      <c r="M40" s="704"/>
      <c r="N40" s="704"/>
      <c r="O40" s="706"/>
      <c r="P40" s="704"/>
      <c r="Q40" s="706"/>
    </row>
    <row r="41" spans="1:17" ht="12.75">
      <c r="A41" s="701"/>
      <c r="B41" s="701" t="s">
        <v>637</v>
      </c>
      <c r="C41" s="701"/>
      <c r="D41" s="701"/>
      <c r="E41" s="702"/>
      <c r="F41" s="701"/>
      <c r="G41" s="701"/>
      <c r="H41" s="701"/>
      <c r="I41" s="701"/>
      <c r="J41" s="701"/>
      <c r="K41" s="701"/>
      <c r="L41" s="701"/>
      <c r="M41" s="701"/>
      <c r="N41" s="701"/>
      <c r="O41" s="703"/>
      <c r="P41" s="701"/>
      <c r="Q41" s="703">
        <v>0</v>
      </c>
    </row>
    <row r="42" spans="1:17" ht="12.75">
      <c r="A42" s="704"/>
      <c r="B42" s="704"/>
      <c r="C42" s="704" t="s">
        <v>638</v>
      </c>
      <c r="D42" s="704"/>
      <c r="E42" s="705">
        <v>39786</v>
      </c>
      <c r="F42" s="704"/>
      <c r="G42" s="704" t="s">
        <v>639</v>
      </c>
      <c r="H42" s="704"/>
      <c r="I42" s="704" t="s">
        <v>640</v>
      </c>
      <c r="J42" s="704"/>
      <c r="K42" s="704"/>
      <c r="L42" s="704"/>
      <c r="M42" s="704" t="s">
        <v>641</v>
      </c>
      <c r="N42" s="704"/>
      <c r="O42" s="706">
        <v>17101.61</v>
      </c>
      <c r="P42" s="704"/>
      <c r="Q42" s="706">
        <f>ROUND(Q41+O42,5)</f>
        <v>17101.61</v>
      </c>
    </row>
    <row r="43" spans="1:17" ht="12.75">
      <c r="A43" s="704"/>
      <c r="B43" s="704"/>
      <c r="C43" s="704" t="s">
        <v>638</v>
      </c>
      <c r="D43" s="704"/>
      <c r="E43" s="705">
        <v>39786</v>
      </c>
      <c r="F43" s="704"/>
      <c r="G43" s="704" t="s">
        <v>639</v>
      </c>
      <c r="H43" s="704"/>
      <c r="I43" s="704" t="s">
        <v>642</v>
      </c>
      <c r="J43" s="704"/>
      <c r="K43" s="704"/>
      <c r="L43" s="704"/>
      <c r="M43" s="704" t="s">
        <v>641</v>
      </c>
      <c r="N43" s="704"/>
      <c r="O43" s="706">
        <v>9832.5</v>
      </c>
      <c r="P43" s="704"/>
      <c r="Q43" s="706">
        <f>ROUND(Q42+O43,5)</f>
        <v>26934.11</v>
      </c>
    </row>
    <row r="44" spans="1:17" ht="12.75">
      <c r="A44" s="704"/>
      <c r="B44" s="704"/>
      <c r="C44" s="704" t="s">
        <v>638</v>
      </c>
      <c r="D44" s="704"/>
      <c r="E44" s="705">
        <v>39786</v>
      </c>
      <c r="F44" s="704"/>
      <c r="G44" s="704" t="s">
        <v>639</v>
      </c>
      <c r="H44" s="704"/>
      <c r="I44" s="704" t="s">
        <v>643</v>
      </c>
      <c r="J44" s="704"/>
      <c r="K44" s="704"/>
      <c r="L44" s="704"/>
      <c r="M44" s="704" t="s">
        <v>641</v>
      </c>
      <c r="N44" s="704"/>
      <c r="O44" s="706">
        <v>13150</v>
      </c>
      <c r="P44" s="704"/>
      <c r="Q44" s="706">
        <f>ROUND(Q43+O44,5)</f>
        <v>40084.11</v>
      </c>
    </row>
    <row r="45" spans="1:17" ht="13.5" thickBot="1">
      <c r="A45" s="704"/>
      <c r="B45" s="704"/>
      <c r="C45" s="704" t="s">
        <v>638</v>
      </c>
      <c r="D45" s="704"/>
      <c r="E45" s="705">
        <v>39786</v>
      </c>
      <c r="F45" s="704"/>
      <c r="G45" s="704" t="s">
        <v>639</v>
      </c>
      <c r="H45" s="704"/>
      <c r="I45" s="704" t="s">
        <v>609</v>
      </c>
      <c r="J45" s="704"/>
      <c r="K45" s="704" t="s">
        <v>644</v>
      </c>
      <c r="L45" s="704"/>
      <c r="M45" s="704" t="s">
        <v>641</v>
      </c>
      <c r="N45" s="704"/>
      <c r="O45" s="707">
        <v>19447.58</v>
      </c>
      <c r="P45" s="704"/>
      <c r="Q45" s="707">
        <f>ROUND(Q44+O45,5)</f>
        <v>59531.69</v>
      </c>
    </row>
    <row r="46" spans="1:17" ht="13.5" thickBot="1">
      <c r="A46" s="704"/>
      <c r="B46" s="704" t="s">
        <v>645</v>
      </c>
      <c r="C46" s="704"/>
      <c r="D46" s="704"/>
      <c r="E46" s="705"/>
      <c r="F46" s="704"/>
      <c r="G46" s="704"/>
      <c r="H46" s="704"/>
      <c r="I46" s="704"/>
      <c r="J46" s="704"/>
      <c r="K46" s="704"/>
      <c r="L46" s="704"/>
      <c r="M46" s="704"/>
      <c r="N46" s="704"/>
      <c r="O46" s="709">
        <f>ROUND(SUM(O41:O45),5)</f>
        <v>59531.69</v>
      </c>
      <c r="P46" s="704"/>
      <c r="Q46" s="709">
        <f>Q45</f>
        <v>59531.69</v>
      </c>
    </row>
    <row r="47" spans="1:17" ht="12.75">
      <c r="A47" s="704" t="s">
        <v>646</v>
      </c>
      <c r="B47" s="704"/>
      <c r="C47" s="704"/>
      <c r="D47" s="704"/>
      <c r="E47" s="705"/>
      <c r="F47" s="704"/>
      <c r="G47" s="704"/>
      <c r="H47" s="704"/>
      <c r="I47" s="704"/>
      <c r="J47" s="704"/>
      <c r="K47" s="704"/>
      <c r="L47" s="704"/>
      <c r="M47" s="704"/>
      <c r="N47" s="704"/>
      <c r="O47" s="706">
        <f>ROUND(O14+O24+O33+O36+O46,5)</f>
        <v>40088.85</v>
      </c>
      <c r="P47" s="704"/>
      <c r="Q47" s="706">
        <f>ROUND(Q14+Q24+Q33+Q36+Q46,5)</f>
        <v>0</v>
      </c>
    </row>
    <row r="48" spans="1:17" ht="12.75">
      <c r="A48" s="698"/>
      <c r="B48" s="698"/>
      <c r="C48" s="698"/>
      <c r="D48" s="698"/>
      <c r="E48" s="698"/>
      <c r="F48" s="698"/>
      <c r="G48" s="698"/>
      <c r="H48" s="698"/>
      <c r="I48" s="698"/>
      <c r="J48" s="698"/>
      <c r="K48" s="698"/>
      <c r="L48" s="698"/>
      <c r="M48" s="698"/>
      <c r="N48" s="698"/>
      <c r="O48" s="698"/>
      <c r="P48" s="698"/>
      <c r="Q48" s="698"/>
    </row>
    <row r="49" spans="1:17" ht="12.75">
      <c r="A49" s="698"/>
      <c r="B49" s="698"/>
      <c r="C49" s="698"/>
      <c r="D49" s="698"/>
      <c r="E49" s="698"/>
      <c r="F49" s="698"/>
      <c r="G49" s="698"/>
      <c r="H49" s="698"/>
      <c r="I49" s="698"/>
      <c r="J49" s="698"/>
      <c r="K49" s="698"/>
      <c r="L49" s="698"/>
      <c r="M49" s="698"/>
      <c r="N49" s="698"/>
      <c r="O49" s="698"/>
      <c r="P49" s="698"/>
      <c r="Q49" s="698"/>
    </row>
    <row r="50" spans="1:17" ht="12.75">
      <c r="A50" s="698"/>
      <c r="B50" s="698"/>
      <c r="C50" s="698"/>
      <c r="D50" s="698"/>
      <c r="E50" s="698"/>
      <c r="F50" s="698"/>
      <c r="G50" s="698"/>
      <c r="H50" s="698"/>
      <c r="I50" s="698"/>
      <c r="J50" s="698"/>
      <c r="K50" s="698"/>
      <c r="L50" s="698"/>
      <c r="M50" s="698"/>
      <c r="N50" s="698"/>
      <c r="O50" s="698"/>
      <c r="P50" s="698"/>
      <c r="Q50" s="698"/>
    </row>
    <row r="51" spans="1:17" ht="12.75">
      <c r="A51" s="698"/>
      <c r="B51" s="698"/>
      <c r="C51" s="698"/>
      <c r="D51" s="698"/>
      <c r="E51" s="698"/>
      <c r="F51" s="698"/>
      <c r="G51" s="698"/>
      <c r="H51" s="698"/>
      <c r="I51" s="698"/>
      <c r="J51" s="698"/>
      <c r="K51" s="698"/>
      <c r="L51" s="698"/>
      <c r="M51" s="698"/>
      <c r="N51" s="698"/>
      <c r="O51" s="698"/>
      <c r="P51" s="698"/>
      <c r="Q51" s="698"/>
    </row>
    <row r="52" spans="1:17" ht="15.75">
      <c r="A52" s="721" t="s">
        <v>649</v>
      </c>
      <c r="B52" s="698"/>
      <c r="C52" s="698"/>
      <c r="D52" s="698"/>
      <c r="E52" s="698"/>
      <c r="F52" s="698"/>
      <c r="G52" s="698"/>
      <c r="H52" s="698"/>
      <c r="I52" s="698"/>
      <c r="J52" s="698"/>
      <c r="K52" s="698"/>
      <c r="L52" s="698"/>
      <c r="M52" s="698"/>
      <c r="N52" s="698"/>
      <c r="O52" s="698"/>
      <c r="P52" s="698"/>
      <c r="Q52" s="698"/>
    </row>
    <row r="53" spans="1:17" ht="12.75">
      <c r="A53" s="698"/>
      <c r="B53" s="698"/>
      <c r="C53" s="698"/>
      <c r="D53" s="698"/>
      <c r="E53" s="698"/>
      <c r="F53" s="698"/>
      <c r="G53" s="698"/>
      <c r="H53" s="698"/>
      <c r="I53" s="698"/>
      <c r="J53" s="698"/>
      <c r="K53" s="698"/>
      <c r="L53" s="698"/>
      <c r="M53" s="698"/>
      <c r="N53" s="698"/>
      <c r="O53" s="698"/>
      <c r="P53" s="698"/>
      <c r="Q53" s="698"/>
    </row>
    <row r="54" spans="1:17" ht="12.75">
      <c r="A54" s="712" t="s">
        <v>594</v>
      </c>
      <c r="B54" s="712"/>
      <c r="C54" s="712"/>
      <c r="D54" s="712"/>
      <c r="E54" s="712"/>
      <c r="F54" s="712"/>
      <c r="G54" s="712"/>
      <c r="H54" s="713"/>
      <c r="I54" s="712"/>
      <c r="J54" s="712"/>
      <c r="K54" s="712"/>
      <c r="L54" s="712"/>
      <c r="M54" s="712"/>
      <c r="N54" s="712"/>
      <c r="O54" s="714"/>
      <c r="P54" s="712"/>
      <c r="Q54" s="714"/>
    </row>
    <row r="55" spans="1:17" ht="12.75">
      <c r="A55" s="712"/>
      <c r="B55" s="712" t="s">
        <v>595</v>
      </c>
      <c r="C55" s="712"/>
      <c r="D55" s="712"/>
      <c r="E55" s="712"/>
      <c r="F55" s="712"/>
      <c r="G55" s="712"/>
      <c r="H55" s="713"/>
      <c r="I55" s="712"/>
      <c r="J55" s="712"/>
      <c r="K55" s="712"/>
      <c r="L55" s="712"/>
      <c r="M55" s="712"/>
      <c r="N55" s="712"/>
      <c r="O55" s="714"/>
      <c r="P55" s="712"/>
      <c r="Q55" s="714">
        <v>0</v>
      </c>
    </row>
    <row r="56" spans="1:17" ht="13.5" thickBot="1">
      <c r="A56" s="715"/>
      <c r="B56" s="715"/>
      <c r="C56" s="716" t="s">
        <v>610</v>
      </c>
      <c r="D56" s="716"/>
      <c r="E56" s="717">
        <v>39372</v>
      </c>
      <c r="I56" s="716" t="s">
        <v>598</v>
      </c>
      <c r="J56" s="716"/>
      <c r="K56" s="716" t="s">
        <v>610</v>
      </c>
      <c r="L56" s="716"/>
      <c r="M56" s="716" t="s">
        <v>605</v>
      </c>
      <c r="N56" s="716"/>
      <c r="O56" s="718">
        <v>-8650</v>
      </c>
      <c r="P56" s="716"/>
      <c r="Q56" s="718">
        <f>ROUND(Q55+O56,5)</f>
        <v>-8650</v>
      </c>
    </row>
    <row r="57" spans="1:17" ht="12.75">
      <c r="A57" s="716"/>
      <c r="B57" s="716" t="s">
        <v>608</v>
      </c>
      <c r="C57" s="716"/>
      <c r="D57" s="716"/>
      <c r="E57" s="716"/>
      <c r="F57" s="716"/>
      <c r="G57" s="716"/>
      <c r="H57" s="717"/>
      <c r="I57" s="716"/>
      <c r="J57" s="716"/>
      <c r="K57" s="716"/>
      <c r="L57" s="716"/>
      <c r="M57" s="716"/>
      <c r="N57" s="716"/>
      <c r="O57" s="719">
        <f>ROUND(SUM(O55:O56),5)</f>
        <v>-8650</v>
      </c>
      <c r="P57" s="716"/>
      <c r="Q57" s="719">
        <f>Q56</f>
        <v>-8650</v>
      </c>
    </row>
    <row r="58" spans="1:17" ht="12.75">
      <c r="A58" s="698"/>
      <c r="B58" s="698"/>
      <c r="C58" s="698"/>
      <c r="D58" s="698"/>
      <c r="E58" s="698"/>
      <c r="F58" s="698"/>
      <c r="G58" s="698"/>
      <c r="H58" s="698"/>
      <c r="I58" s="698"/>
      <c r="J58" s="698"/>
      <c r="K58" s="698"/>
      <c r="L58" s="698"/>
      <c r="M58" s="698"/>
      <c r="N58" s="698"/>
      <c r="O58" s="698"/>
      <c r="P58" s="698"/>
      <c r="Q58" s="698"/>
    </row>
    <row r="59" spans="1:17" ht="12.75">
      <c r="A59" s="698"/>
      <c r="B59" s="698"/>
      <c r="C59" s="698"/>
      <c r="D59" s="698"/>
      <c r="E59" s="698"/>
      <c r="F59" s="698"/>
      <c r="G59" s="698"/>
      <c r="H59" s="698"/>
      <c r="I59" s="698"/>
      <c r="J59" s="698"/>
      <c r="K59" s="698"/>
      <c r="L59" s="698"/>
      <c r="M59" s="698"/>
      <c r="N59" s="698"/>
      <c r="O59" s="698"/>
      <c r="P59" s="698"/>
      <c r="Q59" s="698"/>
    </row>
    <row r="60" spans="1:17" ht="12.75">
      <c r="A60" s="698"/>
      <c r="B60" s="698"/>
      <c r="C60" s="698"/>
      <c r="D60" s="698"/>
      <c r="E60" s="698"/>
      <c r="F60" s="698"/>
      <c r="G60" s="698"/>
      <c r="H60" s="698"/>
      <c r="I60" s="698"/>
      <c r="J60" s="698"/>
      <c r="K60" s="698"/>
      <c r="L60" s="698"/>
      <c r="M60" s="698"/>
      <c r="N60" s="698"/>
      <c r="O60" s="698"/>
      <c r="P60" s="698"/>
      <c r="Q60" s="698"/>
    </row>
    <row r="61" spans="1:17" ht="12.75">
      <c r="A61" s="698"/>
      <c r="B61" s="698"/>
      <c r="C61" s="698"/>
      <c r="D61" s="698"/>
      <c r="E61" s="698"/>
      <c r="F61" s="698"/>
      <c r="G61" s="698"/>
      <c r="H61" s="698"/>
      <c r="I61" s="698"/>
      <c r="J61" s="698"/>
      <c r="K61" s="698"/>
      <c r="L61" s="698"/>
      <c r="M61" s="698"/>
      <c r="N61" s="698"/>
      <c r="O61" s="698"/>
      <c r="P61" s="698"/>
      <c r="Q61" s="698"/>
    </row>
    <row r="62" spans="1:17" ht="12.75">
      <c r="A62" s="698"/>
      <c r="B62" s="698"/>
      <c r="C62" s="698"/>
      <c r="D62" s="698"/>
      <c r="E62" s="698"/>
      <c r="F62" s="698"/>
      <c r="G62" s="698"/>
      <c r="H62" s="698"/>
      <c r="I62" s="698"/>
      <c r="J62" s="698"/>
      <c r="K62" s="698"/>
      <c r="L62" s="698"/>
      <c r="M62" s="698"/>
      <c r="N62" s="698"/>
      <c r="O62" s="698"/>
      <c r="P62" s="698"/>
      <c r="Q62" s="698"/>
    </row>
    <row r="63" spans="1:17" ht="12.75">
      <c r="A63" s="698"/>
      <c r="B63" s="698"/>
      <c r="C63" s="698"/>
      <c r="D63" s="698"/>
      <c r="E63" s="698"/>
      <c r="F63" s="698"/>
      <c r="G63" s="698"/>
      <c r="H63" s="698"/>
      <c r="I63" s="698"/>
      <c r="J63" s="698"/>
      <c r="K63" s="698"/>
      <c r="L63" s="698"/>
      <c r="M63" s="698"/>
      <c r="N63" s="698"/>
      <c r="O63" s="698"/>
      <c r="P63" s="698"/>
      <c r="Q63" s="698"/>
    </row>
    <row r="64" spans="1:17" ht="12.75">
      <c r="A64" s="698"/>
      <c r="B64" s="698"/>
      <c r="C64" s="698"/>
      <c r="D64" s="698"/>
      <c r="E64" s="698"/>
      <c r="F64" s="698"/>
      <c r="G64" s="698"/>
      <c r="H64" s="698"/>
      <c r="I64" s="698"/>
      <c r="J64" s="698"/>
      <c r="K64" s="698"/>
      <c r="L64" s="698"/>
      <c r="M64" s="698"/>
      <c r="N64" s="698"/>
      <c r="O64" s="698"/>
      <c r="P64" s="698"/>
      <c r="Q64" s="698"/>
    </row>
    <row r="65" spans="1:17" ht="12.75">
      <c r="A65" s="698"/>
      <c r="B65" s="698"/>
      <c r="C65" s="698"/>
      <c r="D65" s="698"/>
      <c r="E65" s="698"/>
      <c r="F65" s="698"/>
      <c r="G65" s="698"/>
      <c r="H65" s="698"/>
      <c r="I65" s="698"/>
      <c r="J65" s="698"/>
      <c r="K65" s="698"/>
      <c r="L65" s="698"/>
      <c r="M65" s="698"/>
      <c r="N65" s="698"/>
      <c r="O65" s="698"/>
      <c r="P65" s="698"/>
      <c r="Q65" s="698"/>
    </row>
    <row r="66" spans="1:17" ht="12.75">
      <c r="A66" s="698"/>
      <c r="B66" s="698"/>
      <c r="C66" s="698"/>
      <c r="D66" s="698"/>
      <c r="E66" s="698"/>
      <c r="F66" s="698"/>
      <c r="G66" s="698"/>
      <c r="H66" s="698"/>
      <c r="I66" s="698"/>
      <c r="J66" s="698"/>
      <c r="K66" s="698"/>
      <c r="L66" s="698"/>
      <c r="M66" s="698"/>
      <c r="N66" s="698"/>
      <c r="O66" s="698"/>
      <c r="P66" s="698"/>
      <c r="Q66" s="698"/>
    </row>
    <row r="67" spans="1:17" ht="12.75">
      <c r="A67" s="698"/>
      <c r="B67" s="698"/>
      <c r="C67" s="698"/>
      <c r="D67" s="698"/>
      <c r="E67" s="698"/>
      <c r="F67" s="698"/>
      <c r="G67" s="698"/>
      <c r="H67" s="698"/>
      <c r="I67" s="698"/>
      <c r="J67" s="698"/>
      <c r="K67" s="698"/>
      <c r="L67" s="698"/>
      <c r="M67" s="698"/>
      <c r="N67" s="698"/>
      <c r="O67" s="698"/>
      <c r="P67" s="698"/>
      <c r="Q67" s="698"/>
    </row>
    <row r="68" spans="1:17" ht="12.75">
      <c r="A68" s="698"/>
      <c r="B68" s="698"/>
      <c r="C68" s="698"/>
      <c r="D68" s="698"/>
      <c r="E68" s="698"/>
      <c r="F68" s="698"/>
      <c r="G68" s="698"/>
      <c r="H68" s="698"/>
      <c r="I68" s="698"/>
      <c r="J68" s="698"/>
      <c r="K68" s="698"/>
      <c r="L68" s="698"/>
      <c r="M68" s="698"/>
      <c r="N68" s="698"/>
      <c r="O68" s="698"/>
      <c r="P68" s="698"/>
      <c r="Q68" s="698"/>
    </row>
    <row r="69" spans="1:17" ht="12.75">
      <c r="A69" s="698"/>
      <c r="B69" s="698"/>
      <c r="C69" s="698"/>
      <c r="D69" s="698"/>
      <c r="E69" s="698"/>
      <c r="F69" s="698"/>
      <c r="G69" s="698"/>
      <c r="H69" s="698"/>
      <c r="I69" s="698"/>
      <c r="J69" s="698"/>
      <c r="K69" s="698"/>
      <c r="L69" s="698"/>
      <c r="M69" s="698"/>
      <c r="N69" s="698"/>
      <c r="O69" s="698"/>
      <c r="P69" s="698"/>
      <c r="Q69" s="698"/>
    </row>
    <row r="70" spans="1:17" ht="12.75">
      <c r="A70" s="698"/>
      <c r="B70" s="698"/>
      <c r="C70" s="698"/>
      <c r="D70" s="698"/>
      <c r="E70" s="698"/>
      <c r="F70" s="698"/>
      <c r="G70" s="698"/>
      <c r="H70" s="698"/>
      <c r="I70" s="698"/>
      <c r="J70" s="698"/>
      <c r="K70" s="698"/>
      <c r="L70" s="698"/>
      <c r="M70" s="698"/>
      <c r="N70" s="698"/>
      <c r="O70" s="698"/>
      <c r="P70" s="698"/>
      <c r="Q70" s="698"/>
    </row>
    <row r="71" spans="1:17" ht="12.75">
      <c r="A71" s="698"/>
      <c r="B71" s="698"/>
      <c r="C71" s="698"/>
      <c r="D71" s="698"/>
      <c r="E71" s="698"/>
      <c r="F71" s="698"/>
      <c r="G71" s="698"/>
      <c r="H71" s="698"/>
      <c r="I71" s="698"/>
      <c r="J71" s="698"/>
      <c r="K71" s="698"/>
      <c r="L71" s="698"/>
      <c r="M71" s="698"/>
      <c r="N71" s="698"/>
      <c r="O71" s="698"/>
      <c r="P71" s="698"/>
      <c r="Q71" s="698"/>
    </row>
    <row r="72" spans="1:17" ht="12.75">
      <c r="A72" s="698"/>
      <c r="B72" s="698"/>
      <c r="C72" s="698"/>
      <c r="D72" s="698"/>
      <c r="E72" s="698"/>
      <c r="F72" s="698"/>
      <c r="G72" s="698"/>
      <c r="H72" s="698"/>
      <c r="I72" s="698"/>
      <c r="J72" s="698"/>
      <c r="K72" s="698"/>
      <c r="L72" s="698"/>
      <c r="M72" s="698"/>
      <c r="N72" s="698"/>
      <c r="O72" s="698"/>
      <c r="P72" s="698"/>
      <c r="Q72" s="698"/>
    </row>
    <row r="73" spans="1:17" ht="12.75">
      <c r="A73" s="698"/>
      <c r="B73" s="698"/>
      <c r="C73" s="698"/>
      <c r="D73" s="698"/>
      <c r="E73" s="698"/>
      <c r="F73" s="698"/>
      <c r="G73" s="698"/>
      <c r="H73" s="698"/>
      <c r="I73" s="698"/>
      <c r="J73" s="698"/>
      <c r="K73" s="698"/>
      <c r="L73" s="698"/>
      <c r="M73" s="698"/>
      <c r="N73" s="698"/>
      <c r="O73" s="698"/>
      <c r="P73" s="698"/>
      <c r="Q73" s="698"/>
    </row>
    <row r="74" spans="1:17" ht="12.75">
      <c r="A74" s="698"/>
      <c r="B74" s="698"/>
      <c r="C74" s="698"/>
      <c r="D74" s="698"/>
      <c r="E74" s="698"/>
      <c r="F74" s="698"/>
      <c r="G74" s="698"/>
      <c r="H74" s="698"/>
      <c r="I74" s="698"/>
      <c r="J74" s="698"/>
      <c r="K74" s="698"/>
      <c r="L74" s="698"/>
      <c r="M74" s="698"/>
      <c r="N74" s="698"/>
      <c r="O74" s="698"/>
      <c r="P74" s="698"/>
      <c r="Q74" s="698"/>
    </row>
    <row r="75" spans="1:17" ht="12.75">
      <c r="A75" s="698"/>
      <c r="B75" s="698"/>
      <c r="C75" s="698"/>
      <c r="D75" s="698"/>
      <c r="E75" s="698"/>
      <c r="F75" s="698"/>
      <c r="G75" s="698"/>
      <c r="H75" s="698"/>
      <c r="I75" s="698"/>
      <c r="J75" s="698"/>
      <c r="K75" s="698"/>
      <c r="L75" s="698"/>
      <c r="M75" s="698"/>
      <c r="N75" s="698"/>
      <c r="O75" s="698"/>
      <c r="P75" s="698"/>
      <c r="Q75" s="698"/>
    </row>
    <row r="76" spans="1:17" ht="12.75">
      <c r="A76" s="698"/>
      <c r="B76" s="698"/>
      <c r="C76" s="698"/>
      <c r="D76" s="698"/>
      <c r="E76" s="698"/>
      <c r="F76" s="698"/>
      <c r="G76" s="698"/>
      <c r="H76" s="698"/>
      <c r="I76" s="698"/>
      <c r="J76" s="698"/>
      <c r="K76" s="698"/>
      <c r="L76" s="698"/>
      <c r="M76" s="698"/>
      <c r="N76" s="698"/>
      <c r="O76" s="698"/>
      <c r="P76" s="698"/>
      <c r="Q76" s="698"/>
    </row>
    <row r="77" spans="1:17" ht="12.75">
      <c r="A77" s="698"/>
      <c r="B77" s="698"/>
      <c r="C77" s="698"/>
      <c r="D77" s="698"/>
      <c r="E77" s="698"/>
      <c r="F77" s="698"/>
      <c r="G77" s="698"/>
      <c r="H77" s="698"/>
      <c r="I77" s="698"/>
      <c r="J77" s="698"/>
      <c r="K77" s="698"/>
      <c r="L77" s="698"/>
      <c r="M77" s="698"/>
      <c r="N77" s="698"/>
      <c r="O77" s="698"/>
      <c r="P77" s="698"/>
      <c r="Q77" s="698"/>
    </row>
    <row r="78" spans="1:17" ht="12.75">
      <c r="A78" s="698"/>
      <c r="B78" s="698"/>
      <c r="C78" s="698"/>
      <c r="D78" s="698"/>
      <c r="E78" s="698"/>
      <c r="F78" s="698"/>
      <c r="G78" s="698"/>
      <c r="H78" s="698"/>
      <c r="I78" s="698"/>
      <c r="J78" s="698"/>
      <c r="K78" s="698"/>
      <c r="L78" s="698"/>
      <c r="M78" s="698"/>
      <c r="N78" s="698"/>
      <c r="O78" s="698"/>
      <c r="P78" s="698"/>
      <c r="Q78" s="698"/>
    </row>
    <row r="79" spans="1:17" ht="12.75">
      <c r="A79" s="698"/>
      <c r="B79" s="698"/>
      <c r="C79" s="698"/>
      <c r="D79" s="698"/>
      <c r="E79" s="698"/>
      <c r="F79" s="698"/>
      <c r="G79" s="698"/>
      <c r="H79" s="698"/>
      <c r="I79" s="698"/>
      <c r="J79" s="698"/>
      <c r="K79" s="698"/>
      <c r="L79" s="698"/>
      <c r="M79" s="698"/>
      <c r="N79" s="698"/>
      <c r="O79" s="698"/>
      <c r="P79" s="698"/>
      <c r="Q79" s="698"/>
    </row>
    <row r="80" spans="1:17" ht="12.75">
      <c r="A80" s="698"/>
      <c r="B80" s="698"/>
      <c r="C80" s="698"/>
      <c r="D80" s="698"/>
      <c r="E80" s="698"/>
      <c r="F80" s="698"/>
      <c r="G80" s="698"/>
      <c r="H80" s="698"/>
      <c r="I80" s="698"/>
      <c r="J80" s="698"/>
      <c r="K80" s="698"/>
      <c r="L80" s="698"/>
      <c r="M80" s="698"/>
      <c r="N80" s="698"/>
      <c r="O80" s="698"/>
      <c r="P80" s="698"/>
      <c r="Q80" s="698"/>
    </row>
    <row r="81" spans="1:17" ht="12.75">
      <c r="A81" s="698"/>
      <c r="B81" s="698"/>
      <c r="C81" s="698"/>
      <c r="D81" s="698"/>
      <c r="E81" s="698"/>
      <c r="F81" s="698"/>
      <c r="G81" s="698"/>
      <c r="H81" s="698"/>
      <c r="I81" s="698"/>
      <c r="J81" s="698"/>
      <c r="K81" s="698"/>
      <c r="L81" s="698"/>
      <c r="M81" s="698"/>
      <c r="N81" s="698"/>
      <c r="O81" s="698"/>
      <c r="P81" s="698"/>
      <c r="Q81" s="698"/>
    </row>
    <row r="82" spans="1:17" ht="12.75">
      <c r="A82" s="698"/>
      <c r="B82" s="698"/>
      <c r="C82" s="698"/>
      <c r="D82" s="698"/>
      <c r="E82" s="698"/>
      <c r="F82" s="698"/>
      <c r="G82" s="698"/>
      <c r="H82" s="698"/>
      <c r="I82" s="698"/>
      <c r="J82" s="698"/>
      <c r="K82" s="698"/>
      <c r="L82" s="698"/>
      <c r="M82" s="698"/>
      <c r="N82" s="698"/>
      <c r="O82" s="698"/>
      <c r="P82" s="698"/>
      <c r="Q82" s="698"/>
    </row>
    <row r="83" spans="1:17" ht="12.75">
      <c r="A83" s="698"/>
      <c r="B83" s="698"/>
      <c r="C83" s="698"/>
      <c r="D83" s="698"/>
      <c r="E83" s="698"/>
      <c r="F83" s="698"/>
      <c r="G83" s="698"/>
      <c r="H83" s="698"/>
      <c r="I83" s="698"/>
      <c r="J83" s="698"/>
      <c r="K83" s="698"/>
      <c r="L83" s="698"/>
      <c r="M83" s="698"/>
      <c r="N83" s="698"/>
      <c r="O83" s="698"/>
      <c r="P83" s="698"/>
      <c r="Q83" s="698"/>
    </row>
    <row r="84" spans="1:17" ht="12.75">
      <c r="A84" s="698"/>
      <c r="B84" s="698"/>
      <c r="C84" s="698"/>
      <c r="D84" s="698"/>
      <c r="E84" s="698"/>
      <c r="F84" s="698"/>
      <c r="G84" s="698"/>
      <c r="H84" s="698"/>
      <c r="I84" s="698"/>
      <c r="J84" s="698"/>
      <c r="K84" s="698"/>
      <c r="L84" s="698"/>
      <c r="M84" s="698"/>
      <c r="N84" s="698"/>
      <c r="O84" s="698"/>
      <c r="P84" s="698"/>
      <c r="Q84" s="698"/>
    </row>
    <row r="85" spans="1:17" ht="12.75">
      <c r="A85" s="698"/>
      <c r="B85" s="698"/>
      <c r="C85" s="698"/>
      <c r="D85" s="698"/>
      <c r="E85" s="698"/>
      <c r="F85" s="698"/>
      <c r="G85" s="698"/>
      <c r="H85" s="698"/>
      <c r="I85" s="698"/>
      <c r="J85" s="698"/>
      <c r="K85" s="698"/>
      <c r="L85" s="698"/>
      <c r="M85" s="698"/>
      <c r="N85" s="698"/>
      <c r="O85" s="698"/>
      <c r="P85" s="698"/>
      <c r="Q85" s="698"/>
    </row>
    <row r="86" spans="1:17" ht="12.75">
      <c r="A86" s="698"/>
      <c r="B86" s="698"/>
      <c r="C86" s="698"/>
      <c r="D86" s="698"/>
      <c r="E86" s="698"/>
      <c r="F86" s="698"/>
      <c r="G86" s="698"/>
      <c r="H86" s="698"/>
      <c r="I86" s="698"/>
      <c r="J86" s="698"/>
      <c r="K86" s="698"/>
      <c r="L86" s="698"/>
      <c r="M86" s="698"/>
      <c r="N86" s="698"/>
      <c r="O86" s="698"/>
      <c r="P86" s="698"/>
      <c r="Q86" s="698"/>
    </row>
    <row r="87" spans="1:17" ht="12.75">
      <c r="A87" s="698"/>
      <c r="B87" s="698"/>
      <c r="C87" s="698"/>
      <c r="D87" s="698"/>
      <c r="E87" s="698"/>
      <c r="F87" s="698"/>
      <c r="G87" s="698"/>
      <c r="H87" s="698"/>
      <c r="I87" s="698"/>
      <c r="J87" s="698"/>
      <c r="K87" s="698"/>
      <c r="L87" s="698"/>
      <c r="M87" s="698"/>
      <c r="N87" s="698"/>
      <c r="O87" s="698"/>
      <c r="P87" s="698"/>
      <c r="Q87" s="698"/>
    </row>
    <row r="88" spans="1:17" ht="12.75">
      <c r="A88" s="698"/>
      <c r="B88" s="698"/>
      <c r="C88" s="698"/>
      <c r="D88" s="698"/>
      <c r="E88" s="698"/>
      <c r="F88" s="698"/>
      <c r="G88" s="698"/>
      <c r="H88" s="698"/>
      <c r="I88" s="698"/>
      <c r="J88" s="698"/>
      <c r="K88" s="698"/>
      <c r="L88" s="698"/>
      <c r="M88" s="698"/>
      <c r="N88" s="698"/>
      <c r="O88" s="698"/>
      <c r="P88" s="698"/>
      <c r="Q88" s="698"/>
    </row>
    <row r="89" spans="1:17" ht="12.75">
      <c r="A89" s="698"/>
      <c r="B89" s="698"/>
      <c r="C89" s="698"/>
      <c r="D89" s="698"/>
      <c r="E89" s="698"/>
      <c r="F89" s="698"/>
      <c r="G89" s="698"/>
      <c r="H89" s="698"/>
      <c r="I89" s="698"/>
      <c r="J89" s="698"/>
      <c r="K89" s="698"/>
      <c r="L89" s="698"/>
      <c r="M89" s="698"/>
      <c r="N89" s="698"/>
      <c r="O89" s="698"/>
      <c r="P89" s="698"/>
      <c r="Q89" s="698"/>
    </row>
    <row r="90" spans="1:17" ht="12.75">
      <c r="A90" s="698"/>
      <c r="B90" s="698"/>
      <c r="C90" s="698"/>
      <c r="D90" s="698"/>
      <c r="E90" s="698"/>
      <c r="F90" s="698"/>
      <c r="G90" s="698"/>
      <c r="H90" s="698"/>
      <c r="I90" s="698"/>
      <c r="J90" s="698"/>
      <c r="K90" s="698"/>
      <c r="L90" s="698"/>
      <c r="M90" s="698"/>
      <c r="N90" s="698"/>
      <c r="O90" s="698"/>
      <c r="P90" s="698"/>
      <c r="Q90" s="698"/>
    </row>
    <row r="91" spans="1:17" ht="12.75">
      <c r="A91" s="698"/>
      <c r="B91" s="698"/>
      <c r="C91" s="698"/>
      <c r="D91" s="698"/>
      <c r="E91" s="698"/>
      <c r="F91" s="698"/>
      <c r="G91" s="698"/>
      <c r="H91" s="698"/>
      <c r="I91" s="698"/>
      <c r="J91" s="698"/>
      <c r="K91" s="698"/>
      <c r="L91" s="698"/>
      <c r="M91" s="698"/>
      <c r="N91" s="698"/>
      <c r="O91" s="698"/>
      <c r="P91" s="698"/>
      <c r="Q91" s="698"/>
    </row>
    <row r="92" spans="1:17" ht="12.75">
      <c r="A92" s="698"/>
      <c r="B92" s="698"/>
      <c r="C92" s="698"/>
      <c r="D92" s="698"/>
      <c r="E92" s="698"/>
      <c r="F92" s="698"/>
      <c r="G92" s="698"/>
      <c r="H92" s="698"/>
      <c r="I92" s="698"/>
      <c r="J92" s="698"/>
      <c r="K92" s="698"/>
      <c r="L92" s="698"/>
      <c r="M92" s="698"/>
      <c r="N92" s="698"/>
      <c r="O92" s="698"/>
      <c r="P92" s="698"/>
      <c r="Q92" s="698"/>
    </row>
    <row r="93" spans="1:17" ht="12.75">
      <c r="A93" s="698"/>
      <c r="B93" s="698"/>
      <c r="C93" s="698"/>
      <c r="D93" s="698"/>
      <c r="E93" s="698"/>
      <c r="F93" s="698"/>
      <c r="G93" s="698"/>
      <c r="H93" s="698"/>
      <c r="I93" s="698"/>
      <c r="J93" s="698"/>
      <c r="K93" s="698"/>
      <c r="L93" s="698"/>
      <c r="M93" s="698"/>
      <c r="N93" s="698"/>
      <c r="O93" s="698"/>
      <c r="P93" s="698"/>
      <c r="Q93" s="698"/>
    </row>
    <row r="94" spans="1:17" ht="12.75">
      <c r="A94" s="698"/>
      <c r="B94" s="698"/>
      <c r="C94" s="698"/>
      <c r="D94" s="698"/>
      <c r="E94" s="698"/>
      <c r="F94" s="698"/>
      <c r="G94" s="698"/>
      <c r="H94" s="698"/>
      <c r="I94" s="698"/>
      <c r="J94" s="698"/>
      <c r="K94" s="698"/>
      <c r="L94" s="698"/>
      <c r="M94" s="698"/>
      <c r="N94" s="698"/>
      <c r="O94" s="698"/>
      <c r="P94" s="698"/>
      <c r="Q94" s="698"/>
    </row>
    <row r="95" spans="1:17" ht="12.75">
      <c r="A95" s="698"/>
      <c r="B95" s="698"/>
      <c r="C95" s="698"/>
      <c r="D95" s="698"/>
      <c r="E95" s="698"/>
      <c r="F95" s="698"/>
      <c r="G95" s="698"/>
      <c r="H95" s="698"/>
      <c r="I95" s="698"/>
      <c r="J95" s="698"/>
      <c r="K95" s="698"/>
      <c r="L95" s="698"/>
      <c r="M95" s="698"/>
      <c r="N95" s="698"/>
      <c r="O95" s="698"/>
      <c r="P95" s="698"/>
      <c r="Q95" s="698"/>
    </row>
    <row r="96" spans="1:17" ht="12.75">
      <c r="A96" s="698"/>
      <c r="B96" s="698"/>
      <c r="C96" s="698"/>
      <c r="D96" s="698"/>
      <c r="E96" s="698"/>
      <c r="F96" s="698"/>
      <c r="G96" s="698"/>
      <c r="H96" s="698"/>
      <c r="I96" s="698"/>
      <c r="J96" s="698"/>
      <c r="K96" s="698"/>
      <c r="L96" s="698"/>
      <c r="M96" s="698"/>
      <c r="N96" s="698"/>
      <c r="O96" s="698"/>
      <c r="P96" s="698"/>
      <c r="Q96" s="698"/>
    </row>
    <row r="97" spans="1:17" ht="12.75">
      <c r="A97" s="698"/>
      <c r="B97" s="698"/>
      <c r="C97" s="698"/>
      <c r="D97" s="698"/>
      <c r="E97" s="698"/>
      <c r="F97" s="698"/>
      <c r="G97" s="698"/>
      <c r="H97" s="698"/>
      <c r="I97" s="698"/>
      <c r="J97" s="698"/>
      <c r="K97" s="698"/>
      <c r="L97" s="698"/>
      <c r="M97" s="698"/>
      <c r="N97" s="698"/>
      <c r="O97" s="698"/>
      <c r="P97" s="698"/>
      <c r="Q97" s="698"/>
    </row>
    <row r="98" spans="1:17" ht="12.75">
      <c r="A98" s="698"/>
      <c r="B98" s="698"/>
      <c r="C98" s="698"/>
      <c r="D98" s="698"/>
      <c r="E98" s="698"/>
      <c r="F98" s="698"/>
      <c r="G98" s="698"/>
      <c r="H98" s="698"/>
      <c r="I98" s="698"/>
      <c r="J98" s="698"/>
      <c r="K98" s="698"/>
      <c r="L98" s="698"/>
      <c r="M98" s="698"/>
      <c r="N98" s="698"/>
      <c r="O98" s="698"/>
      <c r="P98" s="698"/>
      <c r="Q98" s="698"/>
    </row>
    <row r="99" spans="1:17" ht="12.75">
      <c r="A99" s="698"/>
      <c r="B99" s="698"/>
      <c r="C99" s="698"/>
      <c r="D99" s="698"/>
      <c r="E99" s="698"/>
      <c r="F99" s="698"/>
      <c r="G99" s="698"/>
      <c r="H99" s="698"/>
      <c r="I99" s="698"/>
      <c r="J99" s="698"/>
      <c r="K99" s="698"/>
      <c r="L99" s="698"/>
      <c r="M99" s="698"/>
      <c r="N99" s="698"/>
      <c r="O99" s="698"/>
      <c r="P99" s="698"/>
      <c r="Q99" s="698"/>
    </row>
    <row r="100" spans="1:17" ht="12.75">
      <c r="A100" s="698"/>
      <c r="B100" s="698"/>
      <c r="C100" s="698"/>
      <c r="D100" s="698"/>
      <c r="E100" s="698"/>
      <c r="F100" s="698"/>
      <c r="G100" s="698"/>
      <c r="H100" s="698"/>
      <c r="I100" s="698"/>
      <c r="J100" s="698"/>
      <c r="K100" s="698"/>
      <c r="L100" s="698"/>
      <c r="M100" s="698"/>
      <c r="N100" s="698"/>
      <c r="O100" s="698"/>
      <c r="P100" s="698"/>
      <c r="Q100" s="698"/>
    </row>
    <row r="101" spans="1:17" ht="12.75">
      <c r="A101" s="698"/>
      <c r="B101" s="698"/>
      <c r="C101" s="698"/>
      <c r="D101" s="698"/>
      <c r="E101" s="698"/>
      <c r="F101" s="698"/>
      <c r="G101" s="698"/>
      <c r="H101" s="698"/>
      <c r="I101" s="698"/>
      <c r="J101" s="698"/>
      <c r="K101" s="698"/>
      <c r="L101" s="698"/>
      <c r="M101" s="698"/>
      <c r="N101" s="698"/>
      <c r="O101" s="698"/>
      <c r="P101" s="698"/>
      <c r="Q101" s="698"/>
    </row>
    <row r="102" spans="1:17" ht="12.75">
      <c r="A102" s="698"/>
      <c r="B102" s="698"/>
      <c r="C102" s="698"/>
      <c r="D102" s="698"/>
      <c r="E102" s="698"/>
      <c r="F102" s="698"/>
      <c r="G102" s="698"/>
      <c r="H102" s="698"/>
      <c r="I102" s="698"/>
      <c r="J102" s="698"/>
      <c r="K102" s="698"/>
      <c r="L102" s="698"/>
      <c r="M102" s="698"/>
      <c r="N102" s="698"/>
      <c r="O102" s="698"/>
      <c r="P102" s="698"/>
      <c r="Q102" s="698"/>
    </row>
    <row r="103" spans="1:17" ht="12.75">
      <c r="A103" s="698"/>
      <c r="B103" s="698"/>
      <c r="C103" s="698"/>
      <c r="D103" s="698"/>
      <c r="E103" s="698"/>
      <c r="F103" s="698"/>
      <c r="G103" s="698"/>
      <c r="H103" s="698"/>
      <c r="I103" s="698"/>
      <c r="J103" s="698"/>
      <c r="K103" s="698"/>
      <c r="L103" s="698"/>
      <c r="M103" s="698"/>
      <c r="N103" s="698"/>
      <c r="O103" s="698"/>
      <c r="P103" s="698"/>
      <c r="Q103" s="698"/>
    </row>
    <row r="104" spans="1:17" ht="12.75">
      <c r="A104" s="698"/>
      <c r="B104" s="698"/>
      <c r="C104" s="698"/>
      <c r="D104" s="698"/>
      <c r="E104" s="698"/>
      <c r="F104" s="698"/>
      <c r="G104" s="698"/>
      <c r="H104" s="698"/>
      <c r="I104" s="698"/>
      <c r="J104" s="698"/>
      <c r="K104" s="698"/>
      <c r="L104" s="698"/>
      <c r="M104" s="698"/>
      <c r="N104" s="698"/>
      <c r="O104" s="698"/>
      <c r="P104" s="698"/>
      <c r="Q104" s="698"/>
    </row>
    <row r="105" spans="1:17" ht="12.75">
      <c r="A105" s="698"/>
      <c r="B105" s="698"/>
      <c r="C105" s="698"/>
      <c r="D105" s="698"/>
      <c r="E105" s="698"/>
      <c r="F105" s="698"/>
      <c r="G105" s="698"/>
      <c r="H105" s="698"/>
      <c r="I105" s="698"/>
      <c r="J105" s="698"/>
      <c r="K105" s="698"/>
      <c r="L105" s="698"/>
      <c r="M105" s="698"/>
      <c r="N105" s="698"/>
      <c r="O105" s="698"/>
      <c r="P105" s="698"/>
      <c r="Q105" s="698"/>
    </row>
    <row r="106" spans="1:17" ht="12.75">
      <c r="A106" s="698"/>
      <c r="B106" s="698"/>
      <c r="C106" s="698"/>
      <c r="D106" s="698"/>
      <c r="E106" s="698"/>
      <c r="F106" s="698"/>
      <c r="G106" s="698"/>
      <c r="H106" s="698"/>
      <c r="I106" s="698"/>
      <c r="J106" s="698"/>
      <c r="K106" s="698"/>
      <c r="L106" s="698"/>
      <c r="M106" s="698"/>
      <c r="N106" s="698"/>
      <c r="O106" s="698"/>
      <c r="P106" s="698"/>
      <c r="Q106" s="698"/>
    </row>
    <row r="107" spans="1:17" ht="12.75">
      <c r="A107" s="698"/>
      <c r="B107" s="698"/>
      <c r="C107" s="698"/>
      <c r="D107" s="698"/>
      <c r="E107" s="698"/>
      <c r="F107" s="698"/>
      <c r="G107" s="698"/>
      <c r="H107" s="698"/>
      <c r="I107" s="698"/>
      <c r="J107" s="698"/>
      <c r="K107" s="698"/>
      <c r="L107" s="698"/>
      <c r="M107" s="698"/>
      <c r="N107" s="698"/>
      <c r="O107" s="698"/>
      <c r="P107" s="698"/>
      <c r="Q107" s="698"/>
    </row>
    <row r="108" spans="1:17" ht="12.75">
      <c r="A108" s="698"/>
      <c r="B108" s="698"/>
      <c r="C108" s="698"/>
      <c r="D108" s="698"/>
      <c r="E108" s="698"/>
      <c r="F108" s="698"/>
      <c r="G108" s="698"/>
      <c r="H108" s="698"/>
      <c r="I108" s="698"/>
      <c r="J108" s="698"/>
      <c r="K108" s="698"/>
      <c r="L108" s="698"/>
      <c r="M108" s="698"/>
      <c r="N108" s="698"/>
      <c r="O108" s="698"/>
      <c r="P108" s="698"/>
      <c r="Q108" s="698"/>
    </row>
    <row r="109" spans="1:17" ht="12.75">
      <c r="A109" s="698"/>
      <c r="B109" s="698"/>
      <c r="C109" s="698"/>
      <c r="D109" s="698"/>
      <c r="E109" s="698"/>
      <c r="F109" s="698"/>
      <c r="G109" s="698"/>
      <c r="H109" s="698"/>
      <c r="I109" s="698"/>
      <c r="J109" s="698"/>
      <c r="K109" s="698"/>
      <c r="L109" s="698"/>
      <c r="M109" s="698"/>
      <c r="N109" s="698"/>
      <c r="O109" s="698"/>
      <c r="P109" s="698"/>
      <c r="Q109" s="698"/>
    </row>
    <row r="110" spans="1:17" ht="12.75">
      <c r="A110" s="698"/>
      <c r="B110" s="698"/>
      <c r="C110" s="698"/>
      <c r="D110" s="698"/>
      <c r="E110" s="698"/>
      <c r="F110" s="698"/>
      <c r="G110" s="698"/>
      <c r="H110" s="698"/>
      <c r="I110" s="698"/>
      <c r="J110" s="698"/>
      <c r="K110" s="698"/>
      <c r="L110" s="698"/>
      <c r="M110" s="698"/>
      <c r="N110" s="698"/>
      <c r="O110" s="698"/>
      <c r="P110" s="698"/>
      <c r="Q110" s="698"/>
    </row>
    <row r="111" spans="1:17" ht="12.75">
      <c r="A111" s="698"/>
      <c r="B111" s="698"/>
      <c r="C111" s="698"/>
      <c r="D111" s="698"/>
      <c r="E111" s="698"/>
      <c r="F111" s="698"/>
      <c r="G111" s="698"/>
      <c r="H111" s="698"/>
      <c r="I111" s="698"/>
      <c r="J111" s="698"/>
      <c r="K111" s="698"/>
      <c r="L111" s="698"/>
      <c r="M111" s="698"/>
      <c r="N111" s="698"/>
      <c r="O111" s="698"/>
      <c r="P111" s="698"/>
      <c r="Q111" s="698"/>
    </row>
    <row r="112" spans="1:17" ht="12.75">
      <c r="A112" s="698"/>
      <c r="B112" s="698"/>
      <c r="C112" s="698"/>
      <c r="D112" s="698"/>
      <c r="E112" s="698"/>
      <c r="F112" s="698"/>
      <c r="G112" s="698"/>
      <c r="H112" s="698"/>
      <c r="I112" s="698"/>
      <c r="J112" s="698"/>
      <c r="K112" s="698"/>
      <c r="L112" s="698"/>
      <c r="M112" s="698"/>
      <c r="N112" s="698"/>
      <c r="O112" s="698"/>
      <c r="P112" s="698"/>
      <c r="Q112" s="698"/>
    </row>
    <row r="113" spans="1:17" ht="12.75">
      <c r="A113" s="698"/>
      <c r="B113" s="698"/>
      <c r="C113" s="698"/>
      <c r="D113" s="698"/>
      <c r="E113" s="698"/>
      <c r="F113" s="698"/>
      <c r="G113" s="698"/>
      <c r="H113" s="698"/>
      <c r="I113" s="698"/>
      <c r="J113" s="698"/>
      <c r="K113" s="698"/>
      <c r="L113" s="698"/>
      <c r="M113" s="698"/>
      <c r="N113" s="698"/>
      <c r="O113" s="698"/>
      <c r="P113" s="698"/>
      <c r="Q113" s="698"/>
    </row>
    <row r="114" spans="1:17" ht="12.75">
      <c r="A114" s="698"/>
      <c r="B114" s="698"/>
      <c r="C114" s="698"/>
      <c r="D114" s="698"/>
      <c r="E114" s="698"/>
      <c r="F114" s="698"/>
      <c r="G114" s="698"/>
      <c r="H114" s="698"/>
      <c r="I114" s="698"/>
      <c r="J114" s="698"/>
      <c r="K114" s="698"/>
      <c r="L114" s="698"/>
      <c r="M114" s="698"/>
      <c r="N114" s="698"/>
      <c r="O114" s="698"/>
      <c r="P114" s="698"/>
      <c r="Q114" s="698"/>
    </row>
    <row r="115" spans="1:17" ht="12.75">
      <c r="A115" s="698"/>
      <c r="B115" s="698"/>
      <c r="C115" s="698"/>
      <c r="D115" s="698"/>
      <c r="E115" s="698"/>
      <c r="F115" s="698"/>
      <c r="G115" s="698"/>
      <c r="H115" s="698"/>
      <c r="I115" s="698"/>
      <c r="J115" s="698"/>
      <c r="K115" s="698"/>
      <c r="L115" s="698"/>
      <c r="M115" s="698"/>
      <c r="N115" s="698"/>
      <c r="O115" s="698"/>
      <c r="P115" s="698"/>
      <c r="Q115" s="698"/>
    </row>
    <row r="116" spans="1:17" ht="12.75">
      <c r="A116" s="698"/>
      <c r="B116" s="698"/>
      <c r="C116" s="698"/>
      <c r="D116" s="698"/>
      <c r="E116" s="698"/>
      <c r="F116" s="698"/>
      <c r="G116" s="698"/>
      <c r="H116" s="698"/>
      <c r="I116" s="698"/>
      <c r="J116" s="698"/>
      <c r="K116" s="698"/>
      <c r="L116" s="698"/>
      <c r="M116" s="698"/>
      <c r="N116" s="698"/>
      <c r="O116" s="698"/>
      <c r="P116" s="698"/>
      <c r="Q116" s="698"/>
    </row>
    <row r="117" spans="1:17" ht="12.75">
      <c r="A117" s="698"/>
      <c r="B117" s="698"/>
      <c r="C117" s="698"/>
      <c r="D117" s="698"/>
      <c r="E117" s="698"/>
      <c r="F117" s="698"/>
      <c r="G117" s="698"/>
      <c r="H117" s="698"/>
      <c r="I117" s="698"/>
      <c r="J117" s="698"/>
      <c r="K117" s="698"/>
      <c r="L117" s="698"/>
      <c r="M117" s="698"/>
      <c r="N117" s="698"/>
      <c r="O117" s="698"/>
      <c r="P117" s="698"/>
      <c r="Q117" s="698"/>
    </row>
    <row r="118" spans="1:17" ht="12.75">
      <c r="A118" s="698"/>
      <c r="B118" s="698"/>
      <c r="C118" s="698"/>
      <c r="D118" s="698"/>
      <c r="E118" s="698"/>
      <c r="F118" s="698"/>
      <c r="G118" s="698"/>
      <c r="H118" s="698"/>
      <c r="I118" s="698"/>
      <c r="J118" s="698"/>
      <c r="K118" s="698"/>
      <c r="L118" s="698"/>
      <c r="M118" s="698"/>
      <c r="N118" s="698"/>
      <c r="O118" s="698"/>
      <c r="P118" s="698"/>
      <c r="Q118" s="698"/>
    </row>
    <row r="119" spans="1:17" ht="12.75">
      <c r="A119" s="698"/>
      <c r="B119" s="698"/>
      <c r="C119" s="698"/>
      <c r="D119" s="698"/>
      <c r="E119" s="698"/>
      <c r="F119" s="698"/>
      <c r="G119" s="698"/>
      <c r="H119" s="698"/>
      <c r="I119" s="698"/>
      <c r="J119" s="698"/>
      <c r="K119" s="698"/>
      <c r="L119" s="698"/>
      <c r="M119" s="698"/>
      <c r="N119" s="698"/>
      <c r="O119" s="698"/>
      <c r="P119" s="698"/>
      <c r="Q119" s="698"/>
    </row>
    <row r="120" spans="1:17" ht="12.75">
      <c r="A120" s="698"/>
      <c r="B120" s="698"/>
      <c r="C120" s="698"/>
      <c r="D120" s="698"/>
      <c r="E120" s="698"/>
      <c r="F120" s="698"/>
      <c r="G120" s="698"/>
      <c r="H120" s="698"/>
      <c r="I120" s="698"/>
      <c r="J120" s="698"/>
      <c r="K120" s="698"/>
      <c r="L120" s="698"/>
      <c r="M120" s="698"/>
      <c r="N120" s="698"/>
      <c r="O120" s="698"/>
      <c r="P120" s="698"/>
      <c r="Q120" s="698"/>
    </row>
    <row r="121" spans="1:17" ht="12.75">
      <c r="A121" s="698"/>
      <c r="B121" s="698"/>
      <c r="C121" s="698"/>
      <c r="D121" s="698"/>
      <c r="E121" s="698"/>
      <c r="F121" s="698"/>
      <c r="G121" s="698"/>
      <c r="H121" s="698"/>
      <c r="I121" s="698"/>
      <c r="J121" s="698"/>
      <c r="K121" s="698"/>
      <c r="L121" s="698"/>
      <c r="M121" s="698"/>
      <c r="N121" s="698"/>
      <c r="O121" s="698"/>
      <c r="P121" s="698"/>
      <c r="Q121" s="698"/>
    </row>
    <row r="122" spans="1:17" ht="12.75">
      <c r="A122" s="698"/>
      <c r="B122" s="698"/>
      <c r="C122" s="698"/>
      <c r="D122" s="698"/>
      <c r="E122" s="698"/>
      <c r="F122" s="698"/>
      <c r="G122" s="698"/>
      <c r="H122" s="698"/>
      <c r="I122" s="698"/>
      <c r="J122" s="698"/>
      <c r="K122" s="698"/>
      <c r="L122" s="698"/>
      <c r="M122" s="698"/>
      <c r="N122" s="698"/>
      <c r="O122" s="698"/>
      <c r="P122" s="698"/>
      <c r="Q122" s="698"/>
    </row>
    <row r="123" spans="1:17" ht="12.75">
      <c r="A123" s="698"/>
      <c r="B123" s="698"/>
      <c r="C123" s="698"/>
      <c r="D123" s="698"/>
      <c r="E123" s="698"/>
      <c r="F123" s="698"/>
      <c r="G123" s="698"/>
      <c r="H123" s="698"/>
      <c r="I123" s="698"/>
      <c r="J123" s="698"/>
      <c r="K123" s="698"/>
      <c r="L123" s="698"/>
      <c r="M123" s="698"/>
      <c r="N123" s="698"/>
      <c r="O123" s="698"/>
      <c r="P123" s="698"/>
      <c r="Q123" s="698"/>
    </row>
    <row r="124" spans="1:17" ht="12.75">
      <c r="A124" s="698"/>
      <c r="B124" s="698"/>
      <c r="C124" s="698"/>
      <c r="D124" s="698"/>
      <c r="E124" s="698"/>
      <c r="F124" s="698"/>
      <c r="G124" s="698"/>
      <c r="H124" s="698"/>
      <c r="I124" s="698"/>
      <c r="J124" s="698"/>
      <c r="K124" s="698"/>
      <c r="L124" s="698"/>
      <c r="M124" s="698"/>
      <c r="N124" s="698"/>
      <c r="O124" s="698"/>
      <c r="P124" s="698"/>
      <c r="Q124" s="698"/>
    </row>
    <row r="125" spans="1:17" ht="12.75">
      <c r="A125" s="698"/>
      <c r="B125" s="698"/>
      <c r="C125" s="698"/>
      <c r="D125" s="698"/>
      <c r="E125" s="698"/>
      <c r="F125" s="698"/>
      <c r="G125" s="698"/>
      <c r="H125" s="698"/>
      <c r="I125" s="698"/>
      <c r="J125" s="698"/>
      <c r="K125" s="698"/>
      <c r="L125" s="698"/>
      <c r="M125" s="698"/>
      <c r="N125" s="698"/>
      <c r="O125" s="698"/>
      <c r="P125" s="698"/>
      <c r="Q125" s="698"/>
    </row>
    <row r="126" spans="1:17" ht="12.75">
      <c r="A126" s="698"/>
      <c r="B126" s="698"/>
      <c r="C126" s="698"/>
      <c r="D126" s="698"/>
      <c r="E126" s="698"/>
      <c r="F126" s="698"/>
      <c r="G126" s="698"/>
      <c r="H126" s="698"/>
      <c r="I126" s="698"/>
      <c r="J126" s="698"/>
      <c r="K126" s="698"/>
      <c r="L126" s="698"/>
      <c r="M126" s="698"/>
      <c r="N126" s="698"/>
      <c r="O126" s="698"/>
      <c r="P126" s="698"/>
      <c r="Q126" s="698"/>
    </row>
    <row r="127" spans="1:17" ht="12.75">
      <c r="A127" s="698"/>
      <c r="B127" s="698"/>
      <c r="C127" s="698"/>
      <c r="D127" s="698"/>
      <c r="E127" s="698"/>
      <c r="F127" s="698"/>
      <c r="G127" s="698"/>
      <c r="H127" s="698"/>
      <c r="I127" s="698"/>
      <c r="J127" s="698"/>
      <c r="K127" s="698"/>
      <c r="L127" s="698"/>
      <c r="M127" s="698"/>
      <c r="N127" s="698"/>
      <c r="O127" s="698"/>
      <c r="P127" s="698"/>
      <c r="Q127" s="698"/>
    </row>
    <row r="128" spans="1:17" ht="12.75">
      <c r="A128" s="698"/>
      <c r="B128" s="698"/>
      <c r="C128" s="698"/>
      <c r="D128" s="698"/>
      <c r="E128" s="698"/>
      <c r="F128" s="698"/>
      <c r="G128" s="698"/>
      <c r="H128" s="698"/>
      <c r="I128" s="698"/>
      <c r="J128" s="698"/>
      <c r="K128" s="698"/>
      <c r="L128" s="698"/>
      <c r="M128" s="698"/>
      <c r="N128" s="698"/>
      <c r="O128" s="698"/>
      <c r="P128" s="698"/>
      <c r="Q128" s="698"/>
    </row>
    <row r="129" spans="1:17" ht="12.75">
      <c r="A129" s="698"/>
      <c r="B129" s="698"/>
      <c r="C129" s="698"/>
      <c r="D129" s="698"/>
      <c r="E129" s="698"/>
      <c r="F129" s="698"/>
      <c r="G129" s="698"/>
      <c r="H129" s="698"/>
      <c r="I129" s="698"/>
      <c r="J129" s="698"/>
      <c r="K129" s="698"/>
      <c r="L129" s="698"/>
      <c r="M129" s="698"/>
      <c r="N129" s="698"/>
      <c r="O129" s="698"/>
      <c r="P129" s="698"/>
      <c r="Q129" s="698"/>
    </row>
    <row r="130" spans="1:17" ht="12.75">
      <c r="A130" s="698"/>
      <c r="B130" s="698"/>
      <c r="C130" s="698"/>
      <c r="D130" s="698"/>
      <c r="E130" s="698"/>
      <c r="F130" s="698"/>
      <c r="G130" s="698"/>
      <c r="H130" s="698"/>
      <c r="I130" s="698"/>
      <c r="J130" s="698"/>
      <c r="K130" s="698"/>
      <c r="L130" s="698"/>
      <c r="M130" s="698"/>
      <c r="N130" s="698"/>
      <c r="O130" s="698"/>
      <c r="P130" s="698"/>
      <c r="Q130" s="698"/>
    </row>
    <row r="131" spans="1:17" ht="12.75">
      <c r="A131" s="698"/>
      <c r="B131" s="698"/>
      <c r="C131" s="698"/>
      <c r="D131" s="698"/>
      <c r="E131" s="698"/>
      <c r="F131" s="698"/>
      <c r="G131" s="698"/>
      <c r="H131" s="698"/>
      <c r="I131" s="698"/>
      <c r="J131" s="698"/>
      <c r="K131" s="698"/>
      <c r="L131" s="698"/>
      <c r="M131" s="698"/>
      <c r="N131" s="698"/>
      <c r="O131" s="698"/>
      <c r="P131" s="698"/>
      <c r="Q131" s="698"/>
    </row>
    <row r="132" spans="1:17" ht="12.75">
      <c r="A132" s="698"/>
      <c r="B132" s="698"/>
      <c r="C132" s="698"/>
      <c r="D132" s="698"/>
      <c r="E132" s="698"/>
      <c r="F132" s="698"/>
      <c r="G132" s="698"/>
      <c r="H132" s="698"/>
      <c r="I132" s="698"/>
      <c r="J132" s="698"/>
      <c r="K132" s="698"/>
      <c r="L132" s="698"/>
      <c r="M132" s="698"/>
      <c r="N132" s="698"/>
      <c r="O132" s="698"/>
      <c r="P132" s="698"/>
      <c r="Q132" s="698"/>
    </row>
    <row r="133" spans="1:17" ht="12.75">
      <c r="A133" s="698"/>
      <c r="B133" s="698"/>
      <c r="C133" s="698"/>
      <c r="D133" s="698"/>
      <c r="E133" s="698"/>
      <c r="F133" s="698"/>
      <c r="G133" s="698"/>
      <c r="H133" s="698"/>
      <c r="I133" s="698"/>
      <c r="J133" s="698"/>
      <c r="K133" s="698"/>
      <c r="L133" s="698"/>
      <c r="M133" s="698"/>
      <c r="N133" s="698"/>
      <c r="O133" s="698"/>
      <c r="P133" s="698"/>
      <c r="Q133" s="698"/>
    </row>
    <row r="134" spans="1:17" ht="12.75">
      <c r="A134" s="698"/>
      <c r="B134" s="698"/>
      <c r="C134" s="698"/>
      <c r="D134" s="698"/>
      <c r="E134" s="698"/>
      <c r="F134" s="698"/>
      <c r="G134" s="698"/>
      <c r="H134" s="698"/>
      <c r="I134" s="698"/>
      <c r="J134" s="698"/>
      <c r="K134" s="698"/>
      <c r="L134" s="698"/>
      <c r="M134" s="698"/>
      <c r="N134" s="698"/>
      <c r="O134" s="698"/>
      <c r="P134" s="698"/>
      <c r="Q134" s="698"/>
    </row>
    <row r="135" spans="1:17" ht="12.75">
      <c r="A135" s="698"/>
      <c r="B135" s="698"/>
      <c r="C135" s="698"/>
      <c r="D135" s="698"/>
      <c r="E135" s="698"/>
      <c r="F135" s="698"/>
      <c r="G135" s="698"/>
      <c r="H135" s="698"/>
      <c r="I135" s="698"/>
      <c r="J135" s="698"/>
      <c r="K135" s="698"/>
      <c r="L135" s="698"/>
      <c r="M135" s="698"/>
      <c r="N135" s="698"/>
      <c r="O135" s="698"/>
      <c r="P135" s="698"/>
      <c r="Q135" s="698"/>
    </row>
    <row r="136" spans="1:17" ht="12.75">
      <c r="A136" s="698"/>
      <c r="B136" s="698"/>
      <c r="C136" s="698"/>
      <c r="D136" s="698"/>
      <c r="E136" s="698"/>
      <c r="F136" s="698"/>
      <c r="G136" s="698"/>
      <c r="H136" s="698"/>
      <c r="I136" s="698"/>
      <c r="J136" s="698"/>
      <c r="K136" s="698"/>
      <c r="L136" s="698"/>
      <c r="M136" s="698"/>
      <c r="N136" s="698"/>
      <c r="O136" s="698"/>
      <c r="P136" s="698"/>
      <c r="Q136" s="698"/>
    </row>
    <row r="137" spans="1:17" ht="12.75">
      <c r="A137" s="698"/>
      <c r="B137" s="698"/>
      <c r="C137" s="698"/>
      <c r="D137" s="698"/>
      <c r="E137" s="698"/>
      <c r="F137" s="698"/>
      <c r="G137" s="698"/>
      <c r="H137" s="698"/>
      <c r="I137" s="698"/>
      <c r="J137" s="698"/>
      <c r="K137" s="698"/>
      <c r="L137" s="698"/>
      <c r="M137" s="698"/>
      <c r="N137" s="698"/>
      <c r="O137" s="698"/>
      <c r="P137" s="698"/>
      <c r="Q137" s="698"/>
    </row>
    <row r="138" spans="1:17" ht="12.75">
      <c r="A138" s="698"/>
      <c r="B138" s="698"/>
      <c r="C138" s="698"/>
      <c r="D138" s="698"/>
      <c r="E138" s="698"/>
      <c r="F138" s="698"/>
      <c r="G138" s="698"/>
      <c r="H138" s="698"/>
      <c r="I138" s="698"/>
      <c r="J138" s="698"/>
      <c r="K138" s="698"/>
      <c r="L138" s="698"/>
      <c r="M138" s="698"/>
      <c r="N138" s="698"/>
      <c r="O138" s="698"/>
      <c r="P138" s="698"/>
      <c r="Q138" s="698"/>
    </row>
    <row r="139" spans="1:17" ht="12.75">
      <c r="A139" s="698"/>
      <c r="B139" s="698"/>
      <c r="C139" s="698"/>
      <c r="D139" s="698"/>
      <c r="E139" s="698"/>
      <c r="F139" s="698"/>
      <c r="G139" s="698"/>
      <c r="H139" s="698"/>
      <c r="I139" s="698"/>
      <c r="J139" s="698"/>
      <c r="K139" s="698"/>
      <c r="L139" s="698"/>
      <c r="M139" s="698"/>
      <c r="N139" s="698"/>
      <c r="O139" s="698"/>
      <c r="P139" s="698"/>
      <c r="Q139" s="698"/>
    </row>
    <row r="140" spans="1:17" ht="12.75">
      <c r="A140" s="698"/>
      <c r="B140" s="698"/>
      <c r="C140" s="698"/>
      <c r="D140" s="698"/>
      <c r="E140" s="698"/>
      <c r="F140" s="698"/>
      <c r="G140" s="698"/>
      <c r="H140" s="698"/>
      <c r="I140" s="698"/>
      <c r="J140" s="698"/>
      <c r="K140" s="698"/>
      <c r="L140" s="698"/>
      <c r="M140" s="698"/>
      <c r="N140" s="698"/>
      <c r="O140" s="698"/>
      <c r="P140" s="698"/>
      <c r="Q140" s="698"/>
    </row>
    <row r="141" spans="1:17" ht="12.75">
      <c r="A141" s="698"/>
      <c r="B141" s="698"/>
      <c r="C141" s="698"/>
      <c r="D141" s="698"/>
      <c r="E141" s="698"/>
      <c r="F141" s="698"/>
      <c r="G141" s="698"/>
      <c r="H141" s="698"/>
      <c r="I141" s="698"/>
      <c r="J141" s="698"/>
      <c r="K141" s="698"/>
      <c r="L141" s="698"/>
      <c r="M141" s="698"/>
      <c r="N141" s="698"/>
      <c r="O141" s="698"/>
      <c r="P141" s="698"/>
      <c r="Q141" s="698"/>
    </row>
    <row r="142" spans="1:17" ht="12.75">
      <c r="A142" s="698"/>
      <c r="B142" s="698"/>
      <c r="C142" s="698"/>
      <c r="D142" s="698"/>
      <c r="E142" s="698"/>
      <c r="F142" s="698"/>
      <c r="G142" s="698"/>
      <c r="H142" s="698"/>
      <c r="I142" s="698"/>
      <c r="J142" s="698"/>
      <c r="K142" s="698"/>
      <c r="L142" s="698"/>
      <c r="M142" s="698"/>
      <c r="N142" s="698"/>
      <c r="O142" s="698"/>
      <c r="P142" s="698"/>
      <c r="Q142" s="698"/>
    </row>
    <row r="143" spans="1:17" ht="12.75">
      <c r="A143" s="698"/>
      <c r="B143" s="698"/>
      <c r="C143" s="698"/>
      <c r="D143" s="698"/>
      <c r="E143" s="698"/>
      <c r="F143" s="698"/>
      <c r="G143" s="698"/>
      <c r="H143" s="698"/>
      <c r="I143" s="698"/>
      <c r="J143" s="698"/>
      <c r="K143" s="698"/>
      <c r="L143" s="698"/>
      <c r="M143" s="698"/>
      <c r="N143" s="698"/>
      <c r="O143" s="698"/>
      <c r="P143" s="698"/>
      <c r="Q143" s="698"/>
    </row>
    <row r="144" spans="1:17" ht="12.75">
      <c r="A144" s="698"/>
      <c r="B144" s="698"/>
      <c r="C144" s="698"/>
      <c r="D144" s="698"/>
      <c r="E144" s="698"/>
      <c r="F144" s="698"/>
      <c r="G144" s="698"/>
      <c r="H144" s="698"/>
      <c r="I144" s="698"/>
      <c r="J144" s="698"/>
      <c r="K144" s="698"/>
      <c r="L144" s="698"/>
      <c r="M144" s="698"/>
      <c r="N144" s="698"/>
      <c r="O144" s="698"/>
      <c r="P144" s="698"/>
      <c r="Q144" s="698"/>
    </row>
    <row r="145" spans="1:17" ht="12.75">
      <c r="A145" s="698"/>
      <c r="B145" s="698"/>
      <c r="C145" s="698"/>
      <c r="D145" s="698"/>
      <c r="E145" s="698"/>
      <c r="F145" s="698"/>
      <c r="G145" s="698"/>
      <c r="H145" s="698"/>
      <c r="I145" s="698"/>
      <c r="J145" s="698"/>
      <c r="K145" s="698"/>
      <c r="L145" s="698"/>
      <c r="M145" s="698"/>
      <c r="N145" s="698"/>
      <c r="O145" s="698"/>
      <c r="P145" s="698"/>
      <c r="Q145" s="698"/>
    </row>
    <row r="146" spans="1:17" ht="12.75">
      <c r="A146" s="698"/>
      <c r="B146" s="698"/>
      <c r="C146" s="698"/>
      <c r="D146" s="698"/>
      <c r="E146" s="698"/>
      <c r="F146" s="698"/>
      <c r="G146" s="698"/>
      <c r="H146" s="698"/>
      <c r="I146" s="698"/>
      <c r="J146" s="698"/>
      <c r="K146" s="698"/>
      <c r="L146" s="698"/>
      <c r="M146" s="698"/>
      <c r="N146" s="698"/>
      <c r="O146" s="698"/>
      <c r="P146" s="698"/>
      <c r="Q146" s="698"/>
    </row>
    <row r="147" spans="1:17" ht="12.75">
      <c r="A147" s="698"/>
      <c r="B147" s="698"/>
      <c r="C147" s="698"/>
      <c r="D147" s="698"/>
      <c r="E147" s="698"/>
      <c r="F147" s="698"/>
      <c r="G147" s="698"/>
      <c r="H147" s="698"/>
      <c r="I147" s="698"/>
      <c r="J147" s="698"/>
      <c r="K147" s="698"/>
      <c r="L147" s="698"/>
      <c r="M147" s="698"/>
      <c r="N147" s="698"/>
      <c r="O147" s="698"/>
      <c r="P147" s="698"/>
      <c r="Q147" s="698"/>
    </row>
    <row r="148" spans="1:17" ht="12.75">
      <c r="A148" s="698"/>
      <c r="B148" s="698"/>
      <c r="C148" s="698"/>
      <c r="D148" s="698"/>
      <c r="E148" s="698"/>
      <c r="F148" s="698"/>
      <c r="G148" s="698"/>
      <c r="H148" s="698"/>
      <c r="I148" s="698"/>
      <c r="J148" s="698"/>
      <c r="K148" s="698"/>
      <c r="L148" s="698"/>
      <c r="M148" s="698"/>
      <c r="N148" s="698"/>
      <c r="O148" s="698"/>
      <c r="P148" s="698"/>
      <c r="Q148" s="698"/>
    </row>
    <row r="149" spans="1:17" ht="12.75">
      <c r="A149" s="698"/>
      <c r="B149" s="698"/>
      <c r="C149" s="698"/>
      <c r="D149" s="698"/>
      <c r="E149" s="698"/>
      <c r="F149" s="698"/>
      <c r="G149" s="698"/>
      <c r="H149" s="698"/>
      <c r="I149" s="698"/>
      <c r="J149" s="698"/>
      <c r="K149" s="698"/>
      <c r="L149" s="698"/>
      <c r="M149" s="698"/>
      <c r="N149" s="698"/>
      <c r="O149" s="698"/>
      <c r="P149" s="698"/>
      <c r="Q149" s="698"/>
    </row>
    <row r="150" spans="1:17" ht="12.75">
      <c r="A150" s="698"/>
      <c r="B150" s="698"/>
      <c r="C150" s="698"/>
      <c r="D150" s="698"/>
      <c r="E150" s="698"/>
      <c r="F150" s="698"/>
      <c r="G150" s="698"/>
      <c r="H150" s="698"/>
      <c r="I150" s="698"/>
      <c r="J150" s="698"/>
      <c r="K150" s="698"/>
      <c r="L150" s="698"/>
      <c r="M150" s="698"/>
      <c r="N150" s="698"/>
      <c r="O150" s="698"/>
      <c r="P150" s="698"/>
      <c r="Q150" s="698"/>
    </row>
    <row r="151" spans="1:17" ht="12.75">
      <c r="A151" s="698"/>
      <c r="B151" s="698"/>
      <c r="C151" s="698"/>
      <c r="D151" s="698"/>
      <c r="E151" s="698"/>
      <c r="F151" s="698"/>
      <c r="G151" s="698"/>
      <c r="H151" s="698"/>
      <c r="I151" s="698"/>
      <c r="J151" s="698"/>
      <c r="K151" s="698"/>
      <c r="L151" s="698"/>
      <c r="M151" s="698"/>
      <c r="N151" s="698"/>
      <c r="O151" s="698"/>
      <c r="P151" s="698"/>
      <c r="Q151" s="698"/>
    </row>
    <row r="152" spans="1:17" ht="12.75">
      <c r="A152" s="698"/>
      <c r="B152" s="698"/>
      <c r="C152" s="698"/>
      <c r="D152" s="698"/>
      <c r="E152" s="698"/>
      <c r="F152" s="698"/>
      <c r="G152" s="698"/>
      <c r="H152" s="698"/>
      <c r="I152" s="698"/>
      <c r="J152" s="698"/>
      <c r="K152" s="698"/>
      <c r="L152" s="698"/>
      <c r="M152" s="698"/>
      <c r="N152" s="698"/>
      <c r="O152" s="698"/>
      <c r="P152" s="698"/>
      <c r="Q152" s="698"/>
    </row>
    <row r="153" spans="1:17" ht="12.75">
      <c r="A153" s="698"/>
      <c r="B153" s="698"/>
      <c r="C153" s="698"/>
      <c r="D153" s="698"/>
      <c r="E153" s="698"/>
      <c r="F153" s="698"/>
      <c r="G153" s="698"/>
      <c r="H153" s="698"/>
      <c r="I153" s="698"/>
      <c r="J153" s="698"/>
      <c r="K153" s="698"/>
      <c r="L153" s="698"/>
      <c r="M153" s="698"/>
      <c r="N153" s="698"/>
      <c r="O153" s="698"/>
      <c r="P153" s="698"/>
      <c r="Q153" s="698"/>
    </row>
    <row r="154" spans="1:17" ht="12.75">
      <c r="A154" s="698"/>
      <c r="B154" s="698"/>
      <c r="C154" s="698"/>
      <c r="D154" s="698"/>
      <c r="E154" s="698"/>
      <c r="F154" s="698"/>
      <c r="G154" s="698"/>
      <c r="H154" s="698"/>
      <c r="I154" s="698"/>
      <c r="J154" s="698"/>
      <c r="K154" s="698"/>
      <c r="L154" s="698"/>
      <c r="M154" s="698"/>
      <c r="N154" s="698"/>
      <c r="O154" s="698"/>
      <c r="P154" s="698"/>
      <c r="Q154" s="698"/>
    </row>
    <row r="155" spans="1:17" ht="12.75">
      <c r="A155" s="698"/>
      <c r="B155" s="698"/>
      <c r="C155" s="698"/>
      <c r="D155" s="698"/>
      <c r="E155" s="698"/>
      <c r="F155" s="698"/>
      <c r="G155" s="698"/>
      <c r="H155" s="698"/>
      <c r="I155" s="698"/>
      <c r="J155" s="698"/>
      <c r="K155" s="698"/>
      <c r="L155" s="698"/>
      <c r="M155" s="698"/>
      <c r="N155" s="698"/>
      <c r="O155" s="698"/>
      <c r="P155" s="698"/>
      <c r="Q155" s="698"/>
    </row>
    <row r="156" spans="1:17" ht="12.75">
      <c r="A156" s="698"/>
      <c r="B156" s="698"/>
      <c r="C156" s="698"/>
      <c r="D156" s="698"/>
      <c r="E156" s="698"/>
      <c r="F156" s="698"/>
      <c r="G156" s="698"/>
      <c r="H156" s="698"/>
      <c r="I156" s="698"/>
      <c r="J156" s="698"/>
      <c r="K156" s="698"/>
      <c r="L156" s="698"/>
      <c r="M156" s="698"/>
      <c r="N156" s="698"/>
      <c r="O156" s="698"/>
      <c r="P156" s="698"/>
      <c r="Q156" s="698"/>
    </row>
    <row r="157" spans="1:17" ht="12.75">
      <c r="A157" s="698"/>
      <c r="B157" s="698"/>
      <c r="C157" s="698"/>
      <c r="D157" s="698"/>
      <c r="E157" s="698"/>
      <c r="F157" s="698"/>
      <c r="G157" s="698"/>
      <c r="H157" s="698"/>
      <c r="I157" s="698"/>
      <c r="J157" s="698"/>
      <c r="K157" s="698"/>
      <c r="L157" s="698"/>
      <c r="M157" s="698"/>
      <c r="N157" s="698"/>
      <c r="O157" s="698"/>
      <c r="P157" s="698"/>
      <c r="Q157" s="698"/>
    </row>
    <row r="158" spans="1:17" ht="12.75">
      <c r="A158" s="698"/>
      <c r="B158" s="698"/>
      <c r="C158" s="698"/>
      <c r="D158" s="698"/>
      <c r="E158" s="698"/>
      <c r="F158" s="698"/>
      <c r="G158" s="698"/>
      <c r="H158" s="698"/>
      <c r="I158" s="698"/>
      <c r="J158" s="698"/>
      <c r="K158" s="698"/>
      <c r="L158" s="698"/>
      <c r="M158" s="698"/>
      <c r="N158" s="698"/>
      <c r="O158" s="698"/>
      <c r="P158" s="698"/>
      <c r="Q158" s="698"/>
    </row>
    <row r="159" spans="1:17" ht="12.75">
      <c r="A159" s="698"/>
      <c r="B159" s="698"/>
      <c r="C159" s="698"/>
      <c r="D159" s="698"/>
      <c r="E159" s="698"/>
      <c r="F159" s="698"/>
      <c r="G159" s="698"/>
      <c r="H159" s="698"/>
      <c r="I159" s="698"/>
      <c r="J159" s="698"/>
      <c r="K159" s="698"/>
      <c r="L159" s="698"/>
      <c r="M159" s="698"/>
      <c r="N159" s="698"/>
      <c r="O159" s="698"/>
      <c r="P159" s="698"/>
      <c r="Q159" s="698"/>
    </row>
    <row r="160" spans="1:17" ht="12.75">
      <c r="A160" s="698"/>
      <c r="B160" s="698"/>
      <c r="C160" s="698"/>
      <c r="D160" s="698"/>
      <c r="E160" s="698"/>
      <c r="F160" s="698"/>
      <c r="G160" s="698"/>
      <c r="H160" s="698"/>
      <c r="I160" s="698"/>
      <c r="J160" s="698"/>
      <c r="K160" s="698"/>
      <c r="L160" s="698"/>
      <c r="M160" s="698"/>
      <c r="N160" s="698"/>
      <c r="O160" s="698"/>
      <c r="P160" s="698"/>
      <c r="Q160" s="698"/>
    </row>
    <row r="161" spans="1:17" ht="12.75">
      <c r="A161" s="698"/>
      <c r="B161" s="698"/>
      <c r="C161" s="698"/>
      <c r="D161" s="698"/>
      <c r="E161" s="698"/>
      <c r="F161" s="698"/>
      <c r="G161" s="698"/>
      <c r="H161" s="698"/>
      <c r="I161" s="698"/>
      <c r="J161" s="698"/>
      <c r="K161" s="698"/>
      <c r="L161" s="698"/>
      <c r="M161" s="698"/>
      <c r="N161" s="698"/>
      <c r="O161" s="698"/>
      <c r="P161" s="698"/>
      <c r="Q161" s="698"/>
    </row>
    <row r="162" spans="1:17" ht="12.75">
      <c r="A162" s="698"/>
      <c r="B162" s="698"/>
      <c r="C162" s="698"/>
      <c r="D162" s="698"/>
      <c r="E162" s="698"/>
      <c r="F162" s="698"/>
      <c r="G162" s="698"/>
      <c r="H162" s="698"/>
      <c r="I162" s="698"/>
      <c r="J162" s="698"/>
      <c r="K162" s="698"/>
      <c r="L162" s="698"/>
      <c r="M162" s="698"/>
      <c r="N162" s="698"/>
      <c r="O162" s="698"/>
      <c r="P162" s="698"/>
      <c r="Q162" s="698"/>
    </row>
    <row r="163" spans="1:17" ht="12.75">
      <c r="A163" s="698"/>
      <c r="B163" s="698"/>
      <c r="C163" s="698"/>
      <c r="D163" s="698"/>
      <c r="E163" s="698"/>
      <c r="F163" s="698"/>
      <c r="G163" s="698"/>
      <c r="H163" s="698"/>
      <c r="I163" s="698"/>
      <c r="J163" s="698"/>
      <c r="K163" s="698"/>
      <c r="L163" s="698"/>
      <c r="M163" s="698"/>
      <c r="N163" s="698"/>
      <c r="O163" s="698"/>
      <c r="P163" s="698"/>
      <c r="Q163" s="698"/>
    </row>
    <row r="164" spans="1:17" ht="12.75">
      <c r="A164" s="698"/>
      <c r="B164" s="698"/>
      <c r="C164" s="698"/>
      <c r="D164" s="698"/>
      <c r="E164" s="698"/>
      <c r="F164" s="698"/>
      <c r="G164" s="698"/>
      <c r="H164" s="698"/>
      <c r="I164" s="698"/>
      <c r="J164" s="698"/>
      <c r="K164" s="698"/>
      <c r="L164" s="698"/>
      <c r="M164" s="698"/>
      <c r="N164" s="698"/>
      <c r="O164" s="698"/>
      <c r="P164" s="698"/>
      <c r="Q164" s="698"/>
    </row>
    <row r="165" spans="1:17" ht="12.75">
      <c r="A165" s="698"/>
      <c r="B165" s="698"/>
      <c r="C165" s="698"/>
      <c r="D165" s="698"/>
      <c r="E165" s="698"/>
      <c r="F165" s="698"/>
      <c r="G165" s="698"/>
      <c r="H165" s="698"/>
      <c r="I165" s="698"/>
      <c r="J165" s="698"/>
      <c r="K165" s="698"/>
      <c r="L165" s="698"/>
      <c r="M165" s="698"/>
      <c r="N165" s="698"/>
      <c r="O165" s="698"/>
      <c r="P165" s="698"/>
      <c r="Q165" s="698"/>
    </row>
    <row r="166" spans="1:17" ht="12.75">
      <c r="A166" s="698"/>
      <c r="B166" s="698"/>
      <c r="C166" s="698"/>
      <c r="D166" s="698"/>
      <c r="E166" s="698"/>
      <c r="F166" s="698"/>
      <c r="G166" s="698"/>
      <c r="H166" s="698"/>
      <c r="I166" s="698"/>
      <c r="J166" s="698"/>
      <c r="K166" s="698"/>
      <c r="L166" s="698"/>
      <c r="M166" s="698"/>
      <c r="N166" s="698"/>
      <c r="O166" s="698"/>
      <c r="P166" s="698"/>
      <c r="Q166" s="698"/>
    </row>
    <row r="167" spans="1:17" ht="12.75">
      <c r="A167" s="698"/>
      <c r="B167" s="698"/>
      <c r="C167" s="698"/>
      <c r="D167" s="698"/>
      <c r="E167" s="698"/>
      <c r="F167" s="698"/>
      <c r="G167" s="698"/>
      <c r="H167" s="698"/>
      <c r="I167" s="698"/>
      <c r="J167" s="698"/>
      <c r="K167" s="698"/>
      <c r="L167" s="698"/>
      <c r="M167" s="698"/>
      <c r="N167" s="698"/>
      <c r="O167" s="698"/>
      <c r="P167" s="698"/>
      <c r="Q167" s="698"/>
    </row>
    <row r="168" spans="1:17" ht="12.75">
      <c r="A168" s="698"/>
      <c r="B168" s="698"/>
      <c r="C168" s="698"/>
      <c r="D168" s="698"/>
      <c r="E168" s="698"/>
      <c r="F168" s="698"/>
      <c r="G168" s="698"/>
      <c r="H168" s="698"/>
      <c r="I168" s="698"/>
      <c r="J168" s="698"/>
      <c r="K168" s="698"/>
      <c r="L168" s="698"/>
      <c r="M168" s="698"/>
      <c r="N168" s="698"/>
      <c r="O168" s="698"/>
      <c r="P168" s="698"/>
      <c r="Q168" s="698"/>
    </row>
    <row r="169" spans="1:17" ht="12.75">
      <c r="A169" s="698"/>
      <c r="B169" s="698"/>
      <c r="C169" s="698"/>
      <c r="D169" s="698"/>
      <c r="E169" s="698"/>
      <c r="F169" s="698"/>
      <c r="G169" s="698"/>
      <c r="H169" s="698"/>
      <c r="I169" s="698"/>
      <c r="J169" s="698"/>
      <c r="K169" s="698"/>
      <c r="L169" s="698"/>
      <c r="M169" s="698"/>
      <c r="N169" s="698"/>
      <c r="O169" s="698"/>
      <c r="P169" s="698"/>
      <c r="Q169" s="698"/>
    </row>
    <row r="170" spans="1:17" ht="12.75">
      <c r="A170" s="698"/>
      <c r="B170" s="698"/>
      <c r="C170" s="698"/>
      <c r="D170" s="698"/>
      <c r="E170" s="698"/>
      <c r="F170" s="698"/>
      <c r="G170" s="698"/>
      <c r="H170" s="698"/>
      <c r="I170" s="698"/>
      <c r="J170" s="698"/>
      <c r="K170" s="698"/>
      <c r="L170" s="698"/>
      <c r="M170" s="698"/>
      <c r="N170" s="698"/>
      <c r="O170" s="698"/>
      <c r="P170" s="698"/>
      <c r="Q170" s="698"/>
    </row>
    <row r="171" spans="1:17" ht="12.75">
      <c r="A171" s="698"/>
      <c r="B171" s="698"/>
      <c r="C171" s="698"/>
      <c r="D171" s="698"/>
      <c r="E171" s="698"/>
      <c r="F171" s="698"/>
      <c r="G171" s="698"/>
      <c r="H171" s="698"/>
      <c r="I171" s="698"/>
      <c r="J171" s="698"/>
      <c r="K171" s="698"/>
      <c r="L171" s="698"/>
      <c r="M171" s="698"/>
      <c r="N171" s="698"/>
      <c r="O171" s="698"/>
      <c r="P171" s="698"/>
      <c r="Q171" s="698"/>
    </row>
    <row r="172" spans="1:17" ht="12.75">
      <c r="A172" s="698"/>
      <c r="B172" s="698"/>
      <c r="C172" s="698"/>
      <c r="D172" s="698"/>
      <c r="E172" s="698"/>
      <c r="F172" s="698"/>
      <c r="G172" s="698"/>
      <c r="H172" s="698"/>
      <c r="I172" s="698"/>
      <c r="J172" s="698"/>
      <c r="K172" s="698"/>
      <c r="L172" s="698"/>
      <c r="M172" s="698"/>
      <c r="N172" s="698"/>
      <c r="O172" s="698"/>
      <c r="P172" s="698"/>
      <c r="Q172" s="698"/>
    </row>
    <row r="173" spans="1:17" ht="12.75">
      <c r="A173" s="698"/>
      <c r="B173" s="698"/>
      <c r="C173" s="698"/>
      <c r="D173" s="698"/>
      <c r="E173" s="698"/>
      <c r="F173" s="698"/>
      <c r="G173" s="698"/>
      <c r="H173" s="698"/>
      <c r="I173" s="698"/>
      <c r="J173" s="698"/>
      <c r="K173" s="698"/>
      <c r="L173" s="698"/>
      <c r="M173" s="698"/>
      <c r="N173" s="698"/>
      <c r="O173" s="698"/>
      <c r="P173" s="698"/>
      <c r="Q173" s="698"/>
    </row>
    <row r="174" spans="1:17" ht="12.75">
      <c r="A174" s="698"/>
      <c r="B174" s="698"/>
      <c r="C174" s="698"/>
      <c r="D174" s="698"/>
      <c r="E174" s="698"/>
      <c r="F174" s="698"/>
      <c r="G174" s="698"/>
      <c r="H174" s="698"/>
      <c r="I174" s="698"/>
      <c r="J174" s="698"/>
      <c r="K174" s="698"/>
      <c r="L174" s="698"/>
      <c r="M174" s="698"/>
      <c r="N174" s="698"/>
      <c r="O174" s="698"/>
      <c r="P174" s="698"/>
      <c r="Q174" s="698"/>
    </row>
    <row r="175" spans="1:17" ht="12.75">
      <c r="A175" s="698"/>
      <c r="B175" s="698"/>
      <c r="C175" s="698"/>
      <c r="D175" s="698"/>
      <c r="E175" s="698"/>
      <c r="F175" s="698"/>
      <c r="G175" s="698"/>
      <c r="H175" s="698"/>
      <c r="I175" s="698"/>
      <c r="J175" s="698"/>
      <c r="K175" s="698"/>
      <c r="L175" s="698"/>
      <c r="M175" s="698"/>
      <c r="N175" s="698"/>
      <c r="O175" s="698"/>
      <c r="P175" s="698"/>
      <c r="Q175" s="698"/>
    </row>
    <row r="176" spans="1:17" ht="12.75">
      <c r="A176" s="698"/>
      <c r="B176" s="698"/>
      <c r="C176" s="698"/>
      <c r="D176" s="698"/>
      <c r="E176" s="698"/>
      <c r="F176" s="698"/>
      <c r="G176" s="698"/>
      <c r="H176" s="698"/>
      <c r="I176" s="698"/>
      <c r="J176" s="698"/>
      <c r="K176" s="698"/>
      <c r="L176" s="698"/>
      <c r="M176" s="698"/>
      <c r="N176" s="698"/>
      <c r="O176" s="698"/>
      <c r="P176" s="698"/>
      <c r="Q176" s="698"/>
    </row>
    <row r="177" spans="1:17" ht="12.75">
      <c r="A177" s="698"/>
      <c r="B177" s="698"/>
      <c r="C177" s="698"/>
      <c r="D177" s="698"/>
      <c r="E177" s="698"/>
      <c r="F177" s="698"/>
      <c r="G177" s="698"/>
      <c r="H177" s="698"/>
      <c r="I177" s="698"/>
      <c r="J177" s="698"/>
      <c r="K177" s="698"/>
      <c r="L177" s="698"/>
      <c r="M177" s="698"/>
      <c r="N177" s="698"/>
      <c r="O177" s="698"/>
      <c r="P177" s="698"/>
      <c r="Q177" s="698"/>
    </row>
    <row r="178" spans="1:17" ht="12.75">
      <c r="A178" s="698"/>
      <c r="B178" s="698"/>
      <c r="C178" s="698"/>
      <c r="D178" s="698"/>
      <c r="E178" s="698"/>
      <c r="F178" s="698"/>
      <c r="G178" s="698"/>
      <c r="H178" s="698"/>
      <c r="I178" s="698"/>
      <c r="J178" s="698"/>
      <c r="K178" s="698"/>
      <c r="L178" s="698"/>
      <c r="M178" s="698"/>
      <c r="N178" s="698"/>
      <c r="O178" s="698"/>
      <c r="P178" s="698"/>
      <c r="Q178" s="698"/>
    </row>
    <row r="179" spans="1:17" ht="12.75">
      <c r="A179" s="698"/>
      <c r="B179" s="698"/>
      <c r="C179" s="698"/>
      <c r="D179" s="698"/>
      <c r="E179" s="698"/>
      <c r="F179" s="698"/>
      <c r="G179" s="698"/>
      <c r="H179" s="698"/>
      <c r="I179" s="698"/>
      <c r="J179" s="698"/>
      <c r="K179" s="698"/>
      <c r="L179" s="698"/>
      <c r="M179" s="698"/>
      <c r="N179" s="698"/>
      <c r="O179" s="698"/>
      <c r="P179" s="698"/>
      <c r="Q179" s="698"/>
    </row>
    <row r="180" spans="1:17" ht="12.75">
      <c r="A180" s="698"/>
      <c r="B180" s="698"/>
      <c r="C180" s="698"/>
      <c r="D180" s="698"/>
      <c r="E180" s="698"/>
      <c r="F180" s="698"/>
      <c r="G180" s="698"/>
      <c r="H180" s="698"/>
      <c r="I180" s="698"/>
      <c r="J180" s="698"/>
      <c r="K180" s="698"/>
      <c r="L180" s="698"/>
      <c r="M180" s="698"/>
      <c r="N180" s="698"/>
      <c r="O180" s="698"/>
      <c r="P180" s="698"/>
      <c r="Q180" s="698"/>
    </row>
    <row r="181" spans="1:17" ht="12.75">
      <c r="A181" s="698"/>
      <c r="B181" s="698"/>
      <c r="C181" s="698"/>
      <c r="D181" s="698"/>
      <c r="E181" s="698"/>
      <c r="F181" s="698"/>
      <c r="G181" s="698"/>
      <c r="H181" s="698"/>
      <c r="I181" s="698"/>
      <c r="J181" s="698"/>
      <c r="K181" s="698"/>
      <c r="L181" s="698"/>
      <c r="M181" s="698"/>
      <c r="N181" s="698"/>
      <c r="O181" s="698"/>
      <c r="P181" s="698"/>
      <c r="Q181" s="698"/>
    </row>
    <row r="182" spans="1:17" ht="12.75">
      <c r="A182" s="698"/>
      <c r="B182" s="698"/>
      <c r="C182" s="698"/>
      <c r="D182" s="698"/>
      <c r="E182" s="698"/>
      <c r="F182" s="698"/>
      <c r="G182" s="698"/>
      <c r="H182" s="698"/>
      <c r="I182" s="698"/>
      <c r="J182" s="698"/>
      <c r="K182" s="698"/>
      <c r="L182" s="698"/>
      <c r="M182" s="698"/>
      <c r="N182" s="698"/>
      <c r="O182" s="698"/>
      <c r="P182" s="698"/>
      <c r="Q182" s="698"/>
    </row>
    <row r="183" spans="1:17" ht="12.75">
      <c r="A183" s="698"/>
      <c r="B183" s="698"/>
      <c r="C183" s="698"/>
      <c r="D183" s="698"/>
      <c r="E183" s="698"/>
      <c r="F183" s="698"/>
      <c r="G183" s="698"/>
      <c r="H183" s="698"/>
      <c r="I183" s="698"/>
      <c r="J183" s="698"/>
      <c r="K183" s="698"/>
      <c r="L183" s="698"/>
      <c r="M183" s="698"/>
      <c r="N183" s="698"/>
      <c r="O183" s="698"/>
      <c r="P183" s="698"/>
      <c r="Q183" s="698"/>
    </row>
    <row r="184" spans="1:17" ht="12.75">
      <c r="A184" s="698"/>
      <c r="B184" s="698"/>
      <c r="C184" s="698"/>
      <c r="D184" s="698"/>
      <c r="E184" s="698"/>
      <c r="F184" s="698"/>
      <c r="G184" s="698"/>
      <c r="H184" s="698"/>
      <c r="I184" s="698"/>
      <c r="J184" s="698"/>
      <c r="K184" s="698"/>
      <c r="L184" s="698"/>
      <c r="M184" s="698"/>
      <c r="N184" s="698"/>
      <c r="O184" s="698"/>
      <c r="P184" s="698"/>
      <c r="Q184" s="698"/>
    </row>
    <row r="185" spans="1:17" ht="12.75">
      <c r="A185" s="698"/>
      <c r="B185" s="698"/>
      <c r="C185" s="698"/>
      <c r="D185" s="698"/>
      <c r="E185" s="698"/>
      <c r="F185" s="698"/>
      <c r="G185" s="698"/>
      <c r="H185" s="698"/>
      <c r="I185" s="698"/>
      <c r="J185" s="698"/>
      <c r="K185" s="698"/>
      <c r="L185" s="698"/>
      <c r="M185" s="698"/>
      <c r="N185" s="698"/>
      <c r="O185" s="698"/>
      <c r="P185" s="698"/>
      <c r="Q185" s="698"/>
    </row>
    <row r="186" spans="1:17" ht="12.75">
      <c r="A186" s="698"/>
      <c r="B186" s="698"/>
      <c r="C186" s="698"/>
      <c r="D186" s="698"/>
      <c r="E186" s="698"/>
      <c r="F186" s="698"/>
      <c r="G186" s="698"/>
      <c r="H186" s="698"/>
      <c r="I186" s="698"/>
      <c r="J186" s="698"/>
      <c r="K186" s="698"/>
      <c r="L186" s="698"/>
      <c r="M186" s="698"/>
      <c r="N186" s="698"/>
      <c r="O186" s="698"/>
      <c r="P186" s="698"/>
      <c r="Q186" s="698"/>
    </row>
    <row r="187" spans="1:17" ht="12.75">
      <c r="A187" s="698"/>
      <c r="B187" s="698"/>
      <c r="C187" s="698"/>
      <c r="D187" s="698"/>
      <c r="E187" s="698"/>
      <c r="F187" s="698"/>
      <c r="G187" s="698"/>
      <c r="H187" s="698"/>
      <c r="I187" s="698"/>
      <c r="J187" s="698"/>
      <c r="K187" s="698"/>
      <c r="L187" s="698"/>
      <c r="M187" s="698"/>
      <c r="N187" s="698"/>
      <c r="O187" s="698"/>
      <c r="P187" s="698"/>
      <c r="Q187" s="698"/>
    </row>
    <row r="188" spans="1:17" ht="12.75">
      <c r="A188" s="698"/>
      <c r="B188" s="698"/>
      <c r="C188" s="698"/>
      <c r="D188" s="698"/>
      <c r="E188" s="698"/>
      <c r="F188" s="698"/>
      <c r="G188" s="698"/>
      <c r="H188" s="698"/>
      <c r="I188" s="698"/>
      <c r="J188" s="698"/>
      <c r="K188" s="698"/>
      <c r="L188" s="698"/>
      <c r="M188" s="698"/>
      <c r="N188" s="698"/>
      <c r="O188" s="698"/>
      <c r="P188" s="698"/>
      <c r="Q188" s="698"/>
    </row>
    <row r="189" spans="1:17" ht="12.75">
      <c r="A189" s="698"/>
      <c r="B189" s="698"/>
      <c r="C189" s="698"/>
      <c r="D189" s="698"/>
      <c r="E189" s="698"/>
      <c r="F189" s="698"/>
      <c r="G189" s="698"/>
      <c r="H189" s="698"/>
      <c r="I189" s="698"/>
      <c r="J189" s="698"/>
      <c r="K189" s="698"/>
      <c r="L189" s="698"/>
      <c r="M189" s="698"/>
      <c r="N189" s="698"/>
      <c r="O189" s="698"/>
      <c r="P189" s="698"/>
      <c r="Q189" s="698"/>
    </row>
    <row r="190" spans="1:17" ht="12.75">
      <c r="A190" s="698"/>
      <c r="B190" s="698"/>
      <c r="C190" s="698"/>
      <c r="D190" s="698"/>
      <c r="E190" s="698"/>
      <c r="F190" s="698"/>
      <c r="G190" s="698"/>
      <c r="H190" s="698"/>
      <c r="I190" s="698"/>
      <c r="J190" s="698"/>
      <c r="K190" s="698"/>
      <c r="L190" s="698"/>
      <c r="M190" s="698"/>
      <c r="N190" s="698"/>
      <c r="O190" s="698"/>
      <c r="P190" s="698"/>
      <c r="Q190" s="698"/>
    </row>
    <row r="191" spans="1:17" ht="12.75">
      <c r="A191" s="698"/>
      <c r="B191" s="698"/>
      <c r="C191" s="698"/>
      <c r="D191" s="698"/>
      <c r="E191" s="698"/>
      <c r="F191" s="698"/>
      <c r="G191" s="698"/>
      <c r="H191" s="698"/>
      <c r="I191" s="698"/>
      <c r="J191" s="698"/>
      <c r="K191" s="698"/>
      <c r="L191" s="698"/>
      <c r="M191" s="698"/>
      <c r="N191" s="698"/>
      <c r="O191" s="698"/>
      <c r="P191" s="698"/>
      <c r="Q191" s="698"/>
    </row>
    <row r="192" spans="1:17" ht="12.75">
      <c r="A192" s="698"/>
      <c r="B192" s="698"/>
      <c r="C192" s="698"/>
      <c r="D192" s="698"/>
      <c r="E192" s="698"/>
      <c r="F192" s="698"/>
      <c r="G192" s="698"/>
      <c r="H192" s="698"/>
      <c r="I192" s="698"/>
      <c r="J192" s="698"/>
      <c r="K192" s="698"/>
      <c r="L192" s="698"/>
      <c r="M192" s="698"/>
      <c r="N192" s="698"/>
      <c r="O192" s="698"/>
      <c r="P192" s="698"/>
      <c r="Q192" s="698"/>
    </row>
    <row r="193" spans="1:17" ht="12.75">
      <c r="A193" s="698"/>
      <c r="B193" s="698"/>
      <c r="C193" s="698"/>
      <c r="D193" s="698"/>
      <c r="E193" s="698"/>
      <c r="F193" s="698"/>
      <c r="G193" s="698"/>
      <c r="H193" s="698"/>
      <c r="I193" s="698"/>
      <c r="J193" s="698"/>
      <c r="K193" s="698"/>
      <c r="L193" s="698"/>
      <c r="M193" s="698"/>
      <c r="N193" s="698"/>
      <c r="O193" s="698"/>
      <c r="P193" s="698"/>
      <c r="Q193" s="698"/>
    </row>
    <row r="194" spans="1:17" ht="12.75">
      <c r="A194" s="698"/>
      <c r="B194" s="698"/>
      <c r="C194" s="698"/>
      <c r="D194" s="698"/>
      <c r="E194" s="698"/>
      <c r="F194" s="698"/>
      <c r="G194" s="698"/>
      <c r="H194" s="698"/>
      <c r="I194" s="698"/>
      <c r="J194" s="698"/>
      <c r="K194" s="698"/>
      <c r="L194" s="698"/>
      <c r="M194" s="698"/>
      <c r="N194" s="698"/>
      <c r="O194" s="698"/>
      <c r="P194" s="698"/>
      <c r="Q194" s="698"/>
    </row>
    <row r="195" spans="1:17" ht="12.75">
      <c r="A195" s="698"/>
      <c r="B195" s="698"/>
      <c r="C195" s="698"/>
      <c r="D195" s="698"/>
      <c r="E195" s="698"/>
      <c r="F195" s="698"/>
      <c r="G195" s="698"/>
      <c r="H195" s="698"/>
      <c r="I195" s="698"/>
      <c r="J195" s="698"/>
      <c r="K195" s="698"/>
      <c r="L195" s="698"/>
      <c r="M195" s="698"/>
      <c r="N195" s="698"/>
      <c r="O195" s="698"/>
      <c r="P195" s="698"/>
      <c r="Q195" s="698"/>
    </row>
    <row r="196" spans="1:17" ht="12.75">
      <c r="A196" s="698"/>
      <c r="B196" s="698"/>
      <c r="C196" s="698"/>
      <c r="D196" s="698"/>
      <c r="E196" s="698"/>
      <c r="F196" s="698"/>
      <c r="G196" s="698"/>
      <c r="H196" s="698"/>
      <c r="I196" s="698"/>
      <c r="J196" s="698"/>
      <c r="K196" s="698"/>
      <c r="L196" s="698"/>
      <c r="M196" s="698"/>
      <c r="N196" s="698"/>
      <c r="O196" s="698"/>
      <c r="P196" s="698"/>
      <c r="Q196" s="698"/>
    </row>
    <row r="197" spans="1:17" ht="12.75">
      <c r="A197" s="698"/>
      <c r="B197" s="698"/>
      <c r="C197" s="698"/>
      <c r="D197" s="698"/>
      <c r="E197" s="698"/>
      <c r="F197" s="698"/>
      <c r="G197" s="698"/>
      <c r="H197" s="698"/>
      <c r="I197" s="698"/>
      <c r="J197" s="698"/>
      <c r="K197" s="698"/>
      <c r="L197" s="698"/>
      <c r="M197" s="698"/>
      <c r="N197" s="698"/>
      <c r="O197" s="698"/>
      <c r="P197" s="698"/>
      <c r="Q197" s="698"/>
    </row>
    <row r="198" spans="1:17" ht="12.75">
      <c r="A198" s="698"/>
      <c r="B198" s="698"/>
      <c r="C198" s="698"/>
      <c r="D198" s="698"/>
      <c r="E198" s="698"/>
      <c r="F198" s="698"/>
      <c r="G198" s="698"/>
      <c r="H198" s="698"/>
      <c r="I198" s="698"/>
      <c r="J198" s="698"/>
      <c r="K198" s="698"/>
      <c r="L198" s="698"/>
      <c r="M198" s="698"/>
      <c r="N198" s="698"/>
      <c r="O198" s="698"/>
      <c r="P198" s="698"/>
      <c r="Q198" s="698"/>
    </row>
    <row r="199" spans="1:17" ht="12.75">
      <c r="A199" s="698"/>
      <c r="B199" s="698"/>
      <c r="C199" s="698"/>
      <c r="D199" s="698"/>
      <c r="E199" s="698"/>
      <c r="F199" s="698"/>
      <c r="G199" s="698"/>
      <c r="H199" s="698"/>
      <c r="I199" s="698"/>
      <c r="J199" s="698"/>
      <c r="K199" s="698"/>
      <c r="L199" s="698"/>
      <c r="M199" s="698"/>
      <c r="N199" s="698"/>
      <c r="O199" s="698"/>
      <c r="P199" s="698"/>
      <c r="Q199" s="698"/>
    </row>
    <row r="200" spans="1:17" ht="12.75">
      <c r="A200" s="698"/>
      <c r="B200" s="698"/>
      <c r="C200" s="698"/>
      <c r="D200" s="698"/>
      <c r="E200" s="698"/>
      <c r="F200" s="698"/>
      <c r="G200" s="698"/>
      <c r="H200" s="698"/>
      <c r="I200" s="698"/>
      <c r="J200" s="698"/>
      <c r="K200" s="698"/>
      <c r="L200" s="698"/>
      <c r="M200" s="698"/>
      <c r="N200" s="698"/>
      <c r="O200" s="698"/>
      <c r="P200" s="698"/>
      <c r="Q200" s="698"/>
    </row>
    <row r="201" spans="1:17" ht="12.75">
      <c r="A201" s="698"/>
      <c r="B201" s="698"/>
      <c r="C201" s="698"/>
      <c r="D201" s="698"/>
      <c r="E201" s="698"/>
      <c r="F201" s="698"/>
      <c r="G201" s="698"/>
      <c r="H201" s="698"/>
      <c r="I201" s="698"/>
      <c r="J201" s="698"/>
      <c r="K201" s="698"/>
      <c r="L201" s="698"/>
      <c r="M201" s="698"/>
      <c r="N201" s="698"/>
      <c r="O201" s="698"/>
      <c r="P201" s="698"/>
      <c r="Q201" s="698"/>
    </row>
    <row r="202" spans="1:17" ht="12.75">
      <c r="A202" s="698"/>
      <c r="B202" s="698"/>
      <c r="C202" s="698"/>
      <c r="D202" s="698"/>
      <c r="E202" s="698"/>
      <c r="F202" s="698"/>
      <c r="G202" s="698"/>
      <c r="H202" s="698"/>
      <c r="I202" s="698"/>
      <c r="J202" s="698"/>
      <c r="K202" s="698"/>
      <c r="L202" s="698"/>
      <c r="M202" s="698"/>
      <c r="N202" s="698"/>
      <c r="O202" s="698"/>
      <c r="P202" s="698"/>
      <c r="Q202" s="698"/>
    </row>
    <row r="203" spans="1:17" ht="12.75">
      <c r="A203" s="698"/>
      <c r="B203" s="698"/>
      <c r="C203" s="698"/>
      <c r="D203" s="698"/>
      <c r="E203" s="698"/>
      <c r="F203" s="698"/>
      <c r="G203" s="698"/>
      <c r="H203" s="698"/>
      <c r="I203" s="698"/>
      <c r="J203" s="698"/>
      <c r="K203" s="698"/>
      <c r="L203" s="698"/>
      <c r="M203" s="698"/>
      <c r="N203" s="698"/>
      <c r="O203" s="698"/>
      <c r="P203" s="698"/>
      <c r="Q203" s="698"/>
    </row>
    <row r="204" spans="1:17" ht="12.75">
      <c r="A204" s="698"/>
      <c r="B204" s="698"/>
      <c r="C204" s="698"/>
      <c r="D204" s="698"/>
      <c r="E204" s="698"/>
      <c r="F204" s="698"/>
      <c r="G204" s="698"/>
      <c r="H204" s="698"/>
      <c r="I204" s="698"/>
      <c r="J204" s="698"/>
      <c r="K204" s="698"/>
      <c r="L204" s="698"/>
      <c r="M204" s="698"/>
      <c r="N204" s="698"/>
      <c r="O204" s="698"/>
      <c r="P204" s="698"/>
      <c r="Q204" s="698"/>
    </row>
    <row r="205" spans="1:17" ht="12.75">
      <c r="A205" s="698"/>
      <c r="B205" s="698"/>
      <c r="C205" s="698"/>
      <c r="D205" s="698"/>
      <c r="E205" s="698"/>
      <c r="F205" s="698"/>
      <c r="G205" s="698"/>
      <c r="H205" s="698"/>
      <c r="I205" s="698"/>
      <c r="J205" s="698"/>
      <c r="K205" s="698"/>
      <c r="L205" s="698"/>
      <c r="M205" s="698"/>
      <c r="N205" s="698"/>
      <c r="O205" s="698"/>
      <c r="P205" s="698"/>
      <c r="Q205" s="698"/>
    </row>
    <row r="206" spans="1:17" ht="12.75">
      <c r="A206" s="698"/>
      <c r="B206" s="698"/>
      <c r="C206" s="698"/>
      <c r="D206" s="698"/>
      <c r="E206" s="698"/>
      <c r="F206" s="698"/>
      <c r="G206" s="698"/>
      <c r="H206" s="698"/>
      <c r="I206" s="698"/>
      <c r="J206" s="698"/>
      <c r="K206" s="698"/>
      <c r="L206" s="698"/>
      <c r="M206" s="698"/>
      <c r="N206" s="698"/>
      <c r="O206" s="698"/>
      <c r="P206" s="698"/>
      <c r="Q206" s="698"/>
    </row>
    <row r="207" spans="1:17" ht="12.75">
      <c r="A207" s="698"/>
      <c r="B207" s="698"/>
      <c r="C207" s="698"/>
      <c r="D207" s="698"/>
      <c r="E207" s="698"/>
      <c r="F207" s="698"/>
      <c r="G207" s="698"/>
      <c r="H207" s="698"/>
      <c r="I207" s="698"/>
      <c r="J207" s="698"/>
      <c r="K207" s="698"/>
      <c r="L207" s="698"/>
      <c r="M207" s="698"/>
      <c r="N207" s="698"/>
      <c r="O207" s="698"/>
      <c r="P207" s="698"/>
      <c r="Q207" s="698"/>
    </row>
    <row r="208" spans="1:17" ht="12.75">
      <c r="A208" s="698"/>
      <c r="B208" s="698"/>
      <c r="C208" s="698"/>
      <c r="D208" s="698"/>
      <c r="E208" s="698"/>
      <c r="F208" s="698"/>
      <c r="G208" s="698"/>
      <c r="H208" s="698"/>
      <c r="I208" s="698"/>
      <c r="J208" s="698"/>
      <c r="K208" s="698"/>
      <c r="L208" s="698"/>
      <c r="M208" s="698"/>
      <c r="N208" s="698"/>
      <c r="O208" s="698"/>
      <c r="P208" s="698"/>
      <c r="Q208" s="698"/>
    </row>
    <row r="209" spans="1:17" ht="12.75">
      <c r="A209" s="698"/>
      <c r="B209" s="698"/>
      <c r="C209" s="698"/>
      <c r="D209" s="698"/>
      <c r="E209" s="698"/>
      <c r="F209" s="698"/>
      <c r="G209" s="698"/>
      <c r="H209" s="698"/>
      <c r="I209" s="698"/>
      <c r="J209" s="698"/>
      <c r="K209" s="698"/>
      <c r="L209" s="698"/>
      <c r="M209" s="698"/>
      <c r="N209" s="698"/>
      <c r="O209" s="698"/>
      <c r="P209" s="698"/>
      <c r="Q209" s="698"/>
    </row>
    <row r="210" spans="1:17" ht="12.75">
      <c r="A210" s="698"/>
      <c r="B210" s="698"/>
      <c r="C210" s="698"/>
      <c r="D210" s="698"/>
      <c r="E210" s="698"/>
      <c r="F210" s="698"/>
      <c r="G210" s="698"/>
      <c r="H210" s="698"/>
      <c r="I210" s="698"/>
      <c r="J210" s="698"/>
      <c r="K210" s="698"/>
      <c r="L210" s="698"/>
      <c r="M210" s="698"/>
      <c r="N210" s="698"/>
      <c r="O210" s="698"/>
      <c r="P210" s="698"/>
      <c r="Q210" s="698"/>
    </row>
    <row r="211" spans="1:17" ht="12.75">
      <c r="A211" s="698"/>
      <c r="B211" s="698"/>
      <c r="C211" s="698"/>
      <c r="D211" s="698"/>
      <c r="E211" s="698"/>
      <c r="F211" s="698"/>
      <c r="G211" s="698"/>
      <c r="H211" s="698"/>
      <c r="I211" s="698"/>
      <c r="J211" s="698"/>
      <c r="K211" s="698"/>
      <c r="L211" s="698"/>
      <c r="M211" s="698"/>
      <c r="N211" s="698"/>
      <c r="O211" s="698"/>
      <c r="P211" s="698"/>
      <c r="Q211" s="698"/>
    </row>
    <row r="212" spans="1:17" ht="12.75">
      <c r="A212" s="698"/>
      <c r="B212" s="698"/>
      <c r="C212" s="698"/>
      <c r="D212" s="698"/>
      <c r="E212" s="698"/>
      <c r="F212" s="698"/>
      <c r="G212" s="698"/>
      <c r="H212" s="698"/>
      <c r="I212" s="698"/>
      <c r="J212" s="698"/>
      <c r="K212" s="698"/>
      <c r="L212" s="698"/>
      <c r="M212" s="698"/>
      <c r="N212" s="698"/>
      <c r="O212" s="698"/>
      <c r="P212" s="698"/>
      <c r="Q212" s="698"/>
    </row>
    <row r="213" spans="1:17" ht="12.75">
      <c r="A213" s="698"/>
      <c r="B213" s="698"/>
      <c r="C213" s="698"/>
      <c r="D213" s="698"/>
      <c r="E213" s="698"/>
      <c r="F213" s="698"/>
      <c r="G213" s="698"/>
      <c r="H213" s="698"/>
      <c r="I213" s="698"/>
      <c r="J213" s="698"/>
      <c r="K213" s="698"/>
      <c r="L213" s="698"/>
      <c r="M213" s="698"/>
      <c r="N213" s="698"/>
      <c r="O213" s="698"/>
      <c r="P213" s="698"/>
      <c r="Q213" s="698"/>
    </row>
    <row r="214" spans="1:17" ht="12.75">
      <c r="A214" s="698"/>
      <c r="B214" s="698"/>
      <c r="C214" s="698"/>
      <c r="D214" s="698"/>
      <c r="E214" s="698"/>
      <c r="F214" s="698"/>
      <c r="G214" s="698"/>
      <c r="H214" s="698"/>
      <c r="I214" s="698"/>
      <c r="J214" s="698"/>
      <c r="K214" s="698"/>
      <c r="L214" s="698"/>
      <c r="M214" s="698"/>
      <c r="N214" s="698"/>
      <c r="O214" s="698"/>
      <c r="P214" s="698"/>
      <c r="Q214" s="698"/>
    </row>
    <row r="215" spans="1:17" ht="12.75">
      <c r="A215" s="698"/>
      <c r="B215" s="698"/>
      <c r="C215" s="698"/>
      <c r="D215" s="698"/>
      <c r="E215" s="698"/>
      <c r="F215" s="698"/>
      <c r="G215" s="698"/>
      <c r="H215" s="698"/>
      <c r="I215" s="698"/>
      <c r="J215" s="698"/>
      <c r="K215" s="698"/>
      <c r="L215" s="698"/>
      <c r="M215" s="698"/>
      <c r="N215" s="698"/>
      <c r="O215" s="698"/>
      <c r="P215" s="698"/>
      <c r="Q215" s="698"/>
    </row>
    <row r="216" spans="1:17" ht="12.75">
      <c r="A216" s="698"/>
      <c r="B216" s="698"/>
      <c r="C216" s="698"/>
      <c r="D216" s="698"/>
      <c r="E216" s="698"/>
      <c r="F216" s="698"/>
      <c r="G216" s="698"/>
      <c r="H216" s="698"/>
      <c r="I216" s="698"/>
      <c r="J216" s="698"/>
      <c r="K216" s="698"/>
      <c r="L216" s="698"/>
      <c r="M216" s="698"/>
      <c r="N216" s="698"/>
      <c r="O216" s="698"/>
      <c r="P216" s="698"/>
      <c r="Q216" s="698"/>
    </row>
    <row r="217" spans="1:17" ht="12.75">
      <c r="A217" s="698"/>
      <c r="B217" s="698"/>
      <c r="C217" s="698"/>
      <c r="D217" s="698"/>
      <c r="E217" s="698"/>
      <c r="F217" s="698"/>
      <c r="G217" s="698"/>
      <c r="H217" s="698"/>
      <c r="I217" s="698"/>
      <c r="J217" s="698"/>
      <c r="K217" s="698"/>
      <c r="L217" s="698"/>
      <c r="M217" s="698"/>
      <c r="N217" s="698"/>
      <c r="O217" s="698"/>
      <c r="P217" s="698"/>
      <c r="Q217" s="698"/>
    </row>
    <row r="218" spans="1:17" ht="12.75">
      <c r="A218" s="698"/>
      <c r="B218" s="698"/>
      <c r="C218" s="698"/>
      <c r="D218" s="698"/>
      <c r="E218" s="698"/>
      <c r="F218" s="698"/>
      <c r="G218" s="698"/>
      <c r="H218" s="698"/>
      <c r="I218" s="698"/>
      <c r="J218" s="698"/>
      <c r="K218" s="698"/>
      <c r="L218" s="698"/>
      <c r="M218" s="698"/>
      <c r="N218" s="698"/>
      <c r="O218" s="698"/>
      <c r="P218" s="698"/>
      <c r="Q218" s="698"/>
    </row>
    <row r="219" spans="1:17" ht="12.75">
      <c r="A219" s="698"/>
      <c r="B219" s="698"/>
      <c r="C219" s="698"/>
      <c r="D219" s="698"/>
      <c r="E219" s="698"/>
      <c r="F219" s="698"/>
      <c r="G219" s="698"/>
      <c r="H219" s="698"/>
      <c r="I219" s="698"/>
      <c r="J219" s="698"/>
      <c r="K219" s="698"/>
      <c r="L219" s="698"/>
      <c r="M219" s="698"/>
      <c r="N219" s="698"/>
      <c r="O219" s="698"/>
      <c r="P219" s="698"/>
      <c r="Q219" s="698"/>
    </row>
    <row r="220" spans="1:17" ht="12.75">
      <c r="A220" s="698"/>
      <c r="B220" s="698"/>
      <c r="C220" s="698"/>
      <c r="D220" s="698"/>
      <c r="E220" s="698"/>
      <c r="F220" s="698"/>
      <c r="G220" s="698"/>
      <c r="H220" s="698"/>
      <c r="I220" s="698"/>
      <c r="J220" s="698"/>
      <c r="K220" s="698"/>
      <c r="L220" s="698"/>
      <c r="M220" s="698"/>
      <c r="N220" s="698"/>
      <c r="O220" s="698"/>
      <c r="P220" s="698"/>
      <c r="Q220" s="698"/>
    </row>
    <row r="221" spans="1:17" ht="12.75">
      <c r="A221" s="698"/>
      <c r="B221" s="698"/>
      <c r="C221" s="698"/>
      <c r="D221" s="698"/>
      <c r="E221" s="698"/>
      <c r="F221" s="698"/>
      <c r="G221" s="698"/>
      <c r="H221" s="698"/>
      <c r="I221" s="698"/>
      <c r="J221" s="698"/>
      <c r="K221" s="698"/>
      <c r="L221" s="698"/>
      <c r="M221" s="698"/>
      <c r="N221" s="698"/>
      <c r="O221" s="698"/>
      <c r="P221" s="698"/>
      <c r="Q221" s="698"/>
    </row>
    <row r="222" spans="1:17" ht="12.75">
      <c r="A222" s="698"/>
      <c r="B222" s="698"/>
      <c r="C222" s="698"/>
      <c r="D222" s="698"/>
      <c r="E222" s="698"/>
      <c r="F222" s="698"/>
      <c r="G222" s="698"/>
      <c r="H222" s="698"/>
      <c r="I222" s="698"/>
      <c r="J222" s="698"/>
      <c r="K222" s="698"/>
      <c r="L222" s="698"/>
      <c r="M222" s="698"/>
      <c r="N222" s="698"/>
      <c r="O222" s="698"/>
      <c r="P222" s="698"/>
      <c r="Q222" s="698"/>
    </row>
    <row r="223" spans="1:17" ht="12.75">
      <c r="A223" s="698"/>
      <c r="B223" s="698"/>
      <c r="C223" s="698"/>
      <c r="D223" s="698"/>
      <c r="E223" s="698"/>
      <c r="F223" s="698"/>
      <c r="G223" s="698"/>
      <c r="H223" s="698"/>
      <c r="I223" s="698"/>
      <c r="J223" s="698"/>
      <c r="K223" s="698"/>
      <c r="L223" s="698"/>
      <c r="M223" s="698"/>
      <c r="N223" s="698"/>
      <c r="O223" s="698"/>
      <c r="P223" s="698"/>
      <c r="Q223" s="698"/>
    </row>
    <row r="224" spans="1:17" ht="12.75">
      <c r="A224" s="698"/>
      <c r="B224" s="698"/>
      <c r="C224" s="698"/>
      <c r="D224" s="698"/>
      <c r="E224" s="698"/>
      <c r="F224" s="698"/>
      <c r="G224" s="698"/>
      <c r="H224" s="698"/>
      <c r="I224" s="698"/>
      <c r="J224" s="698"/>
      <c r="K224" s="698"/>
      <c r="L224" s="698"/>
      <c r="M224" s="698"/>
      <c r="N224" s="698"/>
      <c r="O224" s="698"/>
      <c r="P224" s="698"/>
      <c r="Q224" s="698"/>
    </row>
    <row r="225" spans="1:17" ht="12.75">
      <c r="A225" s="698"/>
      <c r="B225" s="698"/>
      <c r="C225" s="698"/>
      <c r="D225" s="698"/>
      <c r="E225" s="698"/>
      <c r="F225" s="698"/>
      <c r="G225" s="698"/>
      <c r="H225" s="698"/>
      <c r="I225" s="698"/>
      <c r="J225" s="698"/>
      <c r="K225" s="698"/>
      <c r="L225" s="698"/>
      <c r="M225" s="698"/>
      <c r="N225" s="698"/>
      <c r="O225" s="698"/>
      <c r="P225" s="698"/>
      <c r="Q225" s="698"/>
    </row>
    <row r="226" spans="1:17" ht="12.75">
      <c r="A226" s="698"/>
      <c r="B226" s="698"/>
      <c r="C226" s="698"/>
      <c r="D226" s="698"/>
      <c r="E226" s="698"/>
      <c r="F226" s="698"/>
      <c r="G226" s="698"/>
      <c r="H226" s="698"/>
      <c r="I226" s="698"/>
      <c r="J226" s="698"/>
      <c r="K226" s="698"/>
      <c r="L226" s="698"/>
      <c r="M226" s="698"/>
      <c r="N226" s="698"/>
      <c r="O226" s="698"/>
      <c r="P226" s="698"/>
      <c r="Q226" s="698"/>
    </row>
    <row r="227" spans="1:17" ht="12.75">
      <c r="A227" s="698"/>
      <c r="B227" s="698"/>
      <c r="C227" s="698"/>
      <c r="D227" s="698"/>
      <c r="E227" s="698"/>
      <c r="F227" s="698"/>
      <c r="G227" s="698"/>
      <c r="H227" s="698"/>
      <c r="I227" s="698"/>
      <c r="J227" s="698"/>
      <c r="K227" s="698"/>
      <c r="L227" s="698"/>
      <c r="M227" s="698"/>
      <c r="N227" s="698"/>
      <c r="O227" s="698"/>
      <c r="P227" s="698"/>
      <c r="Q227" s="698"/>
    </row>
    <row r="228" spans="1:17" ht="12.75">
      <c r="A228" s="698"/>
      <c r="B228" s="698"/>
      <c r="C228" s="698"/>
      <c r="D228" s="698"/>
      <c r="E228" s="698"/>
      <c r="F228" s="698"/>
      <c r="G228" s="698"/>
      <c r="H228" s="698"/>
      <c r="I228" s="698"/>
      <c r="J228" s="698"/>
      <c r="K228" s="698"/>
      <c r="L228" s="698"/>
      <c r="M228" s="698"/>
      <c r="N228" s="698"/>
      <c r="O228" s="698"/>
      <c r="P228" s="698"/>
      <c r="Q228" s="698"/>
    </row>
  </sheetData>
  <sheetProtection/>
  <printOptions/>
  <pageMargins left="0.7" right="0.7" top="0.75" bottom="0.75" header="0.3" footer="0.3"/>
  <pageSetup fitToHeight="1" fitToWidth="1" horizontalDpi="600" verticalDpi="600" orientation="landscape" scale="65" r:id="rId1"/>
  <headerFooter alignWithMargins="0">
    <oddFooter>&amp;L&amp;F&amp;A&amp;C&amp;D&amp;R&amp;P of &amp;N</oddFooter>
  </headerFooter>
</worksheet>
</file>

<file path=xl/worksheets/sheet9.xml><?xml version="1.0" encoding="utf-8"?>
<worksheet xmlns="http://schemas.openxmlformats.org/spreadsheetml/2006/main" xmlns:r="http://schemas.openxmlformats.org/officeDocument/2006/relationships">
  <sheetPr>
    <tabColor rgb="FF7030A0"/>
    <pageSetUpPr fitToPage="1"/>
  </sheetPr>
  <dimension ref="A1:BO313"/>
  <sheetViews>
    <sheetView zoomScalePageLayoutView="0" workbookViewId="0" topLeftCell="AM61">
      <selection activeCell="AN11" sqref="AN11"/>
    </sheetView>
  </sheetViews>
  <sheetFormatPr defaultColWidth="9.140625" defaultRowHeight="12.75"/>
  <cols>
    <col min="1" max="1" width="7.28125" style="115" customWidth="1"/>
    <col min="2" max="2" width="16.8515625" style="113" customWidth="1"/>
    <col min="3" max="3" width="26.28125" style="113" bestFit="1" customWidth="1"/>
    <col min="4" max="4" width="17.00390625" style="114" bestFit="1" customWidth="1"/>
    <col min="5" max="5" width="10.140625" style="113" bestFit="1" customWidth="1"/>
    <col min="6" max="6" width="11.57421875" style="113" bestFit="1" customWidth="1"/>
    <col min="7" max="7" width="10.140625" style="113" bestFit="1" customWidth="1"/>
    <col min="8" max="8" width="11.57421875" style="113" bestFit="1" customWidth="1"/>
    <col min="9" max="9" width="10.140625" style="113" bestFit="1" customWidth="1"/>
    <col min="10" max="10" width="11.57421875" style="113" bestFit="1" customWidth="1"/>
    <col min="11" max="11" width="11.28125" style="113" bestFit="1" customWidth="1"/>
    <col min="12" max="13" width="15.00390625" style="113" bestFit="1" customWidth="1"/>
    <col min="14" max="14" width="16.140625" style="113" bestFit="1" customWidth="1"/>
    <col min="15" max="16" width="10.7109375" style="113" customWidth="1"/>
    <col min="17" max="21" width="12.7109375" style="113" customWidth="1"/>
    <col min="22" max="22" width="10.7109375" style="113" customWidth="1"/>
    <col min="23" max="27" width="12.7109375" style="113" customWidth="1"/>
    <col min="28" max="28" width="10.7109375" style="113" customWidth="1"/>
    <col min="29" max="34" width="12.7109375" style="113" customWidth="1"/>
    <col min="35" max="35" width="15.7109375" style="113" bestFit="1" customWidth="1"/>
    <col min="36" max="38" width="10.7109375" style="113" customWidth="1"/>
    <col min="39" max="39" width="12.7109375" style="113" bestFit="1" customWidth="1"/>
    <col min="40" max="44" width="12.7109375" style="113" customWidth="1"/>
    <col min="45" max="45" width="16.00390625" style="113" bestFit="1" customWidth="1"/>
    <col min="46" max="46" width="14.57421875" style="113" customWidth="1"/>
    <col min="47" max="47" width="14.421875" style="113" customWidth="1"/>
    <col min="48" max="51" width="12.7109375" style="113" customWidth="1"/>
    <col min="52" max="52" width="22.8515625" style="113" customWidth="1"/>
    <col min="53" max="16384" width="9.140625" style="113" customWidth="1"/>
  </cols>
  <sheetData>
    <row r="1" spans="1:61" ht="20.25">
      <c r="A1" s="60" t="str">
        <f>'1.2 INC STMT'!A1</f>
        <v>Pineview West Water Company</v>
      </c>
      <c r="B1" s="260"/>
      <c r="C1" s="260"/>
      <c r="D1" s="261"/>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row>
    <row r="2" spans="1:61" ht="22.5">
      <c r="A2" s="59" t="s">
        <v>394</v>
      </c>
      <c r="B2" s="260"/>
      <c r="C2" s="260"/>
      <c r="D2" s="261"/>
      <c r="E2" s="260"/>
      <c r="F2" s="260"/>
      <c r="G2" s="260"/>
      <c r="H2" s="260"/>
      <c r="I2" s="260"/>
      <c r="J2" s="260"/>
      <c r="K2" s="260"/>
      <c r="L2" s="260"/>
      <c r="M2" s="260"/>
      <c r="N2" s="260"/>
      <c r="O2" s="260"/>
      <c r="P2" s="532" t="s">
        <v>510</v>
      </c>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t="s">
        <v>477</v>
      </c>
      <c r="AS2" s="260"/>
      <c r="AT2" s="260"/>
      <c r="AU2" s="260"/>
      <c r="AV2" s="260"/>
      <c r="AW2" s="260"/>
      <c r="AX2" s="260"/>
      <c r="AY2" s="260"/>
      <c r="AZ2" s="260"/>
      <c r="BA2" s="260"/>
      <c r="BB2" s="260"/>
      <c r="BC2" s="260"/>
      <c r="BD2" s="260"/>
      <c r="BE2" s="260"/>
      <c r="BF2" s="260"/>
      <c r="BG2" s="260"/>
      <c r="BH2" s="260"/>
      <c r="BI2" s="260"/>
    </row>
    <row r="3" spans="1:61" ht="15.75">
      <c r="A3" s="23" t="str">
        <f>'1.2 INC STMT'!A3</f>
        <v>Year Ended December 31, 2008</v>
      </c>
      <c r="B3" s="260"/>
      <c r="C3" s="260"/>
      <c r="D3" s="261"/>
      <c r="E3" s="260"/>
      <c r="F3" s="260"/>
      <c r="G3" s="260"/>
      <c r="H3" s="260"/>
      <c r="I3" s="260"/>
      <c r="J3" s="260"/>
      <c r="K3" s="260"/>
      <c r="L3" s="260"/>
      <c r="M3" s="260"/>
      <c r="N3" s="260"/>
      <c r="O3" s="260"/>
      <c r="P3" s="260" t="s">
        <v>511</v>
      </c>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2"/>
      <c r="AR3" s="263"/>
      <c r="AS3" s="263"/>
      <c r="AT3" s="263"/>
      <c r="AU3" s="263"/>
      <c r="AV3" s="263"/>
      <c r="AW3" s="263"/>
      <c r="AX3" s="263"/>
      <c r="AY3" s="263"/>
      <c r="AZ3" s="260"/>
      <c r="BA3" s="260"/>
      <c r="BB3" s="260"/>
      <c r="BC3" s="260"/>
      <c r="BD3" s="260"/>
      <c r="BE3" s="260"/>
      <c r="BF3" s="260"/>
      <c r="BG3" s="260"/>
      <c r="BH3" s="260"/>
      <c r="BI3" s="260"/>
    </row>
    <row r="4" spans="1:61" ht="15">
      <c r="A4" s="264"/>
      <c r="B4" s="260"/>
      <c r="C4" s="260"/>
      <c r="D4" s="261"/>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row>
    <row r="5" spans="1:61" ht="19.5" thickBot="1">
      <c r="A5" s="264"/>
      <c r="B5" s="265"/>
      <c r="C5" s="266"/>
      <c r="D5" s="776" t="s">
        <v>379</v>
      </c>
      <c r="E5" s="777"/>
      <c r="F5" s="777"/>
      <c r="G5" s="777"/>
      <c r="H5" s="777"/>
      <c r="I5" s="777"/>
      <c r="J5" s="777"/>
      <c r="K5" s="777"/>
      <c r="L5" s="777"/>
      <c r="M5" s="777"/>
      <c r="N5" s="778"/>
      <c r="O5" s="260"/>
      <c r="P5" s="782" t="s">
        <v>378</v>
      </c>
      <c r="Q5" s="783"/>
      <c r="R5" s="783"/>
      <c r="S5" s="783"/>
      <c r="T5" s="783"/>
      <c r="U5" s="783"/>
      <c r="V5" s="783"/>
      <c r="W5" s="783"/>
      <c r="X5" s="783"/>
      <c r="Y5" s="783"/>
      <c r="Z5" s="783"/>
      <c r="AA5" s="783"/>
      <c r="AB5" s="783"/>
      <c r="AC5" s="783"/>
      <c r="AD5" s="783"/>
      <c r="AE5" s="783"/>
      <c r="AF5" s="783"/>
      <c r="AG5" s="783"/>
      <c r="AH5" s="558"/>
      <c r="AI5" s="558"/>
      <c r="AJ5" s="784" t="s">
        <v>517</v>
      </c>
      <c r="AK5" s="784"/>
      <c r="AL5" s="784"/>
      <c r="AM5" s="784"/>
      <c r="AN5" s="784"/>
      <c r="AO5" s="784"/>
      <c r="AP5" s="779" t="s">
        <v>377</v>
      </c>
      <c r="AQ5" s="777"/>
      <c r="AR5" s="778"/>
      <c r="AS5" s="267"/>
      <c r="AT5" s="267"/>
      <c r="AU5" s="267"/>
      <c r="AV5" s="267"/>
      <c r="AW5" s="267"/>
      <c r="AX5" s="267"/>
      <c r="AY5" s="267"/>
      <c r="AZ5" s="260"/>
      <c r="BA5" s="260"/>
      <c r="BB5" s="260"/>
      <c r="BC5" s="260"/>
      <c r="BD5" s="260"/>
      <c r="BE5" s="260"/>
      <c r="BF5" s="260"/>
      <c r="BG5" s="260"/>
      <c r="BH5" s="260"/>
      <c r="BI5" s="260"/>
    </row>
    <row r="6" spans="1:61" ht="15.75">
      <c r="A6" s="268"/>
      <c r="B6" s="269"/>
      <c r="C6" s="270"/>
      <c r="D6" s="271" t="s">
        <v>376</v>
      </c>
      <c r="E6" s="272"/>
      <c r="F6" s="273">
        <v>6000</v>
      </c>
      <c r="G6" s="271"/>
      <c r="H6" s="273">
        <v>6000</v>
      </c>
      <c r="I6" s="271"/>
      <c r="J6" s="273">
        <v>6000</v>
      </c>
      <c r="K6" s="271"/>
      <c r="L6" s="273">
        <v>6000</v>
      </c>
      <c r="M6" s="274"/>
      <c r="N6" s="275"/>
      <c r="O6" s="260"/>
      <c r="P6" s="260"/>
      <c r="Q6" s="260"/>
      <c r="R6" s="260"/>
      <c r="S6" s="260"/>
      <c r="T6" s="276"/>
      <c r="U6" s="277"/>
      <c r="V6" s="278"/>
      <c r="W6" s="276"/>
      <c r="X6" s="276"/>
      <c r="Y6" s="276"/>
      <c r="Z6" s="276"/>
      <c r="AA6" s="277"/>
      <c r="AB6" s="278"/>
      <c r="AC6" s="276"/>
      <c r="AD6" s="276"/>
      <c r="AE6" s="276"/>
      <c r="AF6" s="276"/>
      <c r="AG6" s="277"/>
      <c r="AH6" s="276"/>
      <c r="AI6" s="276"/>
      <c r="AJ6" s="276"/>
      <c r="AK6" s="276"/>
      <c r="AL6" s="276"/>
      <c r="AM6" s="276"/>
      <c r="AN6" s="276"/>
      <c r="AO6" s="276"/>
      <c r="AP6" s="276"/>
      <c r="AQ6" s="276"/>
      <c r="AR6" s="276"/>
      <c r="AS6" s="276"/>
      <c r="AT6" s="276"/>
      <c r="AU6" s="276"/>
      <c r="AV6" s="276"/>
      <c r="AW6" s="276"/>
      <c r="AX6" s="276"/>
      <c r="AY6" s="276"/>
      <c r="AZ6" s="260"/>
      <c r="BA6" s="260"/>
      <c r="BB6" s="260"/>
      <c r="BC6" s="260"/>
      <c r="BD6" s="260"/>
      <c r="BE6" s="260"/>
      <c r="BF6" s="260"/>
      <c r="BG6" s="260"/>
      <c r="BH6" s="260"/>
      <c r="BI6" s="260"/>
    </row>
    <row r="7" spans="1:61" ht="15.75">
      <c r="A7" s="268"/>
      <c r="B7" s="269"/>
      <c r="C7" s="279"/>
      <c r="D7" s="278" t="s">
        <v>375</v>
      </c>
      <c r="E7" s="269"/>
      <c r="F7" s="280">
        <v>15</v>
      </c>
      <c r="G7" s="278"/>
      <c r="H7" s="280">
        <v>15</v>
      </c>
      <c r="I7" s="278"/>
      <c r="J7" s="280">
        <v>15</v>
      </c>
      <c r="K7" s="278"/>
      <c r="L7" s="280">
        <v>15</v>
      </c>
      <c r="M7" s="281"/>
      <c r="N7" s="282"/>
      <c r="O7" s="260"/>
      <c r="P7" s="260"/>
      <c r="Q7" s="260"/>
      <c r="R7" s="260"/>
      <c r="S7" s="260"/>
      <c r="T7" s="283"/>
      <c r="U7" s="284"/>
      <c r="V7" s="285"/>
      <c r="W7" s="281"/>
      <c r="X7" s="281"/>
      <c r="Y7" s="281"/>
      <c r="Z7" s="281"/>
      <c r="AA7" s="280"/>
      <c r="AB7" s="285"/>
      <c r="AC7" s="281"/>
      <c r="AD7" s="281"/>
      <c r="AE7" s="281"/>
      <c r="AF7" s="281"/>
      <c r="AG7" s="280"/>
      <c r="AH7" s="281"/>
      <c r="AI7" s="281"/>
      <c r="AJ7" s="281"/>
      <c r="AK7" s="281"/>
      <c r="AL7" s="281"/>
      <c r="AM7" s="281"/>
      <c r="AN7" s="281"/>
      <c r="AO7" s="281"/>
      <c r="AP7" s="281"/>
      <c r="AQ7" s="281"/>
      <c r="AR7" s="475"/>
      <c r="AS7" s="281"/>
      <c r="AT7" s="281"/>
      <c r="AU7" s="281"/>
      <c r="AV7" s="281"/>
      <c r="AW7" s="281"/>
      <c r="AX7" s="281"/>
      <c r="AY7" s="281"/>
      <c r="AZ7" s="260"/>
      <c r="BA7" s="260"/>
      <c r="BB7" s="260"/>
      <c r="BC7" s="260"/>
      <c r="BD7" s="260"/>
      <c r="BE7" s="260"/>
      <c r="BF7" s="260"/>
      <c r="BG7" s="260"/>
      <c r="BH7" s="260"/>
      <c r="BI7" s="260"/>
    </row>
    <row r="8" spans="1:61" ht="15.75">
      <c r="A8" s="268"/>
      <c r="B8" s="269"/>
      <c r="C8" s="279"/>
      <c r="D8" s="278" t="s">
        <v>374</v>
      </c>
      <c r="E8" s="269"/>
      <c r="F8" s="280">
        <v>2.5</v>
      </c>
      <c r="G8" s="278"/>
      <c r="H8" s="280">
        <v>2.5</v>
      </c>
      <c r="I8" s="278"/>
      <c r="J8" s="280">
        <v>2.5</v>
      </c>
      <c r="K8" s="278"/>
      <c r="L8" s="280">
        <v>2.5</v>
      </c>
      <c r="M8" s="281"/>
      <c r="N8" s="282"/>
      <c r="O8" s="260"/>
      <c r="P8" s="260"/>
      <c r="Q8" s="260"/>
      <c r="R8" s="260"/>
      <c r="S8" s="260"/>
      <c r="T8" s="269"/>
      <c r="U8" s="286"/>
      <c r="V8" s="278"/>
      <c r="W8" s="281"/>
      <c r="X8" s="281"/>
      <c r="Y8" s="281"/>
      <c r="Z8" s="281"/>
      <c r="AA8" s="280"/>
      <c r="AB8" s="278"/>
      <c r="AC8" s="281"/>
      <c r="AD8" s="281"/>
      <c r="AE8" s="281"/>
      <c r="AF8" s="281"/>
      <c r="AG8" s="280"/>
      <c r="AH8" s="281"/>
      <c r="AI8" s="281"/>
      <c r="AJ8" s="281"/>
      <c r="AK8" s="281"/>
      <c r="AL8" s="281"/>
      <c r="AM8" s="287"/>
      <c r="AN8" s="287"/>
      <c r="AO8" s="287"/>
      <c r="AP8" s="281"/>
      <c r="AQ8" s="281"/>
      <c r="AR8" s="475"/>
      <c r="AS8" s="281"/>
      <c r="AT8" s="281"/>
      <c r="AU8" s="281"/>
      <c r="AV8" s="281"/>
      <c r="AW8" s="281"/>
      <c r="AX8" s="281"/>
      <c r="AY8" s="281"/>
      <c r="AZ8" s="260"/>
      <c r="BA8" s="260"/>
      <c r="BB8" s="260"/>
      <c r="BC8" s="260"/>
      <c r="BD8" s="260"/>
      <c r="BE8" s="260"/>
      <c r="BF8" s="260"/>
      <c r="BG8" s="260"/>
      <c r="BH8" s="260"/>
      <c r="BI8" s="260"/>
    </row>
    <row r="9" spans="1:61" ht="15.75">
      <c r="A9" s="264"/>
      <c r="B9" s="269"/>
      <c r="C9" s="279"/>
      <c r="D9" s="278" t="s">
        <v>373</v>
      </c>
      <c r="E9" s="269"/>
      <c r="F9" s="286">
        <v>3</v>
      </c>
      <c r="G9" s="278"/>
      <c r="H9" s="286">
        <v>6</v>
      </c>
      <c r="I9" s="278"/>
      <c r="J9" s="286">
        <v>3</v>
      </c>
      <c r="K9" s="278"/>
      <c r="L9" s="286">
        <v>3</v>
      </c>
      <c r="M9" s="269"/>
      <c r="N9" s="288"/>
      <c r="O9" s="260"/>
      <c r="P9" s="289" t="s">
        <v>373</v>
      </c>
      <c r="Q9" s="290"/>
      <c r="R9" s="291">
        <v>6</v>
      </c>
      <c r="S9" s="292"/>
      <c r="T9" s="292"/>
      <c r="U9" s="293"/>
      <c r="V9" s="289"/>
      <c r="W9" s="291">
        <v>3</v>
      </c>
      <c r="X9" s="292"/>
      <c r="Y9" s="292"/>
      <c r="Z9" s="292"/>
      <c r="AA9" s="293"/>
      <c r="AB9" s="289"/>
      <c r="AC9" s="291">
        <v>3</v>
      </c>
      <c r="AD9" s="292"/>
      <c r="AE9" s="292"/>
      <c r="AF9" s="292"/>
      <c r="AG9" s="293"/>
      <c r="AH9" s="397"/>
      <c r="AI9" s="397"/>
      <c r="AJ9" s="269"/>
      <c r="AK9" s="269"/>
      <c r="AL9" s="269"/>
      <c r="AM9" s="269"/>
      <c r="AN9" s="269"/>
      <c r="AO9" s="269"/>
      <c r="AP9" s="269"/>
      <c r="AQ9" s="269"/>
      <c r="AR9" s="269"/>
      <c r="AS9" s="269"/>
      <c r="AT9" s="269"/>
      <c r="AU9" s="269"/>
      <c r="AV9" s="269"/>
      <c r="AW9" s="269"/>
      <c r="AX9" s="269"/>
      <c r="AY9" s="269"/>
      <c r="AZ9" s="260"/>
      <c r="BA9" s="260"/>
      <c r="BB9" s="260"/>
      <c r="BC9" s="260"/>
      <c r="BD9" s="260"/>
      <c r="BE9" s="260"/>
      <c r="BF9" s="260"/>
      <c r="BG9" s="260"/>
      <c r="BH9" s="260"/>
      <c r="BI9" s="260"/>
    </row>
    <row r="10" spans="1:67" ht="63.75" thickBot="1">
      <c r="A10" s="294"/>
      <c r="B10" s="295" t="s">
        <v>372</v>
      </c>
      <c r="C10" s="296" t="s">
        <v>371</v>
      </c>
      <c r="D10" s="297" t="s">
        <v>370</v>
      </c>
      <c r="E10" s="530"/>
      <c r="F10" s="531"/>
      <c r="G10" s="298" t="s">
        <v>369</v>
      </c>
      <c r="H10" s="299"/>
      <c r="I10" s="298" t="s">
        <v>368</v>
      </c>
      <c r="J10" s="299"/>
      <c r="K10" s="298" t="s">
        <v>367</v>
      </c>
      <c r="L10" s="299"/>
      <c r="M10" s="300" t="s">
        <v>366</v>
      </c>
      <c r="N10" s="301" t="s">
        <v>365</v>
      </c>
      <c r="O10" s="300"/>
      <c r="P10" s="298" t="s">
        <v>369</v>
      </c>
      <c r="Q10" s="302" t="s">
        <v>416</v>
      </c>
      <c r="R10" s="302" t="s">
        <v>417</v>
      </c>
      <c r="S10" s="302" t="s">
        <v>424</v>
      </c>
      <c r="T10" s="302" t="s">
        <v>425</v>
      </c>
      <c r="U10" s="299" t="s">
        <v>426</v>
      </c>
      <c r="V10" s="298" t="s">
        <v>368</v>
      </c>
      <c r="W10" s="302" t="s">
        <v>416</v>
      </c>
      <c r="X10" s="303" t="s">
        <v>417</v>
      </c>
      <c r="Y10" s="302" t="s">
        <v>424</v>
      </c>
      <c r="Z10" s="302" t="s">
        <v>425</v>
      </c>
      <c r="AA10" s="299" t="s">
        <v>426</v>
      </c>
      <c r="AB10" s="298" t="s">
        <v>367</v>
      </c>
      <c r="AC10" s="302" t="s">
        <v>416</v>
      </c>
      <c r="AD10" s="303" t="s">
        <v>417</v>
      </c>
      <c r="AE10" s="302" t="s">
        <v>424</v>
      </c>
      <c r="AF10" s="302" t="s">
        <v>425</v>
      </c>
      <c r="AG10" s="299" t="s">
        <v>426</v>
      </c>
      <c r="AH10" s="300"/>
      <c r="AI10" s="300"/>
      <c r="AJ10" s="304" t="s">
        <v>418</v>
      </c>
      <c r="AK10" s="304" t="s">
        <v>419</v>
      </c>
      <c r="AL10" s="304" t="s">
        <v>420</v>
      </c>
      <c r="AM10" s="304" t="s">
        <v>421</v>
      </c>
      <c r="AN10" s="304" t="s">
        <v>422</v>
      </c>
      <c r="AO10" s="304" t="s">
        <v>423</v>
      </c>
      <c r="AP10" s="300" t="s">
        <v>365</v>
      </c>
      <c r="AQ10" s="300"/>
      <c r="AR10" s="300"/>
      <c r="AS10" s="305"/>
      <c r="AT10" s="305"/>
      <c r="AU10" s="305"/>
      <c r="AV10" s="305"/>
      <c r="AW10" s="305"/>
      <c r="AX10" s="305"/>
      <c r="AY10" s="305"/>
      <c r="AZ10" s="306"/>
      <c r="BA10" s="306"/>
      <c r="BB10" s="306"/>
      <c r="BC10" s="306"/>
      <c r="BD10" s="307" t="s">
        <v>216</v>
      </c>
      <c r="BE10" s="307" t="s">
        <v>213</v>
      </c>
      <c r="BF10" s="307" t="s">
        <v>211</v>
      </c>
      <c r="BG10" s="307" t="s">
        <v>191</v>
      </c>
      <c r="BH10" s="307" t="s">
        <v>196</v>
      </c>
      <c r="BI10" s="307" t="s">
        <v>227</v>
      </c>
      <c r="BJ10" s="119"/>
      <c r="BK10" s="119"/>
      <c r="BL10" s="119"/>
      <c r="BM10" s="119"/>
      <c r="BN10" s="119"/>
      <c r="BO10" s="119"/>
    </row>
    <row r="11" spans="1:61" ht="15.75">
      <c r="A11" s="308">
        <v>1</v>
      </c>
      <c r="B11" s="309" t="s">
        <v>364</v>
      </c>
      <c r="C11" s="310" t="s">
        <v>363</v>
      </c>
      <c r="D11" s="311" t="s">
        <v>362</v>
      </c>
      <c r="E11" s="524"/>
      <c r="F11" s="525"/>
      <c r="G11" s="312">
        <v>11760</v>
      </c>
      <c r="H11" s="313">
        <v>90</v>
      </c>
      <c r="I11" s="312">
        <v>7450</v>
      </c>
      <c r="J11" s="313">
        <f aca="true" t="shared" si="0" ref="J11:J42">IF(I11=0,0,(IF(I11&lt;=(J$9*J$6),(J$9*J$7),(I11-(J$6*J$9))*J$8/1000+J$9*J$7)))</f>
        <v>45</v>
      </c>
      <c r="K11" s="312">
        <v>7510</v>
      </c>
      <c r="L11" s="313">
        <f aca="true" t="shared" si="1" ref="L11:L42">IF(K11=0,0,(IF(K11&lt;=(L$9*L$6),(L$9*L$7),(K11-(L$6*L$9))*L$8/1000+L$9*L$7)))</f>
        <v>45</v>
      </c>
      <c r="M11" s="314">
        <f aca="true" t="shared" si="2" ref="M11:M42">G11+I11+K11</f>
        <v>26720</v>
      </c>
      <c r="N11" s="315">
        <f aca="true" t="shared" si="3" ref="N11:N42">H11+J11+L11</f>
        <v>180</v>
      </c>
      <c r="O11" s="262"/>
      <c r="P11" s="312">
        <v>11760</v>
      </c>
      <c r="Q11" s="316">
        <f aca="true" t="shared" si="4" ref="Q11:Q42">IF(P11&lt;$R$9*$AS$72,P11,$R$9*$AS$72)</f>
        <v>11760</v>
      </c>
      <c r="R11" s="316">
        <f aca="true" t="shared" si="5" ref="R11:R42">IF(P11-Q11=0,0,P11-Q11)</f>
        <v>0</v>
      </c>
      <c r="S11" s="317">
        <f aca="true" t="shared" si="6" ref="S11:S42">IF(P11=0,0,(IF(P11&lt;=(R$9*$AS$72),(R$9*$AS$73),(P11-($AS$72*R$9))*$AS$74/1000+R$9*$AS$73)))</f>
        <v>210</v>
      </c>
      <c r="T11" s="317">
        <f aca="true" t="shared" si="7" ref="T11:T42">IF(S11&lt;=$AS$73*$R$9,S11,$AS$73*$R$9)</f>
        <v>210</v>
      </c>
      <c r="U11" s="313">
        <f>IF(S11-T11=0,0,S11-T11)</f>
        <v>0</v>
      </c>
      <c r="V11" s="312">
        <v>7450</v>
      </c>
      <c r="W11" s="316">
        <f aca="true" t="shared" si="8" ref="W11:W42">IF(V11&lt;$W$9*$AS$72,V11,$W$9*$AS$72)</f>
        <v>7450</v>
      </c>
      <c r="X11" s="316">
        <f aca="true" t="shared" si="9" ref="X11:X42">IF(V11-W11=0,0,V11-W11)</f>
        <v>0</v>
      </c>
      <c r="Y11" s="313">
        <f aca="true" t="shared" si="10" ref="Y11:Y42">IF(V11=0,0,(IF(V11&lt;=(W$9*$AS$72),(W$9*$AS$73),(V11-($AS$72*W$9))*$AS$74/1000+W$9*$AS$73)))</f>
        <v>105</v>
      </c>
      <c r="Z11" s="317">
        <f aca="true" t="shared" si="11" ref="Z11:Z42">IF(Y11&lt;=$AS$73*$W$9,Y11,$AS$73*$W$9)</f>
        <v>105</v>
      </c>
      <c r="AA11" s="313">
        <f>IF(Y11-Z11=0,0,Y11-Z11)</f>
        <v>0</v>
      </c>
      <c r="AB11" s="312">
        <v>7510</v>
      </c>
      <c r="AC11" s="316">
        <f aca="true" t="shared" si="12" ref="AC11:AC42">IF(AB11&lt;$AC$9*$AS$72,AB11,$AC$9*$AS$72)</f>
        <v>7510</v>
      </c>
      <c r="AD11" s="316">
        <f aca="true" t="shared" si="13" ref="AD11:AD42">IF(AB11-AC11=0,0,AB11-AC11)</f>
        <v>0</v>
      </c>
      <c r="AE11" s="313">
        <f aca="true" t="shared" si="14" ref="AE11:AE42">IF(AB11=0,0,(IF(AB11&lt;=(AC$9*$AS$72),(AC$9*$AS$73),(AB11-($AS$72*AC$9))*$AS$74/1000+AC$9*$AS$73)))</f>
        <v>105</v>
      </c>
      <c r="AF11" s="317">
        <f aca="true" t="shared" si="15" ref="AF11:AF42">IF(AE11&lt;=$AS$73*$AC$9,AE11,$AS$73*$AC$9)</f>
        <v>105</v>
      </c>
      <c r="AG11" s="313">
        <f>IF(AE11-AF11=0,0,AE11-AF11)</f>
        <v>0</v>
      </c>
      <c r="AH11" s="262"/>
      <c r="AI11" s="262"/>
      <c r="AJ11" s="314">
        <f>P11+V11+AB11</f>
        <v>26720</v>
      </c>
      <c r="AK11" s="314">
        <f>Q11+W11+AC11</f>
        <v>26720</v>
      </c>
      <c r="AL11" s="314">
        <f>R11+X11+AD11</f>
        <v>0</v>
      </c>
      <c r="AM11" s="262">
        <f>S11+Y11+AE11</f>
        <v>420</v>
      </c>
      <c r="AN11" s="262">
        <f>T11+Z11+AF11</f>
        <v>420</v>
      </c>
      <c r="AO11" s="262">
        <f aca="true" t="shared" si="16" ref="AO11:AO70">U11+AA11+AG11</f>
        <v>0</v>
      </c>
      <c r="AP11" s="318">
        <f aca="true" t="shared" si="17" ref="AP11:AP42">N11</f>
        <v>180</v>
      </c>
      <c r="AQ11" s="262">
        <f aca="true" t="shared" si="18" ref="AQ11:AQ42">AM11-AP11</f>
        <v>240</v>
      </c>
      <c r="AR11" s="319">
        <f>AM11/AP11</f>
        <v>2.3333333333333335</v>
      </c>
      <c r="AS11" s="320"/>
      <c r="AT11" s="320"/>
      <c r="AU11" s="320"/>
      <c r="AV11" s="320"/>
      <c r="AW11" s="320"/>
      <c r="AX11" s="320"/>
      <c r="AY11" s="320"/>
      <c r="AZ11" s="262"/>
      <c r="BA11" s="268" t="s">
        <v>183</v>
      </c>
      <c r="BB11" s="268" t="s">
        <v>216</v>
      </c>
      <c r="BC11" s="260"/>
      <c r="BD11" s="321">
        <f aca="true" t="shared" si="19" ref="BD11:BG30">COUNTIF($BB11,BD$10)</f>
        <v>1</v>
      </c>
      <c r="BE11" s="321">
        <f t="shared" si="19"/>
        <v>0</v>
      </c>
      <c r="BF11" s="321">
        <f t="shared" si="19"/>
        <v>0</v>
      </c>
      <c r="BG11" s="321">
        <f t="shared" si="19"/>
        <v>0</v>
      </c>
      <c r="BH11" s="321">
        <f aca="true" t="shared" si="20" ref="BH11:BI30">COUNTIF($BC11,BH$10)</f>
        <v>0</v>
      </c>
      <c r="BI11" s="321">
        <f t="shared" si="20"/>
        <v>0</v>
      </c>
    </row>
    <row r="12" spans="1:61" ht="15.75">
      <c r="A12" s="322">
        <v>2</v>
      </c>
      <c r="B12" s="325" t="s">
        <v>361</v>
      </c>
      <c r="C12" s="310" t="s">
        <v>360</v>
      </c>
      <c r="D12" s="311" t="s">
        <v>359</v>
      </c>
      <c r="E12" s="524"/>
      <c r="F12" s="525"/>
      <c r="G12" s="312">
        <v>6390</v>
      </c>
      <c r="H12" s="313">
        <v>90</v>
      </c>
      <c r="I12" s="323">
        <v>1240</v>
      </c>
      <c r="J12" s="313">
        <f t="shared" si="0"/>
        <v>45</v>
      </c>
      <c r="K12" s="312">
        <v>3440</v>
      </c>
      <c r="L12" s="313">
        <f t="shared" si="1"/>
        <v>45</v>
      </c>
      <c r="M12" s="314">
        <f t="shared" si="2"/>
        <v>11070</v>
      </c>
      <c r="N12" s="315">
        <f t="shared" si="3"/>
        <v>180</v>
      </c>
      <c r="O12" s="262"/>
      <c r="P12" s="312">
        <v>6390</v>
      </c>
      <c r="Q12" s="316">
        <f t="shared" si="4"/>
        <v>6390</v>
      </c>
      <c r="R12" s="316">
        <f t="shared" si="5"/>
        <v>0</v>
      </c>
      <c r="S12" s="317">
        <f t="shared" si="6"/>
        <v>210</v>
      </c>
      <c r="T12" s="317">
        <f t="shared" si="7"/>
        <v>210</v>
      </c>
      <c r="U12" s="313">
        <f aca="true" t="shared" si="21" ref="U12:U70">IF(S12-T12=0,0,S12-T12)</f>
        <v>0</v>
      </c>
      <c r="V12" s="323">
        <v>1240</v>
      </c>
      <c r="W12" s="316">
        <f t="shared" si="8"/>
        <v>1240</v>
      </c>
      <c r="X12" s="316">
        <f t="shared" si="9"/>
        <v>0</v>
      </c>
      <c r="Y12" s="313">
        <f t="shared" si="10"/>
        <v>105</v>
      </c>
      <c r="Z12" s="317">
        <f t="shared" si="11"/>
        <v>105</v>
      </c>
      <c r="AA12" s="313">
        <f aca="true" t="shared" si="22" ref="AA12:AA70">IF(Y12-Z12=0,0,Y12-Z12)</f>
        <v>0</v>
      </c>
      <c r="AB12" s="312">
        <v>3440</v>
      </c>
      <c r="AC12" s="316">
        <f t="shared" si="12"/>
        <v>3440</v>
      </c>
      <c r="AD12" s="316">
        <f t="shared" si="13"/>
        <v>0</v>
      </c>
      <c r="AE12" s="313">
        <f t="shared" si="14"/>
        <v>105</v>
      </c>
      <c r="AF12" s="317">
        <f t="shared" si="15"/>
        <v>105</v>
      </c>
      <c r="AG12" s="313">
        <f aca="true" t="shared" si="23" ref="AG12:AG70">IF(AE12-AF12=0,0,AE12-AF12)</f>
        <v>0</v>
      </c>
      <c r="AH12" s="262"/>
      <c r="AI12" s="262"/>
      <c r="AJ12" s="314">
        <f aca="true" t="shared" si="24" ref="AJ12:AJ43">P12+V12+AB12</f>
        <v>11070</v>
      </c>
      <c r="AK12" s="314">
        <f aca="true" t="shared" si="25" ref="AK12:AK43">Q12+W12+AC12</f>
        <v>11070</v>
      </c>
      <c r="AL12" s="314">
        <f aca="true" t="shared" si="26" ref="AL12:AL43">R12+X12+AD12</f>
        <v>0</v>
      </c>
      <c r="AM12" s="262">
        <f aca="true" t="shared" si="27" ref="AM12:AM43">S12+Y12+AE12</f>
        <v>420</v>
      </c>
      <c r="AN12" s="262">
        <f aca="true" t="shared" si="28" ref="AN12:AN70">T12+Z12+AF12</f>
        <v>420</v>
      </c>
      <c r="AO12" s="262">
        <f t="shared" si="16"/>
        <v>0</v>
      </c>
      <c r="AP12" s="318">
        <f t="shared" si="17"/>
        <v>180</v>
      </c>
      <c r="AQ12" s="262">
        <f t="shared" si="18"/>
        <v>240</v>
      </c>
      <c r="AR12" s="319">
        <f aca="true" t="shared" si="29" ref="AR12:AR57">AM12/AP12</f>
        <v>2.3333333333333335</v>
      </c>
      <c r="AS12" s="320"/>
      <c r="AT12" s="320"/>
      <c r="AU12" s="320"/>
      <c r="AV12" s="320"/>
      <c r="AW12" s="320"/>
      <c r="AX12" s="320"/>
      <c r="AY12" s="320"/>
      <c r="AZ12" s="260"/>
      <c r="BA12" s="268" t="s">
        <v>183</v>
      </c>
      <c r="BB12" s="268" t="s">
        <v>216</v>
      </c>
      <c r="BC12" s="260"/>
      <c r="BD12" s="321">
        <f t="shared" si="19"/>
        <v>1</v>
      </c>
      <c r="BE12" s="321">
        <f t="shared" si="19"/>
        <v>0</v>
      </c>
      <c r="BF12" s="321">
        <f t="shared" si="19"/>
        <v>0</v>
      </c>
      <c r="BG12" s="321">
        <f t="shared" si="19"/>
        <v>0</v>
      </c>
      <c r="BH12" s="321">
        <f t="shared" si="20"/>
        <v>0</v>
      </c>
      <c r="BI12" s="321">
        <f t="shared" si="20"/>
        <v>0</v>
      </c>
    </row>
    <row r="13" spans="1:61" ht="15.75">
      <c r="A13" s="322">
        <v>3</v>
      </c>
      <c r="B13" s="324" t="s">
        <v>358</v>
      </c>
      <c r="C13" s="310" t="s">
        <v>357</v>
      </c>
      <c r="D13" s="311" t="s">
        <v>356</v>
      </c>
      <c r="E13" s="524"/>
      <c r="F13" s="525"/>
      <c r="G13" s="312">
        <v>14040</v>
      </c>
      <c r="H13" s="313">
        <v>90</v>
      </c>
      <c r="I13" s="312">
        <v>8710</v>
      </c>
      <c r="J13" s="313">
        <f t="shared" si="0"/>
        <v>45</v>
      </c>
      <c r="K13" s="312">
        <v>9350</v>
      </c>
      <c r="L13" s="313">
        <f t="shared" si="1"/>
        <v>45</v>
      </c>
      <c r="M13" s="314">
        <f t="shared" si="2"/>
        <v>32100</v>
      </c>
      <c r="N13" s="315">
        <f t="shared" si="3"/>
        <v>180</v>
      </c>
      <c r="O13" s="262"/>
      <c r="P13" s="312">
        <v>14040</v>
      </c>
      <c r="Q13" s="316">
        <f t="shared" si="4"/>
        <v>14040</v>
      </c>
      <c r="R13" s="316">
        <f t="shared" si="5"/>
        <v>0</v>
      </c>
      <c r="S13" s="317">
        <f t="shared" si="6"/>
        <v>210</v>
      </c>
      <c r="T13" s="317">
        <f t="shared" si="7"/>
        <v>210</v>
      </c>
      <c r="U13" s="313">
        <f t="shared" si="21"/>
        <v>0</v>
      </c>
      <c r="V13" s="312">
        <v>8710</v>
      </c>
      <c r="W13" s="316">
        <f t="shared" si="8"/>
        <v>8710</v>
      </c>
      <c r="X13" s="316">
        <f t="shared" si="9"/>
        <v>0</v>
      </c>
      <c r="Y13" s="313">
        <f t="shared" si="10"/>
        <v>105</v>
      </c>
      <c r="Z13" s="317">
        <f t="shared" si="11"/>
        <v>105</v>
      </c>
      <c r="AA13" s="313">
        <f t="shared" si="22"/>
        <v>0</v>
      </c>
      <c r="AB13" s="312">
        <v>9350</v>
      </c>
      <c r="AC13" s="316">
        <f t="shared" si="12"/>
        <v>9350</v>
      </c>
      <c r="AD13" s="316">
        <f t="shared" si="13"/>
        <v>0</v>
      </c>
      <c r="AE13" s="313">
        <f t="shared" si="14"/>
        <v>105</v>
      </c>
      <c r="AF13" s="317">
        <f t="shared" si="15"/>
        <v>105</v>
      </c>
      <c r="AG13" s="313">
        <f t="shared" si="23"/>
        <v>0</v>
      </c>
      <c r="AH13" s="262"/>
      <c r="AI13" s="262"/>
      <c r="AJ13" s="314">
        <f t="shared" si="24"/>
        <v>32100</v>
      </c>
      <c r="AK13" s="314">
        <f t="shared" si="25"/>
        <v>32100</v>
      </c>
      <c r="AL13" s="314">
        <f t="shared" si="26"/>
        <v>0</v>
      </c>
      <c r="AM13" s="262">
        <f t="shared" si="27"/>
        <v>420</v>
      </c>
      <c r="AN13" s="262">
        <f t="shared" si="28"/>
        <v>420</v>
      </c>
      <c r="AO13" s="262">
        <f t="shared" si="16"/>
        <v>0</v>
      </c>
      <c r="AP13" s="318">
        <f t="shared" si="17"/>
        <v>180</v>
      </c>
      <c r="AQ13" s="262">
        <f t="shared" si="18"/>
        <v>240</v>
      </c>
      <c r="AR13" s="319">
        <f t="shared" si="29"/>
        <v>2.3333333333333335</v>
      </c>
      <c r="AS13" s="320"/>
      <c r="AT13" s="320"/>
      <c r="AU13" s="320"/>
      <c r="AV13" s="320"/>
      <c r="AW13" s="320"/>
      <c r="AX13" s="320"/>
      <c r="AY13" s="320"/>
      <c r="AZ13" s="262"/>
      <c r="BA13" s="268" t="s">
        <v>183</v>
      </c>
      <c r="BB13" s="268" t="s">
        <v>216</v>
      </c>
      <c r="BC13" s="260"/>
      <c r="BD13" s="321">
        <f t="shared" si="19"/>
        <v>1</v>
      </c>
      <c r="BE13" s="321">
        <f t="shared" si="19"/>
        <v>0</v>
      </c>
      <c r="BF13" s="321">
        <f t="shared" si="19"/>
        <v>0</v>
      </c>
      <c r="BG13" s="321">
        <f t="shared" si="19"/>
        <v>0</v>
      </c>
      <c r="BH13" s="321">
        <f t="shared" si="20"/>
        <v>0</v>
      </c>
      <c r="BI13" s="321">
        <f t="shared" si="20"/>
        <v>0</v>
      </c>
    </row>
    <row r="14" spans="1:61" ht="15.75">
      <c r="A14" s="322">
        <v>4</v>
      </c>
      <c r="B14" s="324" t="s">
        <v>355</v>
      </c>
      <c r="C14" s="310" t="s">
        <v>354</v>
      </c>
      <c r="D14" s="311" t="s">
        <v>353</v>
      </c>
      <c r="E14" s="524"/>
      <c r="F14" s="525"/>
      <c r="G14" s="312">
        <v>17220</v>
      </c>
      <c r="H14" s="313">
        <v>90</v>
      </c>
      <c r="I14" s="312">
        <v>22650</v>
      </c>
      <c r="J14" s="313">
        <f t="shared" si="0"/>
        <v>56.625</v>
      </c>
      <c r="K14" s="312">
        <v>47400</v>
      </c>
      <c r="L14" s="313">
        <f t="shared" si="1"/>
        <v>118.5</v>
      </c>
      <c r="M14" s="314">
        <f t="shared" si="2"/>
        <v>87270</v>
      </c>
      <c r="N14" s="315">
        <f t="shared" si="3"/>
        <v>265.125</v>
      </c>
      <c r="O14" s="262"/>
      <c r="P14" s="312">
        <v>17220</v>
      </c>
      <c r="Q14" s="316">
        <f t="shared" si="4"/>
        <v>17220</v>
      </c>
      <c r="R14" s="316">
        <f t="shared" si="5"/>
        <v>0</v>
      </c>
      <c r="S14" s="317">
        <f t="shared" si="6"/>
        <v>210</v>
      </c>
      <c r="T14" s="317">
        <f t="shared" si="7"/>
        <v>210</v>
      </c>
      <c r="U14" s="313">
        <f t="shared" si="21"/>
        <v>0</v>
      </c>
      <c r="V14" s="312">
        <v>22650</v>
      </c>
      <c r="W14" s="316">
        <f t="shared" si="8"/>
        <v>22500</v>
      </c>
      <c r="X14" s="316">
        <f t="shared" si="9"/>
        <v>150</v>
      </c>
      <c r="Y14" s="313">
        <f t="shared" si="10"/>
        <v>105.75</v>
      </c>
      <c r="Z14" s="317">
        <f t="shared" si="11"/>
        <v>105</v>
      </c>
      <c r="AA14" s="313">
        <f t="shared" si="22"/>
        <v>0.75</v>
      </c>
      <c r="AB14" s="312">
        <v>47400</v>
      </c>
      <c r="AC14" s="316">
        <f t="shared" si="12"/>
        <v>22500</v>
      </c>
      <c r="AD14" s="316">
        <f t="shared" si="13"/>
        <v>24900</v>
      </c>
      <c r="AE14" s="313">
        <f t="shared" si="14"/>
        <v>229.5</v>
      </c>
      <c r="AF14" s="317">
        <f t="shared" si="15"/>
        <v>105</v>
      </c>
      <c r="AG14" s="313">
        <f t="shared" si="23"/>
        <v>124.5</v>
      </c>
      <c r="AH14" s="631">
        <f>AG14/AD14*1000</f>
        <v>5</v>
      </c>
      <c r="AI14" s="262">
        <f>AB14-AC14</f>
        <v>24900</v>
      </c>
      <c r="AJ14" s="314">
        <f t="shared" si="24"/>
        <v>87270</v>
      </c>
      <c r="AK14" s="314">
        <f t="shared" si="25"/>
        <v>62220</v>
      </c>
      <c r="AL14" s="314">
        <f t="shared" si="26"/>
        <v>25050</v>
      </c>
      <c r="AM14" s="262">
        <f t="shared" si="27"/>
        <v>545.25</v>
      </c>
      <c r="AN14" s="262">
        <f t="shared" si="28"/>
        <v>420</v>
      </c>
      <c r="AO14" s="262">
        <f t="shared" si="16"/>
        <v>125.25</v>
      </c>
      <c r="AP14" s="318">
        <f t="shared" si="17"/>
        <v>265.125</v>
      </c>
      <c r="AQ14" s="262">
        <f t="shared" si="18"/>
        <v>280.125</v>
      </c>
      <c r="AR14" s="319">
        <f t="shared" si="29"/>
        <v>2.0565770862800568</v>
      </c>
      <c r="AS14" s="320"/>
      <c r="AT14" s="320"/>
      <c r="AU14" s="320"/>
      <c r="AV14" s="320"/>
      <c r="AW14" s="320"/>
      <c r="AX14" s="320"/>
      <c r="AY14" s="320"/>
      <c r="AZ14" s="262"/>
      <c r="BA14" s="268" t="s">
        <v>183</v>
      </c>
      <c r="BB14" s="268" t="s">
        <v>216</v>
      </c>
      <c r="BC14" s="260"/>
      <c r="BD14" s="321">
        <f t="shared" si="19"/>
        <v>1</v>
      </c>
      <c r="BE14" s="321">
        <f t="shared" si="19"/>
        <v>0</v>
      </c>
      <c r="BF14" s="321">
        <f t="shared" si="19"/>
        <v>0</v>
      </c>
      <c r="BG14" s="321">
        <f t="shared" si="19"/>
        <v>0</v>
      </c>
      <c r="BH14" s="321">
        <f t="shared" si="20"/>
        <v>0</v>
      </c>
      <c r="BI14" s="321">
        <f t="shared" si="20"/>
        <v>0</v>
      </c>
    </row>
    <row r="15" spans="1:61" ht="15.75">
      <c r="A15" s="322">
        <v>5</v>
      </c>
      <c r="B15" s="324" t="s">
        <v>352</v>
      </c>
      <c r="C15" s="310" t="s">
        <v>351</v>
      </c>
      <c r="D15" s="311" t="s">
        <v>350</v>
      </c>
      <c r="E15" s="524"/>
      <c r="F15" s="525"/>
      <c r="G15" s="312">
        <v>200</v>
      </c>
      <c r="H15" s="313">
        <v>90</v>
      </c>
      <c r="I15" s="312">
        <v>690</v>
      </c>
      <c r="J15" s="313">
        <f t="shared" si="0"/>
        <v>45</v>
      </c>
      <c r="K15" s="312">
        <v>500</v>
      </c>
      <c r="L15" s="313">
        <f t="shared" si="1"/>
        <v>45</v>
      </c>
      <c r="M15" s="314">
        <f t="shared" si="2"/>
        <v>1390</v>
      </c>
      <c r="N15" s="315">
        <f t="shared" si="3"/>
        <v>180</v>
      </c>
      <c r="O15" s="262"/>
      <c r="P15" s="312">
        <v>200</v>
      </c>
      <c r="Q15" s="316">
        <f t="shared" si="4"/>
        <v>200</v>
      </c>
      <c r="R15" s="316">
        <f t="shared" si="5"/>
        <v>0</v>
      </c>
      <c r="S15" s="317">
        <f t="shared" si="6"/>
        <v>210</v>
      </c>
      <c r="T15" s="317">
        <f t="shared" si="7"/>
        <v>210</v>
      </c>
      <c r="U15" s="313">
        <f t="shared" si="21"/>
        <v>0</v>
      </c>
      <c r="V15" s="312">
        <v>690</v>
      </c>
      <c r="W15" s="316">
        <f t="shared" si="8"/>
        <v>690</v>
      </c>
      <c r="X15" s="316">
        <f t="shared" si="9"/>
        <v>0</v>
      </c>
      <c r="Y15" s="313">
        <f t="shared" si="10"/>
        <v>105</v>
      </c>
      <c r="Z15" s="317">
        <f t="shared" si="11"/>
        <v>105</v>
      </c>
      <c r="AA15" s="313">
        <f t="shared" si="22"/>
        <v>0</v>
      </c>
      <c r="AB15" s="312">
        <v>500</v>
      </c>
      <c r="AC15" s="316">
        <f t="shared" si="12"/>
        <v>500</v>
      </c>
      <c r="AD15" s="316">
        <f t="shared" si="13"/>
        <v>0</v>
      </c>
      <c r="AE15" s="313">
        <f t="shared" si="14"/>
        <v>105</v>
      </c>
      <c r="AF15" s="317">
        <f t="shared" si="15"/>
        <v>105</v>
      </c>
      <c r="AG15" s="313">
        <f t="shared" si="23"/>
        <v>0</v>
      </c>
      <c r="AH15" s="262"/>
      <c r="AI15" s="262">
        <f>AI14*AF14</f>
        <v>2614500</v>
      </c>
      <c r="AJ15" s="314">
        <f t="shared" si="24"/>
        <v>1390</v>
      </c>
      <c r="AK15" s="314">
        <f t="shared" si="25"/>
        <v>1390</v>
      </c>
      <c r="AL15" s="314">
        <f t="shared" si="26"/>
        <v>0</v>
      </c>
      <c r="AM15" s="262">
        <f t="shared" si="27"/>
        <v>420</v>
      </c>
      <c r="AN15" s="262">
        <f t="shared" si="28"/>
        <v>420</v>
      </c>
      <c r="AO15" s="262">
        <f t="shared" si="16"/>
        <v>0</v>
      </c>
      <c r="AP15" s="318">
        <f t="shared" si="17"/>
        <v>180</v>
      </c>
      <c r="AQ15" s="262">
        <f t="shared" si="18"/>
        <v>240</v>
      </c>
      <c r="AR15" s="319">
        <f t="shared" si="29"/>
        <v>2.3333333333333335</v>
      </c>
      <c r="AS15" s="320"/>
      <c r="AT15" s="320"/>
      <c r="AU15" s="320"/>
      <c r="AV15" s="320"/>
      <c r="AW15" s="320"/>
      <c r="AX15" s="320"/>
      <c r="AY15" s="320"/>
      <c r="AZ15" s="262"/>
      <c r="BA15" s="268" t="s">
        <v>183</v>
      </c>
      <c r="BB15" s="268" t="s">
        <v>216</v>
      </c>
      <c r="BC15" s="260"/>
      <c r="BD15" s="321">
        <f t="shared" si="19"/>
        <v>1</v>
      </c>
      <c r="BE15" s="321">
        <f t="shared" si="19"/>
        <v>0</v>
      </c>
      <c r="BF15" s="321">
        <f t="shared" si="19"/>
        <v>0</v>
      </c>
      <c r="BG15" s="321">
        <f t="shared" si="19"/>
        <v>0</v>
      </c>
      <c r="BH15" s="321">
        <f t="shared" si="20"/>
        <v>0</v>
      </c>
      <c r="BI15" s="321">
        <f t="shared" si="20"/>
        <v>0</v>
      </c>
    </row>
    <row r="16" spans="1:61" ht="15.75">
      <c r="A16" s="322">
        <v>6</v>
      </c>
      <c r="B16" s="324" t="s">
        <v>349</v>
      </c>
      <c r="C16" s="310" t="s">
        <v>348</v>
      </c>
      <c r="D16" s="311" t="s">
        <v>347</v>
      </c>
      <c r="E16" s="524"/>
      <c r="F16" s="525"/>
      <c r="G16" s="312">
        <v>56450</v>
      </c>
      <c r="H16" s="313">
        <v>141.125</v>
      </c>
      <c r="I16" s="312">
        <v>23590</v>
      </c>
      <c r="J16" s="313">
        <f t="shared" si="0"/>
        <v>58.975</v>
      </c>
      <c r="K16" s="312">
        <v>38180</v>
      </c>
      <c r="L16" s="313">
        <f t="shared" si="1"/>
        <v>95.45</v>
      </c>
      <c r="M16" s="314">
        <f t="shared" si="2"/>
        <v>118220</v>
      </c>
      <c r="N16" s="315">
        <f t="shared" si="3"/>
        <v>295.55</v>
      </c>
      <c r="O16" s="262"/>
      <c r="P16" s="312">
        <v>56450</v>
      </c>
      <c r="Q16" s="316">
        <f t="shared" si="4"/>
        <v>45000</v>
      </c>
      <c r="R16" s="316">
        <f t="shared" si="5"/>
        <v>11450</v>
      </c>
      <c r="S16" s="317">
        <f t="shared" si="6"/>
        <v>267.25</v>
      </c>
      <c r="T16" s="317">
        <f t="shared" si="7"/>
        <v>210</v>
      </c>
      <c r="U16" s="313">
        <f t="shared" si="21"/>
        <v>57.25</v>
      </c>
      <c r="V16" s="312">
        <v>23590</v>
      </c>
      <c r="W16" s="316">
        <f t="shared" si="8"/>
        <v>22500</v>
      </c>
      <c r="X16" s="316">
        <f t="shared" si="9"/>
        <v>1090</v>
      </c>
      <c r="Y16" s="313">
        <f t="shared" si="10"/>
        <v>110.45</v>
      </c>
      <c r="Z16" s="317">
        <f t="shared" si="11"/>
        <v>105</v>
      </c>
      <c r="AA16" s="313">
        <f t="shared" si="22"/>
        <v>5.450000000000003</v>
      </c>
      <c r="AB16" s="312">
        <v>38180</v>
      </c>
      <c r="AC16" s="316">
        <f t="shared" si="12"/>
        <v>22500</v>
      </c>
      <c r="AD16" s="316">
        <f t="shared" si="13"/>
        <v>15680</v>
      </c>
      <c r="AE16" s="313">
        <f t="shared" si="14"/>
        <v>183.4</v>
      </c>
      <c r="AF16" s="317">
        <f t="shared" si="15"/>
        <v>105</v>
      </c>
      <c r="AG16" s="313">
        <f t="shared" si="23"/>
        <v>78.4</v>
      </c>
      <c r="AH16" s="262"/>
      <c r="AI16" s="262"/>
      <c r="AJ16" s="314">
        <f t="shared" si="24"/>
        <v>118220</v>
      </c>
      <c r="AK16" s="314">
        <f t="shared" si="25"/>
        <v>90000</v>
      </c>
      <c r="AL16" s="314">
        <f t="shared" si="26"/>
        <v>28220</v>
      </c>
      <c r="AM16" s="262">
        <f t="shared" si="27"/>
        <v>561.1</v>
      </c>
      <c r="AN16" s="262">
        <f t="shared" si="28"/>
        <v>420</v>
      </c>
      <c r="AO16" s="262">
        <f t="shared" si="16"/>
        <v>141.10000000000002</v>
      </c>
      <c r="AP16" s="318">
        <f t="shared" si="17"/>
        <v>295.55</v>
      </c>
      <c r="AQ16" s="262">
        <f t="shared" si="18"/>
        <v>265.55</v>
      </c>
      <c r="AR16" s="319">
        <f t="shared" si="29"/>
        <v>1.8984943326002368</v>
      </c>
      <c r="AS16" s="320"/>
      <c r="AT16" s="320"/>
      <c r="AU16" s="320"/>
      <c r="AV16" s="320"/>
      <c r="AW16" s="320"/>
      <c r="AX16" s="320"/>
      <c r="AY16" s="320"/>
      <c r="AZ16" s="262"/>
      <c r="BA16" s="268" t="s">
        <v>183</v>
      </c>
      <c r="BB16" s="268" t="s">
        <v>216</v>
      </c>
      <c r="BC16" s="260"/>
      <c r="BD16" s="321">
        <f t="shared" si="19"/>
        <v>1</v>
      </c>
      <c r="BE16" s="321">
        <f t="shared" si="19"/>
        <v>0</v>
      </c>
      <c r="BF16" s="321">
        <f t="shared" si="19"/>
        <v>0</v>
      </c>
      <c r="BG16" s="321">
        <f t="shared" si="19"/>
        <v>0</v>
      </c>
      <c r="BH16" s="321">
        <f t="shared" si="20"/>
        <v>0</v>
      </c>
      <c r="BI16" s="321">
        <f t="shared" si="20"/>
        <v>0</v>
      </c>
    </row>
    <row r="17" spans="1:61" ht="18.75">
      <c r="A17" s="322">
        <v>7</v>
      </c>
      <c r="B17" s="324" t="s">
        <v>346</v>
      </c>
      <c r="C17" s="310" t="s">
        <v>427</v>
      </c>
      <c r="D17" s="311" t="s">
        <v>345</v>
      </c>
      <c r="E17" s="524"/>
      <c r="F17" s="525"/>
      <c r="G17" s="312">
        <v>13140</v>
      </c>
      <c r="H17" s="313">
        <v>90</v>
      </c>
      <c r="I17" s="312">
        <v>11040</v>
      </c>
      <c r="J17" s="313">
        <f t="shared" si="0"/>
        <v>45</v>
      </c>
      <c r="K17" s="312">
        <v>9460</v>
      </c>
      <c r="L17" s="313">
        <f t="shared" si="1"/>
        <v>45</v>
      </c>
      <c r="M17" s="314">
        <f t="shared" si="2"/>
        <v>33640</v>
      </c>
      <c r="N17" s="315">
        <f t="shared" si="3"/>
        <v>180</v>
      </c>
      <c r="O17" s="262"/>
      <c r="P17" s="312">
        <v>13140</v>
      </c>
      <c r="Q17" s="316">
        <f t="shared" si="4"/>
        <v>13140</v>
      </c>
      <c r="R17" s="316">
        <f t="shared" si="5"/>
        <v>0</v>
      </c>
      <c r="S17" s="317">
        <f t="shared" si="6"/>
        <v>210</v>
      </c>
      <c r="T17" s="317">
        <f t="shared" si="7"/>
        <v>210</v>
      </c>
      <c r="U17" s="313">
        <f t="shared" si="21"/>
        <v>0</v>
      </c>
      <c r="V17" s="312">
        <v>11040</v>
      </c>
      <c r="W17" s="316">
        <f t="shared" si="8"/>
        <v>11040</v>
      </c>
      <c r="X17" s="316">
        <f t="shared" si="9"/>
        <v>0</v>
      </c>
      <c r="Y17" s="313">
        <f t="shared" si="10"/>
        <v>105</v>
      </c>
      <c r="Z17" s="317">
        <f t="shared" si="11"/>
        <v>105</v>
      </c>
      <c r="AA17" s="313">
        <f t="shared" si="22"/>
        <v>0</v>
      </c>
      <c r="AB17" s="312">
        <v>9460</v>
      </c>
      <c r="AC17" s="316">
        <f t="shared" si="12"/>
        <v>9460</v>
      </c>
      <c r="AD17" s="316">
        <f t="shared" si="13"/>
        <v>0</v>
      </c>
      <c r="AE17" s="313">
        <f t="shared" si="14"/>
        <v>105</v>
      </c>
      <c r="AF17" s="317">
        <f t="shared" si="15"/>
        <v>105</v>
      </c>
      <c r="AG17" s="313">
        <f t="shared" si="23"/>
        <v>0</v>
      </c>
      <c r="AH17" s="262"/>
      <c r="AI17" s="262">
        <f>47400-22500</f>
        <v>24900</v>
      </c>
      <c r="AJ17" s="314">
        <f t="shared" si="24"/>
        <v>33640</v>
      </c>
      <c r="AK17" s="314">
        <f t="shared" si="25"/>
        <v>33640</v>
      </c>
      <c r="AL17" s="314">
        <f t="shared" si="26"/>
        <v>0</v>
      </c>
      <c r="AM17" s="262">
        <f t="shared" si="27"/>
        <v>420</v>
      </c>
      <c r="AN17" s="262">
        <f t="shared" si="28"/>
        <v>420</v>
      </c>
      <c r="AO17" s="262">
        <f t="shared" si="16"/>
        <v>0</v>
      </c>
      <c r="AP17" s="318">
        <f t="shared" si="17"/>
        <v>180</v>
      </c>
      <c r="AQ17" s="262">
        <f t="shared" si="18"/>
        <v>240</v>
      </c>
      <c r="AR17" s="319">
        <f t="shared" si="29"/>
        <v>2.3333333333333335</v>
      </c>
      <c r="AS17" s="320"/>
      <c r="AT17" s="320"/>
      <c r="AU17" s="320"/>
      <c r="AV17" s="320"/>
      <c r="AW17" s="320"/>
      <c r="AX17" s="320"/>
      <c r="AY17" s="320"/>
      <c r="AZ17" s="262"/>
      <c r="BA17" s="268" t="s">
        <v>183</v>
      </c>
      <c r="BB17" s="268" t="s">
        <v>216</v>
      </c>
      <c r="BC17" s="260" t="s">
        <v>196</v>
      </c>
      <c r="BD17" s="321">
        <f t="shared" si="19"/>
        <v>1</v>
      </c>
      <c r="BE17" s="321">
        <f t="shared" si="19"/>
        <v>0</v>
      </c>
      <c r="BF17" s="321">
        <f t="shared" si="19"/>
        <v>0</v>
      </c>
      <c r="BG17" s="321">
        <f t="shared" si="19"/>
        <v>0</v>
      </c>
      <c r="BH17" s="321">
        <f t="shared" si="20"/>
        <v>1</v>
      </c>
      <c r="BI17" s="321">
        <f t="shared" si="20"/>
        <v>0</v>
      </c>
    </row>
    <row r="18" spans="1:61" ht="15.75">
      <c r="A18" s="322">
        <v>8</v>
      </c>
      <c r="B18" s="324" t="s">
        <v>344</v>
      </c>
      <c r="C18" s="310" t="s">
        <v>343</v>
      </c>
      <c r="D18" s="311" t="s">
        <v>342</v>
      </c>
      <c r="E18" s="524"/>
      <c r="F18" s="525"/>
      <c r="G18" s="312">
        <v>16290</v>
      </c>
      <c r="H18" s="313">
        <v>90</v>
      </c>
      <c r="I18" s="312">
        <v>6210</v>
      </c>
      <c r="J18" s="313">
        <f t="shared" si="0"/>
        <v>45</v>
      </c>
      <c r="K18" s="312">
        <v>8740</v>
      </c>
      <c r="L18" s="313">
        <f t="shared" si="1"/>
        <v>45</v>
      </c>
      <c r="M18" s="314">
        <f t="shared" si="2"/>
        <v>31240</v>
      </c>
      <c r="N18" s="315">
        <f t="shared" si="3"/>
        <v>180</v>
      </c>
      <c r="O18" s="262"/>
      <c r="P18" s="312">
        <v>16290</v>
      </c>
      <c r="Q18" s="316">
        <f t="shared" si="4"/>
        <v>16290</v>
      </c>
      <c r="R18" s="316">
        <f t="shared" si="5"/>
        <v>0</v>
      </c>
      <c r="S18" s="317">
        <f t="shared" si="6"/>
        <v>210</v>
      </c>
      <c r="T18" s="317">
        <f t="shared" si="7"/>
        <v>210</v>
      </c>
      <c r="U18" s="313">
        <f t="shared" si="21"/>
        <v>0</v>
      </c>
      <c r="V18" s="312">
        <v>6210</v>
      </c>
      <c r="W18" s="316">
        <f t="shared" si="8"/>
        <v>6210</v>
      </c>
      <c r="X18" s="316">
        <f t="shared" si="9"/>
        <v>0</v>
      </c>
      <c r="Y18" s="313">
        <f t="shared" si="10"/>
        <v>105</v>
      </c>
      <c r="Z18" s="317">
        <f t="shared" si="11"/>
        <v>105</v>
      </c>
      <c r="AA18" s="313">
        <f t="shared" si="22"/>
        <v>0</v>
      </c>
      <c r="AB18" s="312">
        <v>8740</v>
      </c>
      <c r="AC18" s="316">
        <f t="shared" si="12"/>
        <v>8740</v>
      </c>
      <c r="AD18" s="316">
        <f t="shared" si="13"/>
        <v>0</v>
      </c>
      <c r="AE18" s="313">
        <f t="shared" si="14"/>
        <v>105</v>
      </c>
      <c r="AF18" s="317">
        <f t="shared" si="15"/>
        <v>105</v>
      </c>
      <c r="AG18" s="313">
        <f t="shared" si="23"/>
        <v>0</v>
      </c>
      <c r="AH18" s="262"/>
      <c r="AI18" s="262"/>
      <c r="AJ18" s="314">
        <f t="shared" si="24"/>
        <v>31240</v>
      </c>
      <c r="AK18" s="314">
        <f t="shared" si="25"/>
        <v>31240</v>
      </c>
      <c r="AL18" s="314">
        <f t="shared" si="26"/>
        <v>0</v>
      </c>
      <c r="AM18" s="262">
        <f t="shared" si="27"/>
        <v>420</v>
      </c>
      <c r="AN18" s="262">
        <f t="shared" si="28"/>
        <v>420</v>
      </c>
      <c r="AO18" s="262">
        <f t="shared" si="16"/>
        <v>0</v>
      </c>
      <c r="AP18" s="318">
        <f t="shared" si="17"/>
        <v>180</v>
      </c>
      <c r="AQ18" s="262">
        <f t="shared" si="18"/>
        <v>240</v>
      </c>
      <c r="AR18" s="319">
        <f t="shared" si="29"/>
        <v>2.3333333333333335</v>
      </c>
      <c r="AS18" s="320"/>
      <c r="AT18" s="320"/>
      <c r="AU18" s="320"/>
      <c r="AV18" s="320"/>
      <c r="AW18" s="320"/>
      <c r="AX18" s="320"/>
      <c r="AY18" s="320"/>
      <c r="AZ18" s="262"/>
      <c r="BA18" s="268" t="s">
        <v>183</v>
      </c>
      <c r="BB18" s="268" t="s">
        <v>216</v>
      </c>
      <c r="BC18" s="260" t="s">
        <v>196</v>
      </c>
      <c r="BD18" s="321">
        <f t="shared" si="19"/>
        <v>1</v>
      </c>
      <c r="BE18" s="321">
        <f t="shared" si="19"/>
        <v>0</v>
      </c>
      <c r="BF18" s="321">
        <f t="shared" si="19"/>
        <v>0</v>
      </c>
      <c r="BG18" s="321">
        <f t="shared" si="19"/>
        <v>0</v>
      </c>
      <c r="BH18" s="321">
        <f t="shared" si="20"/>
        <v>1</v>
      </c>
      <c r="BI18" s="321">
        <f t="shared" si="20"/>
        <v>0</v>
      </c>
    </row>
    <row r="19" spans="1:61" ht="15.75">
      <c r="A19" s="322">
        <v>9</v>
      </c>
      <c r="B19" s="324" t="s">
        <v>341</v>
      </c>
      <c r="C19" s="310" t="s">
        <v>340</v>
      </c>
      <c r="D19" s="311" t="s">
        <v>339</v>
      </c>
      <c r="E19" s="524"/>
      <c r="F19" s="525"/>
      <c r="G19" s="312">
        <v>970</v>
      </c>
      <c r="H19" s="313">
        <v>90</v>
      </c>
      <c r="I19" s="312">
        <v>160</v>
      </c>
      <c r="J19" s="313">
        <f t="shared" si="0"/>
        <v>45</v>
      </c>
      <c r="K19" s="312">
        <v>650</v>
      </c>
      <c r="L19" s="313">
        <f t="shared" si="1"/>
        <v>45</v>
      </c>
      <c r="M19" s="314">
        <f t="shared" si="2"/>
        <v>1780</v>
      </c>
      <c r="N19" s="315">
        <f t="shared" si="3"/>
        <v>180</v>
      </c>
      <c r="O19" s="262"/>
      <c r="P19" s="312">
        <v>970</v>
      </c>
      <c r="Q19" s="316">
        <f t="shared" si="4"/>
        <v>970</v>
      </c>
      <c r="R19" s="316">
        <f t="shared" si="5"/>
        <v>0</v>
      </c>
      <c r="S19" s="317">
        <f t="shared" si="6"/>
        <v>210</v>
      </c>
      <c r="T19" s="317">
        <f t="shared" si="7"/>
        <v>210</v>
      </c>
      <c r="U19" s="313">
        <f t="shared" si="21"/>
        <v>0</v>
      </c>
      <c r="V19" s="312">
        <v>160</v>
      </c>
      <c r="W19" s="316">
        <f t="shared" si="8"/>
        <v>160</v>
      </c>
      <c r="X19" s="316">
        <f t="shared" si="9"/>
        <v>0</v>
      </c>
      <c r="Y19" s="313">
        <f t="shared" si="10"/>
        <v>105</v>
      </c>
      <c r="Z19" s="317">
        <f t="shared" si="11"/>
        <v>105</v>
      </c>
      <c r="AA19" s="313">
        <f t="shared" si="22"/>
        <v>0</v>
      </c>
      <c r="AB19" s="312">
        <v>650</v>
      </c>
      <c r="AC19" s="316">
        <f t="shared" si="12"/>
        <v>650</v>
      </c>
      <c r="AD19" s="316">
        <f t="shared" si="13"/>
        <v>0</v>
      </c>
      <c r="AE19" s="313">
        <f t="shared" si="14"/>
        <v>105</v>
      </c>
      <c r="AF19" s="317">
        <f t="shared" si="15"/>
        <v>105</v>
      </c>
      <c r="AG19" s="313">
        <f t="shared" si="23"/>
        <v>0</v>
      </c>
      <c r="AH19" s="262"/>
      <c r="AI19" s="262">
        <f>22500/1000</f>
        <v>22.5</v>
      </c>
      <c r="AJ19" s="314">
        <f t="shared" si="24"/>
        <v>1780</v>
      </c>
      <c r="AK19" s="314">
        <f t="shared" si="25"/>
        <v>1780</v>
      </c>
      <c r="AL19" s="314">
        <f t="shared" si="26"/>
        <v>0</v>
      </c>
      <c r="AM19" s="262">
        <f t="shared" si="27"/>
        <v>420</v>
      </c>
      <c r="AN19" s="262">
        <f t="shared" si="28"/>
        <v>420</v>
      </c>
      <c r="AO19" s="262">
        <f t="shared" si="16"/>
        <v>0</v>
      </c>
      <c r="AP19" s="318">
        <f t="shared" si="17"/>
        <v>180</v>
      </c>
      <c r="AQ19" s="262">
        <f t="shared" si="18"/>
        <v>240</v>
      </c>
      <c r="AR19" s="319">
        <f t="shared" si="29"/>
        <v>2.3333333333333335</v>
      </c>
      <c r="AS19" s="320"/>
      <c r="AT19" s="320"/>
      <c r="AU19" s="320"/>
      <c r="AV19" s="320"/>
      <c r="AW19" s="320"/>
      <c r="AX19" s="320"/>
      <c r="AY19" s="320"/>
      <c r="AZ19" s="262"/>
      <c r="BA19" s="268" t="s">
        <v>183</v>
      </c>
      <c r="BB19" s="268" t="s">
        <v>216</v>
      </c>
      <c r="BC19" s="260"/>
      <c r="BD19" s="321">
        <f t="shared" si="19"/>
        <v>1</v>
      </c>
      <c r="BE19" s="321">
        <f t="shared" si="19"/>
        <v>0</v>
      </c>
      <c r="BF19" s="321">
        <f t="shared" si="19"/>
        <v>0</v>
      </c>
      <c r="BG19" s="321">
        <f t="shared" si="19"/>
        <v>0</v>
      </c>
      <c r="BH19" s="321">
        <f t="shared" si="20"/>
        <v>0</v>
      </c>
      <c r="BI19" s="321">
        <f t="shared" si="20"/>
        <v>0</v>
      </c>
    </row>
    <row r="20" spans="1:61" ht="15.75">
      <c r="A20" s="322">
        <v>10</v>
      </c>
      <c r="B20" s="324" t="s">
        <v>338</v>
      </c>
      <c r="C20" s="310" t="s">
        <v>337</v>
      </c>
      <c r="D20" s="311" t="s">
        <v>336</v>
      </c>
      <c r="E20" s="524"/>
      <c r="F20" s="525"/>
      <c r="G20" s="312">
        <v>28430</v>
      </c>
      <c r="H20" s="313">
        <v>90</v>
      </c>
      <c r="I20" s="312">
        <v>10340</v>
      </c>
      <c r="J20" s="313">
        <f t="shared" si="0"/>
        <v>45</v>
      </c>
      <c r="K20" s="312">
        <v>11870</v>
      </c>
      <c r="L20" s="313">
        <f t="shared" si="1"/>
        <v>45</v>
      </c>
      <c r="M20" s="314">
        <f t="shared" si="2"/>
        <v>50640</v>
      </c>
      <c r="N20" s="315">
        <f t="shared" si="3"/>
        <v>180</v>
      </c>
      <c r="O20" s="262"/>
      <c r="P20" s="312">
        <v>28430</v>
      </c>
      <c r="Q20" s="316">
        <f t="shared" si="4"/>
        <v>28430</v>
      </c>
      <c r="R20" s="316">
        <f t="shared" si="5"/>
        <v>0</v>
      </c>
      <c r="S20" s="317">
        <f t="shared" si="6"/>
        <v>210</v>
      </c>
      <c r="T20" s="317">
        <f t="shared" si="7"/>
        <v>210</v>
      </c>
      <c r="U20" s="313">
        <f t="shared" si="21"/>
        <v>0</v>
      </c>
      <c r="V20" s="312">
        <v>10340</v>
      </c>
      <c r="W20" s="316">
        <f t="shared" si="8"/>
        <v>10340</v>
      </c>
      <c r="X20" s="316">
        <f t="shared" si="9"/>
        <v>0</v>
      </c>
      <c r="Y20" s="313">
        <f t="shared" si="10"/>
        <v>105</v>
      </c>
      <c r="Z20" s="317">
        <f t="shared" si="11"/>
        <v>105</v>
      </c>
      <c r="AA20" s="313">
        <f t="shared" si="22"/>
        <v>0</v>
      </c>
      <c r="AB20" s="312">
        <v>11870</v>
      </c>
      <c r="AC20" s="316">
        <f t="shared" si="12"/>
        <v>11870</v>
      </c>
      <c r="AD20" s="316">
        <f t="shared" si="13"/>
        <v>0</v>
      </c>
      <c r="AE20" s="313">
        <f t="shared" si="14"/>
        <v>105</v>
      </c>
      <c r="AF20" s="317">
        <f t="shared" si="15"/>
        <v>105</v>
      </c>
      <c r="AG20" s="313">
        <f t="shared" si="23"/>
        <v>0</v>
      </c>
      <c r="AH20" s="262"/>
      <c r="AI20" s="262">
        <f>41*3</f>
        <v>123</v>
      </c>
      <c r="AJ20" s="314">
        <f t="shared" si="24"/>
        <v>50640</v>
      </c>
      <c r="AK20" s="314">
        <f t="shared" si="25"/>
        <v>50640</v>
      </c>
      <c r="AL20" s="314">
        <f t="shared" si="26"/>
        <v>0</v>
      </c>
      <c r="AM20" s="262">
        <f t="shared" si="27"/>
        <v>420</v>
      </c>
      <c r="AN20" s="262">
        <f t="shared" si="28"/>
        <v>420</v>
      </c>
      <c r="AO20" s="262">
        <f t="shared" si="16"/>
        <v>0</v>
      </c>
      <c r="AP20" s="318">
        <f t="shared" si="17"/>
        <v>180</v>
      </c>
      <c r="AQ20" s="262">
        <f t="shared" si="18"/>
        <v>240</v>
      </c>
      <c r="AR20" s="319">
        <f t="shared" si="29"/>
        <v>2.3333333333333335</v>
      </c>
      <c r="AS20" s="320"/>
      <c r="AT20" s="320"/>
      <c r="AU20" s="320"/>
      <c r="AV20" s="320"/>
      <c r="AW20" s="320"/>
      <c r="AX20" s="320"/>
      <c r="AY20" s="320"/>
      <c r="AZ20" s="262"/>
      <c r="BA20" s="268" t="s">
        <v>183</v>
      </c>
      <c r="BB20" s="268" t="s">
        <v>216</v>
      </c>
      <c r="BC20" s="260" t="s">
        <v>196</v>
      </c>
      <c r="BD20" s="321">
        <f t="shared" si="19"/>
        <v>1</v>
      </c>
      <c r="BE20" s="321">
        <f t="shared" si="19"/>
        <v>0</v>
      </c>
      <c r="BF20" s="321">
        <f t="shared" si="19"/>
        <v>0</v>
      </c>
      <c r="BG20" s="321">
        <f t="shared" si="19"/>
        <v>0</v>
      </c>
      <c r="BH20" s="321">
        <f t="shared" si="20"/>
        <v>1</v>
      </c>
      <c r="BI20" s="321">
        <f t="shared" si="20"/>
        <v>0</v>
      </c>
    </row>
    <row r="21" spans="1:61" ht="15.75">
      <c r="A21" s="322">
        <v>11</v>
      </c>
      <c r="B21" s="324" t="s">
        <v>335</v>
      </c>
      <c r="C21" s="310" t="s">
        <v>334</v>
      </c>
      <c r="D21" s="311" t="s">
        <v>333</v>
      </c>
      <c r="E21" s="524"/>
      <c r="F21" s="525"/>
      <c r="G21" s="312">
        <v>6710</v>
      </c>
      <c r="H21" s="313">
        <v>90</v>
      </c>
      <c r="I21" s="312">
        <v>2460</v>
      </c>
      <c r="J21" s="313">
        <f t="shared" si="0"/>
        <v>45</v>
      </c>
      <c r="K21" s="312">
        <v>1780</v>
      </c>
      <c r="L21" s="313">
        <f t="shared" si="1"/>
        <v>45</v>
      </c>
      <c r="M21" s="314">
        <f t="shared" si="2"/>
        <v>10950</v>
      </c>
      <c r="N21" s="315">
        <f t="shared" si="3"/>
        <v>180</v>
      </c>
      <c r="O21" s="262"/>
      <c r="P21" s="312">
        <v>6710</v>
      </c>
      <c r="Q21" s="316">
        <f t="shared" si="4"/>
        <v>6710</v>
      </c>
      <c r="R21" s="316">
        <f t="shared" si="5"/>
        <v>0</v>
      </c>
      <c r="S21" s="317">
        <f t="shared" si="6"/>
        <v>210</v>
      </c>
      <c r="T21" s="317">
        <f t="shared" si="7"/>
        <v>210</v>
      </c>
      <c r="U21" s="313">
        <f t="shared" si="21"/>
        <v>0</v>
      </c>
      <c r="V21" s="312">
        <v>2460</v>
      </c>
      <c r="W21" s="316">
        <f t="shared" si="8"/>
        <v>2460</v>
      </c>
      <c r="X21" s="316">
        <f t="shared" si="9"/>
        <v>0</v>
      </c>
      <c r="Y21" s="313">
        <f t="shared" si="10"/>
        <v>105</v>
      </c>
      <c r="Z21" s="317">
        <f t="shared" si="11"/>
        <v>105</v>
      </c>
      <c r="AA21" s="313">
        <f t="shared" si="22"/>
        <v>0</v>
      </c>
      <c r="AB21" s="312">
        <v>1780</v>
      </c>
      <c r="AC21" s="316">
        <f t="shared" si="12"/>
        <v>1780</v>
      </c>
      <c r="AD21" s="316">
        <f t="shared" si="13"/>
        <v>0</v>
      </c>
      <c r="AE21" s="313">
        <f t="shared" si="14"/>
        <v>105</v>
      </c>
      <c r="AF21" s="317">
        <f t="shared" si="15"/>
        <v>105</v>
      </c>
      <c r="AG21" s="313">
        <f t="shared" si="23"/>
        <v>0</v>
      </c>
      <c r="AH21" s="262"/>
      <c r="AI21" s="262"/>
      <c r="AJ21" s="314">
        <f t="shared" si="24"/>
        <v>10950</v>
      </c>
      <c r="AK21" s="314">
        <f t="shared" si="25"/>
        <v>10950</v>
      </c>
      <c r="AL21" s="314">
        <f t="shared" si="26"/>
        <v>0</v>
      </c>
      <c r="AM21" s="262">
        <f t="shared" si="27"/>
        <v>420</v>
      </c>
      <c r="AN21" s="262">
        <f t="shared" si="28"/>
        <v>420</v>
      </c>
      <c r="AO21" s="262">
        <f t="shared" si="16"/>
        <v>0</v>
      </c>
      <c r="AP21" s="318">
        <f t="shared" si="17"/>
        <v>180</v>
      </c>
      <c r="AQ21" s="262">
        <f t="shared" si="18"/>
        <v>240</v>
      </c>
      <c r="AR21" s="319">
        <f t="shared" si="29"/>
        <v>2.3333333333333335</v>
      </c>
      <c r="AS21" s="320"/>
      <c r="AT21" s="320"/>
      <c r="AU21" s="320"/>
      <c r="AV21" s="320"/>
      <c r="AW21" s="320"/>
      <c r="AX21" s="320"/>
      <c r="AY21" s="320"/>
      <c r="AZ21" s="262"/>
      <c r="BA21" s="268" t="s">
        <v>183</v>
      </c>
      <c r="BB21" s="268" t="s">
        <v>216</v>
      </c>
      <c r="BC21" s="260" t="s">
        <v>196</v>
      </c>
      <c r="BD21" s="321">
        <f t="shared" si="19"/>
        <v>1</v>
      </c>
      <c r="BE21" s="321">
        <f t="shared" si="19"/>
        <v>0</v>
      </c>
      <c r="BF21" s="321">
        <f t="shared" si="19"/>
        <v>0</v>
      </c>
      <c r="BG21" s="321">
        <f t="shared" si="19"/>
        <v>0</v>
      </c>
      <c r="BH21" s="321">
        <f t="shared" si="20"/>
        <v>1</v>
      </c>
      <c r="BI21" s="321">
        <f t="shared" si="20"/>
        <v>0</v>
      </c>
    </row>
    <row r="22" spans="1:61" ht="15.75">
      <c r="A22" s="322">
        <v>12</v>
      </c>
      <c r="B22" s="325" t="s">
        <v>332</v>
      </c>
      <c r="C22" s="310" t="s">
        <v>331</v>
      </c>
      <c r="D22" s="311" t="s">
        <v>330</v>
      </c>
      <c r="E22" s="524"/>
      <c r="F22" s="525"/>
      <c r="G22" s="312">
        <v>30520</v>
      </c>
      <c r="H22" s="313">
        <v>90</v>
      </c>
      <c r="I22" s="312">
        <v>14200</v>
      </c>
      <c r="J22" s="313">
        <f t="shared" si="0"/>
        <v>45</v>
      </c>
      <c r="K22" s="312">
        <v>19800</v>
      </c>
      <c r="L22" s="313">
        <f t="shared" si="1"/>
        <v>49.5</v>
      </c>
      <c r="M22" s="314">
        <f t="shared" si="2"/>
        <v>64520</v>
      </c>
      <c r="N22" s="315">
        <f t="shared" si="3"/>
        <v>184.5</v>
      </c>
      <c r="O22" s="262"/>
      <c r="P22" s="312">
        <v>30520</v>
      </c>
      <c r="Q22" s="316">
        <f t="shared" si="4"/>
        <v>30520</v>
      </c>
      <c r="R22" s="316">
        <f t="shared" si="5"/>
        <v>0</v>
      </c>
      <c r="S22" s="317">
        <f t="shared" si="6"/>
        <v>210</v>
      </c>
      <c r="T22" s="317">
        <f t="shared" si="7"/>
        <v>210</v>
      </c>
      <c r="U22" s="313">
        <f t="shared" si="21"/>
        <v>0</v>
      </c>
      <c r="V22" s="312">
        <v>14200</v>
      </c>
      <c r="W22" s="316">
        <f t="shared" si="8"/>
        <v>14200</v>
      </c>
      <c r="X22" s="316">
        <f t="shared" si="9"/>
        <v>0</v>
      </c>
      <c r="Y22" s="313">
        <f t="shared" si="10"/>
        <v>105</v>
      </c>
      <c r="Z22" s="317">
        <f t="shared" si="11"/>
        <v>105</v>
      </c>
      <c r="AA22" s="313">
        <f t="shared" si="22"/>
        <v>0</v>
      </c>
      <c r="AB22" s="312">
        <v>19800</v>
      </c>
      <c r="AC22" s="316">
        <f t="shared" si="12"/>
        <v>19800</v>
      </c>
      <c r="AD22" s="316">
        <f t="shared" si="13"/>
        <v>0</v>
      </c>
      <c r="AE22" s="313">
        <f t="shared" si="14"/>
        <v>105</v>
      </c>
      <c r="AF22" s="317">
        <f t="shared" si="15"/>
        <v>105</v>
      </c>
      <c r="AG22" s="313">
        <f t="shared" si="23"/>
        <v>0</v>
      </c>
      <c r="AH22" s="262"/>
      <c r="AI22" s="631">
        <f>47400/24900</f>
        <v>1.9036144578313252</v>
      </c>
      <c r="AJ22" s="314">
        <f t="shared" si="24"/>
        <v>64520</v>
      </c>
      <c r="AK22" s="314">
        <f t="shared" si="25"/>
        <v>64520</v>
      </c>
      <c r="AL22" s="314">
        <f t="shared" si="26"/>
        <v>0</v>
      </c>
      <c r="AM22" s="262">
        <f t="shared" si="27"/>
        <v>420</v>
      </c>
      <c r="AN22" s="262">
        <f t="shared" si="28"/>
        <v>420</v>
      </c>
      <c r="AO22" s="262">
        <f t="shared" si="16"/>
        <v>0</v>
      </c>
      <c r="AP22" s="318">
        <f t="shared" si="17"/>
        <v>184.5</v>
      </c>
      <c r="AQ22" s="262">
        <f t="shared" si="18"/>
        <v>235.5</v>
      </c>
      <c r="AR22" s="319">
        <f t="shared" si="29"/>
        <v>2.2764227642276422</v>
      </c>
      <c r="AS22" s="320"/>
      <c r="AT22" s="320"/>
      <c r="AU22" s="320"/>
      <c r="AV22" s="320"/>
      <c r="AW22" s="320"/>
      <c r="AX22" s="320"/>
      <c r="AY22" s="320"/>
      <c r="AZ22" s="262"/>
      <c r="BA22" s="268" t="s">
        <v>183</v>
      </c>
      <c r="BB22" s="268" t="s">
        <v>216</v>
      </c>
      <c r="BC22" s="260" t="s">
        <v>227</v>
      </c>
      <c r="BD22" s="321">
        <f t="shared" si="19"/>
        <v>1</v>
      </c>
      <c r="BE22" s="321">
        <f t="shared" si="19"/>
        <v>0</v>
      </c>
      <c r="BF22" s="321">
        <f t="shared" si="19"/>
        <v>0</v>
      </c>
      <c r="BG22" s="321">
        <f t="shared" si="19"/>
        <v>0</v>
      </c>
      <c r="BH22" s="321">
        <f t="shared" si="20"/>
        <v>0</v>
      </c>
      <c r="BI22" s="321">
        <f t="shared" si="20"/>
        <v>1</v>
      </c>
    </row>
    <row r="23" spans="1:61" ht="15.75">
      <c r="A23" s="322">
        <v>13</v>
      </c>
      <c r="B23" s="324" t="s">
        <v>329</v>
      </c>
      <c r="C23" s="310" t="s">
        <v>328</v>
      </c>
      <c r="D23" s="311" t="s">
        <v>327</v>
      </c>
      <c r="E23" s="524"/>
      <c r="F23" s="525"/>
      <c r="G23" s="312">
        <v>32600</v>
      </c>
      <c r="H23" s="313">
        <v>90</v>
      </c>
      <c r="I23" s="312">
        <v>12790</v>
      </c>
      <c r="J23" s="313">
        <f t="shared" si="0"/>
        <v>45</v>
      </c>
      <c r="K23" s="312">
        <v>16230</v>
      </c>
      <c r="L23" s="313">
        <f t="shared" si="1"/>
        <v>45</v>
      </c>
      <c r="M23" s="314">
        <f t="shared" si="2"/>
        <v>61620</v>
      </c>
      <c r="N23" s="315">
        <f t="shared" si="3"/>
        <v>180</v>
      </c>
      <c r="O23" s="262"/>
      <c r="P23" s="312">
        <v>32600</v>
      </c>
      <c r="Q23" s="316">
        <f t="shared" si="4"/>
        <v>32600</v>
      </c>
      <c r="R23" s="316">
        <f t="shared" si="5"/>
        <v>0</v>
      </c>
      <c r="S23" s="317">
        <f t="shared" si="6"/>
        <v>210</v>
      </c>
      <c r="T23" s="317">
        <f t="shared" si="7"/>
        <v>210</v>
      </c>
      <c r="U23" s="313">
        <f t="shared" si="21"/>
        <v>0</v>
      </c>
      <c r="V23" s="312">
        <v>12790</v>
      </c>
      <c r="W23" s="316">
        <f t="shared" si="8"/>
        <v>12790</v>
      </c>
      <c r="X23" s="316">
        <f t="shared" si="9"/>
        <v>0</v>
      </c>
      <c r="Y23" s="313">
        <f t="shared" si="10"/>
        <v>105</v>
      </c>
      <c r="Z23" s="317">
        <f t="shared" si="11"/>
        <v>105</v>
      </c>
      <c r="AA23" s="313">
        <f t="shared" si="22"/>
        <v>0</v>
      </c>
      <c r="AB23" s="312">
        <v>16230</v>
      </c>
      <c r="AC23" s="316">
        <f t="shared" si="12"/>
        <v>16230</v>
      </c>
      <c r="AD23" s="316">
        <f t="shared" si="13"/>
        <v>0</v>
      </c>
      <c r="AE23" s="313">
        <f t="shared" si="14"/>
        <v>105</v>
      </c>
      <c r="AF23" s="317">
        <f t="shared" si="15"/>
        <v>105</v>
      </c>
      <c r="AG23" s="313">
        <f t="shared" si="23"/>
        <v>0</v>
      </c>
      <c r="AH23" s="262"/>
      <c r="AI23" s="262"/>
      <c r="AJ23" s="314">
        <f t="shared" si="24"/>
        <v>61620</v>
      </c>
      <c r="AK23" s="314">
        <f t="shared" si="25"/>
        <v>61620</v>
      </c>
      <c r="AL23" s="314">
        <f t="shared" si="26"/>
        <v>0</v>
      </c>
      <c r="AM23" s="262">
        <f t="shared" si="27"/>
        <v>420</v>
      </c>
      <c r="AN23" s="262">
        <f t="shared" si="28"/>
        <v>420</v>
      </c>
      <c r="AO23" s="262">
        <f t="shared" si="16"/>
        <v>0</v>
      </c>
      <c r="AP23" s="318">
        <f t="shared" si="17"/>
        <v>180</v>
      </c>
      <c r="AQ23" s="262">
        <f t="shared" si="18"/>
        <v>240</v>
      </c>
      <c r="AR23" s="319">
        <f t="shared" si="29"/>
        <v>2.3333333333333335</v>
      </c>
      <c r="AS23" s="320"/>
      <c r="AT23" s="320"/>
      <c r="AU23" s="320"/>
      <c r="AV23" s="320"/>
      <c r="AW23" s="320"/>
      <c r="AX23" s="320"/>
      <c r="AY23" s="320"/>
      <c r="AZ23" s="262"/>
      <c r="BA23" s="268" t="s">
        <v>183</v>
      </c>
      <c r="BB23" s="268" t="s">
        <v>216</v>
      </c>
      <c r="BC23" s="260"/>
      <c r="BD23" s="321">
        <f t="shared" si="19"/>
        <v>1</v>
      </c>
      <c r="BE23" s="321">
        <f t="shared" si="19"/>
        <v>0</v>
      </c>
      <c r="BF23" s="321">
        <f t="shared" si="19"/>
        <v>0</v>
      </c>
      <c r="BG23" s="321">
        <f t="shared" si="19"/>
        <v>0</v>
      </c>
      <c r="BH23" s="321">
        <f t="shared" si="20"/>
        <v>0</v>
      </c>
      <c r="BI23" s="321">
        <f t="shared" si="20"/>
        <v>0</v>
      </c>
    </row>
    <row r="24" spans="1:61" ht="15.75">
      <c r="A24" s="322">
        <v>14</v>
      </c>
      <c r="B24" s="326" t="s">
        <v>326</v>
      </c>
      <c r="C24" s="310" t="s">
        <v>325</v>
      </c>
      <c r="D24" s="311" t="s">
        <v>324</v>
      </c>
      <c r="E24" s="524"/>
      <c r="F24" s="525"/>
      <c r="G24" s="312">
        <v>2780</v>
      </c>
      <c r="H24" s="313">
        <v>90</v>
      </c>
      <c r="I24" s="327">
        <v>4270</v>
      </c>
      <c r="J24" s="313">
        <f t="shared" si="0"/>
        <v>45</v>
      </c>
      <c r="K24" s="312">
        <v>12550</v>
      </c>
      <c r="L24" s="313">
        <f t="shared" si="1"/>
        <v>45</v>
      </c>
      <c r="M24" s="314">
        <f t="shared" si="2"/>
        <v>19600</v>
      </c>
      <c r="N24" s="315">
        <f t="shared" si="3"/>
        <v>180</v>
      </c>
      <c r="O24" s="262"/>
      <c r="P24" s="312">
        <v>2780</v>
      </c>
      <c r="Q24" s="316">
        <f t="shared" si="4"/>
        <v>2780</v>
      </c>
      <c r="R24" s="316">
        <f t="shared" si="5"/>
        <v>0</v>
      </c>
      <c r="S24" s="317">
        <f t="shared" si="6"/>
        <v>210</v>
      </c>
      <c r="T24" s="317">
        <f t="shared" si="7"/>
        <v>210</v>
      </c>
      <c r="U24" s="313">
        <f t="shared" si="21"/>
        <v>0</v>
      </c>
      <c r="V24" s="327">
        <v>4270</v>
      </c>
      <c r="W24" s="316">
        <f t="shared" si="8"/>
        <v>4270</v>
      </c>
      <c r="X24" s="316">
        <f t="shared" si="9"/>
        <v>0</v>
      </c>
      <c r="Y24" s="313">
        <f t="shared" si="10"/>
        <v>105</v>
      </c>
      <c r="Z24" s="317">
        <f t="shared" si="11"/>
        <v>105</v>
      </c>
      <c r="AA24" s="313">
        <f t="shared" si="22"/>
        <v>0</v>
      </c>
      <c r="AB24" s="312">
        <v>12550</v>
      </c>
      <c r="AC24" s="316">
        <f t="shared" si="12"/>
        <v>12550</v>
      </c>
      <c r="AD24" s="316">
        <f t="shared" si="13"/>
        <v>0</v>
      </c>
      <c r="AE24" s="313">
        <f t="shared" si="14"/>
        <v>105</v>
      </c>
      <c r="AF24" s="317">
        <f t="shared" si="15"/>
        <v>105</v>
      </c>
      <c r="AG24" s="313">
        <f t="shared" si="23"/>
        <v>0</v>
      </c>
      <c r="AH24" s="262"/>
      <c r="AI24" s="631">
        <f>1/22.5</f>
        <v>0.044444444444444446</v>
      </c>
      <c r="AJ24" s="314">
        <f t="shared" si="24"/>
        <v>19600</v>
      </c>
      <c r="AK24" s="314">
        <f t="shared" si="25"/>
        <v>19600</v>
      </c>
      <c r="AL24" s="314">
        <f t="shared" si="26"/>
        <v>0</v>
      </c>
      <c r="AM24" s="262">
        <f t="shared" si="27"/>
        <v>420</v>
      </c>
      <c r="AN24" s="262">
        <f t="shared" si="28"/>
        <v>420</v>
      </c>
      <c r="AO24" s="262">
        <f t="shared" si="16"/>
        <v>0</v>
      </c>
      <c r="AP24" s="318">
        <f t="shared" si="17"/>
        <v>180</v>
      </c>
      <c r="AQ24" s="262">
        <f t="shared" si="18"/>
        <v>240</v>
      </c>
      <c r="AR24" s="319">
        <f t="shared" si="29"/>
        <v>2.3333333333333335</v>
      </c>
      <c r="AS24" s="320"/>
      <c r="AT24" s="320"/>
      <c r="AU24" s="320"/>
      <c r="AV24" s="320"/>
      <c r="AW24" s="320"/>
      <c r="AX24" s="320"/>
      <c r="AY24" s="320"/>
      <c r="AZ24" s="260"/>
      <c r="BA24" s="268" t="s">
        <v>183</v>
      </c>
      <c r="BB24" s="268" t="s">
        <v>216</v>
      </c>
      <c r="BC24" s="260" t="s">
        <v>196</v>
      </c>
      <c r="BD24" s="321">
        <f t="shared" si="19"/>
        <v>1</v>
      </c>
      <c r="BE24" s="321">
        <f t="shared" si="19"/>
        <v>0</v>
      </c>
      <c r="BF24" s="321">
        <f t="shared" si="19"/>
        <v>0</v>
      </c>
      <c r="BG24" s="321">
        <f t="shared" si="19"/>
        <v>0</v>
      </c>
      <c r="BH24" s="321">
        <f t="shared" si="20"/>
        <v>1</v>
      </c>
      <c r="BI24" s="321">
        <f t="shared" si="20"/>
        <v>0</v>
      </c>
    </row>
    <row r="25" spans="1:61" ht="15.75">
      <c r="A25" s="322">
        <v>15</v>
      </c>
      <c r="B25" s="324" t="s">
        <v>323</v>
      </c>
      <c r="C25" s="310" t="s">
        <v>322</v>
      </c>
      <c r="D25" s="311" t="s">
        <v>321</v>
      </c>
      <c r="E25" s="524"/>
      <c r="F25" s="525"/>
      <c r="G25" s="312">
        <v>28140</v>
      </c>
      <c r="H25" s="313">
        <v>90</v>
      </c>
      <c r="I25" s="312">
        <v>11660</v>
      </c>
      <c r="J25" s="313">
        <f t="shared" si="0"/>
        <v>45</v>
      </c>
      <c r="K25" s="312">
        <v>58930</v>
      </c>
      <c r="L25" s="313">
        <f t="shared" si="1"/>
        <v>147.325</v>
      </c>
      <c r="M25" s="314">
        <f t="shared" si="2"/>
        <v>98730</v>
      </c>
      <c r="N25" s="315">
        <f t="shared" si="3"/>
        <v>282.325</v>
      </c>
      <c r="O25" s="262"/>
      <c r="P25" s="312">
        <v>28140</v>
      </c>
      <c r="Q25" s="316">
        <f t="shared" si="4"/>
        <v>28140</v>
      </c>
      <c r="R25" s="316">
        <f t="shared" si="5"/>
        <v>0</v>
      </c>
      <c r="S25" s="317">
        <f t="shared" si="6"/>
        <v>210</v>
      </c>
      <c r="T25" s="317">
        <f t="shared" si="7"/>
        <v>210</v>
      </c>
      <c r="U25" s="313">
        <f t="shared" si="21"/>
        <v>0</v>
      </c>
      <c r="V25" s="312">
        <v>11660</v>
      </c>
      <c r="W25" s="316">
        <f t="shared" si="8"/>
        <v>11660</v>
      </c>
      <c r="X25" s="316">
        <f t="shared" si="9"/>
        <v>0</v>
      </c>
      <c r="Y25" s="313">
        <f t="shared" si="10"/>
        <v>105</v>
      </c>
      <c r="Z25" s="317">
        <f t="shared" si="11"/>
        <v>105</v>
      </c>
      <c r="AA25" s="313">
        <f t="shared" si="22"/>
        <v>0</v>
      </c>
      <c r="AB25" s="312">
        <v>58930</v>
      </c>
      <c r="AC25" s="316">
        <f t="shared" si="12"/>
        <v>22500</v>
      </c>
      <c r="AD25" s="316">
        <f t="shared" si="13"/>
        <v>36430</v>
      </c>
      <c r="AE25" s="313">
        <f t="shared" si="14"/>
        <v>287.15</v>
      </c>
      <c r="AF25" s="317">
        <f t="shared" si="15"/>
        <v>105</v>
      </c>
      <c r="AG25" s="313">
        <f t="shared" si="23"/>
        <v>182.14999999999998</v>
      </c>
      <c r="AH25" s="262"/>
      <c r="AI25" s="262"/>
      <c r="AJ25" s="314">
        <f t="shared" si="24"/>
        <v>98730</v>
      </c>
      <c r="AK25" s="314">
        <f t="shared" si="25"/>
        <v>62300</v>
      </c>
      <c r="AL25" s="314">
        <f t="shared" si="26"/>
        <v>36430</v>
      </c>
      <c r="AM25" s="262">
        <f t="shared" si="27"/>
        <v>602.15</v>
      </c>
      <c r="AN25" s="262">
        <f t="shared" si="28"/>
        <v>420</v>
      </c>
      <c r="AO25" s="262">
        <f t="shared" si="16"/>
        <v>182.14999999999998</v>
      </c>
      <c r="AP25" s="318">
        <f t="shared" si="17"/>
        <v>282.325</v>
      </c>
      <c r="AQ25" s="262">
        <f t="shared" si="18"/>
        <v>319.825</v>
      </c>
      <c r="AR25" s="319">
        <f t="shared" si="29"/>
        <v>2.1328256442043743</v>
      </c>
      <c r="AS25" s="320"/>
      <c r="AT25" s="320"/>
      <c r="AU25" s="320"/>
      <c r="AV25" s="320"/>
      <c r="AW25" s="320"/>
      <c r="AX25" s="320"/>
      <c r="AY25" s="320"/>
      <c r="AZ25" s="260"/>
      <c r="BA25" s="268" t="s">
        <v>183</v>
      </c>
      <c r="BB25" s="268" t="s">
        <v>216</v>
      </c>
      <c r="BC25" s="260" t="s">
        <v>196</v>
      </c>
      <c r="BD25" s="321">
        <f t="shared" si="19"/>
        <v>1</v>
      </c>
      <c r="BE25" s="321">
        <f t="shared" si="19"/>
        <v>0</v>
      </c>
      <c r="BF25" s="321">
        <f t="shared" si="19"/>
        <v>0</v>
      </c>
      <c r="BG25" s="321">
        <f t="shared" si="19"/>
        <v>0</v>
      </c>
      <c r="BH25" s="321">
        <f t="shared" si="20"/>
        <v>1</v>
      </c>
      <c r="BI25" s="321">
        <f t="shared" si="20"/>
        <v>0</v>
      </c>
    </row>
    <row r="26" spans="1:61" ht="15.75">
      <c r="A26" s="322">
        <v>16</v>
      </c>
      <c r="B26" s="324" t="s">
        <v>320</v>
      </c>
      <c r="C26" s="310" t="s">
        <v>319</v>
      </c>
      <c r="D26" s="311" t="s">
        <v>318</v>
      </c>
      <c r="E26" s="524"/>
      <c r="F26" s="525"/>
      <c r="G26" s="312">
        <v>19960</v>
      </c>
      <c r="H26" s="313">
        <v>90</v>
      </c>
      <c r="I26" s="312">
        <v>75700</v>
      </c>
      <c r="J26" s="313">
        <f t="shared" si="0"/>
        <v>189.25</v>
      </c>
      <c r="K26" s="312">
        <v>11030</v>
      </c>
      <c r="L26" s="313">
        <f t="shared" si="1"/>
        <v>45</v>
      </c>
      <c r="M26" s="314">
        <f t="shared" si="2"/>
        <v>106690</v>
      </c>
      <c r="N26" s="315">
        <f t="shared" si="3"/>
        <v>324.25</v>
      </c>
      <c r="O26" s="262"/>
      <c r="P26" s="312">
        <v>19960</v>
      </c>
      <c r="Q26" s="316">
        <f t="shared" si="4"/>
        <v>19960</v>
      </c>
      <c r="R26" s="316">
        <f t="shared" si="5"/>
        <v>0</v>
      </c>
      <c r="S26" s="317">
        <f t="shared" si="6"/>
        <v>210</v>
      </c>
      <c r="T26" s="317">
        <f t="shared" si="7"/>
        <v>210</v>
      </c>
      <c r="U26" s="313">
        <f t="shared" si="21"/>
        <v>0</v>
      </c>
      <c r="V26" s="312">
        <v>75700</v>
      </c>
      <c r="W26" s="316">
        <f t="shared" si="8"/>
        <v>22500</v>
      </c>
      <c r="X26" s="316">
        <f t="shared" si="9"/>
        <v>53200</v>
      </c>
      <c r="Y26" s="313">
        <f t="shared" si="10"/>
        <v>371</v>
      </c>
      <c r="Z26" s="317">
        <f t="shared" si="11"/>
        <v>105</v>
      </c>
      <c r="AA26" s="313">
        <f t="shared" si="22"/>
        <v>266</v>
      </c>
      <c r="AB26" s="312">
        <v>11030</v>
      </c>
      <c r="AC26" s="316">
        <f t="shared" si="12"/>
        <v>11030</v>
      </c>
      <c r="AD26" s="316">
        <f t="shared" si="13"/>
        <v>0</v>
      </c>
      <c r="AE26" s="313">
        <f t="shared" si="14"/>
        <v>105</v>
      </c>
      <c r="AF26" s="317">
        <f t="shared" si="15"/>
        <v>105</v>
      </c>
      <c r="AG26" s="313">
        <f t="shared" si="23"/>
        <v>0</v>
      </c>
      <c r="AH26" s="262"/>
      <c r="AI26" s="262">
        <f>AI22/AI24</f>
        <v>42.831325301204814</v>
      </c>
      <c r="AJ26" s="314">
        <f t="shared" si="24"/>
        <v>106690</v>
      </c>
      <c r="AK26" s="314">
        <f t="shared" si="25"/>
        <v>53490</v>
      </c>
      <c r="AL26" s="314">
        <f t="shared" si="26"/>
        <v>53200</v>
      </c>
      <c r="AM26" s="262">
        <f t="shared" si="27"/>
        <v>686</v>
      </c>
      <c r="AN26" s="262">
        <f t="shared" si="28"/>
        <v>420</v>
      </c>
      <c r="AO26" s="262">
        <f t="shared" si="16"/>
        <v>266</v>
      </c>
      <c r="AP26" s="318">
        <f t="shared" si="17"/>
        <v>324.25</v>
      </c>
      <c r="AQ26" s="262">
        <f t="shared" si="18"/>
        <v>361.75</v>
      </c>
      <c r="AR26" s="319">
        <f t="shared" si="29"/>
        <v>2.115651503469545</v>
      </c>
      <c r="AS26" s="320"/>
      <c r="AT26" s="320"/>
      <c r="AU26" s="320"/>
      <c r="AV26" s="320"/>
      <c r="AW26" s="320"/>
      <c r="AX26" s="320"/>
      <c r="AY26" s="320"/>
      <c r="AZ26" s="262"/>
      <c r="BA26" s="268" t="s">
        <v>183</v>
      </c>
      <c r="BB26" s="268" t="s">
        <v>216</v>
      </c>
      <c r="BC26" s="260" t="s">
        <v>196</v>
      </c>
      <c r="BD26" s="321">
        <f t="shared" si="19"/>
        <v>1</v>
      </c>
      <c r="BE26" s="321">
        <f t="shared" si="19"/>
        <v>0</v>
      </c>
      <c r="BF26" s="321">
        <f t="shared" si="19"/>
        <v>0</v>
      </c>
      <c r="BG26" s="321">
        <f t="shared" si="19"/>
        <v>0</v>
      </c>
      <c r="BH26" s="321">
        <f t="shared" si="20"/>
        <v>1</v>
      </c>
      <c r="BI26" s="321">
        <f t="shared" si="20"/>
        <v>0</v>
      </c>
    </row>
    <row r="27" spans="1:61" ht="15.75">
      <c r="A27" s="322">
        <v>17</v>
      </c>
      <c r="B27" s="324" t="s">
        <v>317</v>
      </c>
      <c r="C27" s="310" t="s">
        <v>316</v>
      </c>
      <c r="D27" s="311" t="s">
        <v>315</v>
      </c>
      <c r="E27" s="524"/>
      <c r="F27" s="525"/>
      <c r="G27" s="312">
        <v>38310</v>
      </c>
      <c r="H27" s="313">
        <v>95.775</v>
      </c>
      <c r="I27" s="312">
        <v>17410</v>
      </c>
      <c r="J27" s="313">
        <f t="shared" si="0"/>
        <v>45</v>
      </c>
      <c r="K27" s="312">
        <v>19320</v>
      </c>
      <c r="L27" s="313">
        <f t="shared" si="1"/>
        <v>48.3</v>
      </c>
      <c r="M27" s="314">
        <f t="shared" si="2"/>
        <v>75040</v>
      </c>
      <c r="N27" s="315">
        <f t="shared" si="3"/>
        <v>189.075</v>
      </c>
      <c r="O27" s="262"/>
      <c r="P27" s="312">
        <v>38310</v>
      </c>
      <c r="Q27" s="316">
        <f t="shared" si="4"/>
        <v>38310</v>
      </c>
      <c r="R27" s="316">
        <f t="shared" si="5"/>
        <v>0</v>
      </c>
      <c r="S27" s="317">
        <f t="shared" si="6"/>
        <v>210</v>
      </c>
      <c r="T27" s="317">
        <f t="shared" si="7"/>
        <v>210</v>
      </c>
      <c r="U27" s="313">
        <f t="shared" si="21"/>
        <v>0</v>
      </c>
      <c r="V27" s="312">
        <v>17410</v>
      </c>
      <c r="W27" s="316">
        <f t="shared" si="8"/>
        <v>17410</v>
      </c>
      <c r="X27" s="316">
        <f t="shared" si="9"/>
        <v>0</v>
      </c>
      <c r="Y27" s="313">
        <f t="shared" si="10"/>
        <v>105</v>
      </c>
      <c r="Z27" s="317">
        <f t="shared" si="11"/>
        <v>105</v>
      </c>
      <c r="AA27" s="313">
        <f t="shared" si="22"/>
        <v>0</v>
      </c>
      <c r="AB27" s="312">
        <v>19320</v>
      </c>
      <c r="AC27" s="316">
        <f t="shared" si="12"/>
        <v>19320</v>
      </c>
      <c r="AD27" s="316">
        <f t="shared" si="13"/>
        <v>0</v>
      </c>
      <c r="AE27" s="313">
        <f t="shared" si="14"/>
        <v>105</v>
      </c>
      <c r="AF27" s="317">
        <f t="shared" si="15"/>
        <v>105</v>
      </c>
      <c r="AG27" s="313">
        <f t="shared" si="23"/>
        <v>0</v>
      </c>
      <c r="AH27" s="262"/>
      <c r="AI27" s="262"/>
      <c r="AJ27" s="314">
        <f t="shared" si="24"/>
        <v>75040</v>
      </c>
      <c r="AK27" s="314">
        <f t="shared" si="25"/>
        <v>75040</v>
      </c>
      <c r="AL27" s="314">
        <f t="shared" si="26"/>
        <v>0</v>
      </c>
      <c r="AM27" s="262">
        <f t="shared" si="27"/>
        <v>420</v>
      </c>
      <c r="AN27" s="262">
        <f t="shared" si="28"/>
        <v>420</v>
      </c>
      <c r="AO27" s="262">
        <f t="shared" si="16"/>
        <v>0</v>
      </c>
      <c r="AP27" s="318">
        <f t="shared" si="17"/>
        <v>189.075</v>
      </c>
      <c r="AQ27" s="262">
        <f t="shared" si="18"/>
        <v>230.925</v>
      </c>
      <c r="AR27" s="319">
        <f t="shared" si="29"/>
        <v>2.2213407378024597</v>
      </c>
      <c r="AS27" s="320"/>
      <c r="AT27" s="320"/>
      <c r="AU27" s="320"/>
      <c r="AV27" s="320"/>
      <c r="AW27" s="320"/>
      <c r="AX27" s="320"/>
      <c r="AY27" s="320"/>
      <c r="AZ27" s="262"/>
      <c r="BA27" s="268" t="s">
        <v>183</v>
      </c>
      <c r="BB27" s="268" t="s">
        <v>216</v>
      </c>
      <c r="BC27" s="260" t="s">
        <v>196</v>
      </c>
      <c r="BD27" s="321">
        <f t="shared" si="19"/>
        <v>1</v>
      </c>
      <c r="BE27" s="321">
        <f t="shared" si="19"/>
        <v>0</v>
      </c>
      <c r="BF27" s="321">
        <f t="shared" si="19"/>
        <v>0</v>
      </c>
      <c r="BG27" s="321">
        <f t="shared" si="19"/>
        <v>0</v>
      </c>
      <c r="BH27" s="321">
        <f t="shared" si="20"/>
        <v>1</v>
      </c>
      <c r="BI27" s="321">
        <f t="shared" si="20"/>
        <v>0</v>
      </c>
    </row>
    <row r="28" spans="1:61" ht="15.75">
      <c r="A28" s="322">
        <v>18</v>
      </c>
      <c r="B28" s="325" t="s">
        <v>314</v>
      </c>
      <c r="C28" s="310" t="s">
        <v>313</v>
      </c>
      <c r="D28" s="311" t="s">
        <v>312</v>
      </c>
      <c r="E28" s="524"/>
      <c r="F28" s="525"/>
      <c r="G28" s="312">
        <v>50730</v>
      </c>
      <c r="H28" s="313">
        <v>126.825</v>
      </c>
      <c r="I28" s="312">
        <v>17380</v>
      </c>
      <c r="J28" s="313">
        <f t="shared" si="0"/>
        <v>45</v>
      </c>
      <c r="K28" s="312">
        <v>21570</v>
      </c>
      <c r="L28" s="313">
        <f t="shared" si="1"/>
        <v>53.925</v>
      </c>
      <c r="M28" s="314">
        <f t="shared" si="2"/>
        <v>89680</v>
      </c>
      <c r="N28" s="315">
        <f t="shared" si="3"/>
        <v>225.75</v>
      </c>
      <c r="O28" s="262"/>
      <c r="P28" s="312">
        <v>50730</v>
      </c>
      <c r="Q28" s="316">
        <f t="shared" si="4"/>
        <v>45000</v>
      </c>
      <c r="R28" s="316">
        <f t="shared" si="5"/>
        <v>5730</v>
      </c>
      <c r="S28" s="317">
        <f t="shared" si="6"/>
        <v>238.65</v>
      </c>
      <c r="T28" s="317">
        <f t="shared" si="7"/>
        <v>210</v>
      </c>
      <c r="U28" s="313">
        <f t="shared" si="21"/>
        <v>28.650000000000006</v>
      </c>
      <c r="V28" s="312">
        <v>17380</v>
      </c>
      <c r="W28" s="316">
        <f t="shared" si="8"/>
        <v>17380</v>
      </c>
      <c r="X28" s="316">
        <f t="shared" si="9"/>
        <v>0</v>
      </c>
      <c r="Y28" s="313">
        <f t="shared" si="10"/>
        <v>105</v>
      </c>
      <c r="Z28" s="317">
        <f t="shared" si="11"/>
        <v>105</v>
      </c>
      <c r="AA28" s="313">
        <f t="shared" si="22"/>
        <v>0</v>
      </c>
      <c r="AB28" s="312">
        <v>21570</v>
      </c>
      <c r="AC28" s="316">
        <f t="shared" si="12"/>
        <v>21570</v>
      </c>
      <c r="AD28" s="316">
        <f t="shared" si="13"/>
        <v>0</v>
      </c>
      <c r="AE28" s="313">
        <f t="shared" si="14"/>
        <v>105</v>
      </c>
      <c r="AF28" s="317">
        <f t="shared" si="15"/>
        <v>105</v>
      </c>
      <c r="AG28" s="313">
        <f t="shared" si="23"/>
        <v>0</v>
      </c>
      <c r="AH28" s="262"/>
      <c r="AI28" s="262"/>
      <c r="AJ28" s="314">
        <f t="shared" si="24"/>
        <v>89680</v>
      </c>
      <c r="AK28" s="314">
        <f t="shared" si="25"/>
        <v>83950</v>
      </c>
      <c r="AL28" s="314">
        <f t="shared" si="26"/>
        <v>5730</v>
      </c>
      <c r="AM28" s="262">
        <f t="shared" si="27"/>
        <v>448.65</v>
      </c>
      <c r="AN28" s="262">
        <f t="shared" si="28"/>
        <v>420</v>
      </c>
      <c r="AO28" s="262">
        <f t="shared" si="16"/>
        <v>28.650000000000006</v>
      </c>
      <c r="AP28" s="318">
        <f t="shared" si="17"/>
        <v>225.75</v>
      </c>
      <c r="AQ28" s="262">
        <f t="shared" si="18"/>
        <v>222.89999999999998</v>
      </c>
      <c r="AR28" s="319">
        <f t="shared" si="29"/>
        <v>1.987375415282392</v>
      </c>
      <c r="AS28" s="320"/>
      <c r="AT28" s="320"/>
      <c r="AU28" s="320"/>
      <c r="AV28" s="320"/>
      <c r="AW28" s="320"/>
      <c r="AX28" s="320"/>
      <c r="AY28" s="320"/>
      <c r="AZ28" s="262"/>
      <c r="BA28" s="268" t="s">
        <v>183</v>
      </c>
      <c r="BB28" s="268" t="s">
        <v>216</v>
      </c>
      <c r="BC28" s="260" t="s">
        <v>227</v>
      </c>
      <c r="BD28" s="321">
        <f t="shared" si="19"/>
        <v>1</v>
      </c>
      <c r="BE28" s="321">
        <f t="shared" si="19"/>
        <v>0</v>
      </c>
      <c r="BF28" s="321">
        <f t="shared" si="19"/>
        <v>0</v>
      </c>
      <c r="BG28" s="321">
        <f t="shared" si="19"/>
        <v>0</v>
      </c>
      <c r="BH28" s="321">
        <f t="shared" si="20"/>
        <v>0</v>
      </c>
      <c r="BI28" s="321">
        <f t="shared" si="20"/>
        <v>1</v>
      </c>
    </row>
    <row r="29" spans="1:61" ht="15.75">
      <c r="A29" s="322">
        <v>19</v>
      </c>
      <c r="B29" s="324" t="s">
        <v>311</v>
      </c>
      <c r="C29" s="310" t="s">
        <v>310</v>
      </c>
      <c r="D29" s="311" t="s">
        <v>309</v>
      </c>
      <c r="E29" s="524"/>
      <c r="F29" s="525"/>
      <c r="G29" s="312">
        <v>3330</v>
      </c>
      <c r="H29" s="313">
        <v>90</v>
      </c>
      <c r="I29" s="312">
        <v>5050</v>
      </c>
      <c r="J29" s="313">
        <f t="shared" si="0"/>
        <v>45</v>
      </c>
      <c r="K29" s="312">
        <v>7870</v>
      </c>
      <c r="L29" s="313">
        <f t="shared" si="1"/>
        <v>45</v>
      </c>
      <c r="M29" s="314">
        <f t="shared" si="2"/>
        <v>16250</v>
      </c>
      <c r="N29" s="315">
        <f t="shared" si="3"/>
        <v>180</v>
      </c>
      <c r="O29" s="262"/>
      <c r="P29" s="312">
        <v>3330</v>
      </c>
      <c r="Q29" s="316">
        <f t="shared" si="4"/>
        <v>3330</v>
      </c>
      <c r="R29" s="316">
        <f t="shared" si="5"/>
        <v>0</v>
      </c>
      <c r="S29" s="317">
        <f t="shared" si="6"/>
        <v>210</v>
      </c>
      <c r="T29" s="317">
        <f t="shared" si="7"/>
        <v>210</v>
      </c>
      <c r="U29" s="313">
        <f t="shared" si="21"/>
        <v>0</v>
      </c>
      <c r="V29" s="312">
        <v>5050</v>
      </c>
      <c r="W29" s="316">
        <f t="shared" si="8"/>
        <v>5050</v>
      </c>
      <c r="X29" s="316">
        <f t="shared" si="9"/>
        <v>0</v>
      </c>
      <c r="Y29" s="313">
        <f t="shared" si="10"/>
        <v>105</v>
      </c>
      <c r="Z29" s="317">
        <f t="shared" si="11"/>
        <v>105</v>
      </c>
      <c r="AA29" s="313">
        <f t="shared" si="22"/>
        <v>0</v>
      </c>
      <c r="AB29" s="312">
        <v>7870</v>
      </c>
      <c r="AC29" s="316">
        <f t="shared" si="12"/>
        <v>7870</v>
      </c>
      <c r="AD29" s="316">
        <f t="shared" si="13"/>
        <v>0</v>
      </c>
      <c r="AE29" s="313">
        <f t="shared" si="14"/>
        <v>105</v>
      </c>
      <c r="AF29" s="317">
        <f t="shared" si="15"/>
        <v>105</v>
      </c>
      <c r="AG29" s="313">
        <f t="shared" si="23"/>
        <v>0</v>
      </c>
      <c r="AH29" s="262"/>
      <c r="AI29" s="262"/>
      <c r="AJ29" s="314">
        <f t="shared" si="24"/>
        <v>16250</v>
      </c>
      <c r="AK29" s="314">
        <f t="shared" si="25"/>
        <v>16250</v>
      </c>
      <c r="AL29" s="314">
        <f t="shared" si="26"/>
        <v>0</v>
      </c>
      <c r="AM29" s="262">
        <f t="shared" si="27"/>
        <v>420</v>
      </c>
      <c r="AN29" s="262">
        <f t="shared" si="28"/>
        <v>420</v>
      </c>
      <c r="AO29" s="262">
        <f t="shared" si="16"/>
        <v>0</v>
      </c>
      <c r="AP29" s="318">
        <f t="shared" si="17"/>
        <v>180</v>
      </c>
      <c r="AQ29" s="262">
        <f t="shared" si="18"/>
        <v>240</v>
      </c>
      <c r="AR29" s="319">
        <f t="shared" si="29"/>
        <v>2.3333333333333335</v>
      </c>
      <c r="AS29" s="320"/>
      <c r="AT29" s="320"/>
      <c r="AU29" s="320"/>
      <c r="AV29" s="320"/>
      <c r="AW29" s="320"/>
      <c r="AX29" s="320"/>
      <c r="AY29" s="320"/>
      <c r="AZ29" s="262"/>
      <c r="BA29" s="268" t="s">
        <v>183</v>
      </c>
      <c r="BB29" s="268" t="s">
        <v>216</v>
      </c>
      <c r="BC29" s="260" t="s">
        <v>196</v>
      </c>
      <c r="BD29" s="321">
        <f t="shared" si="19"/>
        <v>1</v>
      </c>
      <c r="BE29" s="321">
        <f t="shared" si="19"/>
        <v>0</v>
      </c>
      <c r="BF29" s="321">
        <f t="shared" si="19"/>
        <v>0</v>
      </c>
      <c r="BG29" s="321">
        <f t="shared" si="19"/>
        <v>0</v>
      </c>
      <c r="BH29" s="321">
        <f t="shared" si="20"/>
        <v>1</v>
      </c>
      <c r="BI29" s="321">
        <f t="shared" si="20"/>
        <v>0</v>
      </c>
    </row>
    <row r="30" spans="1:61" ht="15.75">
      <c r="A30" s="322">
        <v>20</v>
      </c>
      <c r="B30" s="324" t="s">
        <v>308</v>
      </c>
      <c r="C30" s="329" t="s">
        <v>307</v>
      </c>
      <c r="D30" s="311" t="s">
        <v>306</v>
      </c>
      <c r="E30" s="524"/>
      <c r="F30" s="525"/>
      <c r="G30" s="312">
        <v>71120</v>
      </c>
      <c r="H30" s="313">
        <v>177.8</v>
      </c>
      <c r="I30" s="312">
        <v>25320</v>
      </c>
      <c r="J30" s="313">
        <f t="shared" si="0"/>
        <v>63.3</v>
      </c>
      <c r="K30" s="312">
        <v>52930</v>
      </c>
      <c r="L30" s="313">
        <f t="shared" si="1"/>
        <v>132.325</v>
      </c>
      <c r="M30" s="314">
        <f t="shared" si="2"/>
        <v>149370</v>
      </c>
      <c r="N30" s="315">
        <f t="shared" si="3"/>
        <v>373.425</v>
      </c>
      <c r="O30" s="262"/>
      <c r="P30" s="312">
        <v>71120</v>
      </c>
      <c r="Q30" s="316">
        <f t="shared" si="4"/>
        <v>45000</v>
      </c>
      <c r="R30" s="316">
        <f t="shared" si="5"/>
        <v>26120</v>
      </c>
      <c r="S30" s="317">
        <f t="shared" si="6"/>
        <v>340.6</v>
      </c>
      <c r="T30" s="317">
        <f t="shared" si="7"/>
        <v>210</v>
      </c>
      <c r="U30" s="313">
        <f t="shared" si="21"/>
        <v>130.60000000000002</v>
      </c>
      <c r="V30" s="312">
        <v>25320</v>
      </c>
      <c r="W30" s="316">
        <f t="shared" si="8"/>
        <v>22500</v>
      </c>
      <c r="X30" s="316">
        <f t="shared" si="9"/>
        <v>2820</v>
      </c>
      <c r="Y30" s="313">
        <f t="shared" si="10"/>
        <v>119.1</v>
      </c>
      <c r="Z30" s="317">
        <f t="shared" si="11"/>
        <v>105</v>
      </c>
      <c r="AA30" s="313">
        <f t="shared" si="22"/>
        <v>14.099999999999994</v>
      </c>
      <c r="AB30" s="312">
        <v>52930</v>
      </c>
      <c r="AC30" s="316">
        <f t="shared" si="12"/>
        <v>22500</v>
      </c>
      <c r="AD30" s="316">
        <f t="shared" si="13"/>
        <v>30430</v>
      </c>
      <c r="AE30" s="313">
        <f t="shared" si="14"/>
        <v>257.15</v>
      </c>
      <c r="AF30" s="317">
        <f t="shared" si="15"/>
        <v>105</v>
      </c>
      <c r="AG30" s="313">
        <f t="shared" si="23"/>
        <v>152.14999999999998</v>
      </c>
      <c r="AH30" s="262"/>
      <c r="AI30" s="262"/>
      <c r="AJ30" s="314">
        <f t="shared" si="24"/>
        <v>149370</v>
      </c>
      <c r="AK30" s="314">
        <f t="shared" si="25"/>
        <v>90000</v>
      </c>
      <c r="AL30" s="314">
        <f t="shared" si="26"/>
        <v>59370</v>
      </c>
      <c r="AM30" s="262">
        <f t="shared" si="27"/>
        <v>716.85</v>
      </c>
      <c r="AN30" s="262">
        <f t="shared" si="28"/>
        <v>420</v>
      </c>
      <c r="AO30" s="262">
        <f t="shared" si="16"/>
        <v>296.85</v>
      </c>
      <c r="AP30" s="318">
        <f t="shared" si="17"/>
        <v>373.425</v>
      </c>
      <c r="AQ30" s="262">
        <f t="shared" si="18"/>
        <v>343.425</v>
      </c>
      <c r="AR30" s="319">
        <f t="shared" si="29"/>
        <v>1.9196625828479614</v>
      </c>
      <c r="AS30" s="320"/>
      <c r="AT30" s="320"/>
      <c r="AU30" s="320"/>
      <c r="AV30" s="320"/>
      <c r="AW30" s="320"/>
      <c r="AX30" s="320"/>
      <c r="AY30" s="320"/>
      <c r="AZ30" s="262"/>
      <c r="BA30" s="268" t="s">
        <v>183</v>
      </c>
      <c r="BB30" s="268" t="s">
        <v>216</v>
      </c>
      <c r="BC30" s="330"/>
      <c r="BD30" s="331">
        <f t="shared" si="19"/>
        <v>1</v>
      </c>
      <c r="BE30" s="331">
        <f t="shared" si="19"/>
        <v>0</v>
      </c>
      <c r="BF30" s="331">
        <f t="shared" si="19"/>
        <v>0</v>
      </c>
      <c r="BG30" s="331">
        <f t="shared" si="19"/>
        <v>0</v>
      </c>
      <c r="BH30" s="321">
        <f t="shared" si="20"/>
        <v>0</v>
      </c>
      <c r="BI30" s="321">
        <f t="shared" si="20"/>
        <v>0</v>
      </c>
    </row>
    <row r="31" spans="1:61" ht="15.75">
      <c r="A31" s="322">
        <v>21</v>
      </c>
      <c r="B31" s="324" t="s">
        <v>305</v>
      </c>
      <c r="C31" s="329" t="s">
        <v>304</v>
      </c>
      <c r="D31" s="311" t="s">
        <v>303</v>
      </c>
      <c r="E31" s="524"/>
      <c r="F31" s="525"/>
      <c r="G31" s="312">
        <v>2770</v>
      </c>
      <c r="H31" s="313">
        <v>90</v>
      </c>
      <c r="I31" s="312">
        <v>2850</v>
      </c>
      <c r="J31" s="313">
        <f t="shared" si="0"/>
        <v>45</v>
      </c>
      <c r="K31" s="312">
        <v>22290</v>
      </c>
      <c r="L31" s="313">
        <f t="shared" si="1"/>
        <v>55.725</v>
      </c>
      <c r="M31" s="314">
        <f t="shared" si="2"/>
        <v>27910</v>
      </c>
      <c r="N31" s="315">
        <f t="shared" si="3"/>
        <v>190.725</v>
      </c>
      <c r="O31" s="262"/>
      <c r="P31" s="312">
        <v>2770</v>
      </c>
      <c r="Q31" s="316">
        <f t="shared" si="4"/>
        <v>2770</v>
      </c>
      <c r="R31" s="316">
        <f t="shared" si="5"/>
        <v>0</v>
      </c>
      <c r="S31" s="317">
        <f t="shared" si="6"/>
        <v>210</v>
      </c>
      <c r="T31" s="317">
        <f t="shared" si="7"/>
        <v>210</v>
      </c>
      <c r="U31" s="313">
        <f t="shared" si="21"/>
        <v>0</v>
      </c>
      <c r="V31" s="312">
        <v>2850</v>
      </c>
      <c r="W31" s="316">
        <f t="shared" si="8"/>
        <v>2850</v>
      </c>
      <c r="X31" s="316">
        <f t="shared" si="9"/>
        <v>0</v>
      </c>
      <c r="Y31" s="313">
        <f t="shared" si="10"/>
        <v>105</v>
      </c>
      <c r="Z31" s="317">
        <f t="shared" si="11"/>
        <v>105</v>
      </c>
      <c r="AA31" s="313">
        <f t="shared" si="22"/>
        <v>0</v>
      </c>
      <c r="AB31" s="312">
        <v>22290</v>
      </c>
      <c r="AC31" s="316">
        <f t="shared" si="12"/>
        <v>22290</v>
      </c>
      <c r="AD31" s="316">
        <f t="shared" si="13"/>
        <v>0</v>
      </c>
      <c r="AE31" s="313">
        <f t="shared" si="14"/>
        <v>105</v>
      </c>
      <c r="AF31" s="317">
        <f t="shared" si="15"/>
        <v>105</v>
      </c>
      <c r="AG31" s="313">
        <f t="shared" si="23"/>
        <v>0</v>
      </c>
      <c r="AH31" s="262"/>
      <c r="AI31" s="262"/>
      <c r="AJ31" s="314">
        <f t="shared" si="24"/>
        <v>27910</v>
      </c>
      <c r="AK31" s="314">
        <f t="shared" si="25"/>
        <v>27910</v>
      </c>
      <c r="AL31" s="314">
        <f t="shared" si="26"/>
        <v>0</v>
      </c>
      <c r="AM31" s="262">
        <f t="shared" si="27"/>
        <v>420</v>
      </c>
      <c r="AN31" s="262">
        <f t="shared" si="28"/>
        <v>420</v>
      </c>
      <c r="AO31" s="262">
        <f t="shared" si="16"/>
        <v>0</v>
      </c>
      <c r="AP31" s="318">
        <f t="shared" si="17"/>
        <v>190.725</v>
      </c>
      <c r="AQ31" s="262">
        <f t="shared" si="18"/>
        <v>229.275</v>
      </c>
      <c r="AR31" s="319">
        <f t="shared" si="29"/>
        <v>2.2021234762092017</v>
      </c>
      <c r="AS31" s="320"/>
      <c r="AT31" s="320"/>
      <c r="AU31" s="320"/>
      <c r="AV31" s="320"/>
      <c r="AW31" s="320"/>
      <c r="AX31" s="320"/>
      <c r="AY31" s="320"/>
      <c r="AZ31" s="262"/>
      <c r="BA31" s="268" t="s">
        <v>183</v>
      </c>
      <c r="BB31" s="268" t="s">
        <v>216</v>
      </c>
      <c r="BC31" s="260"/>
      <c r="BD31" s="321">
        <f aca="true" t="shared" si="30" ref="BD31:BG50">COUNTIF($BB31,BD$10)</f>
        <v>1</v>
      </c>
      <c r="BE31" s="321">
        <f t="shared" si="30"/>
        <v>0</v>
      </c>
      <c r="BF31" s="321">
        <f t="shared" si="30"/>
        <v>0</v>
      </c>
      <c r="BG31" s="321">
        <f t="shared" si="30"/>
        <v>0</v>
      </c>
      <c r="BH31" s="321">
        <f aca="true" t="shared" si="31" ref="BH31:BI50">COUNTIF($BC31,BH$10)</f>
        <v>0</v>
      </c>
      <c r="BI31" s="321">
        <f t="shared" si="31"/>
        <v>0</v>
      </c>
    </row>
    <row r="32" spans="1:61" ht="15.75">
      <c r="A32" s="322">
        <v>22</v>
      </c>
      <c r="B32" s="324" t="s">
        <v>302</v>
      </c>
      <c r="C32" s="329" t="s">
        <v>301</v>
      </c>
      <c r="D32" s="311" t="s">
        <v>300</v>
      </c>
      <c r="E32" s="524"/>
      <c r="F32" s="525"/>
      <c r="G32" s="312">
        <v>15590</v>
      </c>
      <c r="H32" s="313">
        <v>90</v>
      </c>
      <c r="I32" s="312">
        <v>2500</v>
      </c>
      <c r="J32" s="313">
        <f t="shared" si="0"/>
        <v>45</v>
      </c>
      <c r="K32" s="312">
        <v>4410</v>
      </c>
      <c r="L32" s="313">
        <f t="shared" si="1"/>
        <v>45</v>
      </c>
      <c r="M32" s="314">
        <f t="shared" si="2"/>
        <v>22500</v>
      </c>
      <c r="N32" s="315">
        <f t="shared" si="3"/>
        <v>180</v>
      </c>
      <c r="O32" s="262"/>
      <c r="P32" s="312">
        <v>15590</v>
      </c>
      <c r="Q32" s="316">
        <f t="shared" si="4"/>
        <v>15590</v>
      </c>
      <c r="R32" s="316">
        <f t="shared" si="5"/>
        <v>0</v>
      </c>
      <c r="S32" s="317">
        <f t="shared" si="6"/>
        <v>210</v>
      </c>
      <c r="T32" s="317">
        <f t="shared" si="7"/>
        <v>210</v>
      </c>
      <c r="U32" s="313">
        <f t="shared" si="21"/>
        <v>0</v>
      </c>
      <c r="V32" s="312">
        <v>2500</v>
      </c>
      <c r="W32" s="316">
        <f t="shared" si="8"/>
        <v>2500</v>
      </c>
      <c r="X32" s="316">
        <f t="shared" si="9"/>
        <v>0</v>
      </c>
      <c r="Y32" s="313">
        <f t="shared" si="10"/>
        <v>105</v>
      </c>
      <c r="Z32" s="317">
        <f t="shared" si="11"/>
        <v>105</v>
      </c>
      <c r="AA32" s="313">
        <f t="shared" si="22"/>
        <v>0</v>
      </c>
      <c r="AB32" s="312">
        <v>4410</v>
      </c>
      <c r="AC32" s="316">
        <f t="shared" si="12"/>
        <v>4410</v>
      </c>
      <c r="AD32" s="316">
        <f t="shared" si="13"/>
        <v>0</v>
      </c>
      <c r="AE32" s="313">
        <f t="shared" si="14"/>
        <v>105</v>
      </c>
      <c r="AF32" s="317">
        <f t="shared" si="15"/>
        <v>105</v>
      </c>
      <c r="AG32" s="313">
        <f t="shared" si="23"/>
        <v>0</v>
      </c>
      <c r="AH32" s="262"/>
      <c r="AI32" s="262"/>
      <c r="AJ32" s="314">
        <f t="shared" si="24"/>
        <v>22500</v>
      </c>
      <c r="AK32" s="314">
        <f t="shared" si="25"/>
        <v>22500</v>
      </c>
      <c r="AL32" s="314">
        <f t="shared" si="26"/>
        <v>0</v>
      </c>
      <c r="AM32" s="262">
        <f t="shared" si="27"/>
        <v>420</v>
      </c>
      <c r="AN32" s="262">
        <f t="shared" si="28"/>
        <v>420</v>
      </c>
      <c r="AO32" s="262">
        <f t="shared" si="16"/>
        <v>0</v>
      </c>
      <c r="AP32" s="318">
        <f t="shared" si="17"/>
        <v>180</v>
      </c>
      <c r="AQ32" s="262">
        <f t="shared" si="18"/>
        <v>240</v>
      </c>
      <c r="AR32" s="319">
        <f t="shared" si="29"/>
        <v>2.3333333333333335</v>
      </c>
      <c r="AS32" s="320"/>
      <c r="AT32" s="320"/>
      <c r="AU32" s="320"/>
      <c r="AV32" s="320"/>
      <c r="AW32" s="320"/>
      <c r="AX32" s="320"/>
      <c r="AY32" s="320"/>
      <c r="AZ32" s="262"/>
      <c r="BA32" s="268" t="s">
        <v>183</v>
      </c>
      <c r="BB32" s="268" t="s">
        <v>216</v>
      </c>
      <c r="BC32" s="260"/>
      <c r="BD32" s="321">
        <f t="shared" si="30"/>
        <v>1</v>
      </c>
      <c r="BE32" s="321">
        <f t="shared" si="30"/>
        <v>0</v>
      </c>
      <c r="BF32" s="321">
        <f t="shared" si="30"/>
        <v>0</v>
      </c>
      <c r="BG32" s="321">
        <f t="shared" si="30"/>
        <v>0</v>
      </c>
      <c r="BH32" s="321">
        <f t="shared" si="31"/>
        <v>0</v>
      </c>
      <c r="BI32" s="321">
        <f t="shared" si="31"/>
        <v>0</v>
      </c>
    </row>
    <row r="33" spans="1:61" ht="15.75">
      <c r="A33" s="322">
        <v>23</v>
      </c>
      <c r="B33" s="324" t="s">
        <v>299</v>
      </c>
      <c r="C33" s="329" t="s">
        <v>298</v>
      </c>
      <c r="D33" s="311" t="s">
        <v>297</v>
      </c>
      <c r="E33" s="524"/>
      <c r="F33" s="525"/>
      <c r="G33" s="312">
        <v>24620</v>
      </c>
      <c r="H33" s="313">
        <v>90</v>
      </c>
      <c r="I33" s="312">
        <v>10210</v>
      </c>
      <c r="J33" s="313">
        <f t="shared" si="0"/>
        <v>45</v>
      </c>
      <c r="K33" s="312">
        <v>11420</v>
      </c>
      <c r="L33" s="313">
        <f t="shared" si="1"/>
        <v>45</v>
      </c>
      <c r="M33" s="314">
        <f t="shared" si="2"/>
        <v>46250</v>
      </c>
      <c r="N33" s="315">
        <f t="shared" si="3"/>
        <v>180</v>
      </c>
      <c r="O33" s="262"/>
      <c r="P33" s="312">
        <v>24620</v>
      </c>
      <c r="Q33" s="316">
        <f t="shared" si="4"/>
        <v>24620</v>
      </c>
      <c r="R33" s="316">
        <f t="shared" si="5"/>
        <v>0</v>
      </c>
      <c r="S33" s="317">
        <f t="shared" si="6"/>
        <v>210</v>
      </c>
      <c r="T33" s="317">
        <f t="shared" si="7"/>
        <v>210</v>
      </c>
      <c r="U33" s="313">
        <f t="shared" si="21"/>
        <v>0</v>
      </c>
      <c r="V33" s="312">
        <v>10210</v>
      </c>
      <c r="W33" s="316">
        <f t="shared" si="8"/>
        <v>10210</v>
      </c>
      <c r="X33" s="316">
        <f t="shared" si="9"/>
        <v>0</v>
      </c>
      <c r="Y33" s="313">
        <f t="shared" si="10"/>
        <v>105</v>
      </c>
      <c r="Z33" s="317">
        <f t="shared" si="11"/>
        <v>105</v>
      </c>
      <c r="AA33" s="313">
        <f t="shared" si="22"/>
        <v>0</v>
      </c>
      <c r="AB33" s="312">
        <v>11420</v>
      </c>
      <c r="AC33" s="316">
        <f t="shared" si="12"/>
        <v>11420</v>
      </c>
      <c r="AD33" s="316">
        <f t="shared" si="13"/>
        <v>0</v>
      </c>
      <c r="AE33" s="313">
        <f t="shared" si="14"/>
        <v>105</v>
      </c>
      <c r="AF33" s="317">
        <f t="shared" si="15"/>
        <v>105</v>
      </c>
      <c r="AG33" s="313">
        <f t="shared" si="23"/>
        <v>0</v>
      </c>
      <c r="AH33" s="262"/>
      <c r="AI33" s="262"/>
      <c r="AJ33" s="314">
        <f t="shared" si="24"/>
        <v>46250</v>
      </c>
      <c r="AK33" s="314">
        <f t="shared" si="25"/>
        <v>46250</v>
      </c>
      <c r="AL33" s="314">
        <f t="shared" si="26"/>
        <v>0</v>
      </c>
      <c r="AM33" s="262">
        <f t="shared" si="27"/>
        <v>420</v>
      </c>
      <c r="AN33" s="262">
        <f t="shared" si="28"/>
        <v>420</v>
      </c>
      <c r="AO33" s="262">
        <f t="shared" si="16"/>
        <v>0</v>
      </c>
      <c r="AP33" s="318">
        <f t="shared" si="17"/>
        <v>180</v>
      </c>
      <c r="AQ33" s="262">
        <f t="shared" si="18"/>
        <v>240</v>
      </c>
      <c r="AR33" s="319">
        <f t="shared" si="29"/>
        <v>2.3333333333333335</v>
      </c>
      <c r="AS33" s="320"/>
      <c r="AT33" s="320"/>
      <c r="AU33" s="320"/>
      <c r="AV33" s="320"/>
      <c r="AW33" s="320"/>
      <c r="AX33" s="320"/>
      <c r="AY33" s="320"/>
      <c r="AZ33" s="262"/>
      <c r="BA33" s="268" t="s">
        <v>183</v>
      </c>
      <c r="BB33" s="268" t="s">
        <v>216</v>
      </c>
      <c r="BC33" s="260" t="s">
        <v>196</v>
      </c>
      <c r="BD33" s="321">
        <f t="shared" si="30"/>
        <v>1</v>
      </c>
      <c r="BE33" s="321">
        <f t="shared" si="30"/>
        <v>0</v>
      </c>
      <c r="BF33" s="321">
        <f t="shared" si="30"/>
        <v>0</v>
      </c>
      <c r="BG33" s="321">
        <f t="shared" si="30"/>
        <v>0</v>
      </c>
      <c r="BH33" s="321">
        <f t="shared" si="31"/>
        <v>1</v>
      </c>
      <c r="BI33" s="321">
        <f t="shared" si="31"/>
        <v>0</v>
      </c>
    </row>
    <row r="34" spans="1:61" ht="15.75">
      <c r="A34" s="322">
        <v>24</v>
      </c>
      <c r="B34" s="324" t="s">
        <v>296</v>
      </c>
      <c r="C34" s="329" t="s">
        <v>295</v>
      </c>
      <c r="D34" s="311" t="s">
        <v>294</v>
      </c>
      <c r="E34" s="524"/>
      <c r="F34" s="525"/>
      <c r="G34" s="312">
        <v>18760</v>
      </c>
      <c r="H34" s="313">
        <v>90</v>
      </c>
      <c r="I34" s="312">
        <v>12000</v>
      </c>
      <c r="J34" s="313">
        <f t="shared" si="0"/>
        <v>45</v>
      </c>
      <c r="K34" s="312">
        <v>61570</v>
      </c>
      <c r="L34" s="313">
        <f t="shared" si="1"/>
        <v>153.925</v>
      </c>
      <c r="M34" s="314">
        <f t="shared" si="2"/>
        <v>92330</v>
      </c>
      <c r="N34" s="315">
        <f t="shared" si="3"/>
        <v>288.925</v>
      </c>
      <c r="O34" s="262"/>
      <c r="P34" s="312">
        <v>18760</v>
      </c>
      <c r="Q34" s="316">
        <f t="shared" si="4"/>
        <v>18760</v>
      </c>
      <c r="R34" s="316">
        <f t="shared" si="5"/>
        <v>0</v>
      </c>
      <c r="S34" s="317">
        <f t="shared" si="6"/>
        <v>210</v>
      </c>
      <c r="T34" s="317">
        <f t="shared" si="7"/>
        <v>210</v>
      </c>
      <c r="U34" s="313">
        <f t="shared" si="21"/>
        <v>0</v>
      </c>
      <c r="V34" s="312">
        <v>12000</v>
      </c>
      <c r="W34" s="316">
        <f t="shared" si="8"/>
        <v>12000</v>
      </c>
      <c r="X34" s="316">
        <f t="shared" si="9"/>
        <v>0</v>
      </c>
      <c r="Y34" s="313">
        <f t="shared" si="10"/>
        <v>105</v>
      </c>
      <c r="Z34" s="317">
        <f t="shared" si="11"/>
        <v>105</v>
      </c>
      <c r="AA34" s="313">
        <f t="shared" si="22"/>
        <v>0</v>
      </c>
      <c r="AB34" s="312">
        <v>61570</v>
      </c>
      <c r="AC34" s="316">
        <f t="shared" si="12"/>
        <v>22500</v>
      </c>
      <c r="AD34" s="316">
        <f t="shared" si="13"/>
        <v>39070</v>
      </c>
      <c r="AE34" s="313">
        <f t="shared" si="14"/>
        <v>300.35</v>
      </c>
      <c r="AF34" s="317">
        <f t="shared" si="15"/>
        <v>105</v>
      </c>
      <c r="AG34" s="313">
        <f t="shared" si="23"/>
        <v>195.35000000000002</v>
      </c>
      <c r="AH34" s="262"/>
      <c r="AI34" s="262"/>
      <c r="AJ34" s="314">
        <f t="shared" si="24"/>
        <v>92330</v>
      </c>
      <c r="AK34" s="314">
        <f t="shared" si="25"/>
        <v>53260</v>
      </c>
      <c r="AL34" s="314">
        <f t="shared" si="26"/>
        <v>39070</v>
      </c>
      <c r="AM34" s="262">
        <f t="shared" si="27"/>
        <v>615.35</v>
      </c>
      <c r="AN34" s="262">
        <f t="shared" si="28"/>
        <v>420</v>
      </c>
      <c r="AO34" s="262">
        <f t="shared" si="16"/>
        <v>195.35000000000002</v>
      </c>
      <c r="AP34" s="318">
        <f t="shared" si="17"/>
        <v>288.925</v>
      </c>
      <c r="AQ34" s="262">
        <f t="shared" si="18"/>
        <v>326.425</v>
      </c>
      <c r="AR34" s="319">
        <f t="shared" si="29"/>
        <v>2.1297914683741457</v>
      </c>
      <c r="AS34" s="320"/>
      <c r="AT34" s="320"/>
      <c r="AU34" s="320"/>
      <c r="AV34" s="320"/>
      <c r="AW34" s="320"/>
      <c r="AX34" s="320"/>
      <c r="AY34" s="320"/>
      <c r="AZ34" s="260"/>
      <c r="BA34" s="268" t="s">
        <v>183</v>
      </c>
      <c r="BB34" s="268" t="s">
        <v>216</v>
      </c>
      <c r="BC34" s="260" t="s">
        <v>196</v>
      </c>
      <c r="BD34" s="321">
        <f t="shared" si="30"/>
        <v>1</v>
      </c>
      <c r="BE34" s="321">
        <f t="shared" si="30"/>
        <v>0</v>
      </c>
      <c r="BF34" s="321">
        <f t="shared" si="30"/>
        <v>0</v>
      </c>
      <c r="BG34" s="321">
        <f t="shared" si="30"/>
        <v>0</v>
      </c>
      <c r="BH34" s="321">
        <f t="shared" si="31"/>
        <v>1</v>
      </c>
      <c r="BI34" s="321">
        <f t="shared" si="31"/>
        <v>0</v>
      </c>
    </row>
    <row r="35" spans="1:61" ht="15.75">
      <c r="A35" s="322">
        <v>25</v>
      </c>
      <c r="B35" s="324" t="s">
        <v>293</v>
      </c>
      <c r="C35" s="329" t="s">
        <v>292</v>
      </c>
      <c r="D35" s="311" t="s">
        <v>291</v>
      </c>
      <c r="E35" s="524"/>
      <c r="F35" s="525"/>
      <c r="G35" s="312">
        <v>46360</v>
      </c>
      <c r="H35" s="313">
        <v>115.9</v>
      </c>
      <c r="I35" s="312">
        <v>12740</v>
      </c>
      <c r="J35" s="313">
        <f t="shared" si="0"/>
        <v>45</v>
      </c>
      <c r="K35" s="312">
        <v>11990</v>
      </c>
      <c r="L35" s="313">
        <f t="shared" si="1"/>
        <v>45</v>
      </c>
      <c r="M35" s="314">
        <f t="shared" si="2"/>
        <v>71090</v>
      </c>
      <c r="N35" s="315">
        <f t="shared" si="3"/>
        <v>205.9</v>
      </c>
      <c r="O35" s="262"/>
      <c r="P35" s="312">
        <v>46360</v>
      </c>
      <c r="Q35" s="316">
        <f t="shared" si="4"/>
        <v>45000</v>
      </c>
      <c r="R35" s="316">
        <f t="shared" si="5"/>
        <v>1360</v>
      </c>
      <c r="S35" s="317">
        <f t="shared" si="6"/>
        <v>216.8</v>
      </c>
      <c r="T35" s="317">
        <f t="shared" si="7"/>
        <v>210</v>
      </c>
      <c r="U35" s="313">
        <f t="shared" si="21"/>
        <v>6.800000000000011</v>
      </c>
      <c r="V35" s="312">
        <v>12740</v>
      </c>
      <c r="W35" s="316">
        <f t="shared" si="8"/>
        <v>12740</v>
      </c>
      <c r="X35" s="316">
        <f t="shared" si="9"/>
        <v>0</v>
      </c>
      <c r="Y35" s="313">
        <f t="shared" si="10"/>
        <v>105</v>
      </c>
      <c r="Z35" s="317">
        <f t="shared" si="11"/>
        <v>105</v>
      </c>
      <c r="AA35" s="313">
        <f t="shared" si="22"/>
        <v>0</v>
      </c>
      <c r="AB35" s="312">
        <v>11990</v>
      </c>
      <c r="AC35" s="316">
        <f t="shared" si="12"/>
        <v>11990</v>
      </c>
      <c r="AD35" s="316">
        <f t="shared" si="13"/>
        <v>0</v>
      </c>
      <c r="AE35" s="313">
        <f t="shared" si="14"/>
        <v>105</v>
      </c>
      <c r="AF35" s="317">
        <f t="shared" si="15"/>
        <v>105</v>
      </c>
      <c r="AG35" s="313">
        <f t="shared" si="23"/>
        <v>0</v>
      </c>
      <c r="AH35" s="262"/>
      <c r="AI35" s="262"/>
      <c r="AJ35" s="314">
        <f t="shared" si="24"/>
        <v>71090</v>
      </c>
      <c r="AK35" s="314">
        <f t="shared" si="25"/>
        <v>69730</v>
      </c>
      <c r="AL35" s="314">
        <f t="shared" si="26"/>
        <v>1360</v>
      </c>
      <c r="AM35" s="262">
        <f t="shared" si="27"/>
        <v>426.8</v>
      </c>
      <c r="AN35" s="262">
        <f t="shared" si="28"/>
        <v>420</v>
      </c>
      <c r="AO35" s="262">
        <f t="shared" si="16"/>
        <v>6.800000000000011</v>
      </c>
      <c r="AP35" s="318">
        <f t="shared" si="17"/>
        <v>205.9</v>
      </c>
      <c r="AQ35" s="262">
        <f t="shared" si="18"/>
        <v>220.9</v>
      </c>
      <c r="AR35" s="319">
        <f t="shared" si="29"/>
        <v>2.0728508984944147</v>
      </c>
      <c r="AS35" s="320"/>
      <c r="AT35" s="320"/>
      <c r="AU35" s="320"/>
      <c r="AV35" s="320"/>
      <c r="AW35" s="320"/>
      <c r="AX35" s="320"/>
      <c r="AY35" s="320"/>
      <c r="AZ35" s="262"/>
      <c r="BA35" s="268" t="s">
        <v>183</v>
      </c>
      <c r="BB35" s="268" t="s">
        <v>216</v>
      </c>
      <c r="BC35" s="260" t="s">
        <v>196</v>
      </c>
      <c r="BD35" s="321">
        <f t="shared" si="30"/>
        <v>1</v>
      </c>
      <c r="BE35" s="321">
        <f t="shared" si="30"/>
        <v>0</v>
      </c>
      <c r="BF35" s="321">
        <f t="shared" si="30"/>
        <v>0</v>
      </c>
      <c r="BG35" s="321">
        <f t="shared" si="30"/>
        <v>0</v>
      </c>
      <c r="BH35" s="321">
        <f t="shared" si="31"/>
        <v>1</v>
      </c>
      <c r="BI35" s="321">
        <f t="shared" si="31"/>
        <v>0</v>
      </c>
    </row>
    <row r="36" spans="1:61" ht="15.75">
      <c r="A36" s="322">
        <v>26</v>
      </c>
      <c r="B36" s="324" t="s">
        <v>290</v>
      </c>
      <c r="C36" s="329" t="s">
        <v>289</v>
      </c>
      <c r="D36" s="311" t="s">
        <v>288</v>
      </c>
      <c r="E36" s="524"/>
      <c r="F36" s="525"/>
      <c r="G36" s="312">
        <v>58660</v>
      </c>
      <c r="H36" s="313">
        <v>146.65</v>
      </c>
      <c r="I36" s="312">
        <v>37200</v>
      </c>
      <c r="J36" s="313">
        <f t="shared" si="0"/>
        <v>93</v>
      </c>
      <c r="K36" s="312">
        <v>123790</v>
      </c>
      <c r="L36" s="313">
        <f t="shared" si="1"/>
        <v>309.475</v>
      </c>
      <c r="M36" s="314">
        <f t="shared" si="2"/>
        <v>219650</v>
      </c>
      <c r="N36" s="315">
        <f t="shared" si="3"/>
        <v>549.125</v>
      </c>
      <c r="O36" s="262"/>
      <c r="P36" s="312">
        <v>58660</v>
      </c>
      <c r="Q36" s="316">
        <f t="shared" si="4"/>
        <v>45000</v>
      </c>
      <c r="R36" s="316">
        <f t="shared" si="5"/>
        <v>13660</v>
      </c>
      <c r="S36" s="317">
        <f t="shared" si="6"/>
        <v>278.3</v>
      </c>
      <c r="T36" s="317">
        <f t="shared" si="7"/>
        <v>210</v>
      </c>
      <c r="U36" s="313">
        <f t="shared" si="21"/>
        <v>68.30000000000001</v>
      </c>
      <c r="V36" s="312">
        <v>37200</v>
      </c>
      <c r="W36" s="316">
        <f t="shared" si="8"/>
        <v>22500</v>
      </c>
      <c r="X36" s="316">
        <f t="shared" si="9"/>
        <v>14700</v>
      </c>
      <c r="Y36" s="313">
        <f t="shared" si="10"/>
        <v>178.5</v>
      </c>
      <c r="Z36" s="317">
        <f t="shared" si="11"/>
        <v>105</v>
      </c>
      <c r="AA36" s="313">
        <f t="shared" si="22"/>
        <v>73.5</v>
      </c>
      <c r="AB36" s="312">
        <v>123790</v>
      </c>
      <c r="AC36" s="316">
        <f t="shared" si="12"/>
        <v>22500</v>
      </c>
      <c r="AD36" s="316">
        <f t="shared" si="13"/>
        <v>101290</v>
      </c>
      <c r="AE36" s="313">
        <f t="shared" si="14"/>
        <v>611.45</v>
      </c>
      <c r="AF36" s="317">
        <f t="shared" si="15"/>
        <v>105</v>
      </c>
      <c r="AG36" s="313">
        <f t="shared" si="23"/>
        <v>506.45000000000005</v>
      </c>
      <c r="AH36" s="262"/>
      <c r="AI36" s="262"/>
      <c r="AJ36" s="314">
        <f t="shared" si="24"/>
        <v>219650</v>
      </c>
      <c r="AK36" s="314">
        <f t="shared" si="25"/>
        <v>90000</v>
      </c>
      <c r="AL36" s="314">
        <f t="shared" si="26"/>
        <v>129650</v>
      </c>
      <c r="AM36" s="262">
        <f t="shared" si="27"/>
        <v>1068.25</v>
      </c>
      <c r="AN36" s="262">
        <f t="shared" si="28"/>
        <v>420</v>
      </c>
      <c r="AO36" s="262">
        <f t="shared" si="16"/>
        <v>648.25</v>
      </c>
      <c r="AP36" s="318">
        <f t="shared" si="17"/>
        <v>549.125</v>
      </c>
      <c r="AQ36" s="262">
        <f t="shared" si="18"/>
        <v>519.125</v>
      </c>
      <c r="AR36" s="319">
        <f t="shared" si="29"/>
        <v>1.9453676303209653</v>
      </c>
      <c r="AS36" s="320"/>
      <c r="AT36" s="320"/>
      <c r="AU36" s="320"/>
      <c r="AV36" s="320"/>
      <c r="AW36" s="320"/>
      <c r="AX36" s="320"/>
      <c r="AY36" s="320"/>
      <c r="AZ36" s="262"/>
      <c r="BA36" s="268" t="s">
        <v>183</v>
      </c>
      <c r="BB36" s="268" t="s">
        <v>216</v>
      </c>
      <c r="BC36" s="330" t="s">
        <v>196</v>
      </c>
      <c r="BD36" s="331">
        <f t="shared" si="30"/>
        <v>1</v>
      </c>
      <c r="BE36" s="331">
        <f t="shared" si="30"/>
        <v>0</v>
      </c>
      <c r="BF36" s="331">
        <f t="shared" si="30"/>
        <v>0</v>
      </c>
      <c r="BG36" s="331">
        <f t="shared" si="30"/>
        <v>0</v>
      </c>
      <c r="BH36" s="321">
        <f t="shared" si="31"/>
        <v>1</v>
      </c>
      <c r="BI36" s="321">
        <f t="shared" si="31"/>
        <v>0</v>
      </c>
    </row>
    <row r="37" spans="1:61" ht="15.75">
      <c r="A37" s="322">
        <v>27</v>
      </c>
      <c r="B37" s="324" t="s">
        <v>287</v>
      </c>
      <c r="C37" s="329" t="s">
        <v>286</v>
      </c>
      <c r="D37" s="311" t="s">
        <v>285</v>
      </c>
      <c r="E37" s="524"/>
      <c r="F37" s="525"/>
      <c r="G37" s="312">
        <v>1520</v>
      </c>
      <c r="H37" s="313">
        <v>90</v>
      </c>
      <c r="I37" s="312">
        <v>3230</v>
      </c>
      <c r="J37" s="313">
        <f t="shared" si="0"/>
        <v>45</v>
      </c>
      <c r="K37" s="312">
        <v>15060</v>
      </c>
      <c r="L37" s="313">
        <f t="shared" si="1"/>
        <v>45</v>
      </c>
      <c r="M37" s="314">
        <f t="shared" si="2"/>
        <v>19810</v>
      </c>
      <c r="N37" s="315">
        <f t="shared" si="3"/>
        <v>180</v>
      </c>
      <c r="O37" s="262"/>
      <c r="P37" s="312">
        <v>1520</v>
      </c>
      <c r="Q37" s="316">
        <f t="shared" si="4"/>
        <v>1520</v>
      </c>
      <c r="R37" s="316">
        <f t="shared" si="5"/>
        <v>0</v>
      </c>
      <c r="S37" s="317">
        <f t="shared" si="6"/>
        <v>210</v>
      </c>
      <c r="T37" s="317">
        <f t="shared" si="7"/>
        <v>210</v>
      </c>
      <c r="U37" s="313">
        <f t="shared" si="21"/>
        <v>0</v>
      </c>
      <c r="V37" s="312">
        <v>3230</v>
      </c>
      <c r="W37" s="316">
        <f t="shared" si="8"/>
        <v>3230</v>
      </c>
      <c r="X37" s="316">
        <f t="shared" si="9"/>
        <v>0</v>
      </c>
      <c r="Y37" s="313">
        <f t="shared" si="10"/>
        <v>105</v>
      </c>
      <c r="Z37" s="317">
        <f t="shared" si="11"/>
        <v>105</v>
      </c>
      <c r="AA37" s="313">
        <f t="shared" si="22"/>
        <v>0</v>
      </c>
      <c r="AB37" s="312">
        <v>15060</v>
      </c>
      <c r="AC37" s="316">
        <f t="shared" si="12"/>
        <v>15060</v>
      </c>
      <c r="AD37" s="316">
        <f t="shared" si="13"/>
        <v>0</v>
      </c>
      <c r="AE37" s="313">
        <f t="shared" si="14"/>
        <v>105</v>
      </c>
      <c r="AF37" s="317">
        <f t="shared" si="15"/>
        <v>105</v>
      </c>
      <c r="AG37" s="313">
        <f t="shared" si="23"/>
        <v>0</v>
      </c>
      <c r="AH37" s="262"/>
      <c r="AI37" s="262"/>
      <c r="AJ37" s="314">
        <f t="shared" si="24"/>
        <v>19810</v>
      </c>
      <c r="AK37" s="314">
        <f t="shared" si="25"/>
        <v>19810</v>
      </c>
      <c r="AL37" s="314">
        <f t="shared" si="26"/>
        <v>0</v>
      </c>
      <c r="AM37" s="262">
        <f t="shared" si="27"/>
        <v>420</v>
      </c>
      <c r="AN37" s="262">
        <f t="shared" si="28"/>
        <v>420</v>
      </c>
      <c r="AO37" s="262">
        <f t="shared" si="16"/>
        <v>0</v>
      </c>
      <c r="AP37" s="318">
        <f t="shared" si="17"/>
        <v>180</v>
      </c>
      <c r="AQ37" s="262">
        <f t="shared" si="18"/>
        <v>240</v>
      </c>
      <c r="AR37" s="319">
        <f t="shared" si="29"/>
        <v>2.3333333333333335</v>
      </c>
      <c r="AS37" s="320"/>
      <c r="AT37" s="320"/>
      <c r="AU37" s="320"/>
      <c r="AV37" s="320"/>
      <c r="AW37" s="320"/>
      <c r="AX37" s="320"/>
      <c r="AY37" s="320"/>
      <c r="AZ37" s="262"/>
      <c r="BA37" s="268" t="s">
        <v>183</v>
      </c>
      <c r="BB37" s="268" t="s">
        <v>216</v>
      </c>
      <c r="BC37" s="260" t="s">
        <v>227</v>
      </c>
      <c r="BD37" s="321">
        <f t="shared" si="30"/>
        <v>1</v>
      </c>
      <c r="BE37" s="321">
        <f t="shared" si="30"/>
        <v>0</v>
      </c>
      <c r="BF37" s="321">
        <f t="shared" si="30"/>
        <v>0</v>
      </c>
      <c r="BG37" s="321">
        <f t="shared" si="30"/>
        <v>0</v>
      </c>
      <c r="BH37" s="321">
        <f t="shared" si="31"/>
        <v>0</v>
      </c>
      <c r="BI37" s="321">
        <f t="shared" si="31"/>
        <v>1</v>
      </c>
    </row>
    <row r="38" spans="1:61" ht="15.75">
      <c r="A38" s="322">
        <v>28</v>
      </c>
      <c r="B38" s="324" t="s">
        <v>284</v>
      </c>
      <c r="C38" s="329" t="s">
        <v>283</v>
      </c>
      <c r="D38" s="311" t="s">
        <v>282</v>
      </c>
      <c r="E38" s="524"/>
      <c r="F38" s="525"/>
      <c r="G38" s="312">
        <v>30920</v>
      </c>
      <c r="H38" s="313">
        <v>90</v>
      </c>
      <c r="I38" s="312">
        <v>4910</v>
      </c>
      <c r="J38" s="313">
        <f t="shared" si="0"/>
        <v>45</v>
      </c>
      <c r="K38" s="312">
        <v>7620</v>
      </c>
      <c r="L38" s="313">
        <f t="shared" si="1"/>
        <v>45</v>
      </c>
      <c r="M38" s="314">
        <f t="shared" si="2"/>
        <v>43450</v>
      </c>
      <c r="N38" s="315">
        <f t="shared" si="3"/>
        <v>180</v>
      </c>
      <c r="O38" s="262"/>
      <c r="P38" s="312">
        <v>30920</v>
      </c>
      <c r="Q38" s="316">
        <f t="shared" si="4"/>
        <v>30920</v>
      </c>
      <c r="R38" s="316">
        <f t="shared" si="5"/>
        <v>0</v>
      </c>
      <c r="S38" s="317">
        <f t="shared" si="6"/>
        <v>210</v>
      </c>
      <c r="T38" s="317">
        <f t="shared" si="7"/>
        <v>210</v>
      </c>
      <c r="U38" s="313">
        <f t="shared" si="21"/>
        <v>0</v>
      </c>
      <c r="V38" s="312">
        <v>4910</v>
      </c>
      <c r="W38" s="316">
        <f t="shared" si="8"/>
        <v>4910</v>
      </c>
      <c r="X38" s="316">
        <f t="shared" si="9"/>
        <v>0</v>
      </c>
      <c r="Y38" s="313">
        <f t="shared" si="10"/>
        <v>105</v>
      </c>
      <c r="Z38" s="317">
        <f t="shared" si="11"/>
        <v>105</v>
      </c>
      <c r="AA38" s="313">
        <f t="shared" si="22"/>
        <v>0</v>
      </c>
      <c r="AB38" s="312">
        <v>7620</v>
      </c>
      <c r="AC38" s="316">
        <f t="shared" si="12"/>
        <v>7620</v>
      </c>
      <c r="AD38" s="316">
        <f t="shared" si="13"/>
        <v>0</v>
      </c>
      <c r="AE38" s="313">
        <f t="shared" si="14"/>
        <v>105</v>
      </c>
      <c r="AF38" s="317">
        <f t="shared" si="15"/>
        <v>105</v>
      </c>
      <c r="AG38" s="313">
        <f t="shared" si="23"/>
        <v>0</v>
      </c>
      <c r="AH38" s="262"/>
      <c r="AI38" s="262"/>
      <c r="AJ38" s="314">
        <f t="shared" si="24"/>
        <v>43450</v>
      </c>
      <c r="AK38" s="314">
        <f t="shared" si="25"/>
        <v>43450</v>
      </c>
      <c r="AL38" s="314">
        <f t="shared" si="26"/>
        <v>0</v>
      </c>
      <c r="AM38" s="262">
        <f t="shared" si="27"/>
        <v>420</v>
      </c>
      <c r="AN38" s="262">
        <f t="shared" si="28"/>
        <v>420</v>
      </c>
      <c r="AO38" s="262">
        <f t="shared" si="16"/>
        <v>0</v>
      </c>
      <c r="AP38" s="318">
        <f t="shared" si="17"/>
        <v>180</v>
      </c>
      <c r="AQ38" s="262">
        <f t="shared" si="18"/>
        <v>240</v>
      </c>
      <c r="AR38" s="319">
        <f t="shared" si="29"/>
        <v>2.3333333333333335</v>
      </c>
      <c r="AS38" s="320"/>
      <c r="AT38" s="320"/>
      <c r="AU38" s="320"/>
      <c r="AV38" s="320"/>
      <c r="AW38" s="320"/>
      <c r="AX38" s="320"/>
      <c r="AY38" s="320"/>
      <c r="AZ38" s="262"/>
      <c r="BA38" s="268" t="s">
        <v>183</v>
      </c>
      <c r="BB38" s="268" t="s">
        <v>216</v>
      </c>
      <c r="BC38" s="260" t="s">
        <v>196</v>
      </c>
      <c r="BD38" s="321">
        <f t="shared" si="30"/>
        <v>1</v>
      </c>
      <c r="BE38" s="321">
        <f t="shared" si="30"/>
        <v>0</v>
      </c>
      <c r="BF38" s="321">
        <f t="shared" si="30"/>
        <v>0</v>
      </c>
      <c r="BG38" s="321">
        <f t="shared" si="30"/>
        <v>0</v>
      </c>
      <c r="BH38" s="321">
        <f t="shared" si="31"/>
        <v>1</v>
      </c>
      <c r="BI38" s="321">
        <f t="shared" si="31"/>
        <v>0</v>
      </c>
    </row>
    <row r="39" spans="1:61" ht="15.75">
      <c r="A39" s="322">
        <v>29</v>
      </c>
      <c r="B39" s="325" t="s">
        <v>281</v>
      </c>
      <c r="C39" s="329" t="s">
        <v>280</v>
      </c>
      <c r="D39" s="311" t="s">
        <v>279</v>
      </c>
      <c r="E39" s="524"/>
      <c r="F39" s="525"/>
      <c r="G39" s="312">
        <v>44190</v>
      </c>
      <c r="H39" s="313">
        <v>110.475</v>
      </c>
      <c r="I39" s="312">
        <v>15460</v>
      </c>
      <c r="J39" s="313">
        <f t="shared" si="0"/>
        <v>45</v>
      </c>
      <c r="K39" s="312">
        <v>20960</v>
      </c>
      <c r="L39" s="313">
        <f t="shared" si="1"/>
        <v>52.4</v>
      </c>
      <c r="M39" s="314">
        <f t="shared" si="2"/>
        <v>80610</v>
      </c>
      <c r="N39" s="315">
        <f t="shared" si="3"/>
        <v>207.875</v>
      </c>
      <c r="O39" s="262"/>
      <c r="P39" s="312">
        <v>44190</v>
      </c>
      <c r="Q39" s="316">
        <f t="shared" si="4"/>
        <v>44190</v>
      </c>
      <c r="R39" s="316">
        <f t="shared" si="5"/>
        <v>0</v>
      </c>
      <c r="S39" s="317">
        <f t="shared" si="6"/>
        <v>210</v>
      </c>
      <c r="T39" s="317">
        <f t="shared" si="7"/>
        <v>210</v>
      </c>
      <c r="U39" s="313">
        <f t="shared" si="21"/>
        <v>0</v>
      </c>
      <c r="V39" s="312">
        <v>15460</v>
      </c>
      <c r="W39" s="316">
        <f t="shared" si="8"/>
        <v>15460</v>
      </c>
      <c r="X39" s="316">
        <f t="shared" si="9"/>
        <v>0</v>
      </c>
      <c r="Y39" s="313">
        <f t="shared" si="10"/>
        <v>105</v>
      </c>
      <c r="Z39" s="317">
        <f t="shared" si="11"/>
        <v>105</v>
      </c>
      <c r="AA39" s="313">
        <f t="shared" si="22"/>
        <v>0</v>
      </c>
      <c r="AB39" s="312">
        <v>20960</v>
      </c>
      <c r="AC39" s="316">
        <f t="shared" si="12"/>
        <v>20960</v>
      </c>
      <c r="AD39" s="316">
        <f t="shared" si="13"/>
        <v>0</v>
      </c>
      <c r="AE39" s="313">
        <f t="shared" si="14"/>
        <v>105</v>
      </c>
      <c r="AF39" s="317">
        <f t="shared" si="15"/>
        <v>105</v>
      </c>
      <c r="AG39" s="313">
        <f t="shared" si="23"/>
        <v>0</v>
      </c>
      <c r="AH39" s="262"/>
      <c r="AI39" s="262"/>
      <c r="AJ39" s="314">
        <f t="shared" si="24"/>
        <v>80610</v>
      </c>
      <c r="AK39" s="314">
        <f t="shared" si="25"/>
        <v>80610</v>
      </c>
      <c r="AL39" s="314">
        <f t="shared" si="26"/>
        <v>0</v>
      </c>
      <c r="AM39" s="262">
        <f t="shared" si="27"/>
        <v>420</v>
      </c>
      <c r="AN39" s="262">
        <f t="shared" si="28"/>
        <v>420</v>
      </c>
      <c r="AO39" s="262">
        <f t="shared" si="16"/>
        <v>0</v>
      </c>
      <c r="AP39" s="318">
        <f t="shared" si="17"/>
        <v>207.875</v>
      </c>
      <c r="AQ39" s="262">
        <f t="shared" si="18"/>
        <v>212.125</v>
      </c>
      <c r="AR39" s="319">
        <f t="shared" si="29"/>
        <v>2.020444978953698</v>
      </c>
      <c r="AS39" s="320"/>
      <c r="AT39" s="320"/>
      <c r="AU39" s="320"/>
      <c r="AV39" s="320"/>
      <c r="AW39" s="320"/>
      <c r="AX39" s="320"/>
      <c r="AY39" s="320"/>
      <c r="AZ39" s="260"/>
      <c r="BA39" s="268" t="s">
        <v>183</v>
      </c>
      <c r="BB39" s="268" t="s">
        <v>216</v>
      </c>
      <c r="BC39" s="260" t="s">
        <v>196</v>
      </c>
      <c r="BD39" s="321">
        <f t="shared" si="30"/>
        <v>1</v>
      </c>
      <c r="BE39" s="321">
        <f t="shared" si="30"/>
        <v>0</v>
      </c>
      <c r="BF39" s="321">
        <f t="shared" si="30"/>
        <v>0</v>
      </c>
      <c r="BG39" s="321">
        <f t="shared" si="30"/>
        <v>0</v>
      </c>
      <c r="BH39" s="321">
        <f t="shared" si="31"/>
        <v>1</v>
      </c>
      <c r="BI39" s="321">
        <f t="shared" si="31"/>
        <v>0</v>
      </c>
    </row>
    <row r="40" spans="1:61" ht="15.75">
      <c r="A40" s="322">
        <v>30</v>
      </c>
      <c r="B40" s="324" t="s">
        <v>278</v>
      </c>
      <c r="C40" s="329" t="s">
        <v>277</v>
      </c>
      <c r="D40" s="311" t="s">
        <v>276</v>
      </c>
      <c r="E40" s="524"/>
      <c r="F40" s="525"/>
      <c r="G40" s="312">
        <v>39970</v>
      </c>
      <c r="H40" s="313">
        <v>99.925</v>
      </c>
      <c r="I40" s="312">
        <v>14440</v>
      </c>
      <c r="J40" s="313">
        <f t="shared" si="0"/>
        <v>45</v>
      </c>
      <c r="K40" s="312">
        <v>23120</v>
      </c>
      <c r="L40" s="313">
        <f t="shared" si="1"/>
        <v>57.8</v>
      </c>
      <c r="M40" s="314">
        <f t="shared" si="2"/>
        <v>77530</v>
      </c>
      <c r="N40" s="315">
        <f t="shared" si="3"/>
        <v>202.72500000000002</v>
      </c>
      <c r="O40" s="262"/>
      <c r="P40" s="312">
        <v>39970</v>
      </c>
      <c r="Q40" s="316">
        <f t="shared" si="4"/>
        <v>39970</v>
      </c>
      <c r="R40" s="316">
        <f t="shared" si="5"/>
        <v>0</v>
      </c>
      <c r="S40" s="317">
        <f t="shared" si="6"/>
        <v>210</v>
      </c>
      <c r="T40" s="317">
        <f t="shared" si="7"/>
        <v>210</v>
      </c>
      <c r="U40" s="313">
        <f t="shared" si="21"/>
        <v>0</v>
      </c>
      <c r="V40" s="312">
        <v>14440</v>
      </c>
      <c r="W40" s="316">
        <f t="shared" si="8"/>
        <v>14440</v>
      </c>
      <c r="X40" s="316">
        <f t="shared" si="9"/>
        <v>0</v>
      </c>
      <c r="Y40" s="313">
        <f t="shared" si="10"/>
        <v>105</v>
      </c>
      <c r="Z40" s="317">
        <f t="shared" si="11"/>
        <v>105</v>
      </c>
      <c r="AA40" s="313">
        <f t="shared" si="22"/>
        <v>0</v>
      </c>
      <c r="AB40" s="312">
        <v>23120</v>
      </c>
      <c r="AC40" s="316">
        <f t="shared" si="12"/>
        <v>22500</v>
      </c>
      <c r="AD40" s="316">
        <f t="shared" si="13"/>
        <v>620</v>
      </c>
      <c r="AE40" s="313">
        <f t="shared" si="14"/>
        <v>108.1</v>
      </c>
      <c r="AF40" s="317">
        <f t="shared" si="15"/>
        <v>105</v>
      </c>
      <c r="AG40" s="313">
        <f t="shared" si="23"/>
        <v>3.0999999999999943</v>
      </c>
      <c r="AH40" s="262"/>
      <c r="AI40" s="262"/>
      <c r="AJ40" s="314">
        <f t="shared" si="24"/>
        <v>77530</v>
      </c>
      <c r="AK40" s="314">
        <f t="shared" si="25"/>
        <v>76910</v>
      </c>
      <c r="AL40" s="314">
        <f t="shared" si="26"/>
        <v>620</v>
      </c>
      <c r="AM40" s="262">
        <f t="shared" si="27"/>
        <v>423.1</v>
      </c>
      <c r="AN40" s="262">
        <f t="shared" si="28"/>
        <v>420</v>
      </c>
      <c r="AO40" s="262">
        <f t="shared" si="16"/>
        <v>3.0999999999999943</v>
      </c>
      <c r="AP40" s="318">
        <f t="shared" si="17"/>
        <v>202.72500000000002</v>
      </c>
      <c r="AQ40" s="262">
        <f t="shared" si="18"/>
        <v>220.375</v>
      </c>
      <c r="AR40" s="319">
        <f t="shared" si="29"/>
        <v>2.087063756320138</v>
      </c>
      <c r="AS40" s="320"/>
      <c r="AT40" s="320"/>
      <c r="AU40" s="320"/>
      <c r="AV40" s="320"/>
      <c r="AW40" s="320"/>
      <c r="AX40" s="320"/>
      <c r="AY40" s="320"/>
      <c r="AZ40" s="262"/>
      <c r="BA40" s="268" t="s">
        <v>183</v>
      </c>
      <c r="BB40" s="268" t="s">
        <v>216</v>
      </c>
      <c r="BC40" s="260" t="s">
        <v>196</v>
      </c>
      <c r="BD40" s="321">
        <f t="shared" si="30"/>
        <v>1</v>
      </c>
      <c r="BE40" s="321">
        <f t="shared" si="30"/>
        <v>0</v>
      </c>
      <c r="BF40" s="321">
        <f t="shared" si="30"/>
        <v>0</v>
      </c>
      <c r="BG40" s="321">
        <f t="shared" si="30"/>
        <v>0</v>
      </c>
      <c r="BH40" s="321">
        <f t="shared" si="31"/>
        <v>1</v>
      </c>
      <c r="BI40" s="321">
        <f t="shared" si="31"/>
        <v>0</v>
      </c>
    </row>
    <row r="41" spans="1:61" ht="15.75">
      <c r="A41" s="322">
        <v>31</v>
      </c>
      <c r="B41" s="324" t="s">
        <v>275</v>
      </c>
      <c r="C41" s="329" t="s">
        <v>274</v>
      </c>
      <c r="D41" s="311" t="s">
        <v>273</v>
      </c>
      <c r="E41" s="524"/>
      <c r="F41" s="525"/>
      <c r="G41" s="312">
        <v>52540</v>
      </c>
      <c r="H41" s="313">
        <v>131.35</v>
      </c>
      <c r="I41" s="312">
        <v>20110</v>
      </c>
      <c r="J41" s="313">
        <f t="shared" si="0"/>
        <v>50.275</v>
      </c>
      <c r="K41" s="312">
        <v>33170</v>
      </c>
      <c r="L41" s="313">
        <f t="shared" si="1"/>
        <v>82.925</v>
      </c>
      <c r="M41" s="314">
        <f t="shared" si="2"/>
        <v>105820</v>
      </c>
      <c r="N41" s="315">
        <f t="shared" si="3"/>
        <v>264.55</v>
      </c>
      <c r="O41" s="262"/>
      <c r="P41" s="312">
        <v>52540</v>
      </c>
      <c r="Q41" s="316">
        <f t="shared" si="4"/>
        <v>45000</v>
      </c>
      <c r="R41" s="316">
        <f t="shared" si="5"/>
        <v>7540</v>
      </c>
      <c r="S41" s="317">
        <f t="shared" si="6"/>
        <v>247.7</v>
      </c>
      <c r="T41" s="317">
        <f t="shared" si="7"/>
        <v>210</v>
      </c>
      <c r="U41" s="313">
        <f t="shared" si="21"/>
        <v>37.69999999999999</v>
      </c>
      <c r="V41" s="312">
        <v>20110</v>
      </c>
      <c r="W41" s="316">
        <f t="shared" si="8"/>
        <v>20110</v>
      </c>
      <c r="X41" s="316">
        <f t="shared" si="9"/>
        <v>0</v>
      </c>
      <c r="Y41" s="313">
        <f t="shared" si="10"/>
        <v>105</v>
      </c>
      <c r="Z41" s="317">
        <f t="shared" si="11"/>
        <v>105</v>
      </c>
      <c r="AA41" s="313">
        <f t="shared" si="22"/>
        <v>0</v>
      </c>
      <c r="AB41" s="312">
        <v>33170</v>
      </c>
      <c r="AC41" s="316">
        <f t="shared" si="12"/>
        <v>22500</v>
      </c>
      <c r="AD41" s="316">
        <f t="shared" si="13"/>
        <v>10670</v>
      </c>
      <c r="AE41" s="313">
        <f t="shared" si="14"/>
        <v>158.35</v>
      </c>
      <c r="AF41" s="317">
        <f t="shared" si="15"/>
        <v>105</v>
      </c>
      <c r="AG41" s="313">
        <f t="shared" si="23"/>
        <v>53.349999999999994</v>
      </c>
      <c r="AH41" s="262"/>
      <c r="AI41" s="262"/>
      <c r="AJ41" s="314">
        <f t="shared" si="24"/>
        <v>105820</v>
      </c>
      <c r="AK41" s="314">
        <f t="shared" si="25"/>
        <v>87610</v>
      </c>
      <c r="AL41" s="314">
        <f t="shared" si="26"/>
        <v>18210</v>
      </c>
      <c r="AM41" s="262">
        <f t="shared" si="27"/>
        <v>511.04999999999995</v>
      </c>
      <c r="AN41" s="262">
        <f t="shared" si="28"/>
        <v>420</v>
      </c>
      <c r="AO41" s="262">
        <f t="shared" si="16"/>
        <v>91.04999999999998</v>
      </c>
      <c r="AP41" s="318">
        <f t="shared" si="17"/>
        <v>264.55</v>
      </c>
      <c r="AQ41" s="262">
        <f t="shared" si="18"/>
        <v>246.49999999999994</v>
      </c>
      <c r="AR41" s="319">
        <f t="shared" si="29"/>
        <v>1.9317709317709315</v>
      </c>
      <c r="AS41" s="320"/>
      <c r="AT41" s="320"/>
      <c r="AU41" s="320"/>
      <c r="AV41" s="320"/>
      <c r="AW41" s="320"/>
      <c r="AX41" s="320"/>
      <c r="AY41" s="320"/>
      <c r="AZ41" s="262"/>
      <c r="BA41" s="268" t="s">
        <v>183</v>
      </c>
      <c r="BB41" s="268" t="s">
        <v>216</v>
      </c>
      <c r="BC41" s="260" t="s">
        <v>196</v>
      </c>
      <c r="BD41" s="321">
        <f t="shared" si="30"/>
        <v>1</v>
      </c>
      <c r="BE41" s="321">
        <f t="shared" si="30"/>
        <v>0</v>
      </c>
      <c r="BF41" s="321">
        <f t="shared" si="30"/>
        <v>0</v>
      </c>
      <c r="BG41" s="321">
        <f t="shared" si="30"/>
        <v>0</v>
      </c>
      <c r="BH41" s="321">
        <f t="shared" si="31"/>
        <v>1</v>
      </c>
      <c r="BI41" s="321">
        <f t="shared" si="31"/>
        <v>0</v>
      </c>
    </row>
    <row r="42" spans="1:61" ht="15.75">
      <c r="A42" s="322">
        <v>32</v>
      </c>
      <c r="B42" s="324" t="s">
        <v>272</v>
      </c>
      <c r="C42" s="329" t="s">
        <v>271</v>
      </c>
      <c r="D42" s="311" t="s">
        <v>270</v>
      </c>
      <c r="E42" s="524"/>
      <c r="F42" s="525"/>
      <c r="G42" s="312">
        <v>40810</v>
      </c>
      <c r="H42" s="313">
        <v>102.025</v>
      </c>
      <c r="I42" s="312">
        <v>18270</v>
      </c>
      <c r="J42" s="313">
        <f t="shared" si="0"/>
        <v>45.675</v>
      </c>
      <c r="K42" s="312">
        <v>20790</v>
      </c>
      <c r="L42" s="313">
        <f t="shared" si="1"/>
        <v>51.975</v>
      </c>
      <c r="M42" s="314">
        <f t="shared" si="2"/>
        <v>79870</v>
      </c>
      <c r="N42" s="315">
        <f t="shared" si="3"/>
        <v>199.67499999999998</v>
      </c>
      <c r="O42" s="262"/>
      <c r="P42" s="312">
        <v>40810</v>
      </c>
      <c r="Q42" s="316">
        <f t="shared" si="4"/>
        <v>40810</v>
      </c>
      <c r="R42" s="316">
        <f t="shared" si="5"/>
        <v>0</v>
      </c>
      <c r="S42" s="317">
        <f t="shared" si="6"/>
        <v>210</v>
      </c>
      <c r="T42" s="317">
        <f t="shared" si="7"/>
        <v>210</v>
      </c>
      <c r="U42" s="313">
        <f t="shared" si="21"/>
        <v>0</v>
      </c>
      <c r="V42" s="312">
        <v>18270</v>
      </c>
      <c r="W42" s="316">
        <f t="shared" si="8"/>
        <v>18270</v>
      </c>
      <c r="X42" s="316">
        <f t="shared" si="9"/>
        <v>0</v>
      </c>
      <c r="Y42" s="313">
        <f t="shared" si="10"/>
        <v>105</v>
      </c>
      <c r="Z42" s="317">
        <f t="shared" si="11"/>
        <v>105</v>
      </c>
      <c r="AA42" s="313">
        <f t="shared" si="22"/>
        <v>0</v>
      </c>
      <c r="AB42" s="312">
        <v>20790</v>
      </c>
      <c r="AC42" s="316">
        <f t="shared" si="12"/>
        <v>20790</v>
      </c>
      <c r="AD42" s="316">
        <f t="shared" si="13"/>
        <v>0</v>
      </c>
      <c r="AE42" s="313">
        <f t="shared" si="14"/>
        <v>105</v>
      </c>
      <c r="AF42" s="317">
        <f t="shared" si="15"/>
        <v>105</v>
      </c>
      <c r="AG42" s="313">
        <f t="shared" si="23"/>
        <v>0</v>
      </c>
      <c r="AH42" s="262"/>
      <c r="AI42" s="262"/>
      <c r="AJ42" s="314">
        <f t="shared" si="24"/>
        <v>79870</v>
      </c>
      <c r="AK42" s="314">
        <f t="shared" si="25"/>
        <v>79870</v>
      </c>
      <c r="AL42" s="314">
        <f t="shared" si="26"/>
        <v>0</v>
      </c>
      <c r="AM42" s="262">
        <f t="shared" si="27"/>
        <v>420</v>
      </c>
      <c r="AN42" s="262">
        <f t="shared" si="28"/>
        <v>420</v>
      </c>
      <c r="AO42" s="262">
        <f t="shared" si="16"/>
        <v>0</v>
      </c>
      <c r="AP42" s="318">
        <f t="shared" si="17"/>
        <v>199.67499999999998</v>
      </c>
      <c r="AQ42" s="262">
        <f t="shared" si="18"/>
        <v>220.32500000000002</v>
      </c>
      <c r="AR42" s="319">
        <f t="shared" si="29"/>
        <v>2.1034180543383</v>
      </c>
      <c r="AS42" s="320"/>
      <c r="AT42" s="320"/>
      <c r="AU42" s="320"/>
      <c r="AV42" s="320"/>
      <c r="AW42" s="320"/>
      <c r="AX42" s="320"/>
      <c r="AY42" s="320"/>
      <c r="AZ42" s="262"/>
      <c r="BA42" s="268" t="s">
        <v>183</v>
      </c>
      <c r="BB42" s="268" t="s">
        <v>216</v>
      </c>
      <c r="BC42" s="260" t="s">
        <v>196</v>
      </c>
      <c r="BD42" s="321">
        <f t="shared" si="30"/>
        <v>1</v>
      </c>
      <c r="BE42" s="321">
        <f t="shared" si="30"/>
        <v>0</v>
      </c>
      <c r="BF42" s="321">
        <f t="shared" si="30"/>
        <v>0</v>
      </c>
      <c r="BG42" s="321">
        <f t="shared" si="30"/>
        <v>0</v>
      </c>
      <c r="BH42" s="321">
        <f t="shared" si="31"/>
        <v>1</v>
      </c>
      <c r="BI42" s="321">
        <f t="shared" si="31"/>
        <v>0</v>
      </c>
    </row>
    <row r="43" spans="1:61" ht="15.75">
      <c r="A43" s="322">
        <v>33</v>
      </c>
      <c r="B43" s="324" t="s">
        <v>269</v>
      </c>
      <c r="C43" s="329" t="s">
        <v>268</v>
      </c>
      <c r="D43" s="311" t="s">
        <v>267</v>
      </c>
      <c r="E43" s="524"/>
      <c r="F43" s="525"/>
      <c r="G43" s="312">
        <v>18840</v>
      </c>
      <c r="H43" s="313">
        <v>90</v>
      </c>
      <c r="I43" s="312">
        <v>9250</v>
      </c>
      <c r="J43" s="313">
        <f aca="true" t="shared" si="32" ref="J43:J70">IF(I43=0,0,(IF(I43&lt;=(J$9*J$6),(J$9*J$7),(I43-(J$6*J$9))*J$8/1000+J$9*J$7)))</f>
        <v>45</v>
      </c>
      <c r="K43" s="312">
        <v>10100</v>
      </c>
      <c r="L43" s="313">
        <f aca="true" t="shared" si="33" ref="L43:L65">IF(K43=0,0,(IF(K43&lt;=(L$9*L$6),(L$9*L$7),(K43-(L$6*L$9))*L$8/1000+L$9*L$7)))</f>
        <v>45</v>
      </c>
      <c r="M43" s="314">
        <f aca="true" t="shared" si="34" ref="M43:M65">G43+I43+K43</f>
        <v>38190</v>
      </c>
      <c r="N43" s="315">
        <f aca="true" t="shared" si="35" ref="N43:N65">H43+J43+L43</f>
        <v>180</v>
      </c>
      <c r="O43" s="262"/>
      <c r="P43" s="312">
        <v>18840</v>
      </c>
      <c r="Q43" s="316">
        <f aca="true" t="shared" si="36" ref="Q43:Q65">IF(P43&lt;$R$9*$AS$72,P43,$R$9*$AS$72)</f>
        <v>18840</v>
      </c>
      <c r="R43" s="316">
        <f aca="true" t="shared" si="37" ref="R43:R65">IF(P43-Q43=0,0,P43-Q43)</f>
        <v>0</v>
      </c>
      <c r="S43" s="317">
        <f aca="true" t="shared" si="38" ref="S43:S65">IF(P43=0,0,(IF(P43&lt;=(R$9*$AS$72),(R$9*$AS$73),(P43-($AS$72*R$9))*$AS$74/1000+R$9*$AS$73)))</f>
        <v>210</v>
      </c>
      <c r="T43" s="317">
        <f aca="true" t="shared" si="39" ref="T43:T65">IF(S43&lt;=$AS$73*$R$9,S43,$AS$73*$R$9)</f>
        <v>210</v>
      </c>
      <c r="U43" s="313">
        <f t="shared" si="21"/>
        <v>0</v>
      </c>
      <c r="V43" s="312">
        <v>9250</v>
      </c>
      <c r="W43" s="316">
        <f aca="true" t="shared" si="40" ref="W43:W62">IF(V43&lt;$W$9*$AS$72,V43,$W$9*$AS$72)</f>
        <v>9250</v>
      </c>
      <c r="X43" s="316">
        <f aca="true" t="shared" si="41" ref="X43:X65">IF(V43-W43=0,0,V43-W43)</f>
        <v>0</v>
      </c>
      <c r="Y43" s="313">
        <f aca="true" t="shared" si="42" ref="Y43:Y65">IF(V43=0,0,(IF(V43&lt;=(W$9*$AS$72),(W$9*$AS$73),(V43-($AS$72*W$9))*$AS$74/1000+W$9*$AS$73)))</f>
        <v>105</v>
      </c>
      <c r="Z43" s="317">
        <f aca="true" t="shared" si="43" ref="Z43:Z65">IF(Y43&lt;=$AS$73*$W$9,Y43,$AS$73*$W$9)</f>
        <v>105</v>
      </c>
      <c r="AA43" s="313">
        <f t="shared" si="22"/>
        <v>0</v>
      </c>
      <c r="AB43" s="312">
        <v>10100</v>
      </c>
      <c r="AC43" s="316">
        <f aca="true" t="shared" si="44" ref="AC43:AC65">IF(AB43&lt;$AC$9*$AS$72,AB43,$AC$9*$AS$72)</f>
        <v>10100</v>
      </c>
      <c r="AD43" s="316">
        <f aca="true" t="shared" si="45" ref="AD43:AD65">IF(AB43-AC43=0,0,AB43-AC43)</f>
        <v>0</v>
      </c>
      <c r="AE43" s="313">
        <f aca="true" t="shared" si="46" ref="AE43:AE65">IF(AB43=0,0,(IF(AB43&lt;=(AC$9*$AS$72),(AC$9*$AS$73),(AB43-($AS$72*AC$9))*$AS$74/1000+AC$9*$AS$73)))</f>
        <v>105</v>
      </c>
      <c r="AF43" s="317">
        <f aca="true" t="shared" si="47" ref="AF43:AF65">IF(AE43&lt;=$AS$73*$AC$9,AE43,$AS$73*$AC$9)</f>
        <v>105</v>
      </c>
      <c r="AG43" s="313">
        <f t="shared" si="23"/>
        <v>0</v>
      </c>
      <c r="AH43" s="262"/>
      <c r="AI43" s="262"/>
      <c r="AJ43" s="314">
        <f t="shared" si="24"/>
        <v>38190</v>
      </c>
      <c r="AK43" s="314">
        <f t="shared" si="25"/>
        <v>38190</v>
      </c>
      <c r="AL43" s="314">
        <f t="shared" si="26"/>
        <v>0</v>
      </c>
      <c r="AM43" s="262">
        <f t="shared" si="27"/>
        <v>420</v>
      </c>
      <c r="AN43" s="262">
        <f t="shared" si="28"/>
        <v>420</v>
      </c>
      <c r="AO43" s="262">
        <f t="shared" si="16"/>
        <v>0</v>
      </c>
      <c r="AP43" s="318">
        <f aca="true" t="shared" si="48" ref="AP43:AP70">N43</f>
        <v>180</v>
      </c>
      <c r="AQ43" s="262">
        <f aca="true" t="shared" si="49" ref="AQ43:AQ70">AM43-AP43</f>
        <v>240</v>
      </c>
      <c r="AR43" s="319">
        <f t="shared" si="29"/>
        <v>2.3333333333333335</v>
      </c>
      <c r="AS43" s="320"/>
      <c r="AT43" s="320"/>
      <c r="AU43" s="320"/>
      <c r="AV43" s="320"/>
      <c r="AW43" s="320"/>
      <c r="AX43" s="320"/>
      <c r="AY43" s="320"/>
      <c r="AZ43" s="262"/>
      <c r="BA43" s="268" t="s">
        <v>183</v>
      </c>
      <c r="BB43" s="268" t="s">
        <v>216</v>
      </c>
      <c r="BC43" s="260" t="s">
        <v>227</v>
      </c>
      <c r="BD43" s="321">
        <f t="shared" si="30"/>
        <v>1</v>
      </c>
      <c r="BE43" s="321">
        <f t="shared" si="30"/>
        <v>0</v>
      </c>
      <c r="BF43" s="321">
        <f t="shared" si="30"/>
        <v>0</v>
      </c>
      <c r="BG43" s="321">
        <f t="shared" si="30"/>
        <v>0</v>
      </c>
      <c r="BH43" s="321">
        <f t="shared" si="31"/>
        <v>0</v>
      </c>
      <c r="BI43" s="321">
        <f t="shared" si="31"/>
        <v>1</v>
      </c>
    </row>
    <row r="44" spans="1:61" ht="15.75">
      <c r="A44" s="322">
        <v>34</v>
      </c>
      <c r="B44" s="324" t="s">
        <v>266</v>
      </c>
      <c r="C44" s="329" t="s">
        <v>265</v>
      </c>
      <c r="D44" s="311" t="s">
        <v>264</v>
      </c>
      <c r="E44" s="524"/>
      <c r="F44" s="525"/>
      <c r="G44" s="312">
        <v>6550</v>
      </c>
      <c r="H44" s="313">
        <v>90</v>
      </c>
      <c r="I44" s="312">
        <v>760</v>
      </c>
      <c r="J44" s="313">
        <f t="shared" si="32"/>
        <v>45</v>
      </c>
      <c r="K44" s="312">
        <v>970</v>
      </c>
      <c r="L44" s="313">
        <f t="shared" si="33"/>
        <v>45</v>
      </c>
      <c r="M44" s="314">
        <f t="shared" si="34"/>
        <v>8280</v>
      </c>
      <c r="N44" s="315">
        <f t="shared" si="35"/>
        <v>180</v>
      </c>
      <c r="O44" s="262"/>
      <c r="P44" s="312">
        <v>6550</v>
      </c>
      <c r="Q44" s="316">
        <f t="shared" si="36"/>
        <v>6550</v>
      </c>
      <c r="R44" s="316">
        <f t="shared" si="37"/>
        <v>0</v>
      </c>
      <c r="S44" s="317">
        <f t="shared" si="38"/>
        <v>210</v>
      </c>
      <c r="T44" s="317">
        <f t="shared" si="39"/>
        <v>210</v>
      </c>
      <c r="U44" s="313">
        <f t="shared" si="21"/>
        <v>0</v>
      </c>
      <c r="V44" s="312">
        <v>760</v>
      </c>
      <c r="W44" s="316">
        <f t="shared" si="40"/>
        <v>760</v>
      </c>
      <c r="X44" s="316">
        <f t="shared" si="41"/>
        <v>0</v>
      </c>
      <c r="Y44" s="313">
        <f t="shared" si="42"/>
        <v>105</v>
      </c>
      <c r="Z44" s="317">
        <f t="shared" si="43"/>
        <v>105</v>
      </c>
      <c r="AA44" s="313">
        <f t="shared" si="22"/>
        <v>0</v>
      </c>
      <c r="AB44" s="312">
        <v>970</v>
      </c>
      <c r="AC44" s="316">
        <f t="shared" si="44"/>
        <v>970</v>
      </c>
      <c r="AD44" s="316">
        <f t="shared" si="45"/>
        <v>0</v>
      </c>
      <c r="AE44" s="313">
        <f t="shared" si="46"/>
        <v>105</v>
      </c>
      <c r="AF44" s="317">
        <f t="shared" si="47"/>
        <v>105</v>
      </c>
      <c r="AG44" s="313">
        <f t="shared" si="23"/>
        <v>0</v>
      </c>
      <c r="AH44" s="262"/>
      <c r="AI44" s="262"/>
      <c r="AJ44" s="314">
        <f aca="true" t="shared" si="50" ref="AJ44:AJ65">P44+V44+AB44</f>
        <v>8280</v>
      </c>
      <c r="AK44" s="314">
        <f aca="true" t="shared" si="51" ref="AK44:AK65">Q44+W44+AC44</f>
        <v>8280</v>
      </c>
      <c r="AL44" s="314">
        <f aca="true" t="shared" si="52" ref="AL44:AL65">R44+X44+AD44</f>
        <v>0</v>
      </c>
      <c r="AM44" s="262">
        <f aca="true" t="shared" si="53" ref="AM44:AM65">S44+Y44+AE44</f>
        <v>420</v>
      </c>
      <c r="AN44" s="262">
        <f t="shared" si="28"/>
        <v>420</v>
      </c>
      <c r="AO44" s="262">
        <f t="shared" si="16"/>
        <v>0</v>
      </c>
      <c r="AP44" s="318">
        <f t="shared" si="48"/>
        <v>180</v>
      </c>
      <c r="AQ44" s="262">
        <f t="shared" si="49"/>
        <v>240</v>
      </c>
      <c r="AR44" s="319">
        <f t="shared" si="29"/>
        <v>2.3333333333333335</v>
      </c>
      <c r="AS44" s="320"/>
      <c r="AT44" s="320"/>
      <c r="AU44" s="320"/>
      <c r="AV44" s="320"/>
      <c r="AW44" s="320"/>
      <c r="AX44" s="320"/>
      <c r="AY44" s="320"/>
      <c r="AZ44" s="262"/>
      <c r="BA44" s="268" t="s">
        <v>183</v>
      </c>
      <c r="BB44" s="268" t="s">
        <v>216</v>
      </c>
      <c r="BC44" s="260" t="s">
        <v>196</v>
      </c>
      <c r="BD44" s="321">
        <f t="shared" si="30"/>
        <v>1</v>
      </c>
      <c r="BE44" s="321">
        <f t="shared" si="30"/>
        <v>0</v>
      </c>
      <c r="BF44" s="321">
        <f t="shared" si="30"/>
        <v>0</v>
      </c>
      <c r="BG44" s="321">
        <f t="shared" si="30"/>
        <v>0</v>
      </c>
      <c r="BH44" s="321">
        <f t="shared" si="31"/>
        <v>1</v>
      </c>
      <c r="BI44" s="321">
        <f t="shared" si="31"/>
        <v>0</v>
      </c>
    </row>
    <row r="45" spans="1:61" ht="15.75">
      <c r="A45" s="322">
        <v>35</v>
      </c>
      <c r="B45" s="324" t="s">
        <v>263</v>
      </c>
      <c r="C45" s="329" t="s">
        <v>262</v>
      </c>
      <c r="D45" s="311" t="s">
        <v>261</v>
      </c>
      <c r="E45" s="524"/>
      <c r="F45" s="525"/>
      <c r="G45" s="312">
        <v>38000</v>
      </c>
      <c r="H45" s="313">
        <v>95</v>
      </c>
      <c r="I45" s="312">
        <v>54190</v>
      </c>
      <c r="J45" s="313">
        <f t="shared" si="32"/>
        <v>135.475</v>
      </c>
      <c r="K45" s="312">
        <v>210180</v>
      </c>
      <c r="L45" s="313">
        <f t="shared" si="33"/>
        <v>525.45</v>
      </c>
      <c r="M45" s="314">
        <f t="shared" si="34"/>
        <v>302370</v>
      </c>
      <c r="N45" s="315">
        <f t="shared" si="35"/>
        <v>755.9250000000001</v>
      </c>
      <c r="O45" s="262"/>
      <c r="P45" s="312">
        <v>38000</v>
      </c>
      <c r="Q45" s="316">
        <f t="shared" si="36"/>
        <v>38000</v>
      </c>
      <c r="R45" s="316">
        <f t="shared" si="37"/>
        <v>0</v>
      </c>
      <c r="S45" s="317">
        <f t="shared" si="38"/>
        <v>210</v>
      </c>
      <c r="T45" s="317">
        <f t="shared" si="39"/>
        <v>210</v>
      </c>
      <c r="U45" s="313">
        <f t="shared" si="21"/>
        <v>0</v>
      </c>
      <c r="V45" s="312">
        <v>54190</v>
      </c>
      <c r="W45" s="316">
        <f t="shared" si="40"/>
        <v>22500</v>
      </c>
      <c r="X45" s="316">
        <f t="shared" si="41"/>
        <v>31690</v>
      </c>
      <c r="Y45" s="313">
        <f t="shared" si="42"/>
        <v>263.45</v>
      </c>
      <c r="Z45" s="317">
        <f t="shared" si="43"/>
        <v>105</v>
      </c>
      <c r="AA45" s="313">
        <f t="shared" si="22"/>
        <v>158.45</v>
      </c>
      <c r="AB45" s="312">
        <v>210180</v>
      </c>
      <c r="AC45" s="316">
        <f t="shared" si="44"/>
        <v>22500</v>
      </c>
      <c r="AD45" s="316">
        <f t="shared" si="45"/>
        <v>187680</v>
      </c>
      <c r="AE45" s="313">
        <f t="shared" si="46"/>
        <v>1043.4</v>
      </c>
      <c r="AF45" s="317">
        <f t="shared" si="47"/>
        <v>105</v>
      </c>
      <c r="AG45" s="313">
        <f t="shared" si="23"/>
        <v>938.4000000000001</v>
      </c>
      <c r="AH45" s="262"/>
      <c r="AI45" s="262"/>
      <c r="AJ45" s="314">
        <f t="shared" si="50"/>
        <v>302370</v>
      </c>
      <c r="AK45" s="314">
        <f t="shared" si="51"/>
        <v>83000</v>
      </c>
      <c r="AL45" s="314">
        <f t="shared" si="52"/>
        <v>219370</v>
      </c>
      <c r="AM45" s="262">
        <f t="shared" si="53"/>
        <v>1516.8500000000001</v>
      </c>
      <c r="AN45" s="262">
        <f t="shared" si="28"/>
        <v>420</v>
      </c>
      <c r="AO45" s="262">
        <f t="shared" si="16"/>
        <v>1096.8500000000001</v>
      </c>
      <c r="AP45" s="318">
        <f t="shared" si="48"/>
        <v>755.9250000000001</v>
      </c>
      <c r="AQ45" s="262">
        <f t="shared" si="49"/>
        <v>760.9250000000001</v>
      </c>
      <c r="AR45" s="319">
        <f t="shared" si="29"/>
        <v>2.006614412805503</v>
      </c>
      <c r="AS45" s="320"/>
      <c r="AT45" s="320"/>
      <c r="AU45" s="320"/>
      <c r="AV45" s="320"/>
      <c r="AW45" s="320"/>
      <c r="AX45" s="320"/>
      <c r="AY45" s="320"/>
      <c r="AZ45" s="262"/>
      <c r="BA45" s="268" t="s">
        <v>183</v>
      </c>
      <c r="BB45" s="268" t="s">
        <v>216</v>
      </c>
      <c r="BC45" s="260" t="s">
        <v>227</v>
      </c>
      <c r="BD45" s="321">
        <f t="shared" si="30"/>
        <v>1</v>
      </c>
      <c r="BE45" s="321">
        <f t="shared" si="30"/>
        <v>0</v>
      </c>
      <c r="BF45" s="321">
        <f t="shared" si="30"/>
        <v>0</v>
      </c>
      <c r="BG45" s="321">
        <f t="shared" si="30"/>
        <v>0</v>
      </c>
      <c r="BH45" s="321">
        <f t="shared" si="31"/>
        <v>0</v>
      </c>
      <c r="BI45" s="321">
        <f t="shared" si="31"/>
        <v>1</v>
      </c>
    </row>
    <row r="46" spans="1:61" ht="15.75">
      <c r="A46" s="322">
        <v>36</v>
      </c>
      <c r="B46" s="324" t="s">
        <v>260</v>
      </c>
      <c r="C46" s="329" t="s">
        <v>259</v>
      </c>
      <c r="D46" s="311" t="s">
        <v>258</v>
      </c>
      <c r="E46" s="524"/>
      <c r="F46" s="525"/>
      <c r="G46" s="312">
        <v>50550</v>
      </c>
      <c r="H46" s="313">
        <v>126.375</v>
      </c>
      <c r="I46" s="312">
        <v>21070</v>
      </c>
      <c r="J46" s="313">
        <f t="shared" si="32"/>
        <v>52.675</v>
      </c>
      <c r="K46" s="312">
        <v>135960</v>
      </c>
      <c r="L46" s="313">
        <f t="shared" si="33"/>
        <v>339.9</v>
      </c>
      <c r="M46" s="314">
        <f t="shared" si="34"/>
        <v>207580</v>
      </c>
      <c r="N46" s="315">
        <f t="shared" si="35"/>
        <v>518.95</v>
      </c>
      <c r="O46" s="262"/>
      <c r="P46" s="312">
        <v>50550</v>
      </c>
      <c r="Q46" s="316">
        <f t="shared" si="36"/>
        <v>45000</v>
      </c>
      <c r="R46" s="316">
        <f t="shared" si="37"/>
        <v>5550</v>
      </c>
      <c r="S46" s="317">
        <f t="shared" si="38"/>
        <v>237.75</v>
      </c>
      <c r="T46" s="317">
        <f t="shared" si="39"/>
        <v>210</v>
      </c>
      <c r="U46" s="313">
        <f t="shared" si="21"/>
        <v>27.75</v>
      </c>
      <c r="V46" s="312">
        <v>21070</v>
      </c>
      <c r="W46" s="316">
        <f t="shared" si="40"/>
        <v>21070</v>
      </c>
      <c r="X46" s="316">
        <f t="shared" si="41"/>
        <v>0</v>
      </c>
      <c r="Y46" s="313">
        <f t="shared" si="42"/>
        <v>105</v>
      </c>
      <c r="Z46" s="317">
        <f t="shared" si="43"/>
        <v>105</v>
      </c>
      <c r="AA46" s="313">
        <f t="shared" si="22"/>
        <v>0</v>
      </c>
      <c r="AB46" s="312">
        <v>135960</v>
      </c>
      <c r="AC46" s="316">
        <f t="shared" si="44"/>
        <v>22500</v>
      </c>
      <c r="AD46" s="316">
        <f t="shared" si="45"/>
        <v>113460</v>
      </c>
      <c r="AE46" s="313">
        <f t="shared" si="46"/>
        <v>672.3</v>
      </c>
      <c r="AF46" s="317">
        <f t="shared" si="47"/>
        <v>105</v>
      </c>
      <c r="AG46" s="313">
        <f t="shared" si="23"/>
        <v>567.3</v>
      </c>
      <c r="AH46" s="262"/>
      <c r="AI46" s="262"/>
      <c r="AJ46" s="314">
        <f t="shared" si="50"/>
        <v>207580</v>
      </c>
      <c r="AK46" s="314">
        <f t="shared" si="51"/>
        <v>88570</v>
      </c>
      <c r="AL46" s="314">
        <f t="shared" si="52"/>
        <v>119010</v>
      </c>
      <c r="AM46" s="262">
        <f t="shared" si="53"/>
        <v>1015.05</v>
      </c>
      <c r="AN46" s="262">
        <f t="shared" si="28"/>
        <v>420</v>
      </c>
      <c r="AO46" s="262">
        <f t="shared" si="16"/>
        <v>595.05</v>
      </c>
      <c r="AP46" s="318">
        <f t="shared" si="48"/>
        <v>518.95</v>
      </c>
      <c r="AQ46" s="262">
        <f t="shared" si="49"/>
        <v>496.0999999999999</v>
      </c>
      <c r="AR46" s="319">
        <f t="shared" si="29"/>
        <v>1.9559687831197607</v>
      </c>
      <c r="AS46" s="320"/>
      <c r="AT46" s="320"/>
      <c r="AU46" s="320"/>
      <c r="AV46" s="320"/>
      <c r="AW46" s="320"/>
      <c r="AX46" s="320"/>
      <c r="AY46" s="320"/>
      <c r="AZ46" s="262"/>
      <c r="BA46" s="268" t="s">
        <v>183</v>
      </c>
      <c r="BB46" s="268" t="s">
        <v>216</v>
      </c>
      <c r="BC46" s="260" t="s">
        <v>227</v>
      </c>
      <c r="BD46" s="321">
        <f t="shared" si="30"/>
        <v>1</v>
      </c>
      <c r="BE46" s="321">
        <f t="shared" si="30"/>
        <v>0</v>
      </c>
      <c r="BF46" s="321">
        <f t="shared" si="30"/>
        <v>0</v>
      </c>
      <c r="BG46" s="321">
        <f t="shared" si="30"/>
        <v>0</v>
      </c>
      <c r="BH46" s="321">
        <f t="shared" si="31"/>
        <v>0</v>
      </c>
      <c r="BI46" s="321">
        <f t="shared" si="31"/>
        <v>1</v>
      </c>
    </row>
    <row r="47" spans="1:61" ht="15.75">
      <c r="A47" s="322">
        <v>37</v>
      </c>
      <c r="B47" s="332" t="s">
        <v>257</v>
      </c>
      <c r="C47" s="329" t="s">
        <v>256</v>
      </c>
      <c r="D47" s="311" t="s">
        <v>255</v>
      </c>
      <c r="E47" s="524"/>
      <c r="F47" s="525"/>
      <c r="G47" s="312">
        <v>90</v>
      </c>
      <c r="H47" s="313">
        <v>90</v>
      </c>
      <c r="I47" s="312">
        <v>650</v>
      </c>
      <c r="J47" s="313">
        <f t="shared" si="32"/>
        <v>45</v>
      </c>
      <c r="K47" s="312">
        <v>590</v>
      </c>
      <c r="L47" s="313">
        <f t="shared" si="33"/>
        <v>45</v>
      </c>
      <c r="M47" s="314">
        <f t="shared" si="34"/>
        <v>1330</v>
      </c>
      <c r="N47" s="315">
        <f t="shared" si="35"/>
        <v>180</v>
      </c>
      <c r="O47" s="262"/>
      <c r="P47" s="312">
        <v>90</v>
      </c>
      <c r="Q47" s="316">
        <f t="shared" si="36"/>
        <v>90</v>
      </c>
      <c r="R47" s="316">
        <f t="shared" si="37"/>
        <v>0</v>
      </c>
      <c r="S47" s="317">
        <f t="shared" si="38"/>
        <v>210</v>
      </c>
      <c r="T47" s="317">
        <f t="shared" si="39"/>
        <v>210</v>
      </c>
      <c r="U47" s="313">
        <f t="shared" si="21"/>
        <v>0</v>
      </c>
      <c r="V47" s="312">
        <v>650</v>
      </c>
      <c r="W47" s="316">
        <f t="shared" si="40"/>
        <v>650</v>
      </c>
      <c r="X47" s="316">
        <f t="shared" si="41"/>
        <v>0</v>
      </c>
      <c r="Y47" s="313">
        <f t="shared" si="42"/>
        <v>105</v>
      </c>
      <c r="Z47" s="317">
        <f t="shared" si="43"/>
        <v>105</v>
      </c>
      <c r="AA47" s="313">
        <f t="shared" si="22"/>
        <v>0</v>
      </c>
      <c r="AB47" s="312">
        <v>590</v>
      </c>
      <c r="AC47" s="316">
        <f t="shared" si="44"/>
        <v>590</v>
      </c>
      <c r="AD47" s="316">
        <f t="shared" si="45"/>
        <v>0</v>
      </c>
      <c r="AE47" s="313">
        <f t="shared" si="46"/>
        <v>105</v>
      </c>
      <c r="AF47" s="317">
        <f t="shared" si="47"/>
        <v>105</v>
      </c>
      <c r="AG47" s="313">
        <f t="shared" si="23"/>
        <v>0</v>
      </c>
      <c r="AH47" s="262"/>
      <c r="AI47" s="262"/>
      <c r="AJ47" s="314">
        <f t="shared" si="50"/>
        <v>1330</v>
      </c>
      <c r="AK47" s="314">
        <f t="shared" si="51"/>
        <v>1330</v>
      </c>
      <c r="AL47" s="314">
        <f t="shared" si="52"/>
        <v>0</v>
      </c>
      <c r="AM47" s="262">
        <f t="shared" si="53"/>
        <v>420</v>
      </c>
      <c r="AN47" s="262">
        <f t="shared" si="28"/>
        <v>420</v>
      </c>
      <c r="AO47" s="262">
        <f t="shared" si="16"/>
        <v>0</v>
      </c>
      <c r="AP47" s="318">
        <f t="shared" si="48"/>
        <v>180</v>
      </c>
      <c r="AQ47" s="262">
        <f t="shared" si="49"/>
        <v>240</v>
      </c>
      <c r="AR47" s="319">
        <f t="shared" si="29"/>
        <v>2.3333333333333335</v>
      </c>
      <c r="AS47" s="320"/>
      <c r="AT47" s="320"/>
      <c r="AU47" s="320"/>
      <c r="AV47" s="320"/>
      <c r="AW47" s="320"/>
      <c r="AX47" s="320"/>
      <c r="AY47" s="320"/>
      <c r="AZ47" s="262"/>
      <c r="BA47" s="268" t="s">
        <v>183</v>
      </c>
      <c r="BB47" s="268" t="s">
        <v>216</v>
      </c>
      <c r="BC47" s="260" t="s">
        <v>196</v>
      </c>
      <c r="BD47" s="321">
        <f t="shared" si="30"/>
        <v>1</v>
      </c>
      <c r="BE47" s="321">
        <f t="shared" si="30"/>
        <v>0</v>
      </c>
      <c r="BF47" s="321">
        <f t="shared" si="30"/>
        <v>0</v>
      </c>
      <c r="BG47" s="321">
        <f t="shared" si="30"/>
        <v>0</v>
      </c>
      <c r="BH47" s="321">
        <f t="shared" si="31"/>
        <v>1</v>
      </c>
      <c r="BI47" s="321">
        <f t="shared" si="31"/>
        <v>0</v>
      </c>
    </row>
    <row r="48" spans="1:61" ht="15.75">
      <c r="A48" s="322">
        <v>38</v>
      </c>
      <c r="B48" s="324" t="s">
        <v>254</v>
      </c>
      <c r="C48" s="329" t="s">
        <v>253</v>
      </c>
      <c r="D48" s="311" t="s">
        <v>252</v>
      </c>
      <c r="E48" s="524"/>
      <c r="F48" s="525"/>
      <c r="G48" s="312">
        <v>52490</v>
      </c>
      <c r="H48" s="313">
        <v>131.225</v>
      </c>
      <c r="I48" s="312">
        <v>25020</v>
      </c>
      <c r="J48" s="313">
        <f t="shared" si="32"/>
        <v>62.55</v>
      </c>
      <c r="K48" s="312">
        <v>29520</v>
      </c>
      <c r="L48" s="313">
        <f t="shared" si="33"/>
        <v>73.8</v>
      </c>
      <c r="M48" s="314">
        <f t="shared" si="34"/>
        <v>107030</v>
      </c>
      <c r="N48" s="315">
        <f t="shared" si="35"/>
        <v>267.575</v>
      </c>
      <c r="O48" s="262"/>
      <c r="P48" s="312">
        <v>52490</v>
      </c>
      <c r="Q48" s="316">
        <f t="shared" si="36"/>
        <v>45000</v>
      </c>
      <c r="R48" s="316">
        <f t="shared" si="37"/>
        <v>7490</v>
      </c>
      <c r="S48" s="317">
        <f t="shared" si="38"/>
        <v>247.45</v>
      </c>
      <c r="T48" s="317">
        <f t="shared" si="39"/>
        <v>210</v>
      </c>
      <c r="U48" s="313">
        <f t="shared" si="21"/>
        <v>37.44999999999999</v>
      </c>
      <c r="V48" s="312">
        <v>25020</v>
      </c>
      <c r="W48" s="316">
        <f t="shared" si="40"/>
        <v>22500</v>
      </c>
      <c r="X48" s="316">
        <f t="shared" si="41"/>
        <v>2520</v>
      </c>
      <c r="Y48" s="313">
        <f t="shared" si="42"/>
        <v>117.6</v>
      </c>
      <c r="Z48" s="317">
        <f t="shared" si="43"/>
        <v>105</v>
      </c>
      <c r="AA48" s="313">
        <f t="shared" si="22"/>
        <v>12.599999999999994</v>
      </c>
      <c r="AB48" s="312">
        <v>29520</v>
      </c>
      <c r="AC48" s="316">
        <f t="shared" si="44"/>
        <v>22500</v>
      </c>
      <c r="AD48" s="316">
        <f t="shared" si="45"/>
        <v>7020</v>
      </c>
      <c r="AE48" s="313">
        <f t="shared" si="46"/>
        <v>140.1</v>
      </c>
      <c r="AF48" s="317">
        <f t="shared" si="47"/>
        <v>105</v>
      </c>
      <c r="AG48" s="313">
        <f t="shared" si="23"/>
        <v>35.099999999999994</v>
      </c>
      <c r="AH48" s="262"/>
      <c r="AI48" s="262"/>
      <c r="AJ48" s="314">
        <f t="shared" si="50"/>
        <v>107030</v>
      </c>
      <c r="AK48" s="314">
        <f t="shared" si="51"/>
        <v>90000</v>
      </c>
      <c r="AL48" s="314">
        <f t="shared" si="52"/>
        <v>17030</v>
      </c>
      <c r="AM48" s="262">
        <f t="shared" si="53"/>
        <v>505.15</v>
      </c>
      <c r="AN48" s="262">
        <f t="shared" si="28"/>
        <v>420</v>
      </c>
      <c r="AO48" s="262">
        <f t="shared" si="16"/>
        <v>85.14999999999998</v>
      </c>
      <c r="AP48" s="318">
        <f t="shared" si="48"/>
        <v>267.575</v>
      </c>
      <c r="AQ48" s="262">
        <f t="shared" si="49"/>
        <v>237.575</v>
      </c>
      <c r="AR48" s="319">
        <f t="shared" si="29"/>
        <v>1.8878819022703914</v>
      </c>
      <c r="AS48" s="320"/>
      <c r="AT48" s="320"/>
      <c r="AU48" s="320"/>
      <c r="AV48" s="320"/>
      <c r="AW48" s="320"/>
      <c r="AX48" s="320"/>
      <c r="AY48" s="320"/>
      <c r="AZ48" s="262"/>
      <c r="BA48" s="268" t="s">
        <v>183</v>
      </c>
      <c r="BB48" s="268" t="s">
        <v>216</v>
      </c>
      <c r="BC48" s="260" t="s">
        <v>196</v>
      </c>
      <c r="BD48" s="321">
        <f t="shared" si="30"/>
        <v>1</v>
      </c>
      <c r="BE48" s="321">
        <f t="shared" si="30"/>
        <v>0</v>
      </c>
      <c r="BF48" s="321">
        <f t="shared" si="30"/>
        <v>0</v>
      </c>
      <c r="BG48" s="321">
        <f t="shared" si="30"/>
        <v>0</v>
      </c>
      <c r="BH48" s="321">
        <f t="shared" si="31"/>
        <v>1</v>
      </c>
      <c r="BI48" s="321">
        <f t="shared" si="31"/>
        <v>0</v>
      </c>
    </row>
    <row r="49" spans="1:61" ht="15.75">
      <c r="A49" s="322">
        <v>39</v>
      </c>
      <c r="B49" s="324" t="s">
        <v>251</v>
      </c>
      <c r="C49" s="329" t="s">
        <v>250</v>
      </c>
      <c r="D49" s="311" t="s">
        <v>249</v>
      </c>
      <c r="E49" s="524"/>
      <c r="F49" s="525"/>
      <c r="G49" s="312">
        <v>5710</v>
      </c>
      <c r="H49" s="313">
        <v>90</v>
      </c>
      <c r="I49" s="312">
        <v>2560</v>
      </c>
      <c r="J49" s="313">
        <f t="shared" si="32"/>
        <v>45</v>
      </c>
      <c r="K49" s="312">
        <v>7280</v>
      </c>
      <c r="L49" s="313">
        <f t="shared" si="33"/>
        <v>45</v>
      </c>
      <c r="M49" s="314">
        <f t="shared" si="34"/>
        <v>15550</v>
      </c>
      <c r="N49" s="315">
        <f t="shared" si="35"/>
        <v>180</v>
      </c>
      <c r="O49" s="262"/>
      <c r="P49" s="312">
        <v>5710</v>
      </c>
      <c r="Q49" s="316">
        <f t="shared" si="36"/>
        <v>5710</v>
      </c>
      <c r="R49" s="316">
        <f t="shared" si="37"/>
        <v>0</v>
      </c>
      <c r="S49" s="317">
        <f t="shared" si="38"/>
        <v>210</v>
      </c>
      <c r="T49" s="317">
        <f t="shared" si="39"/>
        <v>210</v>
      </c>
      <c r="U49" s="313">
        <f t="shared" si="21"/>
        <v>0</v>
      </c>
      <c r="V49" s="312">
        <v>2560</v>
      </c>
      <c r="W49" s="316">
        <f t="shared" si="40"/>
        <v>2560</v>
      </c>
      <c r="X49" s="316">
        <f t="shared" si="41"/>
        <v>0</v>
      </c>
      <c r="Y49" s="313">
        <f t="shared" si="42"/>
        <v>105</v>
      </c>
      <c r="Z49" s="317">
        <f t="shared" si="43"/>
        <v>105</v>
      </c>
      <c r="AA49" s="313">
        <f t="shared" si="22"/>
        <v>0</v>
      </c>
      <c r="AB49" s="312">
        <v>7280</v>
      </c>
      <c r="AC49" s="316">
        <f t="shared" si="44"/>
        <v>7280</v>
      </c>
      <c r="AD49" s="316">
        <f t="shared" si="45"/>
        <v>0</v>
      </c>
      <c r="AE49" s="313">
        <f t="shared" si="46"/>
        <v>105</v>
      </c>
      <c r="AF49" s="317">
        <f t="shared" si="47"/>
        <v>105</v>
      </c>
      <c r="AG49" s="313">
        <f t="shared" si="23"/>
        <v>0</v>
      </c>
      <c r="AH49" s="262"/>
      <c r="AI49" s="262"/>
      <c r="AJ49" s="314">
        <f t="shared" si="50"/>
        <v>15550</v>
      </c>
      <c r="AK49" s="314">
        <f t="shared" si="51"/>
        <v>15550</v>
      </c>
      <c r="AL49" s="314">
        <f t="shared" si="52"/>
        <v>0</v>
      </c>
      <c r="AM49" s="262">
        <f t="shared" si="53"/>
        <v>420</v>
      </c>
      <c r="AN49" s="262">
        <f t="shared" si="28"/>
        <v>420</v>
      </c>
      <c r="AO49" s="262">
        <f t="shared" si="16"/>
        <v>0</v>
      </c>
      <c r="AP49" s="318">
        <f t="shared" si="48"/>
        <v>180</v>
      </c>
      <c r="AQ49" s="262">
        <f t="shared" si="49"/>
        <v>240</v>
      </c>
      <c r="AR49" s="319">
        <f t="shared" si="29"/>
        <v>2.3333333333333335</v>
      </c>
      <c r="AS49" s="320"/>
      <c r="AT49" s="320"/>
      <c r="AU49" s="320"/>
      <c r="AV49" s="320"/>
      <c r="AW49" s="320"/>
      <c r="AX49" s="320"/>
      <c r="AY49" s="320"/>
      <c r="AZ49" s="262"/>
      <c r="BA49" s="268" t="s">
        <v>183</v>
      </c>
      <c r="BB49" s="268" t="s">
        <v>216</v>
      </c>
      <c r="BC49" s="260" t="s">
        <v>196</v>
      </c>
      <c r="BD49" s="321">
        <f t="shared" si="30"/>
        <v>1</v>
      </c>
      <c r="BE49" s="321">
        <f t="shared" si="30"/>
        <v>0</v>
      </c>
      <c r="BF49" s="321">
        <f t="shared" si="30"/>
        <v>0</v>
      </c>
      <c r="BG49" s="321">
        <f t="shared" si="30"/>
        <v>0</v>
      </c>
      <c r="BH49" s="321">
        <f t="shared" si="31"/>
        <v>1</v>
      </c>
      <c r="BI49" s="321">
        <f t="shared" si="31"/>
        <v>0</v>
      </c>
    </row>
    <row r="50" spans="1:61" ht="15.75">
      <c r="A50" s="322">
        <v>40</v>
      </c>
      <c r="B50" s="324" t="s">
        <v>248</v>
      </c>
      <c r="C50" s="329" t="s">
        <v>247</v>
      </c>
      <c r="D50" s="311" t="s">
        <v>246</v>
      </c>
      <c r="E50" s="524"/>
      <c r="F50" s="525"/>
      <c r="G50" s="312">
        <v>28030</v>
      </c>
      <c r="H50" s="313">
        <v>90</v>
      </c>
      <c r="I50" s="312">
        <v>13610</v>
      </c>
      <c r="J50" s="313">
        <f t="shared" si="32"/>
        <v>45</v>
      </c>
      <c r="K50" s="328">
        <v>0.001</v>
      </c>
      <c r="L50" s="313">
        <f t="shared" si="33"/>
        <v>45</v>
      </c>
      <c r="M50" s="314">
        <f t="shared" si="34"/>
        <v>41640.001</v>
      </c>
      <c r="N50" s="315">
        <f t="shared" si="35"/>
        <v>180</v>
      </c>
      <c r="O50" s="262"/>
      <c r="P50" s="312">
        <v>28030</v>
      </c>
      <c r="Q50" s="316">
        <f t="shared" si="36"/>
        <v>28030</v>
      </c>
      <c r="R50" s="316">
        <f t="shared" si="37"/>
        <v>0</v>
      </c>
      <c r="S50" s="317">
        <f t="shared" si="38"/>
        <v>210</v>
      </c>
      <c r="T50" s="317">
        <f t="shared" si="39"/>
        <v>210</v>
      </c>
      <c r="U50" s="313">
        <f t="shared" si="21"/>
        <v>0</v>
      </c>
      <c r="V50" s="312">
        <v>13610</v>
      </c>
      <c r="W50" s="316">
        <f t="shared" si="40"/>
        <v>13610</v>
      </c>
      <c r="X50" s="316">
        <f t="shared" si="41"/>
        <v>0</v>
      </c>
      <c r="Y50" s="313">
        <f t="shared" si="42"/>
        <v>105</v>
      </c>
      <c r="Z50" s="317">
        <f t="shared" si="43"/>
        <v>105</v>
      </c>
      <c r="AA50" s="313">
        <f t="shared" si="22"/>
        <v>0</v>
      </c>
      <c r="AB50" s="328">
        <v>0.001</v>
      </c>
      <c r="AC50" s="316">
        <f t="shared" si="44"/>
        <v>0.001</v>
      </c>
      <c r="AD50" s="316">
        <f t="shared" si="45"/>
        <v>0</v>
      </c>
      <c r="AE50" s="313">
        <f t="shared" si="46"/>
        <v>105</v>
      </c>
      <c r="AF50" s="317">
        <f t="shared" si="47"/>
        <v>105</v>
      </c>
      <c r="AG50" s="313">
        <f t="shared" si="23"/>
        <v>0</v>
      </c>
      <c r="AH50" s="262"/>
      <c r="AI50" s="262"/>
      <c r="AJ50" s="314">
        <f t="shared" si="50"/>
        <v>41640.001</v>
      </c>
      <c r="AK50" s="314">
        <f t="shared" si="51"/>
        <v>41640.001</v>
      </c>
      <c r="AL50" s="314">
        <f t="shared" si="52"/>
        <v>0</v>
      </c>
      <c r="AM50" s="262">
        <f t="shared" si="53"/>
        <v>420</v>
      </c>
      <c r="AN50" s="262">
        <f t="shared" si="28"/>
        <v>420</v>
      </c>
      <c r="AO50" s="262">
        <f t="shared" si="16"/>
        <v>0</v>
      </c>
      <c r="AP50" s="318">
        <f t="shared" si="48"/>
        <v>180</v>
      </c>
      <c r="AQ50" s="262">
        <f t="shared" si="49"/>
        <v>240</v>
      </c>
      <c r="AR50" s="319">
        <f t="shared" si="29"/>
        <v>2.3333333333333335</v>
      </c>
      <c r="AS50" s="320"/>
      <c r="AT50" s="320"/>
      <c r="AU50" s="320"/>
      <c r="AV50" s="320"/>
      <c r="AW50" s="320"/>
      <c r="AX50" s="320"/>
      <c r="AY50" s="320"/>
      <c r="AZ50" s="262"/>
      <c r="BA50" s="268" t="s">
        <v>183</v>
      </c>
      <c r="BB50" s="268" t="s">
        <v>216</v>
      </c>
      <c r="BC50" s="260" t="s">
        <v>196</v>
      </c>
      <c r="BD50" s="321">
        <f t="shared" si="30"/>
        <v>1</v>
      </c>
      <c r="BE50" s="321">
        <f t="shared" si="30"/>
        <v>0</v>
      </c>
      <c r="BF50" s="321">
        <f t="shared" si="30"/>
        <v>0</v>
      </c>
      <c r="BG50" s="321">
        <f t="shared" si="30"/>
        <v>0</v>
      </c>
      <c r="BH50" s="321">
        <f t="shared" si="31"/>
        <v>1</v>
      </c>
      <c r="BI50" s="321">
        <f t="shared" si="31"/>
        <v>0</v>
      </c>
    </row>
    <row r="51" spans="1:61" ht="15.75">
      <c r="A51" s="322">
        <v>41</v>
      </c>
      <c r="B51" s="324" t="s">
        <v>245</v>
      </c>
      <c r="C51" s="329" t="s">
        <v>244</v>
      </c>
      <c r="D51" s="311" t="s">
        <v>243</v>
      </c>
      <c r="E51" s="524"/>
      <c r="F51" s="525"/>
      <c r="G51" s="312">
        <v>64220</v>
      </c>
      <c r="H51" s="313">
        <v>160.55</v>
      </c>
      <c r="I51" s="312">
        <v>21460</v>
      </c>
      <c r="J51" s="313">
        <f t="shared" si="32"/>
        <v>53.65</v>
      </c>
      <c r="K51" s="312">
        <v>26700</v>
      </c>
      <c r="L51" s="313">
        <f t="shared" si="33"/>
        <v>66.75</v>
      </c>
      <c r="M51" s="314">
        <f t="shared" si="34"/>
        <v>112380</v>
      </c>
      <c r="N51" s="315">
        <f t="shared" si="35"/>
        <v>280.95000000000005</v>
      </c>
      <c r="O51" s="262"/>
      <c r="P51" s="312">
        <v>64220</v>
      </c>
      <c r="Q51" s="316">
        <f t="shared" si="36"/>
        <v>45000</v>
      </c>
      <c r="R51" s="316">
        <f t="shared" si="37"/>
        <v>19220</v>
      </c>
      <c r="S51" s="317">
        <f t="shared" si="38"/>
        <v>306.1</v>
      </c>
      <c r="T51" s="317">
        <f t="shared" si="39"/>
        <v>210</v>
      </c>
      <c r="U51" s="313">
        <f t="shared" si="21"/>
        <v>96.10000000000002</v>
      </c>
      <c r="V51" s="312">
        <v>21460</v>
      </c>
      <c r="W51" s="316">
        <f t="shared" si="40"/>
        <v>21460</v>
      </c>
      <c r="X51" s="316">
        <f t="shared" si="41"/>
        <v>0</v>
      </c>
      <c r="Y51" s="313">
        <f t="shared" si="42"/>
        <v>105</v>
      </c>
      <c r="Z51" s="317">
        <f t="shared" si="43"/>
        <v>105</v>
      </c>
      <c r="AA51" s="313">
        <f t="shared" si="22"/>
        <v>0</v>
      </c>
      <c r="AB51" s="312">
        <v>26700</v>
      </c>
      <c r="AC51" s="316">
        <f t="shared" si="44"/>
        <v>22500</v>
      </c>
      <c r="AD51" s="316">
        <f t="shared" si="45"/>
        <v>4200</v>
      </c>
      <c r="AE51" s="313">
        <f t="shared" si="46"/>
        <v>126</v>
      </c>
      <c r="AF51" s="317">
        <f t="shared" si="47"/>
        <v>105</v>
      </c>
      <c r="AG51" s="313">
        <f t="shared" si="23"/>
        <v>21</v>
      </c>
      <c r="AH51" s="262"/>
      <c r="AI51" s="262"/>
      <c r="AJ51" s="314">
        <f t="shared" si="50"/>
        <v>112380</v>
      </c>
      <c r="AK51" s="314">
        <f t="shared" si="51"/>
        <v>88960</v>
      </c>
      <c r="AL51" s="314">
        <f t="shared" si="52"/>
        <v>23420</v>
      </c>
      <c r="AM51" s="262">
        <f t="shared" si="53"/>
        <v>537.1</v>
      </c>
      <c r="AN51" s="262">
        <f t="shared" si="28"/>
        <v>420</v>
      </c>
      <c r="AO51" s="262">
        <f t="shared" si="16"/>
        <v>117.10000000000002</v>
      </c>
      <c r="AP51" s="318">
        <f t="shared" si="48"/>
        <v>280.95000000000005</v>
      </c>
      <c r="AQ51" s="262">
        <f t="shared" si="49"/>
        <v>256.15</v>
      </c>
      <c r="AR51" s="319">
        <f t="shared" si="29"/>
        <v>1.9117280654920803</v>
      </c>
      <c r="AS51" s="320"/>
      <c r="AT51" s="320"/>
      <c r="AU51" s="320"/>
      <c r="AV51" s="320"/>
      <c r="AW51" s="320"/>
      <c r="AX51" s="320"/>
      <c r="AY51" s="320"/>
      <c r="AZ51" s="262"/>
      <c r="BA51" s="268" t="s">
        <v>183</v>
      </c>
      <c r="BB51" s="268" t="s">
        <v>216</v>
      </c>
      <c r="BC51" s="260"/>
      <c r="BD51" s="321">
        <f aca="true" t="shared" si="54" ref="BD51:BG72">COUNTIF($BB51,BD$10)</f>
        <v>1</v>
      </c>
      <c r="BE51" s="321">
        <f t="shared" si="54"/>
        <v>0</v>
      </c>
      <c r="BF51" s="321">
        <f t="shared" si="54"/>
        <v>0</v>
      </c>
      <c r="BG51" s="321">
        <f t="shared" si="54"/>
        <v>0</v>
      </c>
      <c r="BH51" s="321">
        <f aca="true" t="shared" si="55" ref="BH51:BI72">COUNTIF($BC51,BH$10)</f>
        <v>0</v>
      </c>
      <c r="BI51" s="321">
        <f t="shared" si="55"/>
        <v>0</v>
      </c>
    </row>
    <row r="52" spans="1:61" ht="15.75">
      <c r="A52" s="322">
        <v>42</v>
      </c>
      <c r="B52" s="324" t="s">
        <v>242</v>
      </c>
      <c r="C52" s="329" t="s">
        <v>241</v>
      </c>
      <c r="D52" s="311" t="s">
        <v>240</v>
      </c>
      <c r="E52" s="524"/>
      <c r="F52" s="525"/>
      <c r="G52" s="312">
        <v>19930</v>
      </c>
      <c r="H52" s="313">
        <v>90</v>
      </c>
      <c r="I52" s="312">
        <v>9800</v>
      </c>
      <c r="J52" s="313">
        <f t="shared" si="32"/>
        <v>45</v>
      </c>
      <c r="K52" s="312">
        <v>8580</v>
      </c>
      <c r="L52" s="313">
        <f t="shared" si="33"/>
        <v>45</v>
      </c>
      <c r="M52" s="314">
        <f t="shared" si="34"/>
        <v>38310</v>
      </c>
      <c r="N52" s="315">
        <f t="shared" si="35"/>
        <v>180</v>
      </c>
      <c r="O52" s="262"/>
      <c r="P52" s="312">
        <v>19930</v>
      </c>
      <c r="Q52" s="316">
        <f t="shared" si="36"/>
        <v>19930</v>
      </c>
      <c r="R52" s="316">
        <f t="shared" si="37"/>
        <v>0</v>
      </c>
      <c r="S52" s="317">
        <f t="shared" si="38"/>
        <v>210</v>
      </c>
      <c r="T52" s="317">
        <f t="shared" si="39"/>
        <v>210</v>
      </c>
      <c r="U52" s="313">
        <f t="shared" si="21"/>
        <v>0</v>
      </c>
      <c r="V52" s="312">
        <v>9800</v>
      </c>
      <c r="W52" s="316">
        <f t="shared" si="40"/>
        <v>9800</v>
      </c>
      <c r="X52" s="316">
        <f t="shared" si="41"/>
        <v>0</v>
      </c>
      <c r="Y52" s="313">
        <f t="shared" si="42"/>
        <v>105</v>
      </c>
      <c r="Z52" s="317">
        <f t="shared" si="43"/>
        <v>105</v>
      </c>
      <c r="AA52" s="313">
        <f t="shared" si="22"/>
        <v>0</v>
      </c>
      <c r="AB52" s="312">
        <v>8580</v>
      </c>
      <c r="AC52" s="316">
        <f t="shared" si="44"/>
        <v>8580</v>
      </c>
      <c r="AD52" s="316">
        <f t="shared" si="45"/>
        <v>0</v>
      </c>
      <c r="AE52" s="313">
        <f t="shared" si="46"/>
        <v>105</v>
      </c>
      <c r="AF52" s="317">
        <f t="shared" si="47"/>
        <v>105</v>
      </c>
      <c r="AG52" s="313">
        <f t="shared" si="23"/>
        <v>0</v>
      </c>
      <c r="AH52" s="262"/>
      <c r="AI52" s="262"/>
      <c r="AJ52" s="314">
        <f t="shared" si="50"/>
        <v>38310</v>
      </c>
      <c r="AK52" s="314">
        <f t="shared" si="51"/>
        <v>38310</v>
      </c>
      <c r="AL52" s="314">
        <f t="shared" si="52"/>
        <v>0</v>
      </c>
      <c r="AM52" s="262">
        <f t="shared" si="53"/>
        <v>420</v>
      </c>
      <c r="AN52" s="262">
        <f t="shared" si="28"/>
        <v>420</v>
      </c>
      <c r="AO52" s="262">
        <f t="shared" si="16"/>
        <v>0</v>
      </c>
      <c r="AP52" s="318">
        <f t="shared" si="48"/>
        <v>180</v>
      </c>
      <c r="AQ52" s="262">
        <f t="shared" si="49"/>
        <v>240</v>
      </c>
      <c r="AR52" s="319">
        <f t="shared" si="29"/>
        <v>2.3333333333333335</v>
      </c>
      <c r="AS52" s="320"/>
      <c r="AT52" s="320"/>
      <c r="AU52" s="320"/>
      <c r="AV52" s="320"/>
      <c r="AW52" s="320"/>
      <c r="AX52" s="320"/>
      <c r="AY52" s="320"/>
      <c r="AZ52" s="260"/>
      <c r="BA52" s="268" t="s">
        <v>183</v>
      </c>
      <c r="BB52" s="268" t="s">
        <v>216</v>
      </c>
      <c r="BC52" s="260" t="s">
        <v>196</v>
      </c>
      <c r="BD52" s="321">
        <f t="shared" si="54"/>
        <v>1</v>
      </c>
      <c r="BE52" s="321">
        <f t="shared" si="54"/>
        <v>0</v>
      </c>
      <c r="BF52" s="321">
        <f t="shared" si="54"/>
        <v>0</v>
      </c>
      <c r="BG52" s="321">
        <f t="shared" si="54"/>
        <v>0</v>
      </c>
      <c r="BH52" s="321">
        <f t="shared" si="55"/>
        <v>1</v>
      </c>
      <c r="BI52" s="321">
        <f t="shared" si="55"/>
        <v>0</v>
      </c>
    </row>
    <row r="53" spans="1:61" ht="15.75">
      <c r="A53" s="322">
        <v>43</v>
      </c>
      <c r="B53" s="324" t="s">
        <v>239</v>
      </c>
      <c r="C53" s="329" t="s">
        <v>238</v>
      </c>
      <c r="D53" s="311" t="s">
        <v>237</v>
      </c>
      <c r="E53" s="524"/>
      <c r="F53" s="525"/>
      <c r="G53" s="312">
        <v>36020</v>
      </c>
      <c r="H53" s="313">
        <v>90.05</v>
      </c>
      <c r="I53" s="312">
        <v>13840</v>
      </c>
      <c r="J53" s="313">
        <f t="shared" si="32"/>
        <v>45</v>
      </c>
      <c r="K53" s="312">
        <v>33850</v>
      </c>
      <c r="L53" s="313">
        <f t="shared" si="33"/>
        <v>84.625</v>
      </c>
      <c r="M53" s="314">
        <f t="shared" si="34"/>
        <v>83710</v>
      </c>
      <c r="N53" s="315">
        <f t="shared" si="35"/>
        <v>219.675</v>
      </c>
      <c r="O53" s="262"/>
      <c r="P53" s="312">
        <v>36020</v>
      </c>
      <c r="Q53" s="316">
        <f t="shared" si="36"/>
        <v>36020</v>
      </c>
      <c r="R53" s="316">
        <f t="shared" si="37"/>
        <v>0</v>
      </c>
      <c r="S53" s="317">
        <f t="shared" si="38"/>
        <v>210</v>
      </c>
      <c r="T53" s="317">
        <f t="shared" si="39"/>
        <v>210</v>
      </c>
      <c r="U53" s="313">
        <f t="shared" si="21"/>
        <v>0</v>
      </c>
      <c r="V53" s="312">
        <v>13840</v>
      </c>
      <c r="W53" s="316">
        <f t="shared" si="40"/>
        <v>13840</v>
      </c>
      <c r="X53" s="316">
        <f t="shared" si="41"/>
        <v>0</v>
      </c>
      <c r="Y53" s="313">
        <f t="shared" si="42"/>
        <v>105</v>
      </c>
      <c r="Z53" s="317">
        <f t="shared" si="43"/>
        <v>105</v>
      </c>
      <c r="AA53" s="313">
        <f t="shared" si="22"/>
        <v>0</v>
      </c>
      <c r="AB53" s="312">
        <v>33850</v>
      </c>
      <c r="AC53" s="316">
        <f t="shared" si="44"/>
        <v>22500</v>
      </c>
      <c r="AD53" s="316">
        <f t="shared" si="45"/>
        <v>11350</v>
      </c>
      <c r="AE53" s="313">
        <f t="shared" si="46"/>
        <v>161.75</v>
      </c>
      <c r="AF53" s="317">
        <f t="shared" si="47"/>
        <v>105</v>
      </c>
      <c r="AG53" s="313">
        <f t="shared" si="23"/>
        <v>56.75</v>
      </c>
      <c r="AH53" s="262"/>
      <c r="AI53" s="262"/>
      <c r="AJ53" s="314">
        <f t="shared" si="50"/>
        <v>83710</v>
      </c>
      <c r="AK53" s="314">
        <f t="shared" si="51"/>
        <v>72360</v>
      </c>
      <c r="AL53" s="314">
        <f t="shared" si="52"/>
        <v>11350</v>
      </c>
      <c r="AM53" s="262">
        <f t="shared" si="53"/>
        <v>476.75</v>
      </c>
      <c r="AN53" s="262">
        <f t="shared" si="28"/>
        <v>420</v>
      </c>
      <c r="AO53" s="262">
        <f t="shared" si="16"/>
        <v>56.75</v>
      </c>
      <c r="AP53" s="318">
        <f t="shared" si="48"/>
        <v>219.675</v>
      </c>
      <c r="AQ53" s="262">
        <f t="shared" si="49"/>
        <v>257.075</v>
      </c>
      <c r="AR53" s="319">
        <f t="shared" si="29"/>
        <v>2.1702515079094113</v>
      </c>
      <c r="AS53" s="320"/>
      <c r="AT53" s="320"/>
      <c r="AU53" s="320"/>
      <c r="AV53" s="320"/>
      <c r="AW53" s="320"/>
      <c r="AX53" s="320"/>
      <c r="AY53" s="320"/>
      <c r="AZ53" s="262"/>
      <c r="BA53" s="268" t="s">
        <v>183</v>
      </c>
      <c r="BB53" s="268" t="s">
        <v>216</v>
      </c>
      <c r="BC53" s="260"/>
      <c r="BD53" s="321">
        <f t="shared" si="54"/>
        <v>1</v>
      </c>
      <c r="BE53" s="321">
        <f t="shared" si="54"/>
        <v>0</v>
      </c>
      <c r="BF53" s="321">
        <f t="shared" si="54"/>
        <v>0</v>
      </c>
      <c r="BG53" s="321">
        <f t="shared" si="54"/>
        <v>0</v>
      </c>
      <c r="BH53" s="321">
        <f t="shared" si="55"/>
        <v>0</v>
      </c>
      <c r="BI53" s="321">
        <f t="shared" si="55"/>
        <v>0</v>
      </c>
    </row>
    <row r="54" spans="1:61" ht="15.75">
      <c r="A54" s="322">
        <v>44</v>
      </c>
      <c r="B54" s="332" t="s">
        <v>236</v>
      </c>
      <c r="C54" s="329" t="s">
        <v>235</v>
      </c>
      <c r="D54" s="311" t="s">
        <v>234</v>
      </c>
      <c r="E54" s="524"/>
      <c r="F54" s="525"/>
      <c r="G54" s="312">
        <v>62200</v>
      </c>
      <c r="H54" s="313">
        <v>155.5</v>
      </c>
      <c r="I54" s="312">
        <v>15000</v>
      </c>
      <c r="J54" s="313">
        <f t="shared" si="32"/>
        <v>45</v>
      </c>
      <c r="K54" s="312">
        <v>10580</v>
      </c>
      <c r="L54" s="313">
        <f t="shared" si="33"/>
        <v>45</v>
      </c>
      <c r="M54" s="314">
        <f t="shared" si="34"/>
        <v>87780</v>
      </c>
      <c r="N54" s="315">
        <f t="shared" si="35"/>
        <v>245.5</v>
      </c>
      <c r="O54" s="262"/>
      <c r="P54" s="312">
        <v>62200</v>
      </c>
      <c r="Q54" s="316">
        <f t="shared" si="36"/>
        <v>45000</v>
      </c>
      <c r="R54" s="316">
        <f t="shared" si="37"/>
        <v>17200</v>
      </c>
      <c r="S54" s="317">
        <f t="shared" si="38"/>
        <v>296</v>
      </c>
      <c r="T54" s="317">
        <f t="shared" si="39"/>
        <v>210</v>
      </c>
      <c r="U54" s="313">
        <f t="shared" si="21"/>
        <v>86</v>
      </c>
      <c r="V54" s="312">
        <v>15000</v>
      </c>
      <c r="W54" s="316">
        <f t="shared" si="40"/>
        <v>15000</v>
      </c>
      <c r="X54" s="316">
        <f t="shared" si="41"/>
        <v>0</v>
      </c>
      <c r="Y54" s="313">
        <f t="shared" si="42"/>
        <v>105</v>
      </c>
      <c r="Z54" s="317">
        <f t="shared" si="43"/>
        <v>105</v>
      </c>
      <c r="AA54" s="313">
        <f t="shared" si="22"/>
        <v>0</v>
      </c>
      <c r="AB54" s="312">
        <v>10580</v>
      </c>
      <c r="AC54" s="316">
        <f t="shared" si="44"/>
        <v>10580</v>
      </c>
      <c r="AD54" s="316">
        <f t="shared" si="45"/>
        <v>0</v>
      </c>
      <c r="AE54" s="313">
        <f t="shared" si="46"/>
        <v>105</v>
      </c>
      <c r="AF54" s="317">
        <f t="shared" si="47"/>
        <v>105</v>
      </c>
      <c r="AG54" s="313">
        <f t="shared" si="23"/>
        <v>0</v>
      </c>
      <c r="AH54" s="262"/>
      <c r="AI54" s="262"/>
      <c r="AJ54" s="314">
        <f t="shared" si="50"/>
        <v>87780</v>
      </c>
      <c r="AK54" s="314">
        <f t="shared" si="51"/>
        <v>70580</v>
      </c>
      <c r="AL54" s="314">
        <f t="shared" si="52"/>
        <v>17200</v>
      </c>
      <c r="AM54" s="262">
        <f t="shared" si="53"/>
        <v>506</v>
      </c>
      <c r="AN54" s="262">
        <f t="shared" si="28"/>
        <v>420</v>
      </c>
      <c r="AO54" s="262">
        <f t="shared" si="16"/>
        <v>86</v>
      </c>
      <c r="AP54" s="318">
        <f t="shared" si="48"/>
        <v>245.5</v>
      </c>
      <c r="AQ54" s="262">
        <f t="shared" si="49"/>
        <v>260.5</v>
      </c>
      <c r="AR54" s="319">
        <f t="shared" si="29"/>
        <v>2.061099796334012</v>
      </c>
      <c r="AS54" s="320"/>
      <c r="AT54" s="320"/>
      <c r="AU54" s="320"/>
      <c r="AV54" s="320"/>
      <c r="AW54" s="320"/>
      <c r="AX54" s="320"/>
      <c r="AY54" s="320"/>
      <c r="AZ54" s="262"/>
      <c r="BA54" s="268" t="s">
        <v>183</v>
      </c>
      <c r="BB54" s="268" t="s">
        <v>216</v>
      </c>
      <c r="BC54" s="260" t="s">
        <v>227</v>
      </c>
      <c r="BD54" s="321">
        <f t="shared" si="54"/>
        <v>1</v>
      </c>
      <c r="BE54" s="321">
        <f t="shared" si="54"/>
        <v>0</v>
      </c>
      <c r="BF54" s="321">
        <f t="shared" si="54"/>
        <v>0</v>
      </c>
      <c r="BG54" s="321">
        <f t="shared" si="54"/>
        <v>0</v>
      </c>
      <c r="BH54" s="321">
        <f t="shared" si="55"/>
        <v>0</v>
      </c>
      <c r="BI54" s="321">
        <f t="shared" si="55"/>
        <v>1</v>
      </c>
    </row>
    <row r="55" spans="1:61" ht="15.75">
      <c r="A55" s="322">
        <v>45</v>
      </c>
      <c r="B55" s="324" t="s">
        <v>233</v>
      </c>
      <c r="C55" s="329" t="s">
        <v>232</v>
      </c>
      <c r="D55" s="311" t="s">
        <v>231</v>
      </c>
      <c r="E55" s="524"/>
      <c r="F55" s="525"/>
      <c r="G55" s="312">
        <v>40320</v>
      </c>
      <c r="H55" s="313">
        <v>100.8</v>
      </c>
      <c r="I55" s="312">
        <v>15310</v>
      </c>
      <c r="J55" s="313">
        <f t="shared" si="32"/>
        <v>45</v>
      </c>
      <c r="K55" s="312">
        <v>19000</v>
      </c>
      <c r="L55" s="313">
        <f t="shared" si="33"/>
        <v>47.5</v>
      </c>
      <c r="M55" s="314">
        <f t="shared" si="34"/>
        <v>74630</v>
      </c>
      <c r="N55" s="315">
        <f t="shared" si="35"/>
        <v>193.3</v>
      </c>
      <c r="O55" s="262"/>
      <c r="P55" s="312">
        <v>40320</v>
      </c>
      <c r="Q55" s="316">
        <f t="shared" si="36"/>
        <v>40320</v>
      </c>
      <c r="R55" s="316">
        <f t="shared" si="37"/>
        <v>0</v>
      </c>
      <c r="S55" s="317">
        <f t="shared" si="38"/>
        <v>210</v>
      </c>
      <c r="T55" s="317">
        <f t="shared" si="39"/>
        <v>210</v>
      </c>
      <c r="U55" s="313">
        <f t="shared" si="21"/>
        <v>0</v>
      </c>
      <c r="V55" s="312">
        <v>15310</v>
      </c>
      <c r="W55" s="316">
        <f t="shared" si="40"/>
        <v>15310</v>
      </c>
      <c r="X55" s="316">
        <f t="shared" si="41"/>
        <v>0</v>
      </c>
      <c r="Y55" s="313">
        <f t="shared" si="42"/>
        <v>105</v>
      </c>
      <c r="Z55" s="317">
        <f t="shared" si="43"/>
        <v>105</v>
      </c>
      <c r="AA55" s="313">
        <f t="shared" si="22"/>
        <v>0</v>
      </c>
      <c r="AB55" s="312">
        <v>19000</v>
      </c>
      <c r="AC55" s="316">
        <f t="shared" si="44"/>
        <v>19000</v>
      </c>
      <c r="AD55" s="316">
        <f t="shared" si="45"/>
        <v>0</v>
      </c>
      <c r="AE55" s="313">
        <f t="shared" si="46"/>
        <v>105</v>
      </c>
      <c r="AF55" s="317">
        <f t="shared" si="47"/>
        <v>105</v>
      </c>
      <c r="AG55" s="313">
        <f t="shared" si="23"/>
        <v>0</v>
      </c>
      <c r="AH55" s="262"/>
      <c r="AI55" s="262"/>
      <c r="AJ55" s="314">
        <f t="shared" si="50"/>
        <v>74630</v>
      </c>
      <c r="AK55" s="314">
        <f t="shared" si="51"/>
        <v>74630</v>
      </c>
      <c r="AL55" s="314">
        <f t="shared" si="52"/>
        <v>0</v>
      </c>
      <c r="AM55" s="262">
        <f t="shared" si="53"/>
        <v>420</v>
      </c>
      <c r="AN55" s="262">
        <f t="shared" si="28"/>
        <v>420</v>
      </c>
      <c r="AO55" s="262">
        <f t="shared" si="16"/>
        <v>0</v>
      </c>
      <c r="AP55" s="318">
        <f t="shared" si="48"/>
        <v>193.3</v>
      </c>
      <c r="AQ55" s="262">
        <f t="shared" si="49"/>
        <v>226.7</v>
      </c>
      <c r="AR55" s="319">
        <f t="shared" si="29"/>
        <v>2.172788411795137</v>
      </c>
      <c r="AS55" s="320"/>
      <c r="AT55" s="320"/>
      <c r="AU55" s="320"/>
      <c r="AV55" s="320"/>
      <c r="AW55" s="320"/>
      <c r="AX55" s="320"/>
      <c r="AY55" s="320"/>
      <c r="AZ55" s="262"/>
      <c r="BA55" s="268" t="s">
        <v>183</v>
      </c>
      <c r="BB55" s="268" t="s">
        <v>216</v>
      </c>
      <c r="BC55" s="306" t="s">
        <v>196</v>
      </c>
      <c r="BD55" s="333">
        <f t="shared" si="54"/>
        <v>1</v>
      </c>
      <c r="BE55" s="333">
        <f t="shared" si="54"/>
        <v>0</v>
      </c>
      <c r="BF55" s="333">
        <f t="shared" si="54"/>
        <v>0</v>
      </c>
      <c r="BG55" s="333">
        <f t="shared" si="54"/>
        <v>0</v>
      </c>
      <c r="BH55" s="321">
        <f t="shared" si="55"/>
        <v>1</v>
      </c>
      <c r="BI55" s="321">
        <f t="shared" si="55"/>
        <v>0</v>
      </c>
    </row>
    <row r="56" spans="1:61" ht="15.75">
      <c r="A56" s="322">
        <v>46</v>
      </c>
      <c r="B56" s="324" t="s">
        <v>230</v>
      </c>
      <c r="C56" s="329" t="s">
        <v>229</v>
      </c>
      <c r="D56" s="311" t="s">
        <v>228</v>
      </c>
      <c r="E56" s="524"/>
      <c r="F56" s="525"/>
      <c r="G56" s="312">
        <v>66140</v>
      </c>
      <c r="H56" s="313">
        <v>165.35</v>
      </c>
      <c r="I56" s="312">
        <v>63170</v>
      </c>
      <c r="J56" s="313">
        <f t="shared" si="32"/>
        <v>157.925</v>
      </c>
      <c r="K56" s="312">
        <v>57720</v>
      </c>
      <c r="L56" s="313">
        <f t="shared" si="33"/>
        <v>144.3</v>
      </c>
      <c r="M56" s="314">
        <f t="shared" si="34"/>
        <v>187030</v>
      </c>
      <c r="N56" s="315">
        <f t="shared" si="35"/>
        <v>467.575</v>
      </c>
      <c r="O56" s="262"/>
      <c r="P56" s="312">
        <v>66140</v>
      </c>
      <c r="Q56" s="316">
        <f t="shared" si="36"/>
        <v>45000</v>
      </c>
      <c r="R56" s="316">
        <f t="shared" si="37"/>
        <v>21140</v>
      </c>
      <c r="S56" s="317">
        <f t="shared" si="38"/>
        <v>315.7</v>
      </c>
      <c r="T56" s="317">
        <f t="shared" si="39"/>
        <v>210</v>
      </c>
      <c r="U56" s="313">
        <f t="shared" si="21"/>
        <v>105.69999999999999</v>
      </c>
      <c r="V56" s="312">
        <v>63170</v>
      </c>
      <c r="W56" s="316">
        <f t="shared" si="40"/>
        <v>22500</v>
      </c>
      <c r="X56" s="316">
        <f t="shared" si="41"/>
        <v>40670</v>
      </c>
      <c r="Y56" s="313">
        <f t="shared" si="42"/>
        <v>308.35</v>
      </c>
      <c r="Z56" s="317">
        <f t="shared" si="43"/>
        <v>105</v>
      </c>
      <c r="AA56" s="313">
        <f t="shared" si="22"/>
        <v>203.35000000000002</v>
      </c>
      <c r="AB56" s="312">
        <v>57720</v>
      </c>
      <c r="AC56" s="316">
        <f t="shared" si="44"/>
        <v>22500</v>
      </c>
      <c r="AD56" s="316">
        <f t="shared" si="45"/>
        <v>35220</v>
      </c>
      <c r="AE56" s="313">
        <f t="shared" si="46"/>
        <v>281.1</v>
      </c>
      <c r="AF56" s="317">
        <f t="shared" si="47"/>
        <v>105</v>
      </c>
      <c r="AG56" s="313">
        <f t="shared" si="23"/>
        <v>176.10000000000002</v>
      </c>
      <c r="AH56" s="262"/>
      <c r="AI56" s="262"/>
      <c r="AJ56" s="314">
        <f t="shared" si="50"/>
        <v>187030</v>
      </c>
      <c r="AK56" s="314">
        <f t="shared" si="51"/>
        <v>90000</v>
      </c>
      <c r="AL56" s="314">
        <f t="shared" si="52"/>
        <v>97030</v>
      </c>
      <c r="AM56" s="262">
        <f t="shared" si="53"/>
        <v>905.15</v>
      </c>
      <c r="AN56" s="262">
        <f t="shared" si="28"/>
        <v>420</v>
      </c>
      <c r="AO56" s="262">
        <f t="shared" si="16"/>
        <v>485.15000000000003</v>
      </c>
      <c r="AP56" s="318">
        <f t="shared" si="48"/>
        <v>467.575</v>
      </c>
      <c r="AQ56" s="262">
        <f t="shared" si="49"/>
        <v>437.575</v>
      </c>
      <c r="AR56" s="319">
        <f t="shared" si="29"/>
        <v>1.9358391701866011</v>
      </c>
      <c r="AS56" s="320"/>
      <c r="AT56" s="320"/>
      <c r="AU56" s="320"/>
      <c r="AV56" s="320"/>
      <c r="AW56" s="320"/>
      <c r="AX56" s="320"/>
      <c r="AY56" s="320"/>
      <c r="AZ56" s="262"/>
      <c r="BA56" s="268" t="s">
        <v>183</v>
      </c>
      <c r="BB56" s="268" t="s">
        <v>216</v>
      </c>
      <c r="BC56" s="306" t="s">
        <v>227</v>
      </c>
      <c r="BD56" s="321">
        <f t="shared" si="54"/>
        <v>1</v>
      </c>
      <c r="BE56" s="321">
        <f t="shared" si="54"/>
        <v>0</v>
      </c>
      <c r="BF56" s="321">
        <f t="shared" si="54"/>
        <v>0</v>
      </c>
      <c r="BG56" s="321">
        <f t="shared" si="54"/>
        <v>0</v>
      </c>
      <c r="BH56" s="321">
        <f t="shared" si="55"/>
        <v>0</v>
      </c>
      <c r="BI56" s="321">
        <f t="shared" si="55"/>
        <v>1</v>
      </c>
    </row>
    <row r="57" spans="1:61" ht="15.75">
      <c r="A57" s="322">
        <v>47</v>
      </c>
      <c r="B57" s="324" t="s">
        <v>226</v>
      </c>
      <c r="C57" s="329" t="s">
        <v>225</v>
      </c>
      <c r="D57" s="311" t="s">
        <v>224</v>
      </c>
      <c r="E57" s="524"/>
      <c r="F57" s="525"/>
      <c r="G57" s="312">
        <v>41430</v>
      </c>
      <c r="H57" s="313">
        <v>103.575</v>
      </c>
      <c r="I57" s="312">
        <v>13750</v>
      </c>
      <c r="J57" s="313">
        <f t="shared" si="32"/>
        <v>45</v>
      </c>
      <c r="K57" s="312">
        <v>18140</v>
      </c>
      <c r="L57" s="313">
        <f t="shared" si="33"/>
        <v>45.35</v>
      </c>
      <c r="M57" s="314">
        <f t="shared" si="34"/>
        <v>73320</v>
      </c>
      <c r="N57" s="315">
        <f t="shared" si="35"/>
        <v>193.92499999999998</v>
      </c>
      <c r="O57" s="262"/>
      <c r="P57" s="312">
        <v>41430</v>
      </c>
      <c r="Q57" s="316">
        <f t="shared" si="36"/>
        <v>41430</v>
      </c>
      <c r="R57" s="316">
        <f t="shared" si="37"/>
        <v>0</v>
      </c>
      <c r="S57" s="317">
        <f t="shared" si="38"/>
        <v>210</v>
      </c>
      <c r="T57" s="317">
        <f t="shared" si="39"/>
        <v>210</v>
      </c>
      <c r="U57" s="313">
        <f t="shared" si="21"/>
        <v>0</v>
      </c>
      <c r="V57" s="312">
        <v>13750</v>
      </c>
      <c r="W57" s="316">
        <f t="shared" si="40"/>
        <v>13750</v>
      </c>
      <c r="X57" s="316">
        <f t="shared" si="41"/>
        <v>0</v>
      </c>
      <c r="Y57" s="313">
        <f t="shared" si="42"/>
        <v>105</v>
      </c>
      <c r="Z57" s="317">
        <f t="shared" si="43"/>
        <v>105</v>
      </c>
      <c r="AA57" s="313">
        <f t="shared" si="22"/>
        <v>0</v>
      </c>
      <c r="AB57" s="312">
        <v>18140</v>
      </c>
      <c r="AC57" s="316">
        <f t="shared" si="44"/>
        <v>18140</v>
      </c>
      <c r="AD57" s="316">
        <f t="shared" si="45"/>
        <v>0</v>
      </c>
      <c r="AE57" s="313">
        <f t="shared" si="46"/>
        <v>105</v>
      </c>
      <c r="AF57" s="317">
        <f t="shared" si="47"/>
        <v>105</v>
      </c>
      <c r="AG57" s="313">
        <f t="shared" si="23"/>
        <v>0</v>
      </c>
      <c r="AH57" s="262"/>
      <c r="AI57" s="262"/>
      <c r="AJ57" s="314">
        <f t="shared" si="50"/>
        <v>73320</v>
      </c>
      <c r="AK57" s="314">
        <f t="shared" si="51"/>
        <v>73320</v>
      </c>
      <c r="AL57" s="314">
        <f t="shared" si="52"/>
        <v>0</v>
      </c>
      <c r="AM57" s="262">
        <f t="shared" si="53"/>
        <v>420</v>
      </c>
      <c r="AN57" s="262">
        <f t="shared" si="28"/>
        <v>420</v>
      </c>
      <c r="AO57" s="262">
        <f t="shared" si="16"/>
        <v>0</v>
      </c>
      <c r="AP57" s="318">
        <f t="shared" si="48"/>
        <v>193.92499999999998</v>
      </c>
      <c r="AQ57" s="262">
        <f t="shared" si="49"/>
        <v>226.07500000000002</v>
      </c>
      <c r="AR57" s="319">
        <f t="shared" si="29"/>
        <v>2.1657857419105326</v>
      </c>
      <c r="AS57" s="320"/>
      <c r="AT57" s="320"/>
      <c r="AU57" s="320"/>
      <c r="AV57" s="320"/>
      <c r="AW57" s="320"/>
      <c r="AX57" s="320"/>
      <c r="AY57" s="320"/>
      <c r="AZ57" s="262"/>
      <c r="BA57" s="268" t="s">
        <v>183</v>
      </c>
      <c r="BB57" s="268" t="s">
        <v>216</v>
      </c>
      <c r="BC57" s="306" t="s">
        <v>196</v>
      </c>
      <c r="BD57" s="321">
        <f t="shared" si="54"/>
        <v>1</v>
      </c>
      <c r="BE57" s="321">
        <f t="shared" si="54"/>
        <v>0</v>
      </c>
      <c r="BF57" s="321">
        <f t="shared" si="54"/>
        <v>0</v>
      </c>
      <c r="BG57" s="321">
        <f t="shared" si="54"/>
        <v>0</v>
      </c>
      <c r="BH57" s="321">
        <f t="shared" si="55"/>
        <v>1</v>
      </c>
      <c r="BI57" s="321">
        <f t="shared" si="55"/>
        <v>0</v>
      </c>
    </row>
    <row r="58" spans="1:61" ht="15.75">
      <c r="A58" s="322" t="s">
        <v>223</v>
      </c>
      <c r="B58" s="334" t="s">
        <v>222</v>
      </c>
      <c r="C58" s="335"/>
      <c r="D58" s="311" t="s">
        <v>221</v>
      </c>
      <c r="E58" s="524"/>
      <c r="F58" s="525"/>
      <c r="G58" s="312">
        <v>0</v>
      </c>
      <c r="H58" s="313">
        <v>0</v>
      </c>
      <c r="I58" s="312">
        <v>0</v>
      </c>
      <c r="J58" s="313">
        <f t="shared" si="32"/>
        <v>0</v>
      </c>
      <c r="K58" s="312">
        <v>0</v>
      </c>
      <c r="L58" s="313">
        <f t="shared" si="33"/>
        <v>0</v>
      </c>
      <c r="M58" s="314">
        <f t="shared" si="34"/>
        <v>0</v>
      </c>
      <c r="N58" s="315">
        <f t="shared" si="35"/>
        <v>0</v>
      </c>
      <c r="O58" s="262"/>
      <c r="P58" s="336">
        <v>42000</v>
      </c>
      <c r="Q58" s="337">
        <f t="shared" si="36"/>
        <v>42000</v>
      </c>
      <c r="R58" s="337">
        <f t="shared" si="37"/>
        <v>0</v>
      </c>
      <c r="S58" s="338">
        <f t="shared" si="38"/>
        <v>210</v>
      </c>
      <c r="T58" s="338">
        <f t="shared" si="39"/>
        <v>210</v>
      </c>
      <c r="U58" s="339">
        <f t="shared" si="21"/>
        <v>0</v>
      </c>
      <c r="V58" s="336">
        <v>21000</v>
      </c>
      <c r="W58" s="337">
        <f t="shared" si="40"/>
        <v>21000</v>
      </c>
      <c r="X58" s="337">
        <f t="shared" si="41"/>
        <v>0</v>
      </c>
      <c r="Y58" s="339">
        <f t="shared" si="42"/>
        <v>105</v>
      </c>
      <c r="Z58" s="338">
        <f t="shared" si="43"/>
        <v>105</v>
      </c>
      <c r="AA58" s="339">
        <f t="shared" si="22"/>
        <v>0</v>
      </c>
      <c r="AB58" s="336">
        <v>21000</v>
      </c>
      <c r="AC58" s="337">
        <f t="shared" si="44"/>
        <v>21000</v>
      </c>
      <c r="AD58" s="337">
        <f t="shared" si="45"/>
        <v>0</v>
      </c>
      <c r="AE58" s="339">
        <f t="shared" si="46"/>
        <v>105</v>
      </c>
      <c r="AF58" s="338">
        <f t="shared" si="47"/>
        <v>105</v>
      </c>
      <c r="AG58" s="339">
        <f t="shared" si="23"/>
        <v>0</v>
      </c>
      <c r="AH58" s="341"/>
      <c r="AI58" s="341"/>
      <c r="AJ58" s="340">
        <f t="shared" si="50"/>
        <v>84000</v>
      </c>
      <c r="AK58" s="340">
        <f t="shared" si="51"/>
        <v>84000</v>
      </c>
      <c r="AL58" s="340">
        <f t="shared" si="52"/>
        <v>0</v>
      </c>
      <c r="AM58" s="341">
        <f t="shared" si="53"/>
        <v>420</v>
      </c>
      <c r="AN58" s="341">
        <f t="shared" si="28"/>
        <v>420</v>
      </c>
      <c r="AO58" s="341">
        <f t="shared" si="16"/>
        <v>0</v>
      </c>
      <c r="AP58" s="341">
        <f t="shared" si="48"/>
        <v>0</v>
      </c>
      <c r="AQ58" s="341">
        <f t="shared" si="49"/>
        <v>420</v>
      </c>
      <c r="AR58" s="319" t="str">
        <f>IF(AP58=0,"n.a.",AQ58/AP58)</f>
        <v>n.a.</v>
      </c>
      <c r="AS58" s="320"/>
      <c r="AT58" s="320"/>
      <c r="AU58" s="320"/>
      <c r="AV58" s="320"/>
      <c r="AW58" s="320"/>
      <c r="AX58" s="320"/>
      <c r="AY58" s="320"/>
      <c r="AZ58" s="336" t="s">
        <v>220</v>
      </c>
      <c r="BA58" s="268" t="s">
        <v>183</v>
      </c>
      <c r="BB58" s="307" t="s">
        <v>191</v>
      </c>
      <c r="BC58" s="260"/>
      <c r="BD58" s="321">
        <f t="shared" si="54"/>
        <v>0</v>
      </c>
      <c r="BE58" s="321">
        <f t="shared" si="54"/>
        <v>0</v>
      </c>
      <c r="BF58" s="321">
        <f t="shared" si="54"/>
        <v>0</v>
      </c>
      <c r="BG58" s="321">
        <f t="shared" si="54"/>
        <v>1</v>
      </c>
      <c r="BH58" s="321">
        <f t="shared" si="55"/>
        <v>0</v>
      </c>
      <c r="BI58" s="321">
        <f t="shared" si="55"/>
        <v>0</v>
      </c>
    </row>
    <row r="59" spans="1:61" ht="18.75">
      <c r="A59" s="322">
        <v>49</v>
      </c>
      <c r="B59" s="324" t="s">
        <v>219</v>
      </c>
      <c r="C59" s="329" t="s">
        <v>218</v>
      </c>
      <c r="D59" s="311" t="s">
        <v>428</v>
      </c>
      <c r="E59" s="524"/>
      <c r="F59" s="525"/>
      <c r="G59" s="312">
        <v>20</v>
      </c>
      <c r="H59" s="313">
        <v>90</v>
      </c>
      <c r="I59" s="312">
        <v>9020</v>
      </c>
      <c r="J59" s="313">
        <f t="shared" si="32"/>
        <v>45</v>
      </c>
      <c r="K59" s="312">
        <v>29440</v>
      </c>
      <c r="L59" s="313">
        <f t="shared" si="33"/>
        <v>73.6</v>
      </c>
      <c r="M59" s="314">
        <f t="shared" si="34"/>
        <v>38480</v>
      </c>
      <c r="N59" s="315">
        <f t="shared" si="35"/>
        <v>208.6</v>
      </c>
      <c r="O59" s="262"/>
      <c r="P59" s="336">
        <v>42000</v>
      </c>
      <c r="Q59" s="337">
        <f t="shared" si="36"/>
        <v>42000</v>
      </c>
      <c r="R59" s="337">
        <f t="shared" si="37"/>
        <v>0</v>
      </c>
      <c r="S59" s="338">
        <f t="shared" si="38"/>
        <v>210</v>
      </c>
      <c r="T59" s="338">
        <f t="shared" si="39"/>
        <v>210</v>
      </c>
      <c r="U59" s="339">
        <f t="shared" si="21"/>
        <v>0</v>
      </c>
      <c r="V59" s="312">
        <v>9020</v>
      </c>
      <c r="W59" s="316">
        <f t="shared" si="40"/>
        <v>9020</v>
      </c>
      <c r="X59" s="316">
        <f t="shared" si="41"/>
        <v>0</v>
      </c>
      <c r="Y59" s="313">
        <f t="shared" si="42"/>
        <v>105</v>
      </c>
      <c r="Z59" s="317">
        <f t="shared" si="43"/>
        <v>105</v>
      </c>
      <c r="AA59" s="313">
        <f t="shared" si="22"/>
        <v>0</v>
      </c>
      <c r="AB59" s="312">
        <v>29440</v>
      </c>
      <c r="AC59" s="316">
        <f t="shared" si="44"/>
        <v>22500</v>
      </c>
      <c r="AD59" s="316">
        <f t="shared" si="45"/>
        <v>6940</v>
      </c>
      <c r="AE59" s="313">
        <f t="shared" si="46"/>
        <v>139.7</v>
      </c>
      <c r="AF59" s="317">
        <f t="shared" si="47"/>
        <v>105</v>
      </c>
      <c r="AG59" s="313">
        <f t="shared" si="23"/>
        <v>34.69999999999999</v>
      </c>
      <c r="AH59" s="262"/>
      <c r="AI59" s="262"/>
      <c r="AJ59" s="314">
        <f t="shared" si="50"/>
        <v>80460</v>
      </c>
      <c r="AK59" s="314">
        <f t="shared" si="51"/>
        <v>73520</v>
      </c>
      <c r="AL59" s="314">
        <f t="shared" si="52"/>
        <v>6940</v>
      </c>
      <c r="AM59" s="262">
        <f t="shared" si="53"/>
        <v>454.7</v>
      </c>
      <c r="AN59" s="262">
        <f t="shared" si="28"/>
        <v>420</v>
      </c>
      <c r="AO59" s="262">
        <f t="shared" si="16"/>
        <v>34.69999999999999</v>
      </c>
      <c r="AP59" s="318">
        <f t="shared" si="48"/>
        <v>208.6</v>
      </c>
      <c r="AQ59" s="262">
        <f t="shared" si="49"/>
        <v>246.1</v>
      </c>
      <c r="AR59" s="319">
        <f>AM59/AP59</f>
        <v>2.1797698945349953</v>
      </c>
      <c r="AS59" s="320"/>
      <c r="AT59" s="320"/>
      <c r="AU59" s="320"/>
      <c r="AV59" s="320"/>
      <c r="AW59" s="320"/>
      <c r="AX59" s="320"/>
      <c r="AY59" s="320"/>
      <c r="AZ59" s="312"/>
      <c r="BA59" s="268" t="s">
        <v>183</v>
      </c>
      <c r="BB59" s="268" t="s">
        <v>216</v>
      </c>
      <c r="BC59" s="260"/>
      <c r="BD59" s="321">
        <f t="shared" si="54"/>
        <v>1</v>
      </c>
      <c r="BE59" s="321">
        <f t="shared" si="54"/>
        <v>0</v>
      </c>
      <c r="BF59" s="321">
        <f t="shared" si="54"/>
        <v>0</v>
      </c>
      <c r="BG59" s="321">
        <f t="shared" si="54"/>
        <v>0</v>
      </c>
      <c r="BH59" s="321">
        <f t="shared" si="55"/>
        <v>0</v>
      </c>
      <c r="BI59" s="321">
        <f t="shared" si="55"/>
        <v>0</v>
      </c>
    </row>
    <row r="60" spans="1:61" ht="18.75">
      <c r="A60" s="322">
        <v>50</v>
      </c>
      <c r="B60" s="324" t="s">
        <v>217</v>
      </c>
      <c r="C60" s="329" t="s">
        <v>429</v>
      </c>
      <c r="D60" s="311" t="s">
        <v>430</v>
      </c>
      <c r="E60" s="524"/>
      <c r="F60" s="525"/>
      <c r="G60" s="312">
        <v>35350</v>
      </c>
      <c r="H60" s="313">
        <v>90</v>
      </c>
      <c r="I60" s="312">
        <v>44490</v>
      </c>
      <c r="J60" s="313">
        <f t="shared" si="32"/>
        <v>111.225</v>
      </c>
      <c r="K60" s="312">
        <v>105470</v>
      </c>
      <c r="L60" s="313">
        <f t="shared" si="33"/>
        <v>263.675</v>
      </c>
      <c r="M60" s="314">
        <f t="shared" si="34"/>
        <v>185310</v>
      </c>
      <c r="N60" s="315">
        <f t="shared" si="35"/>
        <v>464.9</v>
      </c>
      <c r="O60" s="262"/>
      <c r="P60" s="312">
        <v>35350</v>
      </c>
      <c r="Q60" s="316">
        <f t="shared" si="36"/>
        <v>35350</v>
      </c>
      <c r="R60" s="316">
        <f t="shared" si="37"/>
        <v>0</v>
      </c>
      <c r="S60" s="317">
        <f t="shared" si="38"/>
        <v>210</v>
      </c>
      <c r="T60" s="317">
        <f t="shared" si="39"/>
        <v>210</v>
      </c>
      <c r="U60" s="313">
        <f t="shared" si="21"/>
        <v>0</v>
      </c>
      <c r="V60" s="312">
        <v>44490</v>
      </c>
      <c r="W60" s="316">
        <f t="shared" si="40"/>
        <v>22500</v>
      </c>
      <c r="X60" s="316">
        <f t="shared" si="41"/>
        <v>21990</v>
      </c>
      <c r="Y60" s="313">
        <f t="shared" si="42"/>
        <v>214.95</v>
      </c>
      <c r="Z60" s="317">
        <f t="shared" si="43"/>
        <v>105</v>
      </c>
      <c r="AA60" s="313">
        <f t="shared" si="22"/>
        <v>109.94999999999999</v>
      </c>
      <c r="AB60" s="312">
        <v>105470</v>
      </c>
      <c r="AC60" s="316">
        <f t="shared" si="44"/>
        <v>22500</v>
      </c>
      <c r="AD60" s="316">
        <f t="shared" si="45"/>
        <v>82970</v>
      </c>
      <c r="AE60" s="313">
        <f t="shared" si="46"/>
        <v>519.85</v>
      </c>
      <c r="AF60" s="317">
        <f t="shared" si="47"/>
        <v>105</v>
      </c>
      <c r="AG60" s="313">
        <f t="shared" si="23"/>
        <v>414.85</v>
      </c>
      <c r="AH60" s="262"/>
      <c r="AI60" s="262"/>
      <c r="AJ60" s="314">
        <f t="shared" si="50"/>
        <v>185310</v>
      </c>
      <c r="AK60" s="314">
        <f t="shared" si="51"/>
        <v>80350</v>
      </c>
      <c r="AL60" s="314">
        <f t="shared" si="52"/>
        <v>104960</v>
      </c>
      <c r="AM60" s="262">
        <f t="shared" si="53"/>
        <v>944.8</v>
      </c>
      <c r="AN60" s="262">
        <f t="shared" si="28"/>
        <v>420</v>
      </c>
      <c r="AO60" s="262">
        <f t="shared" si="16"/>
        <v>524.8</v>
      </c>
      <c r="AP60" s="318">
        <f t="shared" si="48"/>
        <v>464.9</v>
      </c>
      <c r="AQ60" s="262">
        <f t="shared" si="49"/>
        <v>479.9</v>
      </c>
      <c r="AR60" s="319">
        <f>AM60/AP60</f>
        <v>2.0322650032265</v>
      </c>
      <c r="AS60" s="320"/>
      <c r="AT60" s="320"/>
      <c r="AU60" s="320"/>
      <c r="AV60" s="320"/>
      <c r="AW60" s="320"/>
      <c r="AX60" s="320"/>
      <c r="AY60" s="320"/>
      <c r="AZ60" s="312"/>
      <c r="BA60" s="268" t="s">
        <v>183</v>
      </c>
      <c r="BB60" s="268" t="s">
        <v>216</v>
      </c>
      <c r="BC60" s="260"/>
      <c r="BD60" s="321">
        <f t="shared" si="54"/>
        <v>1</v>
      </c>
      <c r="BE60" s="321">
        <f t="shared" si="54"/>
        <v>0</v>
      </c>
      <c r="BF60" s="321">
        <f t="shared" si="54"/>
        <v>0</v>
      </c>
      <c r="BG60" s="321">
        <f t="shared" si="54"/>
        <v>0</v>
      </c>
      <c r="BH60" s="321">
        <f t="shared" si="55"/>
        <v>0</v>
      </c>
      <c r="BI60" s="321">
        <f t="shared" si="55"/>
        <v>0</v>
      </c>
    </row>
    <row r="61" spans="1:61" ht="18.75">
      <c r="A61" s="322">
        <v>51</v>
      </c>
      <c r="B61" s="324" t="s">
        <v>215</v>
      </c>
      <c r="C61" s="329" t="s">
        <v>429</v>
      </c>
      <c r="D61" s="311" t="s">
        <v>430</v>
      </c>
      <c r="E61" s="524"/>
      <c r="F61" s="525"/>
      <c r="G61" s="312">
        <v>35030</v>
      </c>
      <c r="H61" s="313">
        <v>90</v>
      </c>
      <c r="I61" s="312">
        <v>37700</v>
      </c>
      <c r="J61" s="313">
        <f t="shared" si="32"/>
        <v>94.25</v>
      </c>
      <c r="K61" s="312">
        <v>94550</v>
      </c>
      <c r="L61" s="313">
        <f t="shared" si="33"/>
        <v>236.375</v>
      </c>
      <c r="M61" s="314">
        <f t="shared" si="34"/>
        <v>167280</v>
      </c>
      <c r="N61" s="315">
        <f t="shared" si="35"/>
        <v>420.625</v>
      </c>
      <c r="O61" s="262"/>
      <c r="P61" s="312">
        <v>35030</v>
      </c>
      <c r="Q61" s="316">
        <f t="shared" si="36"/>
        <v>35030</v>
      </c>
      <c r="R61" s="316">
        <f t="shared" si="37"/>
        <v>0</v>
      </c>
      <c r="S61" s="317">
        <f t="shared" si="38"/>
        <v>210</v>
      </c>
      <c r="T61" s="317">
        <f t="shared" si="39"/>
        <v>210</v>
      </c>
      <c r="U61" s="313">
        <f t="shared" si="21"/>
        <v>0</v>
      </c>
      <c r="V61" s="312">
        <v>37700</v>
      </c>
      <c r="W61" s="316">
        <f t="shared" si="40"/>
        <v>22500</v>
      </c>
      <c r="X61" s="316">
        <f t="shared" si="41"/>
        <v>15200</v>
      </c>
      <c r="Y61" s="313">
        <f t="shared" si="42"/>
        <v>181</v>
      </c>
      <c r="Z61" s="317">
        <f t="shared" si="43"/>
        <v>105</v>
      </c>
      <c r="AA61" s="313">
        <f t="shared" si="22"/>
        <v>76</v>
      </c>
      <c r="AB61" s="312">
        <v>94550</v>
      </c>
      <c r="AC61" s="316">
        <f t="shared" si="44"/>
        <v>22500</v>
      </c>
      <c r="AD61" s="316">
        <f t="shared" si="45"/>
        <v>72050</v>
      </c>
      <c r="AE61" s="313">
        <f t="shared" si="46"/>
        <v>465.25</v>
      </c>
      <c r="AF61" s="317">
        <f t="shared" si="47"/>
        <v>105</v>
      </c>
      <c r="AG61" s="313">
        <f t="shared" si="23"/>
        <v>360.25</v>
      </c>
      <c r="AH61" s="262"/>
      <c r="AI61" s="262"/>
      <c r="AJ61" s="314">
        <f t="shared" si="50"/>
        <v>167280</v>
      </c>
      <c r="AK61" s="314">
        <f t="shared" si="51"/>
        <v>80030</v>
      </c>
      <c r="AL61" s="314">
        <f t="shared" si="52"/>
        <v>87250</v>
      </c>
      <c r="AM61" s="262">
        <f t="shared" si="53"/>
        <v>856.25</v>
      </c>
      <c r="AN61" s="262">
        <f t="shared" si="28"/>
        <v>420</v>
      </c>
      <c r="AO61" s="262">
        <f t="shared" si="16"/>
        <v>436.25</v>
      </c>
      <c r="AP61" s="318">
        <f t="shared" si="48"/>
        <v>420.625</v>
      </c>
      <c r="AQ61" s="262">
        <f t="shared" si="49"/>
        <v>435.625</v>
      </c>
      <c r="AR61" s="319">
        <f>AM61/AP61</f>
        <v>2.0356612184249627</v>
      </c>
      <c r="AS61" s="320"/>
      <c r="AT61" s="320"/>
      <c r="AU61" s="320"/>
      <c r="AV61" s="320"/>
      <c r="AW61" s="320"/>
      <c r="AX61" s="320"/>
      <c r="AY61" s="320"/>
      <c r="AZ61" s="312"/>
      <c r="BA61" s="268" t="s">
        <v>183</v>
      </c>
      <c r="BB61" s="268" t="s">
        <v>213</v>
      </c>
      <c r="BC61" s="260"/>
      <c r="BD61" s="321">
        <f t="shared" si="54"/>
        <v>0</v>
      </c>
      <c r="BE61" s="321">
        <f t="shared" si="54"/>
        <v>1</v>
      </c>
      <c r="BF61" s="321">
        <f t="shared" si="54"/>
        <v>0</v>
      </c>
      <c r="BG61" s="321">
        <f t="shared" si="54"/>
        <v>0</v>
      </c>
      <c r="BH61" s="321">
        <f t="shared" si="55"/>
        <v>0</v>
      </c>
      <c r="BI61" s="321">
        <f t="shared" si="55"/>
        <v>0</v>
      </c>
    </row>
    <row r="62" spans="1:61" ht="18.75">
      <c r="A62" s="322">
        <v>52</v>
      </c>
      <c r="B62" s="324" t="s">
        <v>214</v>
      </c>
      <c r="C62" s="324" t="s">
        <v>214</v>
      </c>
      <c r="D62" s="311" t="s">
        <v>430</v>
      </c>
      <c r="E62" s="524"/>
      <c r="F62" s="525"/>
      <c r="G62" s="312">
        <v>142810</v>
      </c>
      <c r="H62" s="313">
        <v>357.025</v>
      </c>
      <c r="I62" s="312">
        <v>69720</v>
      </c>
      <c r="J62" s="343">
        <f t="shared" si="32"/>
        <v>174.3</v>
      </c>
      <c r="K62" s="312">
        <v>78590</v>
      </c>
      <c r="L62" s="343">
        <f t="shared" si="33"/>
        <v>196.475</v>
      </c>
      <c r="M62" s="314">
        <f t="shared" si="34"/>
        <v>291120</v>
      </c>
      <c r="N62" s="315">
        <f t="shared" si="35"/>
        <v>727.8000000000001</v>
      </c>
      <c r="O62" s="262"/>
      <c r="P62" s="312">
        <v>142810</v>
      </c>
      <c r="Q62" s="316">
        <f t="shared" si="36"/>
        <v>45000</v>
      </c>
      <c r="R62" s="316">
        <f t="shared" si="37"/>
        <v>97810</v>
      </c>
      <c r="S62" s="317">
        <f t="shared" si="38"/>
        <v>699.05</v>
      </c>
      <c r="T62" s="317">
        <f t="shared" si="39"/>
        <v>210</v>
      </c>
      <c r="U62" s="313">
        <f t="shared" si="21"/>
        <v>489.04999999999995</v>
      </c>
      <c r="V62" s="312">
        <v>69720</v>
      </c>
      <c r="W62" s="316">
        <f t="shared" si="40"/>
        <v>22500</v>
      </c>
      <c r="X62" s="316">
        <f t="shared" si="41"/>
        <v>47220</v>
      </c>
      <c r="Y62" s="313">
        <f t="shared" si="42"/>
        <v>341.1</v>
      </c>
      <c r="Z62" s="317">
        <f t="shared" si="43"/>
        <v>105</v>
      </c>
      <c r="AA62" s="313">
        <f t="shared" si="22"/>
        <v>236.10000000000002</v>
      </c>
      <c r="AB62" s="312">
        <v>78590</v>
      </c>
      <c r="AC62" s="316">
        <f t="shared" si="44"/>
        <v>22500</v>
      </c>
      <c r="AD62" s="316">
        <f t="shared" si="45"/>
        <v>56090</v>
      </c>
      <c r="AE62" s="313">
        <f t="shared" si="46"/>
        <v>385.45</v>
      </c>
      <c r="AF62" s="317">
        <f t="shared" si="47"/>
        <v>105</v>
      </c>
      <c r="AG62" s="313">
        <f t="shared" si="23"/>
        <v>280.45</v>
      </c>
      <c r="AH62" s="262"/>
      <c r="AI62" s="262"/>
      <c r="AJ62" s="314">
        <f t="shared" si="50"/>
        <v>291120</v>
      </c>
      <c r="AK62" s="314">
        <f t="shared" si="51"/>
        <v>90000</v>
      </c>
      <c r="AL62" s="314">
        <f t="shared" si="52"/>
        <v>201120</v>
      </c>
      <c r="AM62" s="262">
        <f t="shared" si="53"/>
        <v>1425.6000000000001</v>
      </c>
      <c r="AN62" s="262">
        <f t="shared" si="28"/>
        <v>420</v>
      </c>
      <c r="AO62" s="262">
        <f t="shared" si="16"/>
        <v>1005.5999999999999</v>
      </c>
      <c r="AP62" s="318">
        <f t="shared" si="48"/>
        <v>727.8000000000001</v>
      </c>
      <c r="AQ62" s="262">
        <f t="shared" si="49"/>
        <v>697.8000000000001</v>
      </c>
      <c r="AR62" s="319">
        <f>AM62/AP62</f>
        <v>1.9587798845836768</v>
      </c>
      <c r="AS62" s="320"/>
      <c r="AT62" s="320"/>
      <c r="AU62" s="320"/>
      <c r="AV62" s="320"/>
      <c r="AW62" s="320"/>
      <c r="AX62" s="320"/>
      <c r="AY62" s="320"/>
      <c r="AZ62" s="312"/>
      <c r="BA62" s="268" t="s">
        <v>207</v>
      </c>
      <c r="BB62" s="268" t="s">
        <v>213</v>
      </c>
      <c r="BC62" s="260"/>
      <c r="BD62" s="321">
        <f t="shared" si="54"/>
        <v>0</v>
      </c>
      <c r="BE62" s="321">
        <f t="shared" si="54"/>
        <v>1</v>
      </c>
      <c r="BF62" s="321">
        <f t="shared" si="54"/>
        <v>0</v>
      </c>
      <c r="BG62" s="321">
        <f t="shared" si="54"/>
        <v>0</v>
      </c>
      <c r="BH62" s="321">
        <f t="shared" si="55"/>
        <v>0</v>
      </c>
      <c r="BI62" s="321">
        <f t="shared" si="55"/>
        <v>0</v>
      </c>
    </row>
    <row r="63" spans="1:61" ht="18.75">
      <c r="A63" s="322">
        <v>53</v>
      </c>
      <c r="B63" s="324" t="s">
        <v>212</v>
      </c>
      <c r="C63" s="329" t="s">
        <v>429</v>
      </c>
      <c r="D63" s="311" t="s">
        <v>430</v>
      </c>
      <c r="E63" s="524"/>
      <c r="F63" s="525"/>
      <c r="G63" s="312">
        <v>0</v>
      </c>
      <c r="H63" s="313">
        <v>0</v>
      </c>
      <c r="I63" s="328">
        <v>0.001</v>
      </c>
      <c r="J63" s="344">
        <f t="shared" si="32"/>
        <v>45</v>
      </c>
      <c r="K63" s="312">
        <v>16000</v>
      </c>
      <c r="L63" s="313">
        <f t="shared" si="33"/>
        <v>45</v>
      </c>
      <c r="M63" s="314">
        <f t="shared" si="34"/>
        <v>16000.001</v>
      </c>
      <c r="N63" s="315">
        <f t="shared" si="35"/>
        <v>90</v>
      </c>
      <c r="O63" s="262"/>
      <c r="P63" s="336">
        <v>42000</v>
      </c>
      <c r="Q63" s="337">
        <f t="shared" si="36"/>
        <v>42000</v>
      </c>
      <c r="R63" s="337">
        <f t="shared" si="37"/>
        <v>0</v>
      </c>
      <c r="S63" s="338">
        <f t="shared" si="38"/>
        <v>210</v>
      </c>
      <c r="T63" s="338">
        <f t="shared" si="39"/>
        <v>210</v>
      </c>
      <c r="U63" s="339">
        <f t="shared" si="21"/>
        <v>0</v>
      </c>
      <c r="V63" s="336">
        <v>21000</v>
      </c>
      <c r="W63" s="337">
        <f>IF(V63&lt;$W$9*$AS$72,V63,$W$9*$AS$72)</f>
        <v>21000</v>
      </c>
      <c r="X63" s="337">
        <f t="shared" si="41"/>
        <v>0</v>
      </c>
      <c r="Y63" s="339">
        <f t="shared" si="42"/>
        <v>105</v>
      </c>
      <c r="Z63" s="338">
        <f t="shared" si="43"/>
        <v>105</v>
      </c>
      <c r="AA63" s="339">
        <f t="shared" si="22"/>
        <v>0</v>
      </c>
      <c r="AB63" s="336">
        <v>16000</v>
      </c>
      <c r="AC63" s="337">
        <f t="shared" si="44"/>
        <v>16000</v>
      </c>
      <c r="AD63" s="337">
        <f t="shared" si="45"/>
        <v>0</v>
      </c>
      <c r="AE63" s="339">
        <f t="shared" si="46"/>
        <v>105</v>
      </c>
      <c r="AF63" s="338">
        <f t="shared" si="47"/>
        <v>105</v>
      </c>
      <c r="AG63" s="339">
        <f t="shared" si="23"/>
        <v>0</v>
      </c>
      <c r="AH63" s="341"/>
      <c r="AI63" s="341"/>
      <c r="AJ63" s="340">
        <f t="shared" si="50"/>
        <v>79000</v>
      </c>
      <c r="AK63" s="340">
        <f t="shared" si="51"/>
        <v>79000</v>
      </c>
      <c r="AL63" s="340">
        <f t="shared" si="52"/>
        <v>0</v>
      </c>
      <c r="AM63" s="341">
        <f t="shared" si="53"/>
        <v>420</v>
      </c>
      <c r="AN63" s="341">
        <f t="shared" si="28"/>
        <v>420</v>
      </c>
      <c r="AO63" s="341">
        <f t="shared" si="16"/>
        <v>0</v>
      </c>
      <c r="AP63" s="341">
        <f t="shared" si="48"/>
        <v>90</v>
      </c>
      <c r="AQ63" s="341">
        <f t="shared" si="49"/>
        <v>330</v>
      </c>
      <c r="AR63" s="319" t="s">
        <v>197</v>
      </c>
      <c r="AS63" s="320"/>
      <c r="AT63" s="320"/>
      <c r="AU63" s="320"/>
      <c r="AV63" s="320"/>
      <c r="AW63" s="320"/>
      <c r="AX63" s="320"/>
      <c r="AY63" s="320"/>
      <c r="AZ63" s="312"/>
      <c r="BA63" s="268" t="s">
        <v>207</v>
      </c>
      <c r="BB63" s="268" t="s">
        <v>211</v>
      </c>
      <c r="BC63" s="306"/>
      <c r="BD63" s="333">
        <f t="shared" si="54"/>
        <v>0</v>
      </c>
      <c r="BE63" s="333">
        <f t="shared" si="54"/>
        <v>0</v>
      </c>
      <c r="BF63" s="333">
        <f t="shared" si="54"/>
        <v>1</v>
      </c>
      <c r="BG63" s="333">
        <f t="shared" si="54"/>
        <v>0</v>
      </c>
      <c r="BH63" s="321">
        <f t="shared" si="55"/>
        <v>0</v>
      </c>
      <c r="BI63" s="321">
        <f t="shared" si="55"/>
        <v>0</v>
      </c>
    </row>
    <row r="64" spans="1:61" ht="18.75">
      <c r="A64" s="322">
        <v>54</v>
      </c>
      <c r="B64" s="324" t="s">
        <v>212</v>
      </c>
      <c r="C64" s="329" t="s">
        <v>429</v>
      </c>
      <c r="D64" s="311" t="s">
        <v>430</v>
      </c>
      <c r="E64" s="524"/>
      <c r="F64" s="525"/>
      <c r="G64" s="312">
        <v>0</v>
      </c>
      <c r="H64" s="313">
        <v>0</v>
      </c>
      <c r="I64" s="328">
        <v>0.001</v>
      </c>
      <c r="J64" s="344">
        <f t="shared" si="32"/>
        <v>45</v>
      </c>
      <c r="K64" s="312">
        <v>16000</v>
      </c>
      <c r="L64" s="313">
        <f t="shared" si="33"/>
        <v>45</v>
      </c>
      <c r="M64" s="314">
        <f t="shared" si="34"/>
        <v>16000.001</v>
      </c>
      <c r="N64" s="315">
        <f t="shared" si="35"/>
        <v>90</v>
      </c>
      <c r="O64" s="262"/>
      <c r="P64" s="336">
        <v>42000</v>
      </c>
      <c r="Q64" s="337">
        <f t="shared" si="36"/>
        <v>42000</v>
      </c>
      <c r="R64" s="337">
        <f t="shared" si="37"/>
        <v>0</v>
      </c>
      <c r="S64" s="338">
        <f t="shared" si="38"/>
        <v>210</v>
      </c>
      <c r="T64" s="338">
        <f t="shared" si="39"/>
        <v>210</v>
      </c>
      <c r="U64" s="339">
        <f t="shared" si="21"/>
        <v>0</v>
      </c>
      <c r="V64" s="336">
        <v>21000</v>
      </c>
      <c r="W64" s="337">
        <f>IF(V64&lt;$W$9*$AS$72,V64,$W$9*$AS$72)</f>
        <v>21000</v>
      </c>
      <c r="X64" s="337">
        <f t="shared" si="41"/>
        <v>0</v>
      </c>
      <c r="Y64" s="339">
        <f t="shared" si="42"/>
        <v>105</v>
      </c>
      <c r="Z64" s="338">
        <f t="shared" si="43"/>
        <v>105</v>
      </c>
      <c r="AA64" s="339">
        <f t="shared" si="22"/>
        <v>0</v>
      </c>
      <c r="AB64" s="336">
        <v>16000</v>
      </c>
      <c r="AC64" s="337">
        <f t="shared" si="44"/>
        <v>16000</v>
      </c>
      <c r="AD64" s="337">
        <f t="shared" si="45"/>
        <v>0</v>
      </c>
      <c r="AE64" s="339">
        <f t="shared" si="46"/>
        <v>105</v>
      </c>
      <c r="AF64" s="338">
        <f t="shared" si="47"/>
        <v>105</v>
      </c>
      <c r="AG64" s="339">
        <f t="shared" si="23"/>
        <v>0</v>
      </c>
      <c r="AH64" s="341"/>
      <c r="AI64" s="341"/>
      <c r="AJ64" s="340">
        <f t="shared" si="50"/>
        <v>79000</v>
      </c>
      <c r="AK64" s="340">
        <f t="shared" si="51"/>
        <v>79000</v>
      </c>
      <c r="AL64" s="340">
        <f t="shared" si="52"/>
        <v>0</v>
      </c>
      <c r="AM64" s="341">
        <f t="shared" si="53"/>
        <v>420</v>
      </c>
      <c r="AN64" s="341">
        <f t="shared" si="28"/>
        <v>420</v>
      </c>
      <c r="AO64" s="341">
        <f t="shared" si="16"/>
        <v>0</v>
      </c>
      <c r="AP64" s="341">
        <f t="shared" si="48"/>
        <v>90</v>
      </c>
      <c r="AQ64" s="341">
        <f t="shared" si="49"/>
        <v>330</v>
      </c>
      <c r="AR64" s="319" t="s">
        <v>197</v>
      </c>
      <c r="AS64" s="320"/>
      <c r="AT64" s="320">
        <f>AVERAGE(AR11:AR70)</f>
        <v>2.167728647309702</v>
      </c>
      <c r="AU64" s="320" t="s">
        <v>431</v>
      </c>
      <c r="AV64" s="320"/>
      <c r="AW64" s="320"/>
      <c r="AX64" s="320"/>
      <c r="AY64" s="320"/>
      <c r="AZ64" s="312"/>
      <c r="BA64" s="268" t="s">
        <v>207</v>
      </c>
      <c r="BB64" s="268" t="s">
        <v>211</v>
      </c>
      <c r="BC64" s="306"/>
      <c r="BD64" s="333">
        <f t="shared" si="54"/>
        <v>0</v>
      </c>
      <c r="BE64" s="333">
        <f t="shared" si="54"/>
        <v>0</v>
      </c>
      <c r="BF64" s="333">
        <f t="shared" si="54"/>
        <v>1</v>
      </c>
      <c r="BG64" s="333">
        <f t="shared" si="54"/>
        <v>0</v>
      </c>
      <c r="BH64" s="321">
        <f t="shared" si="55"/>
        <v>0</v>
      </c>
      <c r="BI64" s="321">
        <f t="shared" si="55"/>
        <v>0</v>
      </c>
    </row>
    <row r="65" spans="1:61" ht="15.75">
      <c r="A65" s="322" t="s">
        <v>210</v>
      </c>
      <c r="B65" s="324" t="s">
        <v>209</v>
      </c>
      <c r="C65" s="329" t="s">
        <v>205</v>
      </c>
      <c r="D65" s="311" t="s">
        <v>208</v>
      </c>
      <c r="E65" s="524"/>
      <c r="F65" s="525"/>
      <c r="G65" s="312">
        <v>121670</v>
      </c>
      <c r="H65" s="313">
        <v>304.175</v>
      </c>
      <c r="I65" s="312">
        <v>249710</v>
      </c>
      <c r="J65" s="313">
        <f t="shared" si="32"/>
        <v>624.275</v>
      </c>
      <c r="K65" s="312">
        <v>359470</v>
      </c>
      <c r="L65" s="313">
        <f t="shared" si="33"/>
        <v>898.675</v>
      </c>
      <c r="M65" s="314">
        <f t="shared" si="34"/>
        <v>730850</v>
      </c>
      <c r="N65" s="315">
        <f t="shared" si="35"/>
        <v>1827.125</v>
      </c>
      <c r="O65" s="262"/>
      <c r="P65" s="312">
        <v>121670</v>
      </c>
      <c r="Q65" s="316">
        <f t="shared" si="36"/>
        <v>45000</v>
      </c>
      <c r="R65" s="316">
        <f t="shared" si="37"/>
        <v>76670</v>
      </c>
      <c r="S65" s="317">
        <f t="shared" si="38"/>
        <v>593.35</v>
      </c>
      <c r="T65" s="317">
        <f t="shared" si="39"/>
        <v>210</v>
      </c>
      <c r="U65" s="313">
        <f t="shared" si="21"/>
        <v>383.35</v>
      </c>
      <c r="V65" s="312">
        <v>249710</v>
      </c>
      <c r="W65" s="316">
        <f>IF(V65&lt;$W$9*$AS$72,V65,$W$9*$AS$72)</f>
        <v>22500</v>
      </c>
      <c r="X65" s="316">
        <f t="shared" si="41"/>
        <v>227210</v>
      </c>
      <c r="Y65" s="313">
        <f t="shared" si="42"/>
        <v>1241.05</v>
      </c>
      <c r="Z65" s="317">
        <f t="shared" si="43"/>
        <v>105</v>
      </c>
      <c r="AA65" s="313">
        <f t="shared" si="22"/>
        <v>1136.05</v>
      </c>
      <c r="AB65" s="312">
        <v>359470</v>
      </c>
      <c r="AC65" s="316">
        <f t="shared" si="44"/>
        <v>22500</v>
      </c>
      <c r="AD65" s="316">
        <f t="shared" si="45"/>
        <v>336970</v>
      </c>
      <c r="AE65" s="313">
        <f t="shared" si="46"/>
        <v>1789.85</v>
      </c>
      <c r="AF65" s="317">
        <f t="shared" si="47"/>
        <v>105</v>
      </c>
      <c r="AG65" s="313">
        <f t="shared" si="23"/>
        <v>1684.85</v>
      </c>
      <c r="AH65" s="262"/>
      <c r="AI65" s="262"/>
      <c r="AJ65" s="314">
        <f t="shared" si="50"/>
        <v>730850</v>
      </c>
      <c r="AK65" s="314">
        <f t="shared" si="51"/>
        <v>90000</v>
      </c>
      <c r="AL65" s="314">
        <f t="shared" si="52"/>
        <v>640850</v>
      </c>
      <c r="AM65" s="262">
        <f t="shared" si="53"/>
        <v>3624.25</v>
      </c>
      <c r="AN65" s="262">
        <f t="shared" si="28"/>
        <v>420</v>
      </c>
      <c r="AO65" s="262">
        <f t="shared" si="16"/>
        <v>3204.25</v>
      </c>
      <c r="AP65" s="318">
        <f t="shared" si="48"/>
        <v>1827.125</v>
      </c>
      <c r="AQ65" s="262">
        <f t="shared" si="49"/>
        <v>1797.125</v>
      </c>
      <c r="AR65" s="319">
        <f>AM65/AP65</f>
        <v>1.9835807621262913</v>
      </c>
      <c r="AS65" s="346" t="s">
        <v>198</v>
      </c>
      <c r="AT65" s="320">
        <f>MEDIAN(AR11:AR69)</f>
        <v>2.176279153165066</v>
      </c>
      <c r="AU65" s="320" t="s">
        <v>432</v>
      </c>
      <c r="AV65" s="320"/>
      <c r="AW65" s="320"/>
      <c r="AX65" s="320"/>
      <c r="AY65" s="320"/>
      <c r="AZ65" s="312"/>
      <c r="BA65" s="268" t="s">
        <v>207</v>
      </c>
      <c r="BB65" s="345" t="s">
        <v>182</v>
      </c>
      <c r="BC65" s="260" t="s">
        <v>196</v>
      </c>
      <c r="BD65" s="321">
        <f t="shared" si="54"/>
        <v>0</v>
      </c>
      <c r="BE65" s="321">
        <f t="shared" si="54"/>
        <v>0</v>
      </c>
      <c r="BF65" s="321">
        <f t="shared" si="54"/>
        <v>0</v>
      </c>
      <c r="BG65" s="321">
        <f t="shared" si="54"/>
        <v>0</v>
      </c>
      <c r="BH65" s="321">
        <f t="shared" si="55"/>
        <v>1</v>
      </c>
      <c r="BI65" s="321">
        <f t="shared" si="55"/>
        <v>0</v>
      </c>
    </row>
    <row r="66" spans="1:61" ht="15.75">
      <c r="A66" s="322" t="s">
        <v>206</v>
      </c>
      <c r="B66" s="324" t="s">
        <v>201</v>
      </c>
      <c r="C66" s="329" t="s">
        <v>205</v>
      </c>
      <c r="D66" s="311"/>
      <c r="E66" s="524"/>
      <c r="F66" s="525"/>
      <c r="G66" s="312">
        <v>246140</v>
      </c>
      <c r="H66" s="313">
        <v>615.35</v>
      </c>
      <c r="I66" s="312">
        <v>330</v>
      </c>
      <c r="J66" s="313">
        <f t="shared" si="32"/>
        <v>45</v>
      </c>
      <c r="K66" s="346" t="s">
        <v>198</v>
      </c>
      <c r="L66" s="313"/>
      <c r="M66" s="314">
        <f>G66+I66</f>
        <v>246470</v>
      </c>
      <c r="N66" s="315">
        <f>F66+H66+J66+L66</f>
        <v>660.35</v>
      </c>
      <c r="O66" s="262"/>
      <c r="P66" s="347"/>
      <c r="Q66" s="348"/>
      <c r="R66" s="348"/>
      <c r="S66" s="349"/>
      <c r="T66" s="349"/>
      <c r="U66" s="350"/>
      <c r="V66" s="347"/>
      <c r="W66" s="348"/>
      <c r="X66" s="348"/>
      <c r="Y66" s="350"/>
      <c r="Z66" s="349"/>
      <c r="AA66" s="350"/>
      <c r="AB66" s="351"/>
      <c r="AC66" s="348"/>
      <c r="AD66" s="348"/>
      <c r="AE66" s="350"/>
      <c r="AF66" s="349"/>
      <c r="AG66" s="350"/>
      <c r="AH66" s="353"/>
      <c r="AI66" s="353"/>
      <c r="AJ66" s="352"/>
      <c r="AK66" s="352"/>
      <c r="AL66" s="352"/>
      <c r="AM66" s="353"/>
      <c r="AN66" s="353"/>
      <c r="AO66" s="353"/>
      <c r="AP66" s="353"/>
      <c r="AQ66" s="353"/>
      <c r="AR66" s="319" t="s">
        <v>197</v>
      </c>
      <c r="AS66" s="320"/>
      <c r="AT66" s="320">
        <f>MIN(AR11:AR70)</f>
        <v>1.8878819022703914</v>
      </c>
      <c r="AU66" s="320" t="s">
        <v>433</v>
      </c>
      <c r="AW66" s="320"/>
      <c r="AX66" s="320"/>
      <c r="AY66" s="320"/>
      <c r="AZ66" s="312"/>
      <c r="BA66" s="268" t="s">
        <v>183</v>
      </c>
      <c r="BB66" s="345" t="s">
        <v>182</v>
      </c>
      <c r="BC66" s="260"/>
      <c r="BD66" s="321">
        <f t="shared" si="54"/>
        <v>0</v>
      </c>
      <c r="BE66" s="321">
        <f t="shared" si="54"/>
        <v>0</v>
      </c>
      <c r="BF66" s="321">
        <f t="shared" si="54"/>
        <v>0</v>
      </c>
      <c r="BG66" s="321">
        <f t="shared" si="54"/>
        <v>0</v>
      </c>
      <c r="BH66" s="321">
        <f t="shared" si="55"/>
        <v>0</v>
      </c>
      <c r="BI66" s="321">
        <f t="shared" si="55"/>
        <v>0</v>
      </c>
    </row>
    <row r="67" spans="1:61" ht="15.75">
      <c r="A67" s="322" t="s">
        <v>204</v>
      </c>
      <c r="B67" s="324" t="s">
        <v>201</v>
      </c>
      <c r="C67" s="329" t="s">
        <v>203</v>
      </c>
      <c r="D67" s="311" t="s">
        <v>199</v>
      </c>
      <c r="E67" s="524"/>
      <c r="F67" s="525"/>
      <c r="G67" s="312">
        <v>178070</v>
      </c>
      <c r="H67" s="313">
        <v>445.175</v>
      </c>
      <c r="I67" s="312">
        <v>100620</v>
      </c>
      <c r="J67" s="313">
        <f t="shared" si="32"/>
        <v>251.55</v>
      </c>
      <c r="K67" s="312">
        <v>371130</v>
      </c>
      <c r="L67" s="313">
        <f>IF(K67=0,0,(IF(K67&lt;=(L$9*L$6),(L$9*L$7),(K67-(L$6*L$9))*L$8/1000+L$9*L$7)))</f>
        <v>927.825</v>
      </c>
      <c r="M67" s="314">
        <f>G67+I67+K67</f>
        <v>649820</v>
      </c>
      <c r="N67" s="315">
        <f>H67+J67+L67</f>
        <v>1624.5500000000002</v>
      </c>
      <c r="O67" s="262"/>
      <c r="P67" s="312">
        <v>178070</v>
      </c>
      <c r="Q67" s="316">
        <f>IF(P67&lt;$R$9*$AS$72,P67,$R$9*$AS$72)</f>
        <v>45000</v>
      </c>
      <c r="R67" s="316">
        <f>IF(P67-Q67=0,0,P67-Q67)</f>
        <v>133070</v>
      </c>
      <c r="S67" s="317">
        <f>IF(P67=0,0,(IF(P67&lt;=(R$9*$AS$72),(R$9*$AS$73),(P67-($AS$72*R$9))*$AS$74/1000+R$9*$AS$73)))</f>
        <v>875.35</v>
      </c>
      <c r="T67" s="317">
        <f>IF(S67&lt;=$AS$73*$R$9,S67,$AS$73*$R$9)</f>
        <v>210</v>
      </c>
      <c r="U67" s="313">
        <f t="shared" si="21"/>
        <v>665.35</v>
      </c>
      <c r="V67" s="312">
        <v>100620</v>
      </c>
      <c r="W67" s="316">
        <f>IF(V67&lt;$W$9*$AS$72,V67,$W$9*$AS$72)</f>
        <v>22500</v>
      </c>
      <c r="X67" s="316">
        <f>IF(V67-W67=0,0,V67-W67)</f>
        <v>78120</v>
      </c>
      <c r="Y67" s="313">
        <f>IF(V67=0,0,(IF(V67&lt;=(W$9*$AS$72),(W$9*$AS$73),(V67-($AS$72*W$9))*$AS$74/1000+W$9*$AS$73)))</f>
        <v>495.6</v>
      </c>
      <c r="Z67" s="317">
        <f>IF(Y67&lt;=$AS$73*$W$9,Y67,$AS$73*$W$9)</f>
        <v>105</v>
      </c>
      <c r="AA67" s="313">
        <f t="shared" si="22"/>
        <v>390.6</v>
      </c>
      <c r="AB67" s="312">
        <v>371130</v>
      </c>
      <c r="AC67" s="316">
        <f>IF(AB67&lt;$AC$9*$AS$72,AB67,$AC$9*$AS$72)</f>
        <v>22500</v>
      </c>
      <c r="AD67" s="316">
        <f>IF(AB67-AC67=0,0,AB67-AC67)</f>
        <v>348630</v>
      </c>
      <c r="AE67" s="630">
        <f>IF(AB67=0,0,(IF(AB67&lt;=(AC$9*$AS$72),(AC$9*$AS$73),(AB67-($AS$72*AC$9))*$AS$74/1000+AC$9*$AS$73)))</f>
        <v>1848.15</v>
      </c>
      <c r="AF67" s="317">
        <f>IF(AE67&lt;=$AS$73*$AC$9,AE67,$AS$73*$AC$9)</f>
        <v>105</v>
      </c>
      <c r="AG67" s="313">
        <f t="shared" si="23"/>
        <v>1743.15</v>
      </c>
      <c r="AH67" s="262"/>
      <c r="AI67" s="262"/>
      <c r="AJ67" s="314">
        <f>P67+V67+AB67</f>
        <v>649820</v>
      </c>
      <c r="AK67" s="314">
        <f>Q67+W67+AC67</f>
        <v>90000</v>
      </c>
      <c r="AL67" s="314">
        <f>R67+X67+AD67</f>
        <v>559820</v>
      </c>
      <c r="AM67" s="262">
        <f>S67+Y67+AE67</f>
        <v>3219.1000000000004</v>
      </c>
      <c r="AN67" s="262">
        <f t="shared" si="28"/>
        <v>420</v>
      </c>
      <c r="AO67" s="262">
        <f t="shared" si="16"/>
        <v>2799.1000000000004</v>
      </c>
      <c r="AP67" s="318">
        <f t="shared" si="48"/>
        <v>1624.5500000000002</v>
      </c>
      <c r="AQ67" s="262">
        <f t="shared" si="49"/>
        <v>1594.5500000000002</v>
      </c>
      <c r="AR67" s="319">
        <f>AM67/AP67</f>
        <v>1.981533347696285</v>
      </c>
      <c r="AS67" s="346" t="s">
        <v>198</v>
      </c>
      <c r="AT67" s="320">
        <f>MAX(AR11:AR70)</f>
        <v>2.3333333333333335</v>
      </c>
      <c r="AU67" s="320" t="s">
        <v>434</v>
      </c>
      <c r="AW67" s="320"/>
      <c r="AX67" s="320"/>
      <c r="AY67" s="320"/>
      <c r="AZ67" s="312"/>
      <c r="BA67" s="268" t="s">
        <v>183</v>
      </c>
      <c r="BB67" s="345" t="s">
        <v>182</v>
      </c>
      <c r="BC67" s="260" t="s">
        <v>196</v>
      </c>
      <c r="BD67" s="321">
        <f t="shared" si="54"/>
        <v>0</v>
      </c>
      <c r="BE67" s="321">
        <f t="shared" si="54"/>
        <v>0</v>
      </c>
      <c r="BF67" s="321">
        <f t="shared" si="54"/>
        <v>0</v>
      </c>
      <c r="BG67" s="321">
        <f t="shared" si="54"/>
        <v>0</v>
      </c>
      <c r="BH67" s="321">
        <f t="shared" si="55"/>
        <v>1</v>
      </c>
      <c r="BI67" s="321">
        <f t="shared" si="55"/>
        <v>0</v>
      </c>
    </row>
    <row r="68" spans="1:61" ht="15.75">
      <c r="A68" s="322" t="s">
        <v>202</v>
      </c>
      <c r="B68" s="325" t="s">
        <v>201</v>
      </c>
      <c r="C68" s="329" t="s">
        <v>200</v>
      </c>
      <c r="D68" s="311" t="s">
        <v>199</v>
      </c>
      <c r="E68" s="524"/>
      <c r="F68" s="525"/>
      <c r="G68" s="312">
        <v>397050</v>
      </c>
      <c r="H68" s="313">
        <v>992.625</v>
      </c>
      <c r="I68" s="312">
        <v>130</v>
      </c>
      <c r="J68" s="313">
        <f t="shared" si="32"/>
        <v>45</v>
      </c>
      <c r="K68" s="346" t="s">
        <v>198</v>
      </c>
      <c r="L68" s="313"/>
      <c r="M68" s="314">
        <f>G68+I68</f>
        <v>397180</v>
      </c>
      <c r="N68" s="315">
        <f>F68+H68+J68+L68</f>
        <v>1037.625</v>
      </c>
      <c r="O68" s="262"/>
      <c r="P68" s="347"/>
      <c r="Q68" s="348"/>
      <c r="R68" s="348"/>
      <c r="S68" s="349"/>
      <c r="T68" s="349"/>
      <c r="U68" s="350"/>
      <c r="V68" s="347"/>
      <c r="W68" s="348"/>
      <c r="X68" s="348"/>
      <c r="Y68" s="350"/>
      <c r="Z68" s="349"/>
      <c r="AA68" s="350"/>
      <c r="AB68" s="351"/>
      <c r="AC68" s="348"/>
      <c r="AD68" s="348"/>
      <c r="AE68" s="350"/>
      <c r="AF68" s="349"/>
      <c r="AG68" s="350"/>
      <c r="AH68" s="353"/>
      <c r="AI68" s="353"/>
      <c r="AJ68" s="352"/>
      <c r="AK68" s="352"/>
      <c r="AL68" s="352"/>
      <c r="AM68" s="353"/>
      <c r="AN68" s="353"/>
      <c r="AO68" s="353"/>
      <c r="AP68" s="353"/>
      <c r="AQ68" s="353"/>
      <c r="AR68" s="319" t="s">
        <v>197</v>
      </c>
      <c r="AU68" s="320"/>
      <c r="AW68" s="320"/>
      <c r="AX68" s="320"/>
      <c r="AY68" s="320"/>
      <c r="AZ68" s="312"/>
      <c r="BA68" s="268" t="s">
        <v>183</v>
      </c>
      <c r="BB68" s="345" t="s">
        <v>182</v>
      </c>
      <c r="BC68" s="260" t="s">
        <v>196</v>
      </c>
      <c r="BD68" s="321">
        <f t="shared" si="54"/>
        <v>0</v>
      </c>
      <c r="BE68" s="321">
        <f t="shared" si="54"/>
        <v>0</v>
      </c>
      <c r="BF68" s="321">
        <f t="shared" si="54"/>
        <v>0</v>
      </c>
      <c r="BG68" s="321">
        <f t="shared" si="54"/>
        <v>0</v>
      </c>
      <c r="BH68" s="321">
        <f t="shared" si="55"/>
        <v>1</v>
      </c>
      <c r="BI68" s="321">
        <f t="shared" si="55"/>
        <v>0</v>
      </c>
    </row>
    <row r="69" spans="1:61" ht="15.75">
      <c r="A69" s="322" t="s">
        <v>195</v>
      </c>
      <c r="B69" s="325" t="s">
        <v>194</v>
      </c>
      <c r="C69" s="311" t="s">
        <v>193</v>
      </c>
      <c r="D69" s="311" t="s">
        <v>193</v>
      </c>
      <c r="E69" s="524"/>
      <c r="F69" s="525"/>
      <c r="G69" s="312">
        <v>12910</v>
      </c>
      <c r="H69" s="342">
        <v>90</v>
      </c>
      <c r="I69" s="312">
        <v>27840</v>
      </c>
      <c r="J69" s="313">
        <f t="shared" si="32"/>
        <v>69.6</v>
      </c>
      <c r="K69" s="354">
        <v>-29570</v>
      </c>
      <c r="L69" s="313">
        <f>IF(K69=0,0,(IF(K69&lt;=(L$9*L$6),(L$9*L$7),(K69-(L$6*L$9))*L$8/1000+L$9*L$7)))</f>
        <v>45</v>
      </c>
      <c r="M69" s="314">
        <f aca="true" t="shared" si="56" ref="M69:N72">G69+I69+K69</f>
        <v>11180</v>
      </c>
      <c r="N69" s="315">
        <f t="shared" si="56"/>
        <v>204.6</v>
      </c>
      <c r="O69" s="262"/>
      <c r="P69" s="312">
        <v>12910</v>
      </c>
      <c r="Q69" s="316">
        <f>IF(P69&lt;$R$9*$AS$72,P69,$R$9*$AS$72)</f>
        <v>12910</v>
      </c>
      <c r="R69" s="316">
        <f>IF(P69-Q69=0,0,P69-Q69)</f>
        <v>0</v>
      </c>
      <c r="S69" s="317">
        <f>IF(P69=0,0,(IF(P69&lt;=(R$9*$AS$72),(R$9*$AS$73),(P69-($AS$72*R$9))*$AS$74/1000+R$9*$AS$73)))</f>
        <v>210</v>
      </c>
      <c r="T69" s="317">
        <f>IF(S69&lt;=$AS$73*$R$9,S69,$AS$73*$R$9)</f>
        <v>210</v>
      </c>
      <c r="U69" s="313">
        <f t="shared" si="21"/>
        <v>0</v>
      </c>
      <c r="V69" s="312">
        <v>27840</v>
      </c>
      <c r="W69" s="316">
        <f>IF(V69&lt;$W$9*$AS$72,V69,$W$9*$AS$72)</f>
        <v>22500</v>
      </c>
      <c r="X69" s="355">
        <f>IF(V69-W69=0,0,V69-W69)</f>
        <v>5340</v>
      </c>
      <c r="Y69" s="313">
        <f>IF(V69=0,0,(IF(V69&lt;=(W$9*$AS$72),(W$9*$AS$73),(V69-($AS$72*W$9))*$AS$74/1000+W$9*$AS$73)))</f>
        <v>131.7</v>
      </c>
      <c r="Z69" s="317">
        <f>IF(Y69&lt;=$AS$73*$W$9,Y69,$AS$73*$W$9)</f>
        <v>105</v>
      </c>
      <c r="AA69" s="313">
        <f t="shared" si="22"/>
        <v>26.69999999999999</v>
      </c>
      <c r="AB69" s="328">
        <f>((P69+V69)/(R9+W9))*3</f>
        <v>13583.333333333332</v>
      </c>
      <c r="AC69" s="316">
        <f>IF(AB69&lt;$AC$9*$AS$72,AB69,$AC$9*$AS$72)</f>
        <v>13583.333333333332</v>
      </c>
      <c r="AD69" s="355">
        <f>IF(AB69-AC69=0,0,AB69-AC69)</f>
        <v>0</v>
      </c>
      <c r="AE69" s="313">
        <f>IF(AB69=0,0,(IF(AB69&lt;=(AC$9*$AS$72),(AC$9*$AS$73),(AB69-($AS$72*AC$9))*$AS$74/1000+AC$9*$AS$73)))</f>
        <v>105</v>
      </c>
      <c r="AF69" s="317">
        <f>IF(AE69&lt;=$AS$73*$AC$9,AE69,$AS$73*$AC$9)</f>
        <v>105</v>
      </c>
      <c r="AG69" s="313">
        <f t="shared" si="23"/>
        <v>0</v>
      </c>
      <c r="AH69" s="262"/>
      <c r="AI69" s="262"/>
      <c r="AJ69" s="314">
        <f aca="true" t="shared" si="57" ref="AJ69:AL70">P69+V69+AB69</f>
        <v>54333.33333333333</v>
      </c>
      <c r="AK69" s="314">
        <f t="shared" si="57"/>
        <v>48993.33333333333</v>
      </c>
      <c r="AL69" s="314">
        <f t="shared" si="57"/>
        <v>5340</v>
      </c>
      <c r="AM69" s="262">
        <f>S69+Y69+AE69</f>
        <v>446.7</v>
      </c>
      <c r="AN69" s="262">
        <f t="shared" si="28"/>
        <v>420</v>
      </c>
      <c r="AO69" s="262">
        <f t="shared" si="16"/>
        <v>26.69999999999999</v>
      </c>
      <c r="AP69" s="318">
        <f t="shared" si="48"/>
        <v>204.6</v>
      </c>
      <c r="AQ69" s="262">
        <f t="shared" si="49"/>
        <v>242.1</v>
      </c>
      <c r="AR69" s="319">
        <f>AM69/AP69</f>
        <v>2.1832844574780057</v>
      </c>
      <c r="AS69" s="320"/>
      <c r="AU69" s="320"/>
      <c r="AV69" s="320"/>
      <c r="AW69" s="320"/>
      <c r="AX69" s="320"/>
      <c r="AY69" s="320"/>
      <c r="AZ69" s="356" t="s">
        <v>192</v>
      </c>
      <c r="BA69" s="268" t="s">
        <v>183</v>
      </c>
      <c r="BB69" s="307" t="s">
        <v>191</v>
      </c>
      <c r="BC69" s="260"/>
      <c r="BD69" s="321">
        <f t="shared" si="54"/>
        <v>0</v>
      </c>
      <c r="BE69" s="321">
        <f t="shared" si="54"/>
        <v>0</v>
      </c>
      <c r="BF69" s="321">
        <f t="shared" si="54"/>
        <v>0</v>
      </c>
      <c r="BG69" s="321">
        <f t="shared" si="54"/>
        <v>1</v>
      </c>
      <c r="BH69" s="321">
        <f t="shared" si="55"/>
        <v>0</v>
      </c>
      <c r="BI69" s="321">
        <f t="shared" si="55"/>
        <v>0</v>
      </c>
    </row>
    <row r="70" spans="1:61" ht="15.75">
      <c r="A70" s="322" t="s">
        <v>190</v>
      </c>
      <c r="B70" s="324" t="s">
        <v>189</v>
      </c>
      <c r="C70" s="357"/>
      <c r="D70" s="358" t="s">
        <v>188</v>
      </c>
      <c r="E70" s="524"/>
      <c r="F70" s="525"/>
      <c r="G70" s="312">
        <v>0</v>
      </c>
      <c r="H70" s="313">
        <v>0</v>
      </c>
      <c r="I70" s="312">
        <v>0</v>
      </c>
      <c r="J70" s="313">
        <f t="shared" si="32"/>
        <v>0</v>
      </c>
      <c r="K70" s="312">
        <v>0</v>
      </c>
      <c r="L70" s="313">
        <f>IF(K70=0,0,(IF(K70&lt;=(L$9*L$6),(L$9*L$7),(K70-(L$6*L$9))*L$8/1000+L$9*L$7)))</f>
        <v>0</v>
      </c>
      <c r="M70" s="314">
        <f t="shared" si="56"/>
        <v>0</v>
      </c>
      <c r="N70" s="315">
        <f t="shared" si="56"/>
        <v>0</v>
      </c>
      <c r="O70" s="262"/>
      <c r="P70" s="336">
        <v>42000</v>
      </c>
      <c r="Q70" s="337">
        <f>IF(P70&lt;$R$9*$AS$72,P70,$R$9*$AS$72)</f>
        <v>42000</v>
      </c>
      <c r="R70" s="337">
        <f>IF(P70-Q70=0,0,P70-Q70)</f>
        <v>0</v>
      </c>
      <c r="S70" s="338">
        <f>IF(P70=0,0,(IF(P70&lt;=(R$9*$AS$72),(R$9*$AS$73),(P70-($AS$72*R$9))*$AS$74/1000+R$9*$AS$73)))</f>
        <v>210</v>
      </c>
      <c r="T70" s="338">
        <f>IF(S70&lt;=$AS$73*$R$9,S70,$AS$73*$R$9)</f>
        <v>210</v>
      </c>
      <c r="U70" s="339">
        <f t="shared" si="21"/>
        <v>0</v>
      </c>
      <c r="V70" s="336">
        <v>21000</v>
      </c>
      <c r="W70" s="337">
        <f>IF(V70&lt;$W$9*$AS$72,V70,$W$9*$AS$72)</f>
        <v>21000</v>
      </c>
      <c r="X70" s="359">
        <f>IF(V70-W70=0,0,V70-W70)</f>
        <v>0</v>
      </c>
      <c r="Y70" s="339">
        <f>IF(V70=0,0,(IF(V70&lt;=(W$9*$AS$72),(W$9*$AS$73),(V70-($AS$72*W$9))*$AS$74/1000+W$9*$AS$73)))</f>
        <v>105</v>
      </c>
      <c r="Z70" s="338">
        <f>IF(Y70&lt;=$AS$73*$W$9,Y70,$AS$73*$W$9)</f>
        <v>105</v>
      </c>
      <c r="AA70" s="339">
        <f t="shared" si="22"/>
        <v>0</v>
      </c>
      <c r="AB70" s="336">
        <v>21000</v>
      </c>
      <c r="AC70" s="337">
        <f>IF(AB70&lt;$AC$9*$AS$72,AB70,$AC$9*$AS$72)</f>
        <v>21000</v>
      </c>
      <c r="AD70" s="359">
        <f>IF(AB70-AC70=0,0,AB70-AC70)</f>
        <v>0</v>
      </c>
      <c r="AE70" s="339">
        <f>IF(AB70=0,0,(IF(AB70&lt;=(AC$9*$AS$72),(AC$9*$AS$73),(AB70-($AS$72*AC$9))*$AS$74/1000+AC$9*$AS$73)))</f>
        <v>105</v>
      </c>
      <c r="AF70" s="338">
        <f>IF(AE70&lt;=$AS$73*$AC$9,AE70,$AS$73*$AC$9)</f>
        <v>105</v>
      </c>
      <c r="AG70" s="339">
        <f t="shared" si="23"/>
        <v>0</v>
      </c>
      <c r="AH70" s="341"/>
      <c r="AI70" s="341"/>
      <c r="AJ70" s="340">
        <f t="shared" si="57"/>
        <v>84000</v>
      </c>
      <c r="AK70" s="340">
        <f t="shared" si="57"/>
        <v>84000</v>
      </c>
      <c r="AL70" s="340">
        <f t="shared" si="57"/>
        <v>0</v>
      </c>
      <c r="AM70" s="341">
        <f>S70+Y70+AE70</f>
        <v>420</v>
      </c>
      <c r="AN70" s="341">
        <f t="shared" si="28"/>
        <v>420</v>
      </c>
      <c r="AO70" s="341">
        <f t="shared" si="16"/>
        <v>0</v>
      </c>
      <c r="AP70" s="341">
        <f t="shared" si="48"/>
        <v>0</v>
      </c>
      <c r="AQ70" s="341">
        <f t="shared" si="49"/>
        <v>420</v>
      </c>
      <c r="AR70" s="319" t="str">
        <f>IF(AP70=0,"n.a.",AQ70/AP70)</f>
        <v>n.a.</v>
      </c>
      <c r="AS70" s="320"/>
      <c r="AU70" s="320"/>
      <c r="AV70" s="320"/>
      <c r="AW70" s="320"/>
      <c r="AX70" s="320"/>
      <c r="AY70" s="320"/>
      <c r="AZ70" s="336" t="s">
        <v>187</v>
      </c>
      <c r="BA70" s="268" t="s">
        <v>183</v>
      </c>
      <c r="BB70" s="345" t="s">
        <v>182</v>
      </c>
      <c r="BC70" s="260"/>
      <c r="BD70" s="321">
        <f t="shared" si="54"/>
        <v>0</v>
      </c>
      <c r="BE70" s="321">
        <f t="shared" si="54"/>
        <v>0</v>
      </c>
      <c r="BF70" s="321">
        <f t="shared" si="54"/>
        <v>0</v>
      </c>
      <c r="BG70" s="321">
        <f t="shared" si="54"/>
        <v>0</v>
      </c>
      <c r="BH70" s="321">
        <f t="shared" si="55"/>
        <v>0</v>
      </c>
      <c r="BI70" s="321">
        <f t="shared" si="55"/>
        <v>0</v>
      </c>
    </row>
    <row r="71" spans="1:61" ht="16.5" thickBot="1">
      <c r="A71" s="360" t="s">
        <v>182</v>
      </c>
      <c r="B71" s="325" t="s">
        <v>186</v>
      </c>
      <c r="C71" s="311" t="s">
        <v>185</v>
      </c>
      <c r="D71" s="311" t="s">
        <v>185</v>
      </c>
      <c r="E71" s="524"/>
      <c r="F71" s="525"/>
      <c r="G71" s="312">
        <v>0</v>
      </c>
      <c r="H71" s="313">
        <v>0</v>
      </c>
      <c r="I71" s="312">
        <v>0</v>
      </c>
      <c r="J71" s="361">
        <v>15</v>
      </c>
      <c r="K71" s="362">
        <v>0</v>
      </c>
      <c r="L71" s="313">
        <f>IF(K71=0,0,(IF(K71&lt;=(L$9*L$6),(L$9*L$7),(K71-(L$6*L$9))*L$8/1000+L$9*L$7)))</f>
        <v>0</v>
      </c>
      <c r="M71" s="314">
        <f t="shared" si="56"/>
        <v>0</v>
      </c>
      <c r="N71" s="315">
        <f t="shared" si="56"/>
        <v>15</v>
      </c>
      <c r="O71" s="262"/>
      <c r="P71" s="312"/>
      <c r="Q71" s="317"/>
      <c r="R71" s="317"/>
      <c r="S71" s="317"/>
      <c r="T71" s="317"/>
      <c r="U71" s="313"/>
      <c r="V71" s="312"/>
      <c r="W71" s="317"/>
      <c r="X71" s="313"/>
      <c r="Y71" s="313"/>
      <c r="Z71" s="317"/>
      <c r="AA71" s="313"/>
      <c r="AB71" s="362"/>
      <c r="AC71" s="317"/>
      <c r="AD71" s="313"/>
      <c r="AE71" s="313"/>
      <c r="AF71" s="317"/>
      <c r="AG71" s="313"/>
      <c r="AH71" s="262"/>
      <c r="AI71" s="262"/>
      <c r="AJ71" s="314"/>
      <c r="AK71" s="314"/>
      <c r="AL71" s="314"/>
      <c r="AM71" s="262"/>
      <c r="AN71" s="363"/>
      <c r="AO71" s="363"/>
      <c r="AP71" s="363"/>
      <c r="AQ71" s="363"/>
      <c r="AS71" s="363">
        <f>AS73/AS72*1000</f>
        <v>4.666666666666667</v>
      </c>
      <c r="AT71" s="363"/>
      <c r="AU71" s="363"/>
      <c r="AV71" s="363"/>
      <c r="AW71" s="363"/>
      <c r="AX71" s="363"/>
      <c r="AY71" s="363"/>
      <c r="AZ71" s="262"/>
      <c r="BA71" s="268" t="s">
        <v>183</v>
      </c>
      <c r="BB71" s="345" t="s">
        <v>182</v>
      </c>
      <c r="BC71" s="260"/>
      <c r="BD71" s="321">
        <f t="shared" si="54"/>
        <v>0</v>
      </c>
      <c r="BE71" s="321">
        <f t="shared" si="54"/>
        <v>0</v>
      </c>
      <c r="BF71" s="321">
        <f t="shared" si="54"/>
        <v>0</v>
      </c>
      <c r="BG71" s="321">
        <f t="shared" si="54"/>
        <v>0</v>
      </c>
      <c r="BH71" s="321">
        <f t="shared" si="55"/>
        <v>0</v>
      </c>
      <c r="BI71" s="321">
        <f t="shared" si="55"/>
        <v>0</v>
      </c>
    </row>
    <row r="72" spans="1:61" ht="18.75">
      <c r="A72" s="364" t="s">
        <v>182</v>
      </c>
      <c r="B72" s="365" t="s">
        <v>184</v>
      </c>
      <c r="C72" s="329" t="s">
        <v>429</v>
      </c>
      <c r="D72" s="311" t="s">
        <v>430</v>
      </c>
      <c r="E72" s="524"/>
      <c r="F72" s="525"/>
      <c r="G72" s="312">
        <v>0</v>
      </c>
      <c r="H72" s="313">
        <v>0</v>
      </c>
      <c r="I72" s="328">
        <v>0.001</v>
      </c>
      <c r="J72" s="344">
        <f>IF(I72=0,0,(IF(I72&lt;=(J$9*J$6),(J$9*J$7),(I72-(J$6*J$9))*J$8/1000+J$9*J$7)))</f>
        <v>45</v>
      </c>
      <c r="K72" s="312"/>
      <c r="L72" s="313">
        <f>IF(K72=0,0,(IF(K72&lt;=(L$9*L$6),(L$9*L$7),(K72-(L$6*L$9))*L$8/1000+L$9*L$7)))</f>
        <v>0</v>
      </c>
      <c r="M72" s="314">
        <f t="shared" si="56"/>
        <v>0.001</v>
      </c>
      <c r="N72" s="315">
        <f t="shared" si="56"/>
        <v>45</v>
      </c>
      <c r="O72" s="262"/>
      <c r="P72" s="366"/>
      <c r="Q72" s="367"/>
      <c r="R72" s="367"/>
      <c r="S72" s="367"/>
      <c r="T72" s="367"/>
      <c r="U72" s="368"/>
      <c r="V72" s="369"/>
      <c r="W72" s="367"/>
      <c r="X72" s="368"/>
      <c r="Y72" s="368"/>
      <c r="Z72" s="367"/>
      <c r="AA72" s="368"/>
      <c r="AB72" s="366"/>
      <c r="AC72" s="367"/>
      <c r="AD72" s="368"/>
      <c r="AE72" s="368"/>
      <c r="AF72" s="367"/>
      <c r="AG72" s="368"/>
      <c r="AH72" s="262"/>
      <c r="AI72" s="262"/>
      <c r="AJ72" s="314"/>
      <c r="AK72" s="314"/>
      <c r="AL72" s="314"/>
      <c r="AM72" s="262"/>
      <c r="AN72" s="363"/>
      <c r="AO72" s="363"/>
      <c r="AP72" s="363"/>
      <c r="AQ72" s="370" t="s">
        <v>376</v>
      </c>
      <c r="AR72" s="371"/>
      <c r="AS72" s="637">
        <f>'1.7 RATE Design'!C20</f>
        <v>7500</v>
      </c>
      <c r="AT72" s="363" t="s">
        <v>381</v>
      </c>
      <c r="AU72" s="640"/>
      <c r="AV72" s="363">
        <f>Revenue_Requirement</f>
        <v>82122.95312</v>
      </c>
      <c r="AW72" s="363"/>
      <c r="AX72" s="363"/>
      <c r="AY72" s="363"/>
      <c r="AZ72" s="262"/>
      <c r="BA72" s="268" t="s">
        <v>183</v>
      </c>
      <c r="BB72" s="345" t="s">
        <v>182</v>
      </c>
      <c r="BC72" s="330"/>
      <c r="BD72" s="331">
        <f t="shared" si="54"/>
        <v>0</v>
      </c>
      <c r="BE72" s="331">
        <f t="shared" si="54"/>
        <v>0</v>
      </c>
      <c r="BF72" s="331">
        <f t="shared" si="54"/>
        <v>0</v>
      </c>
      <c r="BG72" s="331">
        <f t="shared" si="54"/>
        <v>0</v>
      </c>
      <c r="BH72" s="321">
        <f t="shared" si="55"/>
        <v>0</v>
      </c>
      <c r="BI72" s="321">
        <f t="shared" si="55"/>
        <v>0</v>
      </c>
    </row>
    <row r="73" spans="1:61" ht="16.5" thickBot="1">
      <c r="A73" s="372"/>
      <c r="B73" s="269"/>
      <c r="C73" s="781" t="s">
        <v>181</v>
      </c>
      <c r="D73" s="781"/>
      <c r="E73" s="526"/>
      <c r="F73" s="284"/>
      <c r="G73" s="373">
        <f aca="true" t="shared" si="58" ref="G73:N73">SUM(G11:G72)</f>
        <v>2525370</v>
      </c>
      <c r="H73" s="280">
        <f t="shared" si="58"/>
        <v>7970.625000000001</v>
      </c>
      <c r="I73" s="373">
        <f t="shared" si="58"/>
        <v>1251240.003</v>
      </c>
      <c r="J73" s="280">
        <f t="shared" si="58"/>
        <v>4204.575000000001</v>
      </c>
      <c r="K73" s="373">
        <f t="shared" si="58"/>
        <v>2325550.001</v>
      </c>
      <c r="L73" s="280">
        <f t="shared" si="58"/>
        <v>6593.85</v>
      </c>
      <c r="M73" s="373">
        <f t="shared" si="58"/>
        <v>6102160.004000001</v>
      </c>
      <c r="N73" s="282">
        <f t="shared" si="58"/>
        <v>18769.05</v>
      </c>
      <c r="O73" s="281"/>
      <c r="P73" s="374">
        <f aca="true" t="shared" si="59" ref="P73:AG73">SUM(P11:P72)</f>
        <v>2092160</v>
      </c>
      <c r="Q73" s="375">
        <f t="shared" si="59"/>
        <v>1648150</v>
      </c>
      <c r="R73" s="634">
        <f t="shared" si="59"/>
        <v>444010</v>
      </c>
      <c r="S73" s="376">
        <f t="shared" si="59"/>
        <v>14400.050000000001</v>
      </c>
      <c r="T73" s="376">
        <f t="shared" si="59"/>
        <v>12180</v>
      </c>
      <c r="U73" s="628">
        <f t="shared" si="59"/>
        <v>2220.0499999999997</v>
      </c>
      <c r="V73" s="377">
        <f t="shared" si="59"/>
        <v>1334780</v>
      </c>
      <c r="W73" s="375">
        <f t="shared" si="59"/>
        <v>792860</v>
      </c>
      <c r="X73" s="633">
        <f t="shared" si="59"/>
        <v>541920</v>
      </c>
      <c r="Y73" s="378">
        <f t="shared" si="59"/>
        <v>8799.600000000002</v>
      </c>
      <c r="Z73" s="376">
        <f t="shared" si="59"/>
        <v>6090</v>
      </c>
      <c r="AA73" s="628">
        <f t="shared" si="59"/>
        <v>2709.6</v>
      </c>
      <c r="AB73" s="377">
        <f t="shared" si="59"/>
        <v>2410703.3343333337</v>
      </c>
      <c r="AC73" s="375">
        <f t="shared" si="59"/>
        <v>889033.3343333334</v>
      </c>
      <c r="AD73" s="633">
        <f t="shared" si="59"/>
        <v>1521670</v>
      </c>
      <c r="AE73" s="378">
        <f t="shared" si="59"/>
        <v>13698.350000000002</v>
      </c>
      <c r="AF73" s="376">
        <f t="shared" si="59"/>
        <v>6090</v>
      </c>
      <c r="AG73" s="628">
        <f t="shared" si="59"/>
        <v>7608.3499999999985</v>
      </c>
      <c r="AH73" s="629"/>
      <c r="AI73" s="629"/>
      <c r="AJ73" s="377">
        <f aca="true" t="shared" si="60" ref="AJ73:AO73">SUM(AJ11:AJ72)</f>
        <v>5837643.334333333</v>
      </c>
      <c r="AK73" s="379">
        <f t="shared" si="60"/>
        <v>3330043.3343333337</v>
      </c>
      <c r="AL73" s="632">
        <f t="shared" si="60"/>
        <v>2507600</v>
      </c>
      <c r="AM73" s="380">
        <f t="shared" si="60"/>
        <v>36897.99999999999</v>
      </c>
      <c r="AN73" s="380">
        <f t="shared" si="60"/>
        <v>24360</v>
      </c>
      <c r="AO73" s="629">
        <f t="shared" si="60"/>
        <v>12538</v>
      </c>
      <c r="AP73" s="380"/>
      <c r="AQ73" s="381" t="s">
        <v>375</v>
      </c>
      <c r="AR73" s="265"/>
      <c r="AS73" s="638">
        <f>'1.7 RATE Design'!D18</f>
        <v>35</v>
      </c>
      <c r="AT73" s="283" t="s">
        <v>555</v>
      </c>
      <c r="AU73" s="283"/>
      <c r="AV73" s="283">
        <f>Non_H20_Sales+Annual_Minimum+DEPandAMORT_Rev</f>
        <v>69920</v>
      </c>
      <c r="AW73" s="283"/>
      <c r="AX73" s="283"/>
      <c r="AY73" s="283"/>
      <c r="AZ73" s="382"/>
      <c r="BA73" s="383" t="s">
        <v>180</v>
      </c>
      <c r="BB73" s="384" t="s">
        <v>179</v>
      </c>
      <c r="BC73" s="383" t="s">
        <v>178</v>
      </c>
      <c r="BD73" s="260"/>
      <c r="BE73" s="260"/>
      <c r="BF73" s="260"/>
      <c r="BG73" s="260"/>
      <c r="BH73" s="260"/>
      <c r="BI73" s="260"/>
    </row>
    <row r="74" spans="1:61" ht="15" customHeight="1" thickBot="1" thickTop="1">
      <c r="A74" s="372"/>
      <c r="B74" s="269"/>
      <c r="C74" s="781" t="s">
        <v>177</v>
      </c>
      <c r="D74" s="781"/>
      <c r="E74" s="526"/>
      <c r="F74" s="284"/>
      <c r="G74" s="373">
        <f aca="true" t="shared" si="61" ref="G74:N74">G75-G73</f>
        <v>0</v>
      </c>
      <c r="H74" s="280">
        <f t="shared" si="61"/>
        <v>214.17499999999927</v>
      </c>
      <c r="I74" s="373">
        <f t="shared" si="61"/>
        <v>-0.003000000026077032</v>
      </c>
      <c r="J74" s="280">
        <f t="shared" si="61"/>
        <v>0.004999999999199645</v>
      </c>
      <c r="K74" s="373">
        <f t="shared" si="61"/>
        <v>-0.0010000001639127731</v>
      </c>
      <c r="L74" s="280">
        <f t="shared" si="61"/>
        <v>45</v>
      </c>
      <c r="M74" s="373">
        <f t="shared" si="61"/>
        <v>-0.0040000006556510925</v>
      </c>
      <c r="N74" s="282">
        <f t="shared" si="61"/>
        <v>259.18000000000393</v>
      </c>
      <c r="O74" s="281"/>
      <c r="P74" s="385"/>
      <c r="Q74" s="386"/>
      <c r="R74" s="386"/>
      <c r="S74" s="386">
        <f>U73+T73</f>
        <v>14400.05</v>
      </c>
      <c r="T74" s="386"/>
      <c r="U74" s="387">
        <f>S73-T73</f>
        <v>2220.050000000001</v>
      </c>
      <c r="V74" s="373"/>
      <c r="W74" s="386"/>
      <c r="X74" s="387"/>
      <c r="Y74" s="386">
        <f>AA73+Z73</f>
        <v>8799.6</v>
      </c>
      <c r="Z74" s="386"/>
      <c r="AA74" s="387">
        <f>Y73-Z73</f>
        <v>2709.600000000002</v>
      </c>
      <c r="AB74" s="373"/>
      <c r="AC74" s="386"/>
      <c r="AD74" s="387"/>
      <c r="AE74" s="386">
        <f>AG73+AF73</f>
        <v>13698.349999999999</v>
      </c>
      <c r="AF74" s="386"/>
      <c r="AG74" s="387">
        <f>AE73-AF73</f>
        <v>7608.350000000002</v>
      </c>
      <c r="AH74" s="281"/>
      <c r="AI74" s="281"/>
      <c r="AJ74" s="373">
        <f>P73+V73+AB73</f>
        <v>5837643.334333334</v>
      </c>
      <c r="AK74" s="388">
        <f>Q73+W73+AC73</f>
        <v>3330043.334333333</v>
      </c>
      <c r="AL74" s="388">
        <f>R73+X73+AD73</f>
        <v>2507600</v>
      </c>
      <c r="AM74" s="281">
        <f>S73+Y73+AE73</f>
        <v>36898</v>
      </c>
      <c r="AN74" s="281">
        <f>T73+Z73+AF73</f>
        <v>24360</v>
      </c>
      <c r="AO74" s="283">
        <f>AM73-AN73</f>
        <v>12537.999999999993</v>
      </c>
      <c r="AP74" s="283"/>
      <c r="AQ74" s="389" t="s">
        <v>374</v>
      </c>
      <c r="AR74" s="390"/>
      <c r="AS74" s="639">
        <f>'1.7 RATE Design'!D41</f>
        <v>5</v>
      </c>
      <c r="AT74" s="283" t="s">
        <v>556</v>
      </c>
      <c r="AU74" s="283"/>
      <c r="AV74" s="283">
        <f>AV72-AV73</f>
        <v>12202.953120000006</v>
      </c>
      <c r="AW74" s="283">
        <f>AV74/AL73*1000</f>
        <v>4.866387430212157</v>
      </c>
      <c r="AX74" s="283"/>
      <c r="AY74" s="283"/>
      <c r="AZ74" s="281"/>
      <c r="BA74" s="260"/>
      <c r="BB74" s="383" t="s">
        <v>176</v>
      </c>
      <c r="BC74" s="260"/>
      <c r="BD74" s="260"/>
      <c r="BE74" s="260"/>
      <c r="BF74" s="260"/>
      <c r="BG74" s="260"/>
      <c r="BH74" s="260"/>
      <c r="BI74" s="260"/>
    </row>
    <row r="75" spans="1:61" ht="63">
      <c r="A75" s="372"/>
      <c r="B75" s="269"/>
      <c r="C75" s="781" t="s">
        <v>175</v>
      </c>
      <c r="D75" s="781"/>
      <c r="E75" s="526"/>
      <c r="F75" s="284"/>
      <c r="G75" s="373">
        <v>2525370</v>
      </c>
      <c r="H75" s="280">
        <v>8184.8</v>
      </c>
      <c r="I75" s="373">
        <v>1251240</v>
      </c>
      <c r="J75" s="280">
        <v>4204.58</v>
      </c>
      <c r="K75" s="373">
        <v>2325550</v>
      </c>
      <c r="L75" s="280">
        <v>6638.85</v>
      </c>
      <c r="M75" s="373">
        <f>E75+G75+I75+K75</f>
        <v>6102160</v>
      </c>
      <c r="N75" s="282">
        <f>F75+H75+J75+L75</f>
        <v>19028.230000000003</v>
      </c>
      <c r="O75" s="281"/>
      <c r="P75" s="298" t="s">
        <v>369</v>
      </c>
      <c r="Q75" s="302" t="s">
        <v>416</v>
      </c>
      <c r="R75" s="302" t="s">
        <v>417</v>
      </c>
      <c r="S75" s="302" t="s">
        <v>424</v>
      </c>
      <c r="T75" s="302" t="s">
        <v>425</v>
      </c>
      <c r="U75" s="299" t="s">
        <v>426</v>
      </c>
      <c r="V75" s="298" t="s">
        <v>368</v>
      </c>
      <c r="W75" s="302" t="s">
        <v>416</v>
      </c>
      <c r="X75" s="299" t="s">
        <v>417</v>
      </c>
      <c r="Y75" s="302" t="s">
        <v>424</v>
      </c>
      <c r="Z75" s="302" t="s">
        <v>425</v>
      </c>
      <c r="AA75" s="299" t="s">
        <v>426</v>
      </c>
      <c r="AB75" s="298" t="s">
        <v>367</v>
      </c>
      <c r="AC75" s="302" t="s">
        <v>416</v>
      </c>
      <c r="AD75" s="299" t="s">
        <v>417</v>
      </c>
      <c r="AE75" s="302" t="s">
        <v>424</v>
      </c>
      <c r="AF75" s="302" t="s">
        <v>425</v>
      </c>
      <c r="AG75" s="299" t="s">
        <v>426</v>
      </c>
      <c r="AH75" s="300"/>
      <c r="AI75" s="300"/>
      <c r="AJ75" s="304" t="s">
        <v>418</v>
      </c>
      <c r="AK75" s="304" t="s">
        <v>419</v>
      </c>
      <c r="AL75" s="304" t="s">
        <v>420</v>
      </c>
      <c r="AM75" s="304" t="s">
        <v>421</v>
      </c>
      <c r="AN75" s="304" t="s">
        <v>422</v>
      </c>
      <c r="AO75" s="304" t="s">
        <v>423</v>
      </c>
      <c r="AP75" s="283"/>
      <c r="AQ75" s="260"/>
      <c r="AR75" s="260"/>
      <c r="AS75" s="260"/>
      <c r="AT75" s="391"/>
      <c r="AU75" s="391"/>
      <c r="AV75" s="391"/>
      <c r="AW75" s="391"/>
      <c r="AX75" s="391"/>
      <c r="AY75" s="391"/>
      <c r="AZ75" s="260"/>
      <c r="BA75" s="260"/>
      <c r="BB75" s="383" t="s">
        <v>174</v>
      </c>
      <c r="BC75" s="260"/>
      <c r="BD75" s="260"/>
      <c r="BE75" s="260"/>
      <c r="BF75" s="260"/>
      <c r="BG75" s="260"/>
      <c r="BH75" s="260"/>
      <c r="BI75" s="260"/>
    </row>
    <row r="76" spans="1:61" ht="15.75">
      <c r="A76" s="372"/>
      <c r="B76" s="269"/>
      <c r="C76" s="269"/>
      <c r="D76" s="392"/>
      <c r="E76" s="527"/>
      <c r="F76" s="528"/>
      <c r="G76" s="278"/>
      <c r="H76" s="286"/>
      <c r="I76" s="278"/>
      <c r="J76" s="286"/>
      <c r="K76" s="278"/>
      <c r="L76" s="286"/>
      <c r="M76" s="269"/>
      <c r="N76" s="288"/>
      <c r="O76" s="269"/>
      <c r="P76" s="393"/>
      <c r="Q76" s="394"/>
      <c r="R76" s="394"/>
      <c r="S76" s="394"/>
      <c r="T76" s="394"/>
      <c r="U76" s="395"/>
      <c r="V76" s="278"/>
      <c r="W76" s="269"/>
      <c r="X76" s="269"/>
      <c r="Y76" s="269"/>
      <c r="Z76" s="269"/>
      <c r="AA76" s="269"/>
      <c r="AB76" s="278"/>
      <c r="AC76" s="269"/>
      <c r="AD76" s="269"/>
      <c r="AE76" s="286"/>
      <c r="AF76" s="269"/>
      <c r="AG76" s="269"/>
      <c r="AH76" s="269"/>
      <c r="AI76" s="269"/>
      <c r="AJ76" s="269"/>
      <c r="AK76" s="269"/>
      <c r="AL76" s="269"/>
      <c r="AM76" s="396">
        <f>AM73-AM74</f>
        <v>0</v>
      </c>
      <c r="AN76" s="260"/>
      <c r="AO76" s="396">
        <f>AO73-AO74</f>
        <v>0</v>
      </c>
      <c r="AP76" s="397"/>
      <c r="AQ76" s="396">
        <f>AL73/AO73</f>
        <v>200</v>
      </c>
      <c r="AR76" s="260"/>
      <c r="AS76" s="396">
        <f>Revenue_Requirement</f>
        <v>82122.95312</v>
      </c>
      <c r="AT76" s="636">
        <f>AS76-AS77</f>
        <v>12202.953120000006</v>
      </c>
      <c r="AU76" s="391"/>
      <c r="AV76" s="391"/>
      <c r="AW76" s="391"/>
      <c r="AX76" s="391"/>
      <c r="AY76" s="391"/>
      <c r="AZ76" s="260"/>
      <c r="BA76" s="398">
        <v>58</v>
      </c>
      <c r="BB76" s="398">
        <v>55</v>
      </c>
      <c r="BC76" s="260"/>
      <c r="BD76" s="260"/>
      <c r="BE76" s="260"/>
      <c r="BF76" s="260"/>
      <c r="BG76" s="260"/>
      <c r="BH76" s="260"/>
      <c r="BI76" s="260"/>
    </row>
    <row r="77" spans="1:61" ht="15" customHeight="1">
      <c r="A77" s="372"/>
      <c r="B77" s="269"/>
      <c r="C77" s="269"/>
      <c r="D77" s="392"/>
      <c r="E77" s="529"/>
      <c r="F77" s="293"/>
      <c r="G77" s="278">
        <f>COUNT(G11:G72)</f>
        <v>62</v>
      </c>
      <c r="H77" s="280"/>
      <c r="I77" s="278">
        <f>COUNT(I11:I72)</f>
        <v>62</v>
      </c>
      <c r="J77" s="286"/>
      <c r="K77" s="278">
        <f>COUNT(K11:K72)</f>
        <v>59</v>
      </c>
      <c r="L77" s="286"/>
      <c r="M77" s="269"/>
      <c r="N77" s="288"/>
      <c r="O77" s="269"/>
      <c r="P77" s="269"/>
      <c r="Q77" s="269"/>
      <c r="R77" s="269"/>
      <c r="S77" s="269"/>
      <c r="T77" s="269"/>
      <c r="U77" s="269"/>
      <c r="V77" s="269"/>
      <c r="W77" s="269"/>
      <c r="X77" s="269"/>
      <c r="Y77" s="269"/>
      <c r="Z77" s="269"/>
      <c r="AA77" s="269"/>
      <c r="AB77" s="269"/>
      <c r="AC77" s="269"/>
      <c r="AD77" s="269"/>
      <c r="AE77" s="269" t="s">
        <v>552</v>
      </c>
      <c r="AF77" s="269"/>
      <c r="AG77" s="269"/>
      <c r="AH77" s="269"/>
      <c r="AI77" s="269"/>
      <c r="AJ77" s="269"/>
      <c r="AK77" s="269"/>
      <c r="AL77" s="269"/>
      <c r="AM77" s="260"/>
      <c r="AN77" s="260"/>
      <c r="AO77" s="260"/>
      <c r="AP77" s="397"/>
      <c r="AQ77" s="635">
        <f>AO73/AL73</f>
        <v>0.005</v>
      </c>
      <c r="AR77" s="260"/>
      <c r="AS77" s="396">
        <f>'1.7 RATE Design'!G14+Annual_Minimum+'1.7 RATE Design'!G32</f>
        <v>69920</v>
      </c>
      <c r="AT77" s="635">
        <f>AT76/AL73*1000</f>
        <v>4.866387430212157</v>
      </c>
      <c r="AU77" s="391"/>
      <c r="AV77" s="391"/>
      <c r="AW77" s="391"/>
      <c r="AX77" s="391"/>
      <c r="AY77" s="391"/>
      <c r="AZ77" s="260"/>
      <c r="BA77" s="260"/>
      <c r="BB77" s="383"/>
      <c r="BC77" s="260"/>
      <c r="BD77" s="260"/>
      <c r="BE77" s="260"/>
      <c r="BF77" s="260"/>
      <c r="BG77" s="260"/>
      <c r="BH77" s="260"/>
      <c r="BI77" s="260"/>
    </row>
    <row r="78" spans="1:61" ht="102" customHeight="1" thickBot="1">
      <c r="A78" s="372"/>
      <c r="B78" s="269"/>
      <c r="C78" s="797" t="s">
        <v>173</v>
      </c>
      <c r="D78" s="797"/>
      <c r="E78" s="795" t="s">
        <v>172</v>
      </c>
      <c r="F78" s="796"/>
      <c r="G78" s="787" t="s">
        <v>171</v>
      </c>
      <c r="H78" s="788"/>
      <c r="I78" s="787" t="s">
        <v>170</v>
      </c>
      <c r="J78" s="788"/>
      <c r="K78" s="789" t="s">
        <v>169</v>
      </c>
      <c r="L78" s="790"/>
      <c r="M78" s="399"/>
      <c r="N78" s="400"/>
      <c r="O78" s="399"/>
      <c r="P78" s="399"/>
      <c r="Q78" s="399"/>
      <c r="R78" s="399"/>
      <c r="S78" s="399"/>
      <c r="T78" s="399"/>
      <c r="U78" s="399"/>
      <c r="V78" s="399"/>
      <c r="W78" s="399"/>
      <c r="X78" s="399"/>
      <c r="Y78" s="399"/>
      <c r="Z78" s="399"/>
      <c r="AA78" s="399"/>
      <c r="AB78" s="399"/>
      <c r="AC78" s="399"/>
      <c r="AD78" s="399"/>
      <c r="AE78" s="785" t="s">
        <v>553</v>
      </c>
      <c r="AF78" s="786"/>
      <c r="AG78" s="786"/>
      <c r="AH78" s="786"/>
      <c r="AI78" s="786"/>
      <c r="AJ78" s="786"/>
      <c r="AK78" s="786"/>
      <c r="AL78" s="786"/>
      <c r="AM78" s="786"/>
      <c r="AN78" s="260"/>
      <c r="AO78" s="260"/>
      <c r="AP78" s="399"/>
      <c r="AQ78" s="399"/>
      <c r="AR78" s="399"/>
      <c r="AS78" s="399"/>
      <c r="AT78" s="399"/>
      <c r="AU78" s="399"/>
      <c r="AV78" s="399"/>
      <c r="AW78" s="399"/>
      <c r="AX78" s="399"/>
      <c r="AY78" s="399"/>
      <c r="AZ78" s="399"/>
      <c r="BA78" s="306"/>
      <c r="BB78" s="306"/>
      <c r="BC78" s="306"/>
      <c r="BD78" s="306"/>
      <c r="BE78" s="260"/>
      <c r="BF78" s="260"/>
      <c r="BG78" s="260"/>
      <c r="BH78" s="260"/>
      <c r="BI78" s="260"/>
    </row>
    <row r="79" spans="1:61" ht="113.25" customHeight="1" thickBot="1">
      <c r="A79" s="401"/>
      <c r="B79" s="402"/>
      <c r="C79" s="403"/>
      <c r="D79" s="404"/>
      <c r="E79" s="791" t="s">
        <v>168</v>
      </c>
      <c r="F79" s="792"/>
      <c r="G79" s="793"/>
      <c r="H79" s="794"/>
      <c r="I79" s="789" t="s">
        <v>167</v>
      </c>
      <c r="J79" s="790"/>
      <c r="K79" s="795" t="s">
        <v>166</v>
      </c>
      <c r="L79" s="796"/>
      <c r="M79" s="405"/>
      <c r="N79" s="406"/>
      <c r="O79" s="407"/>
      <c r="P79" s="407"/>
      <c r="Q79" s="407"/>
      <c r="R79" s="407"/>
      <c r="S79" s="407"/>
      <c r="T79" s="407"/>
      <c r="U79" s="407"/>
      <c r="V79" s="407"/>
      <c r="W79" s="407"/>
      <c r="X79" s="407"/>
      <c r="Y79" s="407"/>
      <c r="Z79" s="407"/>
      <c r="AA79" s="407"/>
      <c r="AB79" s="407"/>
      <c r="AC79" s="407"/>
      <c r="AD79" s="407"/>
      <c r="AE79" s="407"/>
      <c r="AF79" s="407"/>
      <c r="AG79" s="407"/>
      <c r="AH79" s="407"/>
      <c r="AI79" s="407"/>
      <c r="AJ79" s="407"/>
      <c r="AK79" s="407"/>
      <c r="AL79" s="407"/>
      <c r="AM79" s="407"/>
      <c r="AN79" s="407"/>
      <c r="AO79" s="407"/>
      <c r="AP79" s="407"/>
      <c r="AQ79" s="407"/>
      <c r="AR79" s="407"/>
      <c r="AS79" s="407"/>
      <c r="AT79" s="407"/>
      <c r="AU79" s="407"/>
      <c r="AV79" s="407"/>
      <c r="AW79" s="407"/>
      <c r="AX79" s="407"/>
      <c r="AY79" s="407"/>
      <c r="AZ79" s="407"/>
      <c r="BA79" s="306"/>
      <c r="BB79" s="306"/>
      <c r="BC79" s="306"/>
      <c r="BD79" s="306"/>
      <c r="BE79" s="260"/>
      <c r="BF79" s="260"/>
      <c r="BG79" s="260"/>
      <c r="BH79" s="260"/>
      <c r="BI79" s="260"/>
    </row>
    <row r="80" spans="1:61" ht="22.5" customHeight="1">
      <c r="A80" s="268"/>
      <c r="B80" s="260"/>
      <c r="C80" s="260"/>
      <c r="D80" s="261"/>
      <c r="E80" s="408"/>
      <c r="F80" s="266"/>
      <c r="G80" s="408"/>
      <c r="H80" s="266"/>
      <c r="I80" s="408"/>
      <c r="J80" s="266"/>
      <c r="K80" s="408"/>
      <c r="L80" s="266"/>
      <c r="M80" s="391"/>
      <c r="N80" s="391"/>
      <c r="O80" s="391"/>
      <c r="P80" s="391"/>
      <c r="Q80" s="391"/>
      <c r="R80" s="391"/>
      <c r="S80" s="391"/>
      <c r="T80" s="391"/>
      <c r="U80" s="391"/>
      <c r="V80" s="391"/>
      <c r="W80" s="391"/>
      <c r="X80" s="391"/>
      <c r="Y80" s="391"/>
      <c r="Z80" s="391"/>
      <c r="AA80" s="391"/>
      <c r="AB80" s="391"/>
      <c r="AC80" s="391"/>
      <c r="AD80" s="391"/>
      <c r="AE80" s="391"/>
      <c r="AF80" s="391"/>
      <c r="AG80" s="391"/>
      <c r="AH80" s="391"/>
      <c r="AI80" s="391"/>
      <c r="AJ80" s="391"/>
      <c r="AK80" s="391"/>
      <c r="AL80" s="391"/>
      <c r="AM80" s="391"/>
      <c r="AN80" s="391"/>
      <c r="AO80" s="391"/>
      <c r="AP80" s="391"/>
      <c r="AQ80" s="391"/>
      <c r="AR80" s="391"/>
      <c r="AS80" s="391"/>
      <c r="AT80" s="391"/>
      <c r="AU80" s="391"/>
      <c r="AV80" s="391"/>
      <c r="AW80" s="391"/>
      <c r="AX80" s="391"/>
      <c r="AY80" s="391"/>
      <c r="AZ80" s="391"/>
      <c r="BA80" s="306"/>
      <c r="BB80" s="306"/>
      <c r="BC80" s="306"/>
      <c r="BD80" s="306"/>
      <c r="BE80" s="260"/>
      <c r="BF80" s="260"/>
      <c r="BG80" s="260"/>
      <c r="BH80" s="260"/>
      <c r="BI80" s="260"/>
    </row>
    <row r="81" spans="1:61" ht="15">
      <c r="A81" s="409" t="s">
        <v>165</v>
      </c>
      <c r="B81" s="265"/>
      <c r="C81" s="265"/>
      <c r="D81" s="409"/>
      <c r="E81" s="265"/>
      <c r="F81" s="265"/>
      <c r="G81" s="265"/>
      <c r="H81" s="265"/>
      <c r="I81" s="265"/>
      <c r="J81" s="265"/>
      <c r="K81" s="265"/>
      <c r="L81" s="265"/>
      <c r="M81" s="391"/>
      <c r="N81" s="391"/>
      <c r="O81" s="391"/>
      <c r="P81" s="391"/>
      <c r="Q81" s="391"/>
      <c r="R81" s="391"/>
      <c r="S81" s="391"/>
      <c r="T81" s="391"/>
      <c r="U81" s="391"/>
      <c r="V81" s="391"/>
      <c r="W81" s="391"/>
      <c r="X81" s="391"/>
      <c r="Y81" s="391"/>
      <c r="Z81" s="391"/>
      <c r="AA81" s="391"/>
      <c r="AB81" s="391"/>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1"/>
      <c r="AY81" s="391"/>
      <c r="AZ81" s="391"/>
      <c r="BA81" s="391"/>
      <c r="BB81" s="391"/>
      <c r="BC81" s="391"/>
      <c r="BD81" s="391"/>
      <c r="BE81" s="260"/>
      <c r="BF81" s="260"/>
      <c r="BG81" s="260"/>
      <c r="BH81" s="260"/>
      <c r="BI81" s="260"/>
    </row>
    <row r="82" spans="1:61" ht="15">
      <c r="A82" s="409" t="s">
        <v>164</v>
      </c>
      <c r="B82" s="265"/>
      <c r="C82" s="265"/>
      <c r="D82" s="409"/>
      <c r="E82" s="265"/>
      <c r="F82" s="265"/>
      <c r="G82" s="265"/>
      <c r="H82" s="265"/>
      <c r="I82" s="265"/>
      <c r="J82" s="265"/>
      <c r="K82" s="265"/>
      <c r="L82" s="265"/>
      <c r="M82" s="391"/>
      <c r="N82" s="391"/>
      <c r="O82" s="391"/>
      <c r="P82" s="391"/>
      <c r="Q82" s="391"/>
      <c r="R82" s="391"/>
      <c r="S82" s="391"/>
      <c r="T82" s="391"/>
      <c r="U82" s="391"/>
      <c r="V82" s="391"/>
      <c r="W82" s="391"/>
      <c r="X82" s="391"/>
      <c r="Y82" s="391"/>
      <c r="Z82" s="391"/>
      <c r="AA82" s="391"/>
      <c r="AB82" s="391"/>
      <c r="AC82" s="391"/>
      <c r="AD82" s="391"/>
      <c r="AE82" s="391"/>
      <c r="AF82" s="391"/>
      <c r="AG82" s="391"/>
      <c r="AH82" s="391"/>
      <c r="AI82" s="391"/>
      <c r="AJ82" s="391"/>
      <c r="AK82" s="391"/>
      <c r="AL82" s="391"/>
      <c r="AM82" s="391"/>
      <c r="AN82" s="391"/>
      <c r="AO82" s="391"/>
      <c r="AP82" s="391"/>
      <c r="AQ82" s="391"/>
      <c r="AR82" s="391"/>
      <c r="AS82" s="391"/>
      <c r="AT82" s="391"/>
      <c r="AU82" s="391"/>
      <c r="AV82" s="391"/>
      <c r="AW82" s="391"/>
      <c r="AX82" s="391"/>
      <c r="AY82" s="391"/>
      <c r="AZ82" s="391"/>
      <c r="BA82" s="391"/>
      <c r="BB82" s="391"/>
      <c r="BC82" s="391"/>
      <c r="BD82" s="391"/>
      <c r="BE82" s="260"/>
      <c r="BF82" s="260"/>
      <c r="BG82" s="260"/>
      <c r="BH82" s="260"/>
      <c r="BI82" s="260"/>
    </row>
    <row r="83" spans="1:61" ht="15">
      <c r="A83" s="409" t="s">
        <v>163</v>
      </c>
      <c r="B83" s="410"/>
      <c r="C83" s="265"/>
      <c r="D83" s="409"/>
      <c r="E83" s="265"/>
      <c r="F83" s="265"/>
      <c r="G83" s="265"/>
      <c r="H83" s="265"/>
      <c r="I83" s="265"/>
      <c r="J83" s="265"/>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265"/>
      <c r="AH83" s="265"/>
      <c r="AI83" s="265"/>
      <c r="AJ83" s="265"/>
      <c r="AK83" s="265"/>
      <c r="AL83" s="265"/>
      <c r="AM83" s="265"/>
      <c r="AN83" s="265"/>
      <c r="AO83" s="265"/>
      <c r="AP83" s="265"/>
      <c r="AQ83" s="265"/>
      <c r="AR83" s="265"/>
      <c r="AS83" s="391"/>
      <c r="AT83" s="391"/>
      <c r="AU83" s="391"/>
      <c r="AV83" s="391"/>
      <c r="AW83" s="391"/>
      <c r="AX83" s="391"/>
      <c r="AY83" s="391"/>
      <c r="AZ83" s="265"/>
      <c r="BA83" s="265"/>
      <c r="BB83" s="265"/>
      <c r="BC83" s="265"/>
      <c r="BD83" s="265"/>
      <c r="BE83" s="260"/>
      <c r="BF83" s="260"/>
      <c r="BG83" s="260"/>
      <c r="BH83" s="260"/>
      <c r="BI83" s="260"/>
    </row>
    <row r="84" spans="1:61" ht="15">
      <c r="A84" s="411" t="s">
        <v>162</v>
      </c>
      <c r="B84" s="265"/>
      <c r="C84" s="265"/>
      <c r="D84" s="409"/>
      <c r="E84" s="265"/>
      <c r="F84" s="265"/>
      <c r="G84" s="265"/>
      <c r="H84" s="265"/>
      <c r="I84" s="265"/>
      <c r="J84" s="265"/>
      <c r="K84" s="265"/>
      <c r="L84" s="265"/>
      <c r="M84" s="265"/>
      <c r="N84" s="265"/>
      <c r="O84" s="265"/>
      <c r="P84" s="265"/>
      <c r="Q84" s="265"/>
      <c r="R84" s="265"/>
      <c r="S84" s="265"/>
      <c r="T84" s="265"/>
      <c r="U84" s="265"/>
      <c r="V84" s="265"/>
      <c r="W84" s="265"/>
      <c r="X84" s="265"/>
      <c r="Y84" s="265"/>
      <c r="Z84" s="265"/>
      <c r="AA84" s="265"/>
      <c r="AB84" s="265"/>
      <c r="AC84" s="265"/>
      <c r="AD84" s="265"/>
      <c r="AE84" s="265"/>
      <c r="AF84" s="265"/>
      <c r="AG84" s="265"/>
      <c r="AH84" s="265"/>
      <c r="AI84" s="265"/>
      <c r="AJ84" s="265"/>
      <c r="AK84" s="265"/>
      <c r="AL84" s="265"/>
      <c r="AM84" s="265"/>
      <c r="AN84" s="265"/>
      <c r="AO84" s="265"/>
      <c r="AP84" s="265"/>
      <c r="AQ84" s="265"/>
      <c r="AR84" s="265"/>
      <c r="AS84" s="391"/>
      <c r="AT84" s="391"/>
      <c r="AU84" s="391"/>
      <c r="AV84" s="391"/>
      <c r="AW84" s="391"/>
      <c r="AX84" s="391"/>
      <c r="AY84" s="391"/>
      <c r="AZ84" s="265"/>
      <c r="BA84" s="265"/>
      <c r="BB84" s="265"/>
      <c r="BC84" s="265"/>
      <c r="BD84" s="265"/>
      <c r="BE84" s="260"/>
      <c r="BF84" s="260"/>
      <c r="BG84" s="260"/>
      <c r="BH84" s="260"/>
      <c r="BI84" s="260"/>
    </row>
    <row r="85" spans="1:61" ht="15">
      <c r="A85" s="267"/>
      <c r="B85" s="265"/>
      <c r="C85" s="265"/>
      <c r="D85" s="409"/>
      <c r="E85" s="265"/>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5"/>
      <c r="AP85" s="265"/>
      <c r="AQ85" s="265"/>
      <c r="AR85" s="265"/>
      <c r="AS85" s="391"/>
      <c r="AT85" s="391"/>
      <c r="AU85" s="391"/>
      <c r="AV85" s="391"/>
      <c r="AW85" s="391"/>
      <c r="AX85" s="391"/>
      <c r="AY85" s="391"/>
      <c r="AZ85" s="265"/>
      <c r="BA85" s="265"/>
      <c r="BB85" s="265"/>
      <c r="BC85" s="265"/>
      <c r="BD85" s="265"/>
      <c r="BE85" s="260"/>
      <c r="BF85" s="260"/>
      <c r="BG85" s="260"/>
      <c r="BH85" s="260"/>
      <c r="BI85" s="260"/>
    </row>
    <row r="86" spans="1:61" ht="15">
      <c r="A86" s="267"/>
      <c r="B86" s="265"/>
      <c r="C86" s="265"/>
      <c r="D86" s="409"/>
      <c r="E86" s="265"/>
      <c r="F86" s="265"/>
      <c r="G86" s="265"/>
      <c r="H86" s="265"/>
      <c r="I86" s="265"/>
      <c r="J86" s="265"/>
      <c r="K86" s="265"/>
      <c r="L86" s="265"/>
      <c r="M86" s="265"/>
      <c r="N86" s="265"/>
      <c r="O86" s="265"/>
      <c r="P86" s="265"/>
      <c r="Q86" s="265"/>
      <c r="R86" s="265"/>
      <c r="S86" s="265"/>
      <c r="T86" s="265"/>
      <c r="U86" s="265"/>
      <c r="V86" s="265"/>
      <c r="W86" s="265"/>
      <c r="X86" s="265"/>
      <c r="Y86" s="265"/>
      <c r="Z86" s="265"/>
      <c r="AA86" s="265"/>
      <c r="AB86" s="265"/>
      <c r="AC86" s="265"/>
      <c r="AD86" s="265"/>
      <c r="AE86" s="265"/>
      <c r="AF86" s="265"/>
      <c r="AG86" s="265"/>
      <c r="AH86" s="265"/>
      <c r="AI86" s="265"/>
      <c r="AJ86" s="265"/>
      <c r="AK86" s="265"/>
      <c r="AL86" s="265"/>
      <c r="AM86" s="265"/>
      <c r="AN86" s="265"/>
      <c r="AO86" s="265"/>
      <c r="AP86" s="265"/>
      <c r="AQ86" s="265"/>
      <c r="AR86" s="265"/>
      <c r="AS86" s="391"/>
      <c r="AT86" s="391"/>
      <c r="AU86" s="391"/>
      <c r="AV86" s="391"/>
      <c r="AW86" s="391"/>
      <c r="AX86" s="391"/>
      <c r="AY86" s="391"/>
      <c r="AZ86" s="265"/>
      <c r="BA86" s="265"/>
      <c r="BB86" s="265"/>
      <c r="BC86" s="265"/>
      <c r="BD86" s="265"/>
      <c r="BE86" s="260"/>
      <c r="BF86" s="260"/>
      <c r="BG86" s="260"/>
      <c r="BH86" s="260"/>
      <c r="BI86" s="260"/>
    </row>
    <row r="87" spans="1:61" ht="15">
      <c r="A87" s="267"/>
      <c r="B87" s="265"/>
      <c r="C87" s="265"/>
      <c r="D87" s="409"/>
      <c r="E87" s="265"/>
      <c r="F87" s="265"/>
      <c r="G87" s="265"/>
      <c r="H87" s="265"/>
      <c r="I87" s="265"/>
      <c r="J87" s="265"/>
      <c r="K87" s="265"/>
      <c r="L87" s="265"/>
      <c r="M87" s="265"/>
      <c r="N87" s="265"/>
      <c r="O87" s="265"/>
      <c r="P87" s="265"/>
      <c r="Q87" s="265"/>
      <c r="R87" s="265"/>
      <c r="S87" s="265"/>
      <c r="T87" s="265"/>
      <c r="U87" s="265"/>
      <c r="V87" s="265"/>
      <c r="W87" s="265"/>
      <c r="X87" s="265"/>
      <c r="Y87" s="265"/>
      <c r="Z87" s="265"/>
      <c r="AA87" s="265"/>
      <c r="AB87" s="265"/>
      <c r="AC87" s="265"/>
      <c r="AD87" s="265"/>
      <c r="AE87" s="265"/>
      <c r="AF87" s="265"/>
      <c r="AG87" s="265"/>
      <c r="AH87" s="265"/>
      <c r="AI87" s="265"/>
      <c r="AJ87" s="265"/>
      <c r="AK87" s="265"/>
      <c r="AL87" s="265"/>
      <c r="AM87" s="265"/>
      <c r="AN87" s="265"/>
      <c r="AO87" s="265"/>
      <c r="AP87" s="265"/>
      <c r="AQ87" s="265"/>
      <c r="AR87" s="265"/>
      <c r="AS87" s="391"/>
      <c r="AT87" s="391"/>
      <c r="AU87" s="391"/>
      <c r="AV87" s="391"/>
      <c r="AW87" s="391"/>
      <c r="AX87" s="391"/>
      <c r="AY87" s="391"/>
      <c r="AZ87" s="265"/>
      <c r="BA87" s="265"/>
      <c r="BB87" s="265"/>
      <c r="BC87" s="265"/>
      <c r="BD87" s="265"/>
      <c r="BE87" s="260"/>
      <c r="BF87" s="260"/>
      <c r="BG87" s="260"/>
      <c r="BH87" s="260"/>
      <c r="BI87" s="260"/>
    </row>
    <row r="88" spans="1:61" ht="15">
      <c r="A88" s="267"/>
      <c r="B88" s="265"/>
      <c r="C88" s="265"/>
      <c r="D88" s="409"/>
      <c r="E88" s="265"/>
      <c r="F88" s="265"/>
      <c r="G88" s="265"/>
      <c r="H88" s="265"/>
      <c r="I88" s="265"/>
      <c r="J88" s="265"/>
      <c r="K88" s="265"/>
      <c r="L88" s="265"/>
      <c r="M88" s="265"/>
      <c r="N88" s="265"/>
      <c r="O88" s="265"/>
      <c r="P88" s="265"/>
      <c r="Q88" s="265"/>
      <c r="R88" s="265"/>
      <c r="S88" s="265"/>
      <c r="T88" s="265"/>
      <c r="U88" s="265"/>
      <c r="V88" s="265"/>
      <c r="W88" s="265"/>
      <c r="X88" s="265"/>
      <c r="Y88" s="265"/>
      <c r="Z88" s="265"/>
      <c r="AA88" s="265"/>
      <c r="AB88" s="265"/>
      <c r="AC88" s="265"/>
      <c r="AD88" s="265"/>
      <c r="AE88" s="265"/>
      <c r="AF88" s="265"/>
      <c r="AG88" s="265"/>
      <c r="AH88" s="265"/>
      <c r="AI88" s="265"/>
      <c r="AJ88" s="265"/>
      <c r="AK88" s="265"/>
      <c r="AL88" s="265"/>
      <c r="AM88" s="265"/>
      <c r="AN88" s="265"/>
      <c r="AO88" s="265"/>
      <c r="AP88" s="265"/>
      <c r="AQ88" s="265"/>
      <c r="AR88" s="265"/>
      <c r="AS88" s="391"/>
      <c r="AT88" s="391"/>
      <c r="AU88" s="391"/>
      <c r="AV88" s="391"/>
      <c r="AW88" s="391"/>
      <c r="AX88" s="391"/>
      <c r="AY88" s="391"/>
      <c r="AZ88" s="265"/>
      <c r="BA88" s="265"/>
      <c r="BB88" s="265"/>
      <c r="BC88" s="265"/>
      <c r="BD88" s="265"/>
      <c r="BE88" s="260"/>
      <c r="BF88" s="260"/>
      <c r="BG88" s="260"/>
      <c r="BH88" s="260"/>
      <c r="BI88" s="260"/>
    </row>
    <row r="89" spans="1:61" ht="15">
      <c r="A89" s="267"/>
      <c r="B89" s="265"/>
      <c r="C89" s="265"/>
      <c r="D89" s="409"/>
      <c r="E89" s="265"/>
      <c r="F89" s="265"/>
      <c r="G89" s="265"/>
      <c r="H89" s="265"/>
      <c r="I89" s="265"/>
      <c r="J89" s="265"/>
      <c r="K89" s="265"/>
      <c r="L89" s="265"/>
      <c r="M89" s="265"/>
      <c r="N89" s="265"/>
      <c r="O89" s="265"/>
      <c r="P89" s="265"/>
      <c r="Q89" s="265"/>
      <c r="R89" s="265"/>
      <c r="S89" s="265"/>
      <c r="T89" s="265"/>
      <c r="U89" s="265"/>
      <c r="V89" s="265"/>
      <c r="W89" s="265"/>
      <c r="X89" s="265"/>
      <c r="Y89" s="265"/>
      <c r="Z89" s="265"/>
      <c r="AA89" s="265"/>
      <c r="AB89" s="265"/>
      <c r="AC89" s="265"/>
      <c r="AD89" s="265"/>
      <c r="AE89" s="265"/>
      <c r="AF89" s="265"/>
      <c r="AG89" s="265"/>
      <c r="AH89" s="265"/>
      <c r="AI89" s="265"/>
      <c r="AJ89" s="265"/>
      <c r="AK89" s="265"/>
      <c r="AL89" s="265"/>
      <c r="AM89" s="265"/>
      <c r="AN89" s="265"/>
      <c r="AO89" s="265"/>
      <c r="AP89" s="265"/>
      <c r="AQ89" s="265"/>
      <c r="AR89" s="265"/>
      <c r="AS89" s="391"/>
      <c r="AT89" s="391"/>
      <c r="AU89" s="391"/>
      <c r="AV89" s="391"/>
      <c r="AW89" s="391"/>
      <c r="AX89" s="391"/>
      <c r="AY89" s="391"/>
      <c r="AZ89" s="265"/>
      <c r="BA89" s="265"/>
      <c r="BB89" s="265"/>
      <c r="BC89" s="265"/>
      <c r="BD89" s="265"/>
      <c r="BE89" s="260"/>
      <c r="BF89" s="260"/>
      <c r="BG89" s="260"/>
      <c r="BH89" s="260"/>
      <c r="BI89" s="260"/>
    </row>
    <row r="90" spans="1:61" ht="15">
      <c r="A90" s="267"/>
      <c r="B90" s="780"/>
      <c r="C90" s="780"/>
      <c r="D90" s="780"/>
      <c r="E90" s="265"/>
      <c r="F90" s="265"/>
      <c r="G90" s="265"/>
      <c r="H90" s="265"/>
      <c r="I90" s="265"/>
      <c r="J90" s="265"/>
      <c r="K90" s="265"/>
      <c r="L90" s="265"/>
      <c r="M90" s="265"/>
      <c r="N90" s="265"/>
      <c r="O90" s="265"/>
      <c r="P90" s="265"/>
      <c r="Q90" s="265"/>
      <c r="R90" s="265"/>
      <c r="S90" s="265"/>
      <c r="T90" s="265"/>
      <c r="U90" s="265"/>
      <c r="V90" s="265"/>
      <c r="W90" s="265"/>
      <c r="X90" s="265"/>
      <c r="Y90" s="265"/>
      <c r="Z90" s="265"/>
      <c r="AA90" s="265"/>
      <c r="AB90" s="265"/>
      <c r="AC90" s="265"/>
      <c r="AD90" s="265"/>
      <c r="AE90" s="265"/>
      <c r="AF90" s="265"/>
      <c r="AG90" s="265"/>
      <c r="AH90" s="265"/>
      <c r="AI90" s="265"/>
      <c r="AJ90" s="265"/>
      <c r="AK90" s="265"/>
      <c r="AL90" s="265"/>
      <c r="AM90" s="265"/>
      <c r="AN90" s="265"/>
      <c r="AO90" s="265"/>
      <c r="AP90" s="265"/>
      <c r="AQ90" s="265"/>
      <c r="AR90" s="265"/>
      <c r="AS90" s="391"/>
      <c r="AT90" s="391"/>
      <c r="AU90" s="391"/>
      <c r="AV90" s="391"/>
      <c r="AW90" s="391"/>
      <c r="AX90" s="391"/>
      <c r="AY90" s="391"/>
      <c r="AZ90" s="265"/>
      <c r="BA90" s="265"/>
      <c r="BB90" s="265"/>
      <c r="BC90" s="265"/>
      <c r="BD90" s="265"/>
      <c r="BE90" s="260"/>
      <c r="BF90" s="260"/>
      <c r="BG90" s="260"/>
      <c r="BH90" s="260"/>
      <c r="BI90" s="260"/>
    </row>
    <row r="91" spans="1:61" ht="15">
      <c r="A91" s="267"/>
      <c r="B91" s="265"/>
      <c r="C91" s="265"/>
      <c r="D91" s="409"/>
      <c r="E91" s="265"/>
      <c r="F91" s="265"/>
      <c r="G91" s="265"/>
      <c r="H91" s="265"/>
      <c r="I91" s="265"/>
      <c r="J91" s="265"/>
      <c r="K91" s="265"/>
      <c r="L91" s="265"/>
      <c r="M91" s="265"/>
      <c r="N91" s="265"/>
      <c r="O91" s="265"/>
      <c r="P91" s="265"/>
      <c r="Q91" s="265"/>
      <c r="R91" s="265"/>
      <c r="S91" s="265"/>
      <c r="T91" s="265"/>
      <c r="U91" s="265"/>
      <c r="V91" s="265"/>
      <c r="W91" s="265"/>
      <c r="X91" s="265"/>
      <c r="Y91" s="265"/>
      <c r="Z91" s="265"/>
      <c r="AA91" s="265"/>
      <c r="AB91" s="265"/>
      <c r="AC91" s="265"/>
      <c r="AD91" s="265"/>
      <c r="AE91" s="265"/>
      <c r="AF91" s="265"/>
      <c r="AG91" s="265"/>
      <c r="AH91" s="265"/>
      <c r="AI91" s="265"/>
      <c r="AJ91" s="265"/>
      <c r="AK91" s="265"/>
      <c r="AL91" s="265"/>
      <c r="AM91" s="265"/>
      <c r="AN91" s="265"/>
      <c r="AO91" s="265"/>
      <c r="AP91" s="265"/>
      <c r="AQ91" s="265"/>
      <c r="AR91" s="265"/>
      <c r="AS91" s="391"/>
      <c r="AT91" s="391"/>
      <c r="AU91" s="391"/>
      <c r="AV91" s="391"/>
      <c r="AW91" s="391"/>
      <c r="AX91" s="391"/>
      <c r="AY91" s="391"/>
      <c r="AZ91" s="265"/>
      <c r="BA91" s="265"/>
      <c r="BB91" s="265"/>
      <c r="BC91" s="265"/>
      <c r="BD91" s="265"/>
      <c r="BE91" s="260"/>
      <c r="BF91" s="260"/>
      <c r="BG91" s="260"/>
      <c r="BH91" s="260"/>
      <c r="BI91" s="260"/>
    </row>
    <row r="92" spans="1:61" ht="15">
      <c r="A92" s="267"/>
      <c r="B92" s="780"/>
      <c r="C92" s="780"/>
      <c r="D92" s="780"/>
      <c r="E92" s="265"/>
      <c r="F92" s="265"/>
      <c r="G92" s="265"/>
      <c r="H92" s="265"/>
      <c r="I92" s="265"/>
      <c r="J92" s="265"/>
      <c r="K92" s="265"/>
      <c r="L92" s="265"/>
      <c r="M92" s="265"/>
      <c r="N92" s="265"/>
      <c r="O92" s="265"/>
      <c r="P92" s="265"/>
      <c r="Q92" s="265"/>
      <c r="R92" s="265"/>
      <c r="S92" s="265"/>
      <c r="T92" s="265"/>
      <c r="U92" s="265"/>
      <c r="V92" s="265"/>
      <c r="W92" s="265"/>
      <c r="X92" s="265"/>
      <c r="Y92" s="265"/>
      <c r="Z92" s="265"/>
      <c r="AA92" s="265"/>
      <c r="AB92" s="265"/>
      <c r="AC92" s="265"/>
      <c r="AD92" s="265"/>
      <c r="AE92" s="265"/>
      <c r="AF92" s="265"/>
      <c r="AG92" s="265"/>
      <c r="AH92" s="265"/>
      <c r="AI92" s="265"/>
      <c r="AJ92" s="265"/>
      <c r="AK92" s="265"/>
      <c r="AL92" s="265"/>
      <c r="AM92" s="265"/>
      <c r="AN92" s="265"/>
      <c r="AO92" s="265"/>
      <c r="AP92" s="265"/>
      <c r="AQ92" s="265"/>
      <c r="AR92" s="265"/>
      <c r="AS92" s="391"/>
      <c r="AT92" s="391"/>
      <c r="AU92" s="391"/>
      <c r="AV92" s="391"/>
      <c r="AW92" s="391"/>
      <c r="AX92" s="391"/>
      <c r="AY92" s="391"/>
      <c r="AZ92" s="265"/>
      <c r="BA92" s="265"/>
      <c r="BB92" s="265"/>
      <c r="BC92" s="265"/>
      <c r="BD92" s="265"/>
      <c r="BE92" s="260"/>
      <c r="BF92" s="260"/>
      <c r="BG92" s="260"/>
      <c r="BH92" s="260"/>
      <c r="BI92" s="260"/>
    </row>
    <row r="93" spans="1:61" ht="15">
      <c r="A93" s="267"/>
      <c r="B93" s="265"/>
      <c r="C93" s="265"/>
      <c r="D93" s="409"/>
      <c r="E93" s="265"/>
      <c r="F93" s="265"/>
      <c r="G93" s="265"/>
      <c r="H93" s="265"/>
      <c r="I93" s="265"/>
      <c r="J93" s="265"/>
      <c r="K93" s="265"/>
      <c r="L93" s="265"/>
      <c r="M93" s="265"/>
      <c r="N93" s="265"/>
      <c r="O93" s="265"/>
      <c r="P93" s="265"/>
      <c r="Q93" s="265"/>
      <c r="R93" s="265"/>
      <c r="S93" s="265"/>
      <c r="T93" s="265"/>
      <c r="U93" s="265"/>
      <c r="V93" s="265"/>
      <c r="W93" s="265"/>
      <c r="X93" s="265"/>
      <c r="Y93" s="265"/>
      <c r="Z93" s="265"/>
      <c r="AA93" s="265"/>
      <c r="AB93" s="265"/>
      <c r="AC93" s="265"/>
      <c r="AD93" s="265"/>
      <c r="AE93" s="265"/>
      <c r="AF93" s="265"/>
      <c r="AG93" s="265"/>
      <c r="AH93" s="265"/>
      <c r="AI93" s="265"/>
      <c r="AJ93" s="265"/>
      <c r="AK93" s="265"/>
      <c r="AL93" s="265"/>
      <c r="AM93" s="265"/>
      <c r="AN93" s="265"/>
      <c r="AO93" s="265"/>
      <c r="AP93" s="265"/>
      <c r="AQ93" s="265"/>
      <c r="AR93" s="265"/>
      <c r="AS93" s="391"/>
      <c r="AT93" s="391"/>
      <c r="AU93" s="391"/>
      <c r="AV93" s="391"/>
      <c r="AW93" s="391"/>
      <c r="AX93" s="391"/>
      <c r="AY93" s="391"/>
      <c r="AZ93" s="265"/>
      <c r="BA93" s="265"/>
      <c r="BB93" s="265"/>
      <c r="BC93" s="265"/>
      <c r="BD93" s="265"/>
      <c r="BE93" s="260"/>
      <c r="BF93" s="260"/>
      <c r="BG93" s="260"/>
      <c r="BH93" s="260"/>
      <c r="BI93" s="260"/>
    </row>
    <row r="94" spans="1:61" ht="15">
      <c r="A94" s="267"/>
      <c r="B94" s="780"/>
      <c r="C94" s="780"/>
      <c r="D94" s="780"/>
      <c r="E94" s="265"/>
      <c r="F94" s="265"/>
      <c r="G94" s="265"/>
      <c r="H94" s="265"/>
      <c r="I94" s="265"/>
      <c r="J94" s="265"/>
      <c r="K94" s="265"/>
      <c r="L94" s="265"/>
      <c r="M94" s="265"/>
      <c r="N94" s="265"/>
      <c r="O94" s="265"/>
      <c r="P94" s="265"/>
      <c r="Q94" s="265"/>
      <c r="R94" s="265"/>
      <c r="S94" s="265"/>
      <c r="T94" s="265"/>
      <c r="U94" s="265"/>
      <c r="V94" s="265"/>
      <c r="W94" s="265"/>
      <c r="X94" s="265"/>
      <c r="Y94" s="265"/>
      <c r="Z94" s="265"/>
      <c r="AA94" s="265"/>
      <c r="AB94" s="265"/>
      <c r="AC94" s="265"/>
      <c r="AD94" s="265"/>
      <c r="AE94" s="265"/>
      <c r="AF94" s="265"/>
      <c r="AG94" s="265"/>
      <c r="AH94" s="265"/>
      <c r="AI94" s="265"/>
      <c r="AJ94" s="265"/>
      <c r="AK94" s="265"/>
      <c r="AL94" s="265"/>
      <c r="AM94" s="265"/>
      <c r="AN94" s="265"/>
      <c r="AO94" s="265"/>
      <c r="AP94" s="265"/>
      <c r="AQ94" s="265"/>
      <c r="AR94" s="265"/>
      <c r="AS94" s="391"/>
      <c r="AT94" s="391"/>
      <c r="AU94" s="391"/>
      <c r="AV94" s="391"/>
      <c r="AW94" s="391"/>
      <c r="AX94" s="391"/>
      <c r="AY94" s="391"/>
      <c r="AZ94" s="265"/>
      <c r="BA94" s="265"/>
      <c r="BB94" s="265"/>
      <c r="BC94" s="265"/>
      <c r="BD94" s="265"/>
      <c r="BE94" s="260"/>
      <c r="BF94" s="260"/>
      <c r="BG94" s="260"/>
      <c r="BH94" s="260"/>
      <c r="BI94" s="260"/>
    </row>
    <row r="95" spans="1:61" ht="15">
      <c r="A95" s="267"/>
      <c r="B95" s="265"/>
      <c r="C95" s="265"/>
      <c r="D95" s="409"/>
      <c r="E95" s="265"/>
      <c r="F95" s="265"/>
      <c r="G95" s="265"/>
      <c r="H95" s="265"/>
      <c r="I95" s="265"/>
      <c r="J95" s="265"/>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265"/>
      <c r="AK95" s="265"/>
      <c r="AL95" s="265"/>
      <c r="AM95" s="265"/>
      <c r="AN95" s="265"/>
      <c r="AO95" s="265"/>
      <c r="AP95" s="265"/>
      <c r="AQ95" s="265"/>
      <c r="AR95" s="265"/>
      <c r="AS95" s="391"/>
      <c r="AT95" s="391"/>
      <c r="AU95" s="391"/>
      <c r="AV95" s="391"/>
      <c r="AW95" s="391"/>
      <c r="AX95" s="391"/>
      <c r="AY95" s="391"/>
      <c r="AZ95" s="265"/>
      <c r="BA95" s="265"/>
      <c r="BB95" s="265"/>
      <c r="BC95" s="265"/>
      <c r="BD95" s="265"/>
      <c r="BE95" s="260"/>
      <c r="BF95" s="260"/>
      <c r="BG95" s="260"/>
      <c r="BH95" s="260"/>
      <c r="BI95" s="260"/>
    </row>
    <row r="96" spans="1:61" ht="15">
      <c r="A96" s="267"/>
      <c r="B96" s="265"/>
      <c r="C96" s="265"/>
      <c r="D96" s="409"/>
      <c r="E96" s="265"/>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65"/>
      <c r="AP96" s="265"/>
      <c r="AQ96" s="265"/>
      <c r="AR96" s="265"/>
      <c r="AS96" s="391"/>
      <c r="AT96" s="391"/>
      <c r="AU96" s="391"/>
      <c r="AV96" s="391"/>
      <c r="AW96" s="391"/>
      <c r="AX96" s="391"/>
      <c r="AY96" s="391"/>
      <c r="AZ96" s="265"/>
      <c r="BA96" s="265"/>
      <c r="BB96" s="265"/>
      <c r="BC96" s="265"/>
      <c r="BD96" s="265"/>
      <c r="BE96" s="260"/>
      <c r="BF96" s="260"/>
      <c r="BG96" s="260"/>
      <c r="BH96" s="260"/>
      <c r="BI96" s="260"/>
    </row>
    <row r="97" spans="1:61" ht="15">
      <c r="A97" s="267"/>
      <c r="B97" s="265"/>
      <c r="C97" s="265"/>
      <c r="D97" s="409"/>
      <c r="E97" s="265"/>
      <c r="F97" s="265"/>
      <c r="G97" s="265"/>
      <c r="H97" s="265"/>
      <c r="I97" s="265"/>
      <c r="J97" s="265"/>
      <c r="K97" s="265"/>
      <c r="L97" s="265"/>
      <c r="M97" s="265"/>
      <c r="N97" s="265"/>
      <c r="O97" s="265"/>
      <c r="P97" s="265"/>
      <c r="Q97" s="265"/>
      <c r="R97" s="265"/>
      <c r="S97" s="265"/>
      <c r="T97" s="265"/>
      <c r="U97" s="265"/>
      <c r="V97" s="265"/>
      <c r="W97" s="265"/>
      <c r="X97" s="265"/>
      <c r="Y97" s="265"/>
      <c r="Z97" s="265"/>
      <c r="AA97" s="265"/>
      <c r="AB97" s="265"/>
      <c r="AC97" s="265"/>
      <c r="AD97" s="265"/>
      <c r="AE97" s="265"/>
      <c r="AF97" s="265"/>
      <c r="AG97" s="265"/>
      <c r="AH97" s="265"/>
      <c r="AI97" s="265"/>
      <c r="AJ97" s="265"/>
      <c r="AK97" s="265"/>
      <c r="AL97" s="265"/>
      <c r="AM97" s="265"/>
      <c r="AN97" s="265"/>
      <c r="AO97" s="265"/>
      <c r="AP97" s="265"/>
      <c r="AQ97" s="265"/>
      <c r="AR97" s="265"/>
      <c r="AS97" s="391"/>
      <c r="AT97" s="391"/>
      <c r="AU97" s="391"/>
      <c r="AV97" s="391"/>
      <c r="AW97" s="391"/>
      <c r="AX97" s="391"/>
      <c r="AY97" s="391"/>
      <c r="AZ97" s="265"/>
      <c r="BA97" s="265"/>
      <c r="BB97" s="265"/>
      <c r="BC97" s="265"/>
      <c r="BD97" s="265"/>
      <c r="BE97" s="260"/>
      <c r="BF97" s="260"/>
      <c r="BG97" s="260"/>
      <c r="BH97" s="260"/>
      <c r="BI97" s="260"/>
    </row>
    <row r="98" spans="1:61" ht="15">
      <c r="A98" s="267"/>
      <c r="B98" s="265"/>
      <c r="C98" s="265"/>
      <c r="D98" s="409"/>
      <c r="E98" s="265"/>
      <c r="F98" s="265"/>
      <c r="G98" s="265"/>
      <c r="H98" s="265"/>
      <c r="I98" s="265"/>
      <c r="J98" s="265"/>
      <c r="K98" s="265"/>
      <c r="L98" s="265"/>
      <c r="M98" s="265"/>
      <c r="N98" s="265"/>
      <c r="O98" s="265"/>
      <c r="P98" s="265"/>
      <c r="Q98" s="265"/>
      <c r="R98" s="265"/>
      <c r="S98" s="265"/>
      <c r="T98" s="265"/>
      <c r="U98" s="265"/>
      <c r="V98" s="265"/>
      <c r="W98" s="265"/>
      <c r="X98" s="265"/>
      <c r="Y98" s="265"/>
      <c r="Z98" s="265"/>
      <c r="AA98" s="265"/>
      <c r="AB98" s="265"/>
      <c r="AC98" s="265"/>
      <c r="AD98" s="265"/>
      <c r="AE98" s="265"/>
      <c r="AF98" s="265"/>
      <c r="AG98" s="265"/>
      <c r="AH98" s="265"/>
      <c r="AI98" s="265"/>
      <c r="AJ98" s="265"/>
      <c r="AK98" s="265"/>
      <c r="AL98" s="265"/>
      <c r="AM98" s="265"/>
      <c r="AN98" s="265"/>
      <c r="AO98" s="265"/>
      <c r="AP98" s="265"/>
      <c r="AQ98" s="265"/>
      <c r="AR98" s="265"/>
      <c r="AS98" s="391"/>
      <c r="AT98" s="391"/>
      <c r="AU98" s="391"/>
      <c r="AV98" s="391"/>
      <c r="AW98" s="391"/>
      <c r="AX98" s="391"/>
      <c r="AY98" s="391"/>
      <c r="AZ98" s="265"/>
      <c r="BA98" s="265"/>
      <c r="BB98" s="265"/>
      <c r="BC98" s="265"/>
      <c r="BD98" s="265"/>
      <c r="BE98" s="260"/>
      <c r="BF98" s="260"/>
      <c r="BG98" s="260"/>
      <c r="BH98" s="260"/>
      <c r="BI98" s="260"/>
    </row>
    <row r="99" spans="1:61" ht="15">
      <c r="A99" s="267"/>
      <c r="B99" s="265"/>
      <c r="C99" s="265"/>
      <c r="D99" s="409"/>
      <c r="E99" s="265"/>
      <c r="F99" s="265"/>
      <c r="G99" s="265"/>
      <c r="H99" s="265"/>
      <c r="I99" s="265"/>
      <c r="J99" s="265"/>
      <c r="K99" s="265"/>
      <c r="L99" s="265"/>
      <c r="M99" s="265"/>
      <c r="N99" s="265"/>
      <c r="O99" s="265"/>
      <c r="P99" s="265"/>
      <c r="Q99" s="265"/>
      <c r="R99" s="265"/>
      <c r="S99" s="265"/>
      <c r="T99" s="265"/>
      <c r="U99" s="265"/>
      <c r="V99" s="265"/>
      <c r="W99" s="265"/>
      <c r="X99" s="265"/>
      <c r="Y99" s="265"/>
      <c r="Z99" s="265"/>
      <c r="AA99" s="265"/>
      <c r="AB99" s="265"/>
      <c r="AC99" s="265"/>
      <c r="AD99" s="265"/>
      <c r="AE99" s="265"/>
      <c r="AF99" s="265"/>
      <c r="AG99" s="265"/>
      <c r="AH99" s="265"/>
      <c r="AI99" s="265"/>
      <c r="AJ99" s="265"/>
      <c r="AK99" s="265"/>
      <c r="AL99" s="265"/>
      <c r="AM99" s="265"/>
      <c r="AN99" s="265"/>
      <c r="AO99" s="265"/>
      <c r="AP99" s="265"/>
      <c r="AQ99" s="265"/>
      <c r="AR99" s="265"/>
      <c r="AS99" s="391"/>
      <c r="AT99" s="391"/>
      <c r="AU99" s="391"/>
      <c r="AV99" s="391"/>
      <c r="AW99" s="391"/>
      <c r="AX99" s="391"/>
      <c r="AY99" s="391"/>
      <c r="AZ99" s="265"/>
      <c r="BA99" s="265"/>
      <c r="BB99" s="265"/>
      <c r="BC99" s="265"/>
      <c r="BD99" s="265"/>
      <c r="BE99" s="260"/>
      <c r="BF99" s="260"/>
      <c r="BG99" s="260"/>
      <c r="BH99" s="260"/>
      <c r="BI99" s="260"/>
    </row>
    <row r="100" spans="1:61" ht="15">
      <c r="A100" s="412"/>
      <c r="B100" s="391"/>
      <c r="C100" s="391"/>
      <c r="D100" s="413"/>
      <c r="E100" s="391"/>
      <c r="F100" s="391"/>
      <c r="G100" s="391"/>
      <c r="H100" s="391"/>
      <c r="I100" s="391"/>
      <c r="J100" s="391"/>
      <c r="K100" s="391"/>
      <c r="L100" s="391"/>
      <c r="M100" s="391"/>
      <c r="N100" s="391"/>
      <c r="O100" s="391"/>
      <c r="P100" s="391"/>
      <c r="Q100" s="391"/>
      <c r="R100" s="391"/>
      <c r="S100" s="391"/>
      <c r="T100" s="265"/>
      <c r="U100" s="265"/>
      <c r="V100" s="265"/>
      <c r="W100" s="265"/>
      <c r="X100" s="265"/>
      <c r="Y100" s="265"/>
      <c r="Z100" s="265"/>
      <c r="AA100" s="265"/>
      <c r="AB100" s="265"/>
      <c r="AC100" s="265"/>
      <c r="AD100" s="265"/>
      <c r="AE100" s="265"/>
      <c r="AF100" s="265"/>
      <c r="AG100" s="265"/>
      <c r="AH100" s="265"/>
      <c r="AI100" s="265"/>
      <c r="AJ100" s="265"/>
      <c r="AK100" s="265"/>
      <c r="AL100" s="265"/>
      <c r="AM100" s="265"/>
      <c r="AN100" s="265"/>
      <c r="AO100" s="265"/>
      <c r="AP100" s="265"/>
      <c r="AQ100" s="265"/>
      <c r="AR100" s="265"/>
      <c r="AS100" s="391"/>
      <c r="AT100" s="391"/>
      <c r="AU100" s="391"/>
      <c r="AV100" s="391"/>
      <c r="AW100" s="391"/>
      <c r="AX100" s="391"/>
      <c r="AY100" s="391"/>
      <c r="AZ100" s="265"/>
      <c r="BA100" s="265"/>
      <c r="BB100" s="265"/>
      <c r="BC100" s="265"/>
      <c r="BD100" s="265"/>
      <c r="BE100" s="260"/>
      <c r="BF100" s="260"/>
      <c r="BG100" s="260"/>
      <c r="BH100" s="260"/>
      <c r="BI100" s="260"/>
    </row>
    <row r="101" spans="1:61" ht="15">
      <c r="A101" s="412"/>
      <c r="B101" s="391"/>
      <c r="C101" s="391"/>
      <c r="D101" s="413"/>
      <c r="E101" s="391"/>
      <c r="F101" s="391"/>
      <c r="G101" s="391"/>
      <c r="H101" s="391"/>
      <c r="I101" s="391"/>
      <c r="J101" s="391"/>
      <c r="K101" s="391"/>
      <c r="L101" s="391"/>
      <c r="M101" s="391"/>
      <c r="N101" s="391"/>
      <c r="O101" s="391"/>
      <c r="P101" s="391"/>
      <c r="Q101" s="391"/>
      <c r="R101" s="391"/>
      <c r="S101" s="391"/>
      <c r="T101" s="265"/>
      <c r="U101" s="265"/>
      <c r="V101" s="265"/>
      <c r="W101" s="265"/>
      <c r="X101" s="265"/>
      <c r="Y101" s="265"/>
      <c r="Z101" s="265"/>
      <c r="AA101" s="265"/>
      <c r="AB101" s="265"/>
      <c r="AC101" s="265"/>
      <c r="AD101" s="265"/>
      <c r="AE101" s="265"/>
      <c r="AF101" s="265"/>
      <c r="AG101" s="265"/>
      <c r="AH101" s="265"/>
      <c r="AI101" s="265"/>
      <c r="AJ101" s="265"/>
      <c r="AK101" s="265"/>
      <c r="AL101" s="265"/>
      <c r="AM101" s="265"/>
      <c r="AN101" s="265"/>
      <c r="AO101" s="265"/>
      <c r="AP101" s="265"/>
      <c r="AQ101" s="265"/>
      <c r="AR101" s="265"/>
      <c r="AS101" s="391"/>
      <c r="AT101" s="391"/>
      <c r="AU101" s="391"/>
      <c r="AV101" s="391"/>
      <c r="AW101" s="391"/>
      <c r="AX101" s="391"/>
      <c r="AY101" s="391"/>
      <c r="AZ101" s="265"/>
      <c r="BA101" s="265"/>
      <c r="BB101" s="265"/>
      <c r="BC101" s="265"/>
      <c r="BD101" s="265"/>
      <c r="BE101" s="260"/>
      <c r="BF101" s="260"/>
      <c r="BG101" s="260"/>
      <c r="BH101" s="260"/>
      <c r="BI101" s="260"/>
    </row>
    <row r="102" spans="1:61" ht="15">
      <c r="A102" s="412"/>
      <c r="B102" s="391"/>
      <c r="C102" s="391"/>
      <c r="D102" s="413"/>
      <c r="E102" s="391"/>
      <c r="F102" s="391"/>
      <c r="G102" s="391"/>
      <c r="H102" s="391"/>
      <c r="I102" s="391"/>
      <c r="J102" s="391"/>
      <c r="K102" s="391"/>
      <c r="L102" s="391"/>
      <c r="M102" s="391"/>
      <c r="N102" s="391"/>
      <c r="O102" s="391"/>
      <c r="P102" s="391"/>
      <c r="Q102" s="391"/>
      <c r="R102" s="391"/>
      <c r="S102" s="391"/>
      <c r="T102" s="265"/>
      <c r="U102" s="265"/>
      <c r="V102" s="265"/>
      <c r="W102" s="265"/>
      <c r="X102" s="265"/>
      <c r="Y102" s="265"/>
      <c r="Z102" s="265"/>
      <c r="AA102" s="265"/>
      <c r="AB102" s="265"/>
      <c r="AC102" s="265"/>
      <c r="AD102" s="265"/>
      <c r="AE102" s="265"/>
      <c r="AF102" s="265"/>
      <c r="AG102" s="265"/>
      <c r="AH102" s="265"/>
      <c r="AI102" s="265"/>
      <c r="AJ102" s="265"/>
      <c r="AK102" s="265"/>
      <c r="AL102" s="265"/>
      <c r="AM102" s="265"/>
      <c r="AN102" s="265"/>
      <c r="AO102" s="265"/>
      <c r="AP102" s="265"/>
      <c r="AQ102" s="265"/>
      <c r="AR102" s="265"/>
      <c r="AS102" s="391"/>
      <c r="AT102" s="391"/>
      <c r="AU102" s="391"/>
      <c r="AV102" s="391"/>
      <c r="AW102" s="391"/>
      <c r="AX102" s="391"/>
      <c r="AY102" s="391"/>
      <c r="AZ102" s="265"/>
      <c r="BA102" s="265"/>
      <c r="BB102" s="265"/>
      <c r="BC102" s="265"/>
      <c r="BD102" s="265"/>
      <c r="BE102" s="260"/>
      <c r="BF102" s="260"/>
      <c r="BG102" s="260"/>
      <c r="BH102" s="260"/>
      <c r="BI102" s="260"/>
    </row>
    <row r="103" spans="1:61" ht="15.75">
      <c r="A103" s="414"/>
      <c r="B103" s="414"/>
      <c r="C103" s="414"/>
      <c r="D103" s="415"/>
      <c r="E103" s="305"/>
      <c r="F103" s="305"/>
      <c r="G103" s="305"/>
      <c r="H103" s="305"/>
      <c r="I103" s="305"/>
      <c r="J103" s="305"/>
      <c r="K103" s="305"/>
      <c r="L103" s="305"/>
      <c r="M103" s="305"/>
      <c r="N103" s="305"/>
      <c r="O103" s="391"/>
      <c r="P103" s="391"/>
      <c r="Q103" s="391"/>
      <c r="R103" s="391"/>
      <c r="S103" s="391"/>
      <c r="T103" s="265"/>
      <c r="U103" s="265"/>
      <c r="V103" s="265"/>
      <c r="W103" s="265"/>
      <c r="X103" s="265"/>
      <c r="Y103" s="265"/>
      <c r="Z103" s="265"/>
      <c r="AA103" s="265"/>
      <c r="AB103" s="265"/>
      <c r="AC103" s="265"/>
      <c r="AD103" s="265"/>
      <c r="AE103" s="265"/>
      <c r="AF103" s="265"/>
      <c r="AG103" s="265"/>
      <c r="AH103" s="265"/>
      <c r="AI103" s="265"/>
      <c r="AJ103" s="265"/>
      <c r="AK103" s="265"/>
      <c r="AL103" s="265"/>
      <c r="AM103" s="265"/>
      <c r="AN103" s="265"/>
      <c r="AO103" s="265"/>
      <c r="AP103" s="265"/>
      <c r="AQ103" s="265"/>
      <c r="AR103" s="265"/>
      <c r="AS103" s="391"/>
      <c r="AT103" s="391"/>
      <c r="AU103" s="391"/>
      <c r="AV103" s="391"/>
      <c r="AW103" s="391"/>
      <c r="AX103" s="391"/>
      <c r="AY103" s="391"/>
      <c r="AZ103" s="265"/>
      <c r="BA103" s="265"/>
      <c r="BB103" s="265"/>
      <c r="BC103" s="265"/>
      <c r="BD103" s="265"/>
      <c r="BE103" s="260"/>
      <c r="BF103" s="260"/>
      <c r="BG103" s="260"/>
      <c r="BH103" s="260"/>
      <c r="BI103" s="260"/>
    </row>
    <row r="104" spans="1:61" ht="15">
      <c r="A104" s="412"/>
      <c r="B104" s="391"/>
      <c r="C104" s="391"/>
      <c r="D104" s="413"/>
      <c r="E104" s="391"/>
      <c r="F104" s="391"/>
      <c r="G104" s="391"/>
      <c r="H104" s="391"/>
      <c r="I104" s="391"/>
      <c r="J104" s="391"/>
      <c r="K104" s="391"/>
      <c r="L104" s="391"/>
      <c r="M104" s="391"/>
      <c r="N104" s="391"/>
      <c r="O104" s="391"/>
      <c r="P104" s="391"/>
      <c r="Q104" s="391"/>
      <c r="R104" s="391"/>
      <c r="S104" s="391"/>
      <c r="T104" s="265"/>
      <c r="U104" s="265"/>
      <c r="V104" s="265"/>
      <c r="W104" s="265"/>
      <c r="X104" s="265"/>
      <c r="Y104" s="265"/>
      <c r="Z104" s="265"/>
      <c r="AA104" s="265"/>
      <c r="AB104" s="265"/>
      <c r="AC104" s="265"/>
      <c r="AD104" s="265"/>
      <c r="AE104" s="265"/>
      <c r="AF104" s="265"/>
      <c r="AG104" s="265"/>
      <c r="AH104" s="265"/>
      <c r="AI104" s="265"/>
      <c r="AJ104" s="265"/>
      <c r="AK104" s="265"/>
      <c r="AL104" s="265"/>
      <c r="AM104" s="265"/>
      <c r="AN104" s="265"/>
      <c r="AO104" s="265"/>
      <c r="AP104" s="265"/>
      <c r="AQ104" s="265"/>
      <c r="AR104" s="265"/>
      <c r="AS104" s="391"/>
      <c r="AT104" s="391"/>
      <c r="AU104" s="391"/>
      <c r="AV104" s="391"/>
      <c r="AW104" s="391"/>
      <c r="AX104" s="391"/>
      <c r="AY104" s="391"/>
      <c r="AZ104" s="265"/>
      <c r="BA104" s="265"/>
      <c r="BB104" s="265"/>
      <c r="BC104" s="265"/>
      <c r="BD104" s="265"/>
      <c r="BE104" s="260"/>
      <c r="BF104" s="260"/>
      <c r="BG104" s="260"/>
      <c r="BH104" s="260"/>
      <c r="BI104" s="260"/>
    </row>
    <row r="105" spans="1:61" ht="15">
      <c r="A105" s="412"/>
      <c r="B105" s="391"/>
      <c r="C105" s="391"/>
      <c r="D105" s="413"/>
      <c r="E105" s="391"/>
      <c r="F105" s="391"/>
      <c r="G105" s="391"/>
      <c r="H105" s="391"/>
      <c r="I105" s="391"/>
      <c r="J105" s="391"/>
      <c r="K105" s="391"/>
      <c r="L105" s="391"/>
      <c r="M105" s="391"/>
      <c r="N105" s="391"/>
      <c r="O105" s="391"/>
      <c r="P105" s="391"/>
      <c r="Q105" s="391"/>
      <c r="R105" s="391"/>
      <c r="S105" s="391"/>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391"/>
      <c r="AT105" s="391"/>
      <c r="AU105" s="391"/>
      <c r="AV105" s="391"/>
      <c r="AW105" s="391"/>
      <c r="AX105" s="391"/>
      <c r="AY105" s="391"/>
      <c r="AZ105" s="265"/>
      <c r="BA105" s="265"/>
      <c r="BB105" s="265"/>
      <c r="BC105" s="265"/>
      <c r="BD105" s="265"/>
      <c r="BE105" s="260"/>
      <c r="BF105" s="260"/>
      <c r="BG105" s="260"/>
      <c r="BH105" s="260"/>
      <c r="BI105" s="260"/>
    </row>
    <row r="106" spans="1:61" ht="15">
      <c r="A106" s="412"/>
      <c r="B106" s="391"/>
      <c r="C106" s="391"/>
      <c r="D106" s="413"/>
      <c r="E106" s="391"/>
      <c r="F106" s="391"/>
      <c r="G106" s="391"/>
      <c r="H106" s="391"/>
      <c r="I106" s="391"/>
      <c r="J106" s="391"/>
      <c r="K106" s="391"/>
      <c r="L106" s="391"/>
      <c r="M106" s="391"/>
      <c r="N106" s="391"/>
      <c r="O106" s="391"/>
      <c r="P106" s="391"/>
      <c r="Q106" s="391"/>
      <c r="R106" s="391"/>
      <c r="S106" s="391"/>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5"/>
      <c r="AP106" s="265"/>
      <c r="AQ106" s="265"/>
      <c r="AR106" s="265"/>
      <c r="AS106" s="391"/>
      <c r="AT106" s="391"/>
      <c r="AU106" s="391"/>
      <c r="AV106" s="391"/>
      <c r="AW106" s="391"/>
      <c r="AX106" s="391"/>
      <c r="AY106" s="391"/>
      <c r="AZ106" s="265"/>
      <c r="BA106" s="265"/>
      <c r="BB106" s="265"/>
      <c r="BC106" s="265"/>
      <c r="BD106" s="265"/>
      <c r="BE106" s="260"/>
      <c r="BF106" s="260"/>
      <c r="BG106" s="260"/>
      <c r="BH106" s="260"/>
      <c r="BI106" s="260"/>
    </row>
    <row r="107" spans="1:61" ht="15">
      <c r="A107" s="412"/>
      <c r="B107" s="391"/>
      <c r="C107" s="391"/>
      <c r="D107" s="413"/>
      <c r="E107" s="391"/>
      <c r="F107" s="391"/>
      <c r="G107" s="391"/>
      <c r="H107" s="391"/>
      <c r="I107" s="391"/>
      <c r="J107" s="391"/>
      <c r="K107" s="391"/>
      <c r="L107" s="391"/>
      <c r="M107" s="391"/>
      <c r="N107" s="391"/>
      <c r="O107" s="391"/>
      <c r="P107" s="391"/>
      <c r="Q107" s="391"/>
      <c r="R107" s="391"/>
      <c r="S107" s="391"/>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391"/>
      <c r="AT107" s="391"/>
      <c r="AU107" s="391"/>
      <c r="AV107" s="391"/>
      <c r="AW107" s="391"/>
      <c r="AX107" s="391"/>
      <c r="AY107" s="391"/>
      <c r="AZ107" s="265"/>
      <c r="BA107" s="265"/>
      <c r="BB107" s="265"/>
      <c r="BC107" s="265"/>
      <c r="BD107" s="265"/>
      <c r="BE107" s="260"/>
      <c r="BF107" s="260"/>
      <c r="BG107" s="260"/>
      <c r="BH107" s="260"/>
      <c r="BI107" s="260"/>
    </row>
    <row r="108" spans="1:61" ht="15">
      <c r="A108" s="412"/>
      <c r="B108" s="391"/>
      <c r="C108" s="391"/>
      <c r="D108" s="413"/>
      <c r="E108" s="391"/>
      <c r="F108" s="391"/>
      <c r="G108" s="391"/>
      <c r="H108" s="391"/>
      <c r="I108" s="391"/>
      <c r="J108" s="391"/>
      <c r="K108" s="391"/>
      <c r="L108" s="391"/>
      <c r="M108" s="391"/>
      <c r="N108" s="391"/>
      <c r="O108" s="391"/>
      <c r="P108" s="391"/>
      <c r="Q108" s="391"/>
      <c r="R108" s="391"/>
      <c r="S108" s="391"/>
      <c r="T108" s="265"/>
      <c r="U108" s="265"/>
      <c r="V108" s="265"/>
      <c r="W108" s="265"/>
      <c r="X108" s="265"/>
      <c r="Y108" s="265"/>
      <c r="Z108" s="265"/>
      <c r="AA108" s="265"/>
      <c r="AB108" s="265"/>
      <c r="AC108" s="265"/>
      <c r="AD108" s="265"/>
      <c r="AE108" s="265"/>
      <c r="AF108" s="265"/>
      <c r="AG108" s="265"/>
      <c r="AH108" s="265"/>
      <c r="AI108" s="265"/>
      <c r="AJ108" s="265"/>
      <c r="AK108" s="265"/>
      <c r="AL108" s="265"/>
      <c r="AM108" s="265"/>
      <c r="AN108" s="265"/>
      <c r="AO108" s="265"/>
      <c r="AP108" s="265"/>
      <c r="AQ108" s="265"/>
      <c r="AR108" s="265"/>
      <c r="AS108" s="391"/>
      <c r="AT108" s="391"/>
      <c r="AU108" s="391"/>
      <c r="AV108" s="391"/>
      <c r="AW108" s="391"/>
      <c r="AX108" s="391"/>
      <c r="AY108" s="391"/>
      <c r="AZ108" s="265"/>
      <c r="BA108" s="265"/>
      <c r="BB108" s="265"/>
      <c r="BC108" s="265"/>
      <c r="BD108" s="265"/>
      <c r="BE108" s="260"/>
      <c r="BF108" s="260"/>
      <c r="BG108" s="260"/>
      <c r="BH108" s="260"/>
      <c r="BI108" s="260"/>
    </row>
    <row r="109" spans="1:61" ht="15">
      <c r="A109" s="412"/>
      <c r="B109" s="391"/>
      <c r="C109" s="391"/>
      <c r="D109" s="413"/>
      <c r="E109" s="391"/>
      <c r="F109" s="391"/>
      <c r="G109" s="391"/>
      <c r="H109" s="391"/>
      <c r="I109" s="391"/>
      <c r="J109" s="391"/>
      <c r="K109" s="391"/>
      <c r="L109" s="391"/>
      <c r="M109" s="391"/>
      <c r="N109" s="391"/>
      <c r="O109" s="391"/>
      <c r="P109" s="391"/>
      <c r="Q109" s="391"/>
      <c r="R109" s="391"/>
      <c r="S109" s="391"/>
      <c r="T109" s="265"/>
      <c r="U109" s="265"/>
      <c r="V109" s="265"/>
      <c r="W109" s="265"/>
      <c r="X109" s="265"/>
      <c r="Y109" s="265"/>
      <c r="Z109" s="265"/>
      <c r="AA109" s="265"/>
      <c r="AB109" s="265"/>
      <c r="AC109" s="265"/>
      <c r="AD109" s="265"/>
      <c r="AE109" s="265"/>
      <c r="AF109" s="265"/>
      <c r="AG109" s="265"/>
      <c r="AH109" s="265"/>
      <c r="AI109" s="265"/>
      <c r="AJ109" s="265"/>
      <c r="AK109" s="265"/>
      <c r="AL109" s="265"/>
      <c r="AM109" s="265"/>
      <c r="AN109" s="265"/>
      <c r="AO109" s="265"/>
      <c r="AP109" s="265"/>
      <c r="AQ109" s="265"/>
      <c r="AR109" s="265"/>
      <c r="AS109" s="391"/>
      <c r="AT109" s="391"/>
      <c r="AU109" s="391"/>
      <c r="AV109" s="391"/>
      <c r="AW109" s="391"/>
      <c r="AX109" s="391"/>
      <c r="AY109" s="391"/>
      <c r="AZ109" s="265"/>
      <c r="BA109" s="265"/>
      <c r="BB109" s="265"/>
      <c r="BC109" s="265"/>
      <c r="BD109" s="265"/>
      <c r="BE109" s="260"/>
      <c r="BF109" s="260"/>
      <c r="BG109" s="260"/>
      <c r="BH109" s="260"/>
      <c r="BI109" s="260"/>
    </row>
    <row r="110" spans="1:61" ht="15.75">
      <c r="A110" s="412"/>
      <c r="B110" s="391"/>
      <c r="C110" s="391"/>
      <c r="D110" s="413"/>
      <c r="E110" s="391"/>
      <c r="F110" s="391"/>
      <c r="G110" s="391"/>
      <c r="H110" s="391"/>
      <c r="I110" s="391"/>
      <c r="J110" s="391"/>
      <c r="K110" s="391"/>
      <c r="L110" s="391"/>
      <c r="M110" s="391"/>
      <c r="N110" s="391"/>
      <c r="O110" s="391"/>
      <c r="P110" s="391"/>
      <c r="Q110" s="391"/>
      <c r="R110" s="391"/>
      <c r="S110" s="391"/>
      <c r="T110" s="265"/>
      <c r="U110" s="265"/>
      <c r="V110" s="265"/>
      <c r="W110" s="416"/>
      <c r="X110" s="265"/>
      <c r="Y110" s="265"/>
      <c r="Z110" s="265"/>
      <c r="AA110" s="265"/>
      <c r="AB110" s="265"/>
      <c r="AC110" s="265"/>
      <c r="AD110" s="265"/>
      <c r="AE110" s="265"/>
      <c r="AF110" s="265"/>
      <c r="AG110" s="265"/>
      <c r="AH110" s="265"/>
      <c r="AI110" s="265"/>
      <c r="AJ110" s="265"/>
      <c r="AK110" s="265"/>
      <c r="AL110" s="265"/>
      <c r="AM110" s="265"/>
      <c r="AN110" s="265"/>
      <c r="AO110" s="265"/>
      <c r="AP110" s="265"/>
      <c r="AQ110" s="265"/>
      <c r="AR110" s="265"/>
      <c r="AS110" s="391"/>
      <c r="AT110" s="391"/>
      <c r="AU110" s="391"/>
      <c r="AV110" s="391"/>
      <c r="AW110" s="391"/>
      <c r="AX110" s="391"/>
      <c r="AY110" s="391"/>
      <c r="AZ110" s="265"/>
      <c r="BA110" s="265"/>
      <c r="BB110" s="265"/>
      <c r="BC110" s="265"/>
      <c r="BD110" s="265"/>
      <c r="BE110" s="260"/>
      <c r="BF110" s="260"/>
      <c r="BG110" s="260"/>
      <c r="BH110" s="260"/>
      <c r="BI110" s="260"/>
    </row>
    <row r="111" spans="1:61" ht="15">
      <c r="A111" s="412"/>
      <c r="B111" s="391"/>
      <c r="C111" s="391"/>
      <c r="D111" s="413"/>
      <c r="E111" s="391"/>
      <c r="F111" s="391"/>
      <c r="G111" s="391"/>
      <c r="H111" s="391"/>
      <c r="I111" s="391"/>
      <c r="J111" s="391"/>
      <c r="K111" s="391"/>
      <c r="L111" s="391"/>
      <c r="M111" s="391"/>
      <c r="N111" s="391"/>
      <c r="O111" s="391"/>
      <c r="P111" s="391"/>
      <c r="Q111" s="391"/>
      <c r="R111" s="391"/>
      <c r="S111" s="391"/>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391"/>
      <c r="AT111" s="391"/>
      <c r="AU111" s="391"/>
      <c r="AV111" s="391"/>
      <c r="AW111" s="391"/>
      <c r="AX111" s="391"/>
      <c r="AY111" s="391"/>
      <c r="AZ111" s="265"/>
      <c r="BA111" s="265"/>
      <c r="BB111" s="265"/>
      <c r="BC111" s="265"/>
      <c r="BD111" s="265"/>
      <c r="BE111" s="260"/>
      <c r="BF111" s="260"/>
      <c r="BG111" s="260"/>
      <c r="BH111" s="260"/>
      <c r="BI111" s="260"/>
    </row>
    <row r="112" spans="1:61" ht="15">
      <c r="A112" s="412"/>
      <c r="B112" s="391"/>
      <c r="C112" s="391"/>
      <c r="D112" s="413"/>
      <c r="E112" s="391"/>
      <c r="F112" s="391"/>
      <c r="G112" s="391"/>
      <c r="H112" s="391"/>
      <c r="I112" s="391"/>
      <c r="J112" s="391"/>
      <c r="K112" s="391"/>
      <c r="L112" s="391"/>
      <c r="M112" s="391"/>
      <c r="N112" s="391"/>
      <c r="O112" s="391"/>
      <c r="P112" s="391"/>
      <c r="Q112" s="391"/>
      <c r="R112" s="391"/>
      <c r="S112" s="391"/>
      <c r="T112" s="265"/>
      <c r="U112" s="265"/>
      <c r="V112" s="265"/>
      <c r="W112" s="265"/>
      <c r="X112" s="265"/>
      <c r="Y112" s="265"/>
      <c r="Z112" s="265"/>
      <c r="AA112" s="265"/>
      <c r="AB112" s="265"/>
      <c r="AC112" s="265"/>
      <c r="AD112" s="265"/>
      <c r="AE112" s="265"/>
      <c r="AF112" s="265"/>
      <c r="AG112" s="265"/>
      <c r="AH112" s="265"/>
      <c r="AI112" s="265"/>
      <c r="AJ112" s="265"/>
      <c r="AK112" s="265"/>
      <c r="AL112" s="265"/>
      <c r="AM112" s="265"/>
      <c r="AN112" s="265"/>
      <c r="AO112" s="265"/>
      <c r="AP112" s="265"/>
      <c r="AQ112" s="265"/>
      <c r="AR112" s="265"/>
      <c r="AS112" s="391"/>
      <c r="AT112" s="391"/>
      <c r="AU112" s="391"/>
      <c r="AV112" s="391"/>
      <c r="AW112" s="391"/>
      <c r="AX112" s="391"/>
      <c r="AY112" s="391"/>
      <c r="AZ112" s="265"/>
      <c r="BA112" s="265"/>
      <c r="BB112" s="265"/>
      <c r="BC112" s="265"/>
      <c r="BD112" s="265"/>
      <c r="BE112" s="260"/>
      <c r="BF112" s="260"/>
      <c r="BG112" s="260"/>
      <c r="BH112" s="260"/>
      <c r="BI112" s="260"/>
    </row>
    <row r="113" spans="1:61" ht="15">
      <c r="A113" s="412"/>
      <c r="B113" s="391"/>
      <c r="C113" s="391"/>
      <c r="D113" s="413"/>
      <c r="E113" s="391"/>
      <c r="F113" s="391"/>
      <c r="G113" s="391"/>
      <c r="H113" s="391"/>
      <c r="I113" s="391"/>
      <c r="J113" s="391"/>
      <c r="K113" s="391"/>
      <c r="L113" s="391"/>
      <c r="M113" s="391"/>
      <c r="N113" s="391"/>
      <c r="O113" s="391"/>
      <c r="P113" s="391"/>
      <c r="Q113" s="391"/>
      <c r="R113" s="391"/>
      <c r="S113" s="391"/>
      <c r="T113" s="265"/>
      <c r="U113" s="265"/>
      <c r="V113" s="265"/>
      <c r="W113" s="265"/>
      <c r="X113" s="265"/>
      <c r="Y113" s="265"/>
      <c r="Z113" s="265"/>
      <c r="AA113" s="265"/>
      <c r="AB113" s="265"/>
      <c r="AC113" s="265"/>
      <c r="AD113" s="265"/>
      <c r="AE113" s="265"/>
      <c r="AF113" s="265"/>
      <c r="AG113" s="265"/>
      <c r="AH113" s="265"/>
      <c r="AI113" s="265"/>
      <c r="AJ113" s="265"/>
      <c r="AK113" s="265"/>
      <c r="AL113" s="265"/>
      <c r="AM113" s="265"/>
      <c r="AN113" s="265"/>
      <c r="AO113" s="265"/>
      <c r="AP113" s="265"/>
      <c r="AQ113" s="265"/>
      <c r="AR113" s="265"/>
      <c r="AS113" s="391"/>
      <c r="AT113" s="391"/>
      <c r="AU113" s="391"/>
      <c r="AV113" s="391"/>
      <c r="AW113" s="391"/>
      <c r="AX113" s="391"/>
      <c r="AY113" s="391"/>
      <c r="AZ113" s="265"/>
      <c r="BA113" s="265"/>
      <c r="BB113" s="265"/>
      <c r="BC113" s="265"/>
      <c r="BD113" s="265"/>
      <c r="BE113" s="260"/>
      <c r="BF113" s="260"/>
      <c r="BG113" s="260"/>
      <c r="BH113" s="260"/>
      <c r="BI113" s="260"/>
    </row>
    <row r="114" spans="1:61" ht="15">
      <c r="A114" s="412"/>
      <c r="B114" s="391"/>
      <c r="C114" s="391"/>
      <c r="D114" s="413"/>
      <c r="E114" s="391"/>
      <c r="F114" s="391"/>
      <c r="G114" s="391"/>
      <c r="H114" s="391"/>
      <c r="I114" s="391"/>
      <c r="J114" s="391"/>
      <c r="K114" s="391"/>
      <c r="L114" s="391"/>
      <c r="M114" s="391"/>
      <c r="N114" s="391"/>
      <c r="O114" s="391"/>
      <c r="P114" s="391"/>
      <c r="Q114" s="391"/>
      <c r="R114" s="391"/>
      <c r="S114" s="391"/>
      <c r="T114" s="265"/>
      <c r="U114" s="265"/>
      <c r="V114" s="265"/>
      <c r="W114" s="265"/>
      <c r="X114" s="265"/>
      <c r="Y114" s="265"/>
      <c r="Z114" s="265"/>
      <c r="AA114" s="265"/>
      <c r="AB114" s="265"/>
      <c r="AC114" s="265"/>
      <c r="AD114" s="265"/>
      <c r="AE114" s="265"/>
      <c r="AF114" s="265"/>
      <c r="AG114" s="265"/>
      <c r="AH114" s="265"/>
      <c r="AI114" s="265"/>
      <c r="AJ114" s="265"/>
      <c r="AK114" s="265"/>
      <c r="AL114" s="265"/>
      <c r="AM114" s="265"/>
      <c r="AN114" s="265"/>
      <c r="AO114" s="265"/>
      <c r="AP114" s="265"/>
      <c r="AQ114" s="265"/>
      <c r="AR114" s="265"/>
      <c r="AS114" s="391"/>
      <c r="AT114" s="391"/>
      <c r="AU114" s="391"/>
      <c r="AV114" s="391"/>
      <c r="AW114" s="391"/>
      <c r="AX114" s="391"/>
      <c r="AY114" s="391"/>
      <c r="AZ114" s="265"/>
      <c r="BA114" s="265"/>
      <c r="BB114" s="265"/>
      <c r="BC114" s="265"/>
      <c r="BD114" s="265"/>
      <c r="BE114" s="260"/>
      <c r="BF114" s="260"/>
      <c r="BG114" s="260"/>
      <c r="BH114" s="260"/>
      <c r="BI114" s="260"/>
    </row>
    <row r="115" spans="1:61" ht="15">
      <c r="A115" s="412"/>
      <c r="B115" s="391"/>
      <c r="C115" s="391"/>
      <c r="D115" s="413"/>
      <c r="E115" s="391"/>
      <c r="F115" s="391"/>
      <c r="G115" s="391"/>
      <c r="H115" s="391"/>
      <c r="I115" s="391"/>
      <c r="J115" s="391"/>
      <c r="K115" s="391"/>
      <c r="L115" s="391"/>
      <c r="M115" s="391"/>
      <c r="N115" s="391"/>
      <c r="O115" s="391"/>
      <c r="P115" s="391"/>
      <c r="Q115" s="391"/>
      <c r="R115" s="391"/>
      <c r="S115" s="391"/>
      <c r="T115" s="265"/>
      <c r="U115" s="265"/>
      <c r="V115" s="265"/>
      <c r="W115" s="265"/>
      <c r="X115" s="265"/>
      <c r="Y115" s="265"/>
      <c r="Z115" s="265"/>
      <c r="AA115" s="265"/>
      <c r="AB115" s="265"/>
      <c r="AC115" s="265"/>
      <c r="AD115" s="265"/>
      <c r="AE115" s="265"/>
      <c r="AF115" s="265"/>
      <c r="AG115" s="265"/>
      <c r="AH115" s="265"/>
      <c r="AI115" s="265"/>
      <c r="AJ115" s="265"/>
      <c r="AK115" s="265"/>
      <c r="AL115" s="265"/>
      <c r="AM115" s="265"/>
      <c r="AN115" s="265"/>
      <c r="AO115" s="265"/>
      <c r="AP115" s="265"/>
      <c r="AQ115" s="265"/>
      <c r="AR115" s="265"/>
      <c r="AS115" s="391"/>
      <c r="AT115" s="391"/>
      <c r="AU115" s="391"/>
      <c r="AV115" s="391"/>
      <c r="AW115" s="391"/>
      <c r="AX115" s="391"/>
      <c r="AY115" s="391"/>
      <c r="AZ115" s="265"/>
      <c r="BA115" s="265"/>
      <c r="BB115" s="265"/>
      <c r="BC115" s="265"/>
      <c r="BD115" s="265"/>
      <c r="BE115" s="260"/>
      <c r="BF115" s="260"/>
      <c r="BG115" s="260"/>
      <c r="BH115" s="260"/>
      <c r="BI115" s="260"/>
    </row>
    <row r="116" spans="1:61" ht="15">
      <c r="A116" s="412"/>
      <c r="B116" s="391"/>
      <c r="C116" s="391"/>
      <c r="D116" s="413"/>
      <c r="E116" s="391"/>
      <c r="F116" s="391"/>
      <c r="G116" s="391"/>
      <c r="H116" s="391"/>
      <c r="I116" s="391"/>
      <c r="J116" s="391"/>
      <c r="K116" s="391"/>
      <c r="L116" s="391"/>
      <c r="M116" s="391"/>
      <c r="N116" s="391"/>
      <c r="O116" s="391"/>
      <c r="P116" s="391"/>
      <c r="Q116" s="391"/>
      <c r="R116" s="391"/>
      <c r="S116" s="391"/>
      <c r="T116" s="265"/>
      <c r="U116" s="265"/>
      <c r="V116" s="265"/>
      <c r="W116" s="265"/>
      <c r="X116" s="265"/>
      <c r="Y116" s="265"/>
      <c r="Z116" s="265"/>
      <c r="AA116" s="265"/>
      <c r="AB116" s="265"/>
      <c r="AC116" s="265"/>
      <c r="AD116" s="265"/>
      <c r="AE116" s="265"/>
      <c r="AF116" s="265"/>
      <c r="AG116" s="265"/>
      <c r="AH116" s="265"/>
      <c r="AI116" s="265"/>
      <c r="AJ116" s="265"/>
      <c r="AK116" s="265"/>
      <c r="AL116" s="265"/>
      <c r="AM116" s="265"/>
      <c r="AN116" s="265"/>
      <c r="AO116" s="265"/>
      <c r="AP116" s="265"/>
      <c r="AQ116" s="265"/>
      <c r="AR116" s="265"/>
      <c r="AS116" s="391"/>
      <c r="AT116" s="391"/>
      <c r="AU116" s="391"/>
      <c r="AV116" s="391"/>
      <c r="AW116" s="391"/>
      <c r="AX116" s="391"/>
      <c r="AY116" s="391"/>
      <c r="AZ116" s="265"/>
      <c r="BA116" s="265"/>
      <c r="BB116" s="265"/>
      <c r="BC116" s="265"/>
      <c r="BD116" s="265"/>
      <c r="BE116" s="260"/>
      <c r="BF116" s="260"/>
      <c r="BG116" s="260"/>
      <c r="BH116" s="260"/>
      <c r="BI116" s="260"/>
    </row>
    <row r="117" spans="1:61" ht="15">
      <c r="A117" s="412"/>
      <c r="B117" s="391"/>
      <c r="C117" s="391"/>
      <c r="D117" s="413"/>
      <c r="E117" s="391"/>
      <c r="F117" s="391"/>
      <c r="G117" s="391"/>
      <c r="H117" s="391"/>
      <c r="I117" s="391"/>
      <c r="J117" s="391"/>
      <c r="K117" s="391"/>
      <c r="L117" s="391"/>
      <c r="M117" s="391"/>
      <c r="N117" s="391"/>
      <c r="O117" s="391"/>
      <c r="P117" s="391"/>
      <c r="Q117" s="391"/>
      <c r="R117" s="391"/>
      <c r="S117" s="391"/>
      <c r="T117" s="265"/>
      <c r="U117" s="265"/>
      <c r="V117" s="265"/>
      <c r="W117" s="265"/>
      <c r="X117" s="265"/>
      <c r="Y117" s="265"/>
      <c r="Z117" s="265"/>
      <c r="AA117" s="265"/>
      <c r="AB117" s="265"/>
      <c r="AC117" s="265"/>
      <c r="AD117" s="265"/>
      <c r="AE117" s="265"/>
      <c r="AF117" s="265"/>
      <c r="AG117" s="265"/>
      <c r="AH117" s="265"/>
      <c r="AI117" s="265"/>
      <c r="AJ117" s="265"/>
      <c r="AK117" s="265"/>
      <c r="AL117" s="265"/>
      <c r="AM117" s="265"/>
      <c r="AN117" s="265"/>
      <c r="AO117" s="265"/>
      <c r="AP117" s="265"/>
      <c r="AQ117" s="265"/>
      <c r="AR117" s="265"/>
      <c r="AS117" s="391"/>
      <c r="AT117" s="391"/>
      <c r="AU117" s="391"/>
      <c r="AV117" s="391"/>
      <c r="AW117" s="391"/>
      <c r="AX117" s="391"/>
      <c r="AY117" s="391"/>
      <c r="AZ117" s="265"/>
      <c r="BA117" s="265"/>
      <c r="BB117" s="265"/>
      <c r="BC117" s="265"/>
      <c r="BD117" s="265"/>
      <c r="BE117" s="260"/>
      <c r="BF117" s="260"/>
      <c r="BG117" s="260"/>
      <c r="BH117" s="260"/>
      <c r="BI117" s="260"/>
    </row>
    <row r="118" spans="1:61" ht="15">
      <c r="A118" s="412"/>
      <c r="B118" s="391"/>
      <c r="C118" s="391"/>
      <c r="D118" s="413"/>
      <c r="E118" s="391"/>
      <c r="F118" s="391"/>
      <c r="G118" s="391"/>
      <c r="H118" s="391"/>
      <c r="I118" s="391"/>
      <c r="J118" s="391"/>
      <c r="K118" s="391"/>
      <c r="L118" s="391"/>
      <c r="M118" s="391"/>
      <c r="N118" s="391"/>
      <c r="O118" s="391"/>
      <c r="P118" s="391"/>
      <c r="Q118" s="391"/>
      <c r="R118" s="391"/>
      <c r="S118" s="391"/>
      <c r="T118" s="265"/>
      <c r="U118" s="265"/>
      <c r="V118" s="265"/>
      <c r="W118" s="265"/>
      <c r="X118" s="265"/>
      <c r="Y118" s="265"/>
      <c r="Z118" s="265"/>
      <c r="AA118" s="265"/>
      <c r="AB118" s="265"/>
      <c r="AC118" s="265"/>
      <c r="AD118" s="265"/>
      <c r="AE118" s="265"/>
      <c r="AF118" s="265"/>
      <c r="AG118" s="265"/>
      <c r="AH118" s="265"/>
      <c r="AI118" s="265"/>
      <c r="AJ118" s="265"/>
      <c r="AK118" s="265"/>
      <c r="AL118" s="265"/>
      <c r="AM118" s="265"/>
      <c r="AN118" s="265"/>
      <c r="AO118" s="265"/>
      <c r="AP118" s="265"/>
      <c r="AQ118" s="265"/>
      <c r="AR118" s="265"/>
      <c r="AS118" s="391"/>
      <c r="AT118" s="391"/>
      <c r="AU118" s="391"/>
      <c r="AV118" s="391"/>
      <c r="AW118" s="391"/>
      <c r="AX118" s="391"/>
      <c r="AY118" s="391"/>
      <c r="AZ118" s="265"/>
      <c r="BA118" s="265"/>
      <c r="BB118" s="265"/>
      <c r="BC118" s="265"/>
      <c r="BD118" s="265"/>
      <c r="BE118" s="260"/>
      <c r="BF118" s="260"/>
      <c r="BG118" s="260"/>
      <c r="BH118" s="260"/>
      <c r="BI118" s="260"/>
    </row>
    <row r="119" spans="1:61" ht="15">
      <c r="A119" s="412"/>
      <c r="B119" s="391"/>
      <c r="C119" s="391"/>
      <c r="D119" s="413"/>
      <c r="E119" s="391"/>
      <c r="F119" s="391"/>
      <c r="G119" s="391"/>
      <c r="H119" s="391"/>
      <c r="I119" s="391"/>
      <c r="J119" s="391"/>
      <c r="K119" s="391"/>
      <c r="L119" s="391"/>
      <c r="M119" s="391"/>
      <c r="N119" s="391"/>
      <c r="O119" s="391"/>
      <c r="P119" s="391"/>
      <c r="Q119" s="391"/>
      <c r="R119" s="391"/>
      <c r="S119" s="391"/>
      <c r="T119" s="265"/>
      <c r="U119" s="265"/>
      <c r="V119" s="265"/>
      <c r="W119" s="265"/>
      <c r="X119" s="265"/>
      <c r="Y119" s="265"/>
      <c r="Z119" s="265"/>
      <c r="AA119" s="265"/>
      <c r="AB119" s="265"/>
      <c r="AC119" s="265"/>
      <c r="AD119" s="265"/>
      <c r="AE119" s="265"/>
      <c r="AF119" s="265"/>
      <c r="AG119" s="265"/>
      <c r="AH119" s="265"/>
      <c r="AI119" s="265"/>
      <c r="AJ119" s="265"/>
      <c r="AK119" s="265"/>
      <c r="AL119" s="265"/>
      <c r="AM119" s="265"/>
      <c r="AN119" s="265"/>
      <c r="AO119" s="265"/>
      <c r="AP119" s="265"/>
      <c r="AQ119" s="265"/>
      <c r="AR119" s="265"/>
      <c r="AS119" s="391"/>
      <c r="AT119" s="391"/>
      <c r="AU119" s="391"/>
      <c r="AV119" s="391"/>
      <c r="AW119" s="391"/>
      <c r="AX119" s="391"/>
      <c r="AY119" s="391"/>
      <c r="AZ119" s="265"/>
      <c r="BA119" s="265"/>
      <c r="BB119" s="265"/>
      <c r="BC119" s="265"/>
      <c r="BD119" s="265"/>
      <c r="BE119" s="260"/>
      <c r="BF119" s="260"/>
      <c r="BG119" s="260"/>
      <c r="BH119" s="260"/>
      <c r="BI119" s="260"/>
    </row>
    <row r="120" spans="1:61" ht="15">
      <c r="A120" s="267"/>
      <c r="B120" s="265"/>
      <c r="C120" s="265"/>
      <c r="D120" s="409"/>
      <c r="E120" s="265"/>
      <c r="F120" s="265"/>
      <c r="G120" s="265"/>
      <c r="H120" s="265"/>
      <c r="I120" s="265"/>
      <c r="J120" s="265"/>
      <c r="K120" s="265"/>
      <c r="L120" s="265"/>
      <c r="M120" s="265"/>
      <c r="N120" s="265"/>
      <c r="O120" s="265"/>
      <c r="P120" s="265"/>
      <c r="Q120" s="265"/>
      <c r="R120" s="265"/>
      <c r="S120" s="265"/>
      <c r="T120" s="265"/>
      <c r="U120" s="265"/>
      <c r="V120" s="265"/>
      <c r="W120" s="265"/>
      <c r="X120" s="265"/>
      <c r="Y120" s="265"/>
      <c r="Z120" s="265"/>
      <c r="AA120" s="265"/>
      <c r="AB120" s="265"/>
      <c r="AC120" s="265"/>
      <c r="AD120" s="265"/>
      <c r="AE120" s="265"/>
      <c r="AF120" s="265"/>
      <c r="AG120" s="265"/>
      <c r="AH120" s="265"/>
      <c r="AI120" s="265"/>
      <c r="AJ120" s="265"/>
      <c r="AK120" s="265"/>
      <c r="AL120" s="265"/>
      <c r="AM120" s="265"/>
      <c r="AN120" s="265"/>
      <c r="AO120" s="265"/>
      <c r="AP120" s="265"/>
      <c r="AQ120" s="265"/>
      <c r="AR120" s="265"/>
      <c r="AS120" s="391"/>
      <c r="AT120" s="391"/>
      <c r="AU120" s="391"/>
      <c r="AV120" s="391"/>
      <c r="AW120" s="391"/>
      <c r="AX120" s="391"/>
      <c r="AY120" s="391"/>
      <c r="AZ120" s="265"/>
      <c r="BA120" s="265"/>
      <c r="BB120" s="265"/>
      <c r="BC120" s="265"/>
      <c r="BD120" s="265"/>
      <c r="BE120" s="260"/>
      <c r="BF120" s="260"/>
      <c r="BG120" s="260"/>
      <c r="BH120" s="260"/>
      <c r="BI120" s="260"/>
    </row>
    <row r="121" spans="1:61" ht="15">
      <c r="A121" s="267"/>
      <c r="B121" s="265"/>
      <c r="C121" s="265"/>
      <c r="D121" s="409"/>
      <c r="E121" s="265"/>
      <c r="F121" s="265"/>
      <c r="G121" s="265"/>
      <c r="H121" s="265"/>
      <c r="I121" s="265"/>
      <c r="J121" s="265"/>
      <c r="K121" s="265"/>
      <c r="L121" s="265"/>
      <c r="M121" s="265"/>
      <c r="N121" s="265"/>
      <c r="O121" s="265"/>
      <c r="P121" s="265"/>
      <c r="Q121" s="265"/>
      <c r="R121" s="265"/>
      <c r="S121" s="265"/>
      <c r="T121" s="265"/>
      <c r="U121" s="265"/>
      <c r="V121" s="265"/>
      <c r="W121" s="265"/>
      <c r="X121" s="265"/>
      <c r="Y121" s="265"/>
      <c r="Z121" s="265"/>
      <c r="AA121" s="265"/>
      <c r="AB121" s="265"/>
      <c r="AC121" s="265"/>
      <c r="AD121" s="265"/>
      <c r="AE121" s="265"/>
      <c r="AF121" s="265"/>
      <c r="AG121" s="265"/>
      <c r="AH121" s="265"/>
      <c r="AI121" s="265"/>
      <c r="AJ121" s="265"/>
      <c r="AK121" s="265"/>
      <c r="AL121" s="265"/>
      <c r="AM121" s="265"/>
      <c r="AN121" s="265"/>
      <c r="AO121" s="265"/>
      <c r="AP121" s="265"/>
      <c r="AQ121" s="265"/>
      <c r="AR121" s="265"/>
      <c r="AS121" s="391"/>
      <c r="AT121" s="391"/>
      <c r="AU121" s="391"/>
      <c r="AV121" s="391"/>
      <c r="AW121" s="391"/>
      <c r="AX121" s="391"/>
      <c r="AY121" s="391"/>
      <c r="AZ121" s="265"/>
      <c r="BA121" s="265"/>
      <c r="BB121" s="265"/>
      <c r="BC121" s="265"/>
      <c r="BD121" s="265"/>
      <c r="BE121" s="260"/>
      <c r="BF121" s="260"/>
      <c r="BG121" s="260"/>
      <c r="BH121" s="260"/>
      <c r="BI121" s="260"/>
    </row>
    <row r="122" spans="1:61" ht="15">
      <c r="A122" s="267"/>
      <c r="B122" s="265"/>
      <c r="C122" s="265"/>
      <c r="D122" s="409"/>
      <c r="E122" s="265"/>
      <c r="F122" s="265"/>
      <c r="G122" s="265"/>
      <c r="H122" s="265"/>
      <c r="I122" s="265"/>
      <c r="J122" s="265"/>
      <c r="K122" s="265"/>
      <c r="L122" s="265"/>
      <c r="M122" s="265"/>
      <c r="N122" s="265"/>
      <c r="O122" s="265"/>
      <c r="P122" s="265"/>
      <c r="Q122" s="265"/>
      <c r="R122" s="265"/>
      <c r="S122" s="265"/>
      <c r="T122" s="265"/>
      <c r="U122" s="265"/>
      <c r="V122" s="265"/>
      <c r="W122" s="265"/>
      <c r="X122" s="265"/>
      <c r="Y122" s="265"/>
      <c r="Z122" s="265"/>
      <c r="AA122" s="265"/>
      <c r="AB122" s="265"/>
      <c r="AC122" s="265"/>
      <c r="AD122" s="265"/>
      <c r="AE122" s="265"/>
      <c r="AF122" s="265"/>
      <c r="AG122" s="265"/>
      <c r="AH122" s="265"/>
      <c r="AI122" s="265"/>
      <c r="AJ122" s="265"/>
      <c r="AK122" s="265"/>
      <c r="AL122" s="265"/>
      <c r="AM122" s="265"/>
      <c r="AN122" s="265"/>
      <c r="AO122" s="265"/>
      <c r="AP122" s="265"/>
      <c r="AQ122" s="265"/>
      <c r="AR122" s="265"/>
      <c r="AS122" s="391"/>
      <c r="AT122" s="391"/>
      <c r="AU122" s="391"/>
      <c r="AV122" s="391"/>
      <c r="AW122" s="391"/>
      <c r="AX122" s="391"/>
      <c r="AY122" s="391"/>
      <c r="AZ122" s="265"/>
      <c r="BA122" s="265"/>
      <c r="BB122" s="265"/>
      <c r="BC122" s="265"/>
      <c r="BD122" s="265"/>
      <c r="BE122" s="260"/>
      <c r="BF122" s="260"/>
      <c r="BG122" s="260"/>
      <c r="BH122" s="260"/>
      <c r="BI122" s="260"/>
    </row>
    <row r="123" spans="1:61" ht="15">
      <c r="A123" s="267"/>
      <c r="B123" s="265"/>
      <c r="C123" s="265"/>
      <c r="D123" s="409"/>
      <c r="E123" s="265"/>
      <c r="F123" s="265"/>
      <c r="G123" s="265"/>
      <c r="H123" s="265"/>
      <c r="I123" s="265"/>
      <c r="J123" s="265"/>
      <c r="K123" s="265"/>
      <c r="L123" s="265"/>
      <c r="M123" s="265"/>
      <c r="N123" s="265"/>
      <c r="O123" s="265"/>
      <c r="P123" s="265"/>
      <c r="Q123" s="265"/>
      <c r="R123" s="265"/>
      <c r="S123" s="265"/>
      <c r="T123" s="265"/>
      <c r="U123" s="265"/>
      <c r="V123" s="265"/>
      <c r="W123" s="265"/>
      <c r="X123" s="265"/>
      <c r="Y123" s="265"/>
      <c r="Z123" s="265"/>
      <c r="AA123" s="265"/>
      <c r="AB123" s="265"/>
      <c r="AC123" s="265"/>
      <c r="AD123" s="265"/>
      <c r="AE123" s="265"/>
      <c r="AF123" s="265"/>
      <c r="AG123" s="265"/>
      <c r="AH123" s="265"/>
      <c r="AI123" s="265"/>
      <c r="AJ123" s="265"/>
      <c r="AK123" s="265"/>
      <c r="AL123" s="265"/>
      <c r="AM123" s="265"/>
      <c r="AN123" s="265"/>
      <c r="AO123" s="265"/>
      <c r="AP123" s="265"/>
      <c r="AQ123" s="265"/>
      <c r="AR123" s="265"/>
      <c r="AS123" s="391"/>
      <c r="AT123" s="391"/>
      <c r="AU123" s="391"/>
      <c r="AV123" s="391"/>
      <c r="AW123" s="391"/>
      <c r="AX123" s="391"/>
      <c r="AY123" s="391"/>
      <c r="AZ123" s="265"/>
      <c r="BA123" s="265"/>
      <c r="BB123" s="265"/>
      <c r="BC123" s="265"/>
      <c r="BD123" s="265"/>
      <c r="BE123" s="260"/>
      <c r="BF123" s="260"/>
      <c r="BG123" s="260"/>
      <c r="BH123" s="260"/>
      <c r="BI123" s="260"/>
    </row>
    <row r="124" spans="1:61" ht="15">
      <c r="A124" s="267"/>
      <c r="B124" s="265"/>
      <c r="C124" s="265"/>
      <c r="D124" s="409"/>
      <c r="E124" s="265"/>
      <c r="F124" s="265"/>
      <c r="G124" s="265"/>
      <c r="H124" s="265"/>
      <c r="I124" s="265"/>
      <c r="J124" s="265"/>
      <c r="K124" s="265"/>
      <c r="L124" s="265"/>
      <c r="M124" s="265"/>
      <c r="N124" s="265"/>
      <c r="O124" s="265"/>
      <c r="P124" s="265"/>
      <c r="Q124" s="265"/>
      <c r="R124" s="265"/>
      <c r="S124" s="265"/>
      <c r="T124" s="265"/>
      <c r="U124" s="265"/>
      <c r="V124" s="265"/>
      <c r="W124" s="265"/>
      <c r="X124" s="265"/>
      <c r="Y124" s="265"/>
      <c r="Z124" s="265"/>
      <c r="AA124" s="265"/>
      <c r="AB124" s="265"/>
      <c r="AC124" s="265"/>
      <c r="AD124" s="265"/>
      <c r="AE124" s="265"/>
      <c r="AF124" s="265"/>
      <c r="AG124" s="265"/>
      <c r="AH124" s="265"/>
      <c r="AI124" s="265"/>
      <c r="AJ124" s="265"/>
      <c r="AK124" s="265"/>
      <c r="AL124" s="265"/>
      <c r="AM124" s="265"/>
      <c r="AN124" s="265"/>
      <c r="AO124" s="265"/>
      <c r="AP124" s="265"/>
      <c r="AQ124" s="265"/>
      <c r="AR124" s="265"/>
      <c r="AS124" s="391"/>
      <c r="AT124" s="391"/>
      <c r="AU124" s="391"/>
      <c r="AV124" s="391"/>
      <c r="AW124" s="391"/>
      <c r="AX124" s="391"/>
      <c r="AY124" s="391"/>
      <c r="AZ124" s="265"/>
      <c r="BA124" s="265"/>
      <c r="BB124" s="265"/>
      <c r="BC124" s="265"/>
      <c r="BD124" s="265"/>
      <c r="BE124" s="260"/>
      <c r="BF124" s="260"/>
      <c r="BG124" s="260"/>
      <c r="BH124" s="260"/>
      <c r="BI124" s="260"/>
    </row>
    <row r="125" spans="1:61" ht="15">
      <c r="A125" s="267"/>
      <c r="B125" s="265"/>
      <c r="C125" s="265"/>
      <c r="D125" s="409"/>
      <c r="E125" s="265"/>
      <c r="F125" s="265"/>
      <c r="G125" s="265"/>
      <c r="H125" s="265"/>
      <c r="I125" s="265"/>
      <c r="J125" s="265"/>
      <c r="K125" s="265"/>
      <c r="L125" s="265"/>
      <c r="M125" s="265"/>
      <c r="N125" s="265"/>
      <c r="O125" s="265"/>
      <c r="P125" s="265"/>
      <c r="Q125" s="265"/>
      <c r="R125" s="265"/>
      <c r="S125" s="265"/>
      <c r="T125" s="265"/>
      <c r="U125" s="265"/>
      <c r="V125" s="265"/>
      <c r="W125" s="265"/>
      <c r="X125" s="265"/>
      <c r="Y125" s="265"/>
      <c r="Z125" s="265"/>
      <c r="AA125" s="265"/>
      <c r="AB125" s="265"/>
      <c r="AC125" s="265"/>
      <c r="AD125" s="265"/>
      <c r="AE125" s="265"/>
      <c r="AF125" s="265"/>
      <c r="AG125" s="265"/>
      <c r="AH125" s="265"/>
      <c r="AI125" s="265"/>
      <c r="AJ125" s="265"/>
      <c r="AK125" s="265"/>
      <c r="AL125" s="265"/>
      <c r="AM125" s="265"/>
      <c r="AN125" s="265"/>
      <c r="AO125" s="265"/>
      <c r="AP125" s="265"/>
      <c r="AQ125" s="265"/>
      <c r="AR125" s="265"/>
      <c r="AS125" s="391"/>
      <c r="AT125" s="391"/>
      <c r="AU125" s="391"/>
      <c r="AV125" s="391"/>
      <c r="AW125" s="391"/>
      <c r="AX125" s="391"/>
      <c r="AY125" s="391"/>
      <c r="AZ125" s="265"/>
      <c r="BA125" s="265"/>
      <c r="BB125" s="265"/>
      <c r="BC125" s="265"/>
      <c r="BD125" s="265"/>
      <c r="BE125" s="260"/>
      <c r="BF125" s="260"/>
      <c r="BG125" s="260"/>
      <c r="BH125" s="260"/>
      <c r="BI125" s="260"/>
    </row>
    <row r="126" spans="1:61" ht="15">
      <c r="A126" s="267"/>
      <c r="B126" s="265"/>
      <c r="C126" s="265"/>
      <c r="D126" s="409"/>
      <c r="E126" s="265"/>
      <c r="F126" s="265"/>
      <c r="G126" s="265"/>
      <c r="H126" s="265"/>
      <c r="I126" s="265"/>
      <c r="J126" s="265"/>
      <c r="K126" s="265"/>
      <c r="L126" s="265"/>
      <c r="M126" s="265"/>
      <c r="N126" s="265"/>
      <c r="O126" s="265"/>
      <c r="P126" s="265"/>
      <c r="Q126" s="265"/>
      <c r="R126" s="265"/>
      <c r="S126" s="265"/>
      <c r="T126" s="265"/>
      <c r="U126" s="265"/>
      <c r="V126" s="265"/>
      <c r="W126" s="265"/>
      <c r="X126" s="265"/>
      <c r="Y126" s="265"/>
      <c r="Z126" s="265"/>
      <c r="AA126" s="265"/>
      <c r="AB126" s="265"/>
      <c r="AC126" s="265"/>
      <c r="AD126" s="265"/>
      <c r="AE126" s="265"/>
      <c r="AF126" s="265"/>
      <c r="AG126" s="265"/>
      <c r="AH126" s="265"/>
      <c r="AI126" s="265"/>
      <c r="AJ126" s="265"/>
      <c r="AK126" s="265"/>
      <c r="AL126" s="265"/>
      <c r="AM126" s="265"/>
      <c r="AN126" s="265"/>
      <c r="AO126" s="265"/>
      <c r="AP126" s="265"/>
      <c r="AQ126" s="265"/>
      <c r="AR126" s="265"/>
      <c r="AS126" s="391"/>
      <c r="AT126" s="391"/>
      <c r="AU126" s="391"/>
      <c r="AV126" s="391"/>
      <c r="AW126" s="391"/>
      <c r="AX126" s="391"/>
      <c r="AY126" s="391"/>
      <c r="AZ126" s="265"/>
      <c r="BA126" s="265"/>
      <c r="BB126" s="265"/>
      <c r="BC126" s="265"/>
      <c r="BD126" s="265"/>
      <c r="BE126" s="260"/>
      <c r="BF126" s="260"/>
      <c r="BG126" s="260"/>
      <c r="BH126" s="260"/>
      <c r="BI126" s="260"/>
    </row>
    <row r="127" spans="1:61" ht="15">
      <c r="A127" s="267"/>
      <c r="B127" s="265"/>
      <c r="C127" s="265"/>
      <c r="D127" s="409"/>
      <c r="E127" s="265"/>
      <c r="F127" s="265"/>
      <c r="G127" s="265"/>
      <c r="H127" s="265"/>
      <c r="I127" s="265"/>
      <c r="J127" s="265"/>
      <c r="K127" s="265"/>
      <c r="L127" s="265"/>
      <c r="M127" s="265"/>
      <c r="N127" s="265"/>
      <c r="O127" s="265"/>
      <c r="P127" s="265"/>
      <c r="Q127" s="265"/>
      <c r="R127" s="265"/>
      <c r="S127" s="265"/>
      <c r="T127" s="265"/>
      <c r="U127" s="265"/>
      <c r="V127" s="265"/>
      <c r="W127" s="265"/>
      <c r="X127" s="265"/>
      <c r="Y127" s="265"/>
      <c r="Z127" s="265"/>
      <c r="AA127" s="265"/>
      <c r="AB127" s="265"/>
      <c r="AC127" s="265"/>
      <c r="AD127" s="265"/>
      <c r="AE127" s="265"/>
      <c r="AF127" s="265"/>
      <c r="AG127" s="265"/>
      <c r="AH127" s="265"/>
      <c r="AI127" s="265"/>
      <c r="AJ127" s="265"/>
      <c r="AK127" s="265"/>
      <c r="AL127" s="265"/>
      <c r="AM127" s="265"/>
      <c r="AN127" s="265"/>
      <c r="AO127" s="265"/>
      <c r="AP127" s="265"/>
      <c r="AQ127" s="265"/>
      <c r="AR127" s="265"/>
      <c r="AS127" s="391"/>
      <c r="AT127" s="391"/>
      <c r="AU127" s="391"/>
      <c r="AV127" s="391"/>
      <c r="AW127" s="391"/>
      <c r="AX127" s="391"/>
      <c r="AY127" s="391"/>
      <c r="AZ127" s="265"/>
      <c r="BA127" s="265"/>
      <c r="BB127" s="265"/>
      <c r="BC127" s="265"/>
      <c r="BD127" s="265"/>
      <c r="BE127" s="260"/>
      <c r="BF127" s="260"/>
      <c r="BG127" s="260"/>
      <c r="BH127" s="260"/>
      <c r="BI127" s="260"/>
    </row>
    <row r="128" spans="1:61" ht="15">
      <c r="A128" s="267"/>
      <c r="B128" s="265"/>
      <c r="C128" s="265"/>
      <c r="D128" s="409"/>
      <c r="E128" s="265"/>
      <c r="F128" s="265"/>
      <c r="G128" s="265"/>
      <c r="H128" s="265"/>
      <c r="I128" s="265"/>
      <c r="J128" s="265"/>
      <c r="K128" s="265"/>
      <c r="L128" s="265"/>
      <c r="M128" s="265"/>
      <c r="N128" s="265"/>
      <c r="O128" s="265"/>
      <c r="P128" s="265"/>
      <c r="Q128" s="265"/>
      <c r="R128" s="265"/>
      <c r="S128" s="265"/>
      <c r="T128" s="265"/>
      <c r="U128" s="265"/>
      <c r="V128" s="265"/>
      <c r="W128" s="265"/>
      <c r="X128" s="265"/>
      <c r="Y128" s="265"/>
      <c r="Z128" s="265"/>
      <c r="AA128" s="265"/>
      <c r="AB128" s="265"/>
      <c r="AC128" s="265"/>
      <c r="AD128" s="265"/>
      <c r="AE128" s="265"/>
      <c r="AF128" s="265"/>
      <c r="AG128" s="265"/>
      <c r="AH128" s="265"/>
      <c r="AI128" s="265"/>
      <c r="AJ128" s="265"/>
      <c r="AK128" s="265"/>
      <c r="AL128" s="265"/>
      <c r="AM128" s="265"/>
      <c r="AN128" s="265"/>
      <c r="AO128" s="265"/>
      <c r="AP128" s="265"/>
      <c r="AQ128" s="265"/>
      <c r="AR128" s="265"/>
      <c r="AS128" s="391"/>
      <c r="AT128" s="391"/>
      <c r="AU128" s="391"/>
      <c r="AV128" s="391"/>
      <c r="AW128" s="391"/>
      <c r="AX128" s="391"/>
      <c r="AY128" s="391"/>
      <c r="AZ128" s="265"/>
      <c r="BA128" s="265"/>
      <c r="BB128" s="265"/>
      <c r="BC128" s="265"/>
      <c r="BD128" s="265"/>
      <c r="BE128" s="260"/>
      <c r="BF128" s="260"/>
      <c r="BG128" s="260"/>
      <c r="BH128" s="260"/>
      <c r="BI128" s="260"/>
    </row>
    <row r="129" spans="1:61" ht="15">
      <c r="A129" s="267"/>
      <c r="B129" s="265"/>
      <c r="C129" s="265"/>
      <c r="D129" s="409"/>
      <c r="E129" s="265"/>
      <c r="F129" s="265"/>
      <c r="G129" s="265"/>
      <c r="H129" s="265"/>
      <c r="I129" s="265"/>
      <c r="J129" s="265"/>
      <c r="K129" s="265"/>
      <c r="L129" s="265"/>
      <c r="M129" s="265"/>
      <c r="N129" s="265"/>
      <c r="O129" s="265"/>
      <c r="P129" s="265"/>
      <c r="Q129" s="265"/>
      <c r="R129" s="265"/>
      <c r="S129" s="265"/>
      <c r="T129" s="265"/>
      <c r="U129" s="265"/>
      <c r="V129" s="265"/>
      <c r="W129" s="265"/>
      <c r="X129" s="265"/>
      <c r="Y129" s="265"/>
      <c r="Z129" s="265"/>
      <c r="AA129" s="265"/>
      <c r="AB129" s="265"/>
      <c r="AC129" s="265"/>
      <c r="AD129" s="265"/>
      <c r="AE129" s="265"/>
      <c r="AF129" s="265"/>
      <c r="AG129" s="265"/>
      <c r="AH129" s="265"/>
      <c r="AI129" s="265"/>
      <c r="AJ129" s="265"/>
      <c r="AK129" s="265"/>
      <c r="AL129" s="265"/>
      <c r="AM129" s="265"/>
      <c r="AN129" s="265"/>
      <c r="AO129" s="265"/>
      <c r="AP129" s="265"/>
      <c r="AQ129" s="265"/>
      <c r="AR129" s="265"/>
      <c r="AS129" s="391"/>
      <c r="AT129" s="391"/>
      <c r="AU129" s="391"/>
      <c r="AV129" s="391"/>
      <c r="AW129" s="391"/>
      <c r="AX129" s="391"/>
      <c r="AY129" s="391"/>
      <c r="AZ129" s="265"/>
      <c r="BA129" s="265"/>
      <c r="BB129" s="265"/>
      <c r="BC129" s="265"/>
      <c r="BD129" s="265"/>
      <c r="BE129" s="260"/>
      <c r="BF129" s="260"/>
      <c r="BG129" s="260"/>
      <c r="BH129" s="260"/>
      <c r="BI129" s="260"/>
    </row>
    <row r="130" spans="1:61" ht="15">
      <c r="A130" s="267"/>
      <c r="B130" s="265"/>
      <c r="C130" s="265"/>
      <c r="D130" s="409"/>
      <c r="E130" s="265"/>
      <c r="F130" s="265"/>
      <c r="G130" s="265"/>
      <c r="H130" s="265"/>
      <c r="I130" s="265"/>
      <c r="J130" s="265"/>
      <c r="K130" s="265"/>
      <c r="L130" s="265"/>
      <c r="M130" s="265"/>
      <c r="N130" s="265"/>
      <c r="O130" s="265"/>
      <c r="P130" s="265"/>
      <c r="Q130" s="265"/>
      <c r="R130" s="265"/>
      <c r="S130" s="265"/>
      <c r="T130" s="265"/>
      <c r="U130" s="265"/>
      <c r="V130" s="265"/>
      <c r="W130" s="265"/>
      <c r="X130" s="265"/>
      <c r="Y130" s="265"/>
      <c r="Z130" s="265"/>
      <c r="AA130" s="265"/>
      <c r="AB130" s="265"/>
      <c r="AC130" s="265"/>
      <c r="AD130" s="265"/>
      <c r="AE130" s="265"/>
      <c r="AF130" s="265"/>
      <c r="AG130" s="265"/>
      <c r="AH130" s="265"/>
      <c r="AI130" s="265"/>
      <c r="AJ130" s="265"/>
      <c r="AK130" s="265"/>
      <c r="AL130" s="265"/>
      <c r="AM130" s="265"/>
      <c r="AN130" s="265"/>
      <c r="AO130" s="265"/>
      <c r="AP130" s="265"/>
      <c r="AQ130" s="265"/>
      <c r="AR130" s="265"/>
      <c r="AS130" s="391"/>
      <c r="AT130" s="391"/>
      <c r="AU130" s="391"/>
      <c r="AV130" s="391"/>
      <c r="AW130" s="391"/>
      <c r="AX130" s="391"/>
      <c r="AY130" s="391"/>
      <c r="AZ130" s="265"/>
      <c r="BA130" s="265"/>
      <c r="BB130" s="265"/>
      <c r="BC130" s="265"/>
      <c r="BD130" s="265"/>
      <c r="BE130" s="260"/>
      <c r="BF130" s="260"/>
      <c r="BG130" s="260"/>
      <c r="BH130" s="260"/>
      <c r="BI130" s="260"/>
    </row>
    <row r="131" spans="1:61" ht="15">
      <c r="A131" s="267"/>
      <c r="B131" s="265"/>
      <c r="C131" s="265"/>
      <c r="D131" s="409"/>
      <c r="E131" s="265"/>
      <c r="F131" s="265"/>
      <c r="G131" s="265"/>
      <c r="H131" s="265"/>
      <c r="I131" s="265"/>
      <c r="J131" s="265"/>
      <c r="K131" s="265"/>
      <c r="L131" s="265"/>
      <c r="M131" s="265"/>
      <c r="N131" s="265"/>
      <c r="O131" s="265"/>
      <c r="P131" s="265"/>
      <c r="Q131" s="265"/>
      <c r="R131" s="265"/>
      <c r="S131" s="265"/>
      <c r="T131" s="265"/>
      <c r="U131" s="265"/>
      <c r="V131" s="265"/>
      <c r="W131" s="265"/>
      <c r="X131" s="265"/>
      <c r="Y131" s="265"/>
      <c r="Z131" s="265"/>
      <c r="AA131" s="265"/>
      <c r="AB131" s="265"/>
      <c r="AC131" s="265"/>
      <c r="AD131" s="265"/>
      <c r="AE131" s="265"/>
      <c r="AF131" s="265"/>
      <c r="AG131" s="265"/>
      <c r="AH131" s="265"/>
      <c r="AI131" s="265"/>
      <c r="AJ131" s="265"/>
      <c r="AK131" s="265"/>
      <c r="AL131" s="265"/>
      <c r="AM131" s="265"/>
      <c r="AN131" s="265"/>
      <c r="AO131" s="265"/>
      <c r="AP131" s="265"/>
      <c r="AQ131" s="265"/>
      <c r="AR131" s="265"/>
      <c r="AS131" s="391"/>
      <c r="AT131" s="391"/>
      <c r="AU131" s="391"/>
      <c r="AV131" s="391"/>
      <c r="AW131" s="391"/>
      <c r="AX131" s="391"/>
      <c r="AY131" s="391"/>
      <c r="AZ131" s="265"/>
      <c r="BA131" s="265"/>
      <c r="BB131" s="265"/>
      <c r="BC131" s="265"/>
      <c r="BD131" s="265"/>
      <c r="BE131" s="260"/>
      <c r="BF131" s="260"/>
      <c r="BG131" s="260"/>
      <c r="BH131" s="260"/>
      <c r="BI131" s="260"/>
    </row>
    <row r="132" spans="1:61" ht="15">
      <c r="A132" s="267"/>
      <c r="B132" s="265"/>
      <c r="C132" s="265"/>
      <c r="D132" s="409"/>
      <c r="E132" s="265"/>
      <c r="F132" s="265"/>
      <c r="G132" s="265"/>
      <c r="H132" s="265"/>
      <c r="I132" s="265"/>
      <c r="J132" s="265"/>
      <c r="K132" s="265"/>
      <c r="L132" s="265"/>
      <c r="M132" s="265"/>
      <c r="N132" s="265"/>
      <c r="O132" s="265"/>
      <c r="P132" s="265"/>
      <c r="Q132" s="265"/>
      <c r="R132" s="265"/>
      <c r="S132" s="265"/>
      <c r="T132" s="265"/>
      <c r="U132" s="265"/>
      <c r="V132" s="265"/>
      <c r="W132" s="265"/>
      <c r="X132" s="265"/>
      <c r="Y132" s="265"/>
      <c r="Z132" s="265"/>
      <c r="AA132" s="265"/>
      <c r="AB132" s="265"/>
      <c r="AC132" s="265"/>
      <c r="AD132" s="265"/>
      <c r="AE132" s="265"/>
      <c r="AF132" s="265"/>
      <c r="AG132" s="265"/>
      <c r="AH132" s="265"/>
      <c r="AI132" s="265"/>
      <c r="AJ132" s="265"/>
      <c r="AK132" s="265"/>
      <c r="AL132" s="265"/>
      <c r="AM132" s="265"/>
      <c r="AN132" s="265"/>
      <c r="AO132" s="265"/>
      <c r="AP132" s="265"/>
      <c r="AQ132" s="265"/>
      <c r="AR132" s="265"/>
      <c r="AS132" s="391"/>
      <c r="AT132" s="391"/>
      <c r="AU132" s="391"/>
      <c r="AV132" s="391"/>
      <c r="AW132" s="391"/>
      <c r="AX132" s="391"/>
      <c r="AY132" s="391"/>
      <c r="AZ132" s="265"/>
      <c r="BA132" s="265"/>
      <c r="BB132" s="265"/>
      <c r="BC132" s="265"/>
      <c r="BD132" s="265"/>
      <c r="BE132" s="260"/>
      <c r="BF132" s="260"/>
      <c r="BG132" s="260"/>
      <c r="BH132" s="260"/>
      <c r="BI132" s="260"/>
    </row>
    <row r="133" spans="1:61" ht="15">
      <c r="A133" s="267"/>
      <c r="B133" s="265"/>
      <c r="C133" s="265"/>
      <c r="D133" s="409"/>
      <c r="E133" s="265"/>
      <c r="F133" s="265"/>
      <c r="G133" s="265"/>
      <c r="H133" s="265"/>
      <c r="I133" s="265"/>
      <c r="J133" s="265"/>
      <c r="K133" s="265"/>
      <c r="L133" s="265"/>
      <c r="M133" s="265"/>
      <c r="N133" s="265"/>
      <c r="O133" s="265"/>
      <c r="P133" s="265"/>
      <c r="Q133" s="265"/>
      <c r="R133" s="265"/>
      <c r="S133" s="265"/>
      <c r="T133" s="265"/>
      <c r="U133" s="265"/>
      <c r="V133" s="265"/>
      <c r="W133" s="265"/>
      <c r="X133" s="265"/>
      <c r="Y133" s="265"/>
      <c r="Z133" s="265"/>
      <c r="AA133" s="265"/>
      <c r="AB133" s="265"/>
      <c r="AC133" s="265"/>
      <c r="AD133" s="265"/>
      <c r="AE133" s="265"/>
      <c r="AF133" s="265"/>
      <c r="AG133" s="265"/>
      <c r="AH133" s="265"/>
      <c r="AI133" s="265"/>
      <c r="AJ133" s="265"/>
      <c r="AK133" s="265"/>
      <c r="AL133" s="265"/>
      <c r="AM133" s="265"/>
      <c r="AN133" s="265"/>
      <c r="AO133" s="265"/>
      <c r="AP133" s="265"/>
      <c r="AQ133" s="265"/>
      <c r="AR133" s="265"/>
      <c r="AS133" s="391"/>
      <c r="AT133" s="391"/>
      <c r="AU133" s="391"/>
      <c r="AV133" s="391"/>
      <c r="AW133" s="391"/>
      <c r="AX133" s="391"/>
      <c r="AY133" s="391"/>
      <c r="AZ133" s="265"/>
      <c r="BA133" s="265"/>
      <c r="BB133" s="265"/>
      <c r="BC133" s="265"/>
      <c r="BD133" s="265"/>
      <c r="BE133" s="260"/>
      <c r="BF133" s="260"/>
      <c r="BG133" s="260"/>
      <c r="BH133" s="260"/>
      <c r="BI133" s="260"/>
    </row>
    <row r="134" spans="1:61" ht="15">
      <c r="A134" s="267"/>
      <c r="B134" s="265"/>
      <c r="C134" s="265"/>
      <c r="D134" s="409"/>
      <c r="E134" s="265"/>
      <c r="F134" s="265"/>
      <c r="G134" s="265"/>
      <c r="H134" s="265"/>
      <c r="I134" s="265"/>
      <c r="J134" s="265"/>
      <c r="K134" s="265"/>
      <c r="L134" s="265"/>
      <c r="M134" s="265"/>
      <c r="N134" s="265"/>
      <c r="O134" s="265"/>
      <c r="P134" s="265"/>
      <c r="Q134" s="265"/>
      <c r="R134" s="265"/>
      <c r="S134" s="265"/>
      <c r="T134" s="265"/>
      <c r="U134" s="265"/>
      <c r="V134" s="265"/>
      <c r="W134" s="265"/>
      <c r="X134" s="265"/>
      <c r="Y134" s="265"/>
      <c r="Z134" s="265"/>
      <c r="AA134" s="265"/>
      <c r="AB134" s="265"/>
      <c r="AC134" s="265"/>
      <c r="AD134" s="265"/>
      <c r="AE134" s="265"/>
      <c r="AF134" s="265"/>
      <c r="AG134" s="265"/>
      <c r="AH134" s="265"/>
      <c r="AI134" s="265"/>
      <c r="AJ134" s="265"/>
      <c r="AK134" s="265"/>
      <c r="AL134" s="265"/>
      <c r="AM134" s="265"/>
      <c r="AN134" s="265"/>
      <c r="AO134" s="265"/>
      <c r="AP134" s="265"/>
      <c r="AQ134" s="265"/>
      <c r="AR134" s="265"/>
      <c r="AS134" s="391"/>
      <c r="AT134" s="391"/>
      <c r="AU134" s="391"/>
      <c r="AV134" s="391"/>
      <c r="AW134" s="391"/>
      <c r="AX134" s="391"/>
      <c r="AY134" s="391"/>
      <c r="AZ134" s="265"/>
      <c r="BA134" s="265"/>
      <c r="BB134" s="265"/>
      <c r="BC134" s="265"/>
      <c r="BD134" s="265"/>
      <c r="BE134" s="260"/>
      <c r="BF134" s="260"/>
      <c r="BG134" s="260"/>
      <c r="BH134" s="260"/>
      <c r="BI134" s="260"/>
    </row>
    <row r="135" spans="1:61" ht="15">
      <c r="A135" s="267"/>
      <c r="B135" s="265"/>
      <c r="C135" s="265"/>
      <c r="D135" s="409"/>
      <c r="E135" s="265"/>
      <c r="F135" s="265"/>
      <c r="G135" s="265"/>
      <c r="H135" s="265"/>
      <c r="I135" s="265"/>
      <c r="J135" s="265"/>
      <c r="K135" s="265"/>
      <c r="L135" s="265"/>
      <c r="M135" s="265"/>
      <c r="N135" s="265"/>
      <c r="O135" s="265"/>
      <c r="P135" s="265"/>
      <c r="Q135" s="265"/>
      <c r="R135" s="265"/>
      <c r="S135" s="265"/>
      <c r="T135" s="265"/>
      <c r="U135" s="265"/>
      <c r="V135" s="265"/>
      <c r="W135" s="265"/>
      <c r="X135" s="265"/>
      <c r="Y135" s="265"/>
      <c r="Z135" s="265"/>
      <c r="AA135" s="265"/>
      <c r="AB135" s="265"/>
      <c r="AC135" s="265"/>
      <c r="AD135" s="265"/>
      <c r="AE135" s="265"/>
      <c r="AF135" s="265"/>
      <c r="AG135" s="265"/>
      <c r="AH135" s="265"/>
      <c r="AI135" s="265"/>
      <c r="AJ135" s="265"/>
      <c r="AK135" s="265"/>
      <c r="AL135" s="265"/>
      <c r="AM135" s="265"/>
      <c r="AN135" s="265"/>
      <c r="AO135" s="265"/>
      <c r="AP135" s="265"/>
      <c r="AQ135" s="265"/>
      <c r="AR135" s="265"/>
      <c r="AS135" s="391"/>
      <c r="AT135" s="391"/>
      <c r="AU135" s="391"/>
      <c r="AV135" s="391"/>
      <c r="AW135" s="391"/>
      <c r="AX135" s="391"/>
      <c r="AY135" s="391"/>
      <c r="AZ135" s="265"/>
      <c r="BA135" s="265"/>
      <c r="BB135" s="265"/>
      <c r="BC135" s="265"/>
      <c r="BD135" s="265"/>
      <c r="BE135" s="260"/>
      <c r="BF135" s="260"/>
      <c r="BG135" s="260"/>
      <c r="BH135" s="260"/>
      <c r="BI135" s="260"/>
    </row>
    <row r="136" spans="1:61" ht="15">
      <c r="A136" s="267"/>
      <c r="B136" s="265"/>
      <c r="C136" s="265"/>
      <c r="D136" s="409"/>
      <c r="E136" s="265"/>
      <c r="F136" s="265"/>
      <c r="G136" s="265"/>
      <c r="H136" s="265"/>
      <c r="I136" s="265"/>
      <c r="J136" s="265"/>
      <c r="K136" s="265"/>
      <c r="L136" s="265"/>
      <c r="M136" s="265"/>
      <c r="N136" s="265"/>
      <c r="O136" s="265"/>
      <c r="P136" s="265"/>
      <c r="Q136" s="265"/>
      <c r="R136" s="265"/>
      <c r="S136" s="265"/>
      <c r="T136" s="265"/>
      <c r="U136" s="265"/>
      <c r="V136" s="265"/>
      <c r="W136" s="265"/>
      <c r="X136" s="265"/>
      <c r="Y136" s="265"/>
      <c r="Z136" s="265"/>
      <c r="AA136" s="265"/>
      <c r="AB136" s="265"/>
      <c r="AC136" s="265"/>
      <c r="AD136" s="265"/>
      <c r="AE136" s="265"/>
      <c r="AF136" s="265"/>
      <c r="AG136" s="265"/>
      <c r="AH136" s="265"/>
      <c r="AI136" s="265"/>
      <c r="AJ136" s="265"/>
      <c r="AK136" s="265"/>
      <c r="AL136" s="265"/>
      <c r="AM136" s="265"/>
      <c r="AN136" s="265"/>
      <c r="AO136" s="265"/>
      <c r="AP136" s="265"/>
      <c r="AQ136" s="265"/>
      <c r="AR136" s="265"/>
      <c r="AS136" s="391"/>
      <c r="AT136" s="391"/>
      <c r="AU136" s="391"/>
      <c r="AV136" s="391"/>
      <c r="AW136" s="391"/>
      <c r="AX136" s="391"/>
      <c r="AY136" s="391"/>
      <c r="AZ136" s="265"/>
      <c r="BA136" s="265"/>
      <c r="BB136" s="265"/>
      <c r="BC136" s="265"/>
      <c r="BD136" s="265"/>
      <c r="BE136" s="260"/>
      <c r="BF136" s="260"/>
      <c r="BG136" s="260"/>
      <c r="BH136" s="260"/>
      <c r="BI136" s="260"/>
    </row>
    <row r="137" spans="1:61" ht="15">
      <c r="A137" s="267"/>
      <c r="B137" s="265"/>
      <c r="C137" s="265"/>
      <c r="D137" s="409"/>
      <c r="E137" s="265"/>
      <c r="F137" s="265"/>
      <c r="G137" s="265"/>
      <c r="H137" s="265"/>
      <c r="I137" s="265"/>
      <c r="J137" s="265"/>
      <c r="K137" s="265"/>
      <c r="L137" s="265"/>
      <c r="M137" s="265"/>
      <c r="N137" s="265"/>
      <c r="O137" s="265"/>
      <c r="P137" s="265"/>
      <c r="Q137" s="265"/>
      <c r="R137" s="265"/>
      <c r="S137" s="265"/>
      <c r="T137" s="265"/>
      <c r="U137" s="265"/>
      <c r="V137" s="265"/>
      <c r="W137" s="265"/>
      <c r="X137" s="265"/>
      <c r="Y137" s="265"/>
      <c r="Z137" s="265"/>
      <c r="AA137" s="265"/>
      <c r="AB137" s="265"/>
      <c r="AC137" s="265"/>
      <c r="AD137" s="265"/>
      <c r="AE137" s="265"/>
      <c r="AF137" s="265"/>
      <c r="AG137" s="265"/>
      <c r="AH137" s="265"/>
      <c r="AI137" s="265"/>
      <c r="AJ137" s="265"/>
      <c r="AK137" s="265"/>
      <c r="AL137" s="265"/>
      <c r="AM137" s="265"/>
      <c r="AN137" s="265"/>
      <c r="AO137" s="265"/>
      <c r="AP137" s="265"/>
      <c r="AQ137" s="265"/>
      <c r="AR137" s="265"/>
      <c r="AS137" s="391"/>
      <c r="AT137" s="391"/>
      <c r="AU137" s="391"/>
      <c r="AV137" s="391"/>
      <c r="AW137" s="391"/>
      <c r="AX137" s="391"/>
      <c r="AY137" s="391"/>
      <c r="AZ137" s="265"/>
      <c r="BA137" s="265"/>
      <c r="BB137" s="265"/>
      <c r="BC137" s="265"/>
      <c r="BD137" s="265"/>
      <c r="BE137" s="260"/>
      <c r="BF137" s="260"/>
      <c r="BG137" s="260"/>
      <c r="BH137" s="260"/>
      <c r="BI137" s="260"/>
    </row>
    <row r="138" spans="1:61" ht="15">
      <c r="A138" s="267"/>
      <c r="B138" s="265"/>
      <c r="C138" s="265"/>
      <c r="D138" s="409"/>
      <c r="E138" s="265"/>
      <c r="F138" s="265"/>
      <c r="G138" s="265"/>
      <c r="H138" s="265"/>
      <c r="I138" s="265"/>
      <c r="J138" s="265"/>
      <c r="K138" s="265"/>
      <c r="L138" s="265"/>
      <c r="M138" s="265"/>
      <c r="N138" s="265"/>
      <c r="O138" s="265"/>
      <c r="P138" s="265"/>
      <c r="Q138" s="265"/>
      <c r="R138" s="265"/>
      <c r="S138" s="265"/>
      <c r="T138" s="265"/>
      <c r="U138" s="265"/>
      <c r="V138" s="265"/>
      <c r="W138" s="265"/>
      <c r="X138" s="265"/>
      <c r="Y138" s="265"/>
      <c r="Z138" s="265"/>
      <c r="AA138" s="265"/>
      <c r="AB138" s="265"/>
      <c r="AC138" s="265"/>
      <c r="AD138" s="265"/>
      <c r="AE138" s="265"/>
      <c r="AF138" s="265"/>
      <c r="AG138" s="265"/>
      <c r="AH138" s="265"/>
      <c r="AI138" s="265"/>
      <c r="AJ138" s="265"/>
      <c r="AK138" s="265"/>
      <c r="AL138" s="265"/>
      <c r="AM138" s="265"/>
      <c r="AN138" s="265"/>
      <c r="AO138" s="265"/>
      <c r="AP138" s="265"/>
      <c r="AQ138" s="265"/>
      <c r="AR138" s="265"/>
      <c r="AS138" s="391"/>
      <c r="AT138" s="391"/>
      <c r="AU138" s="391"/>
      <c r="AV138" s="391"/>
      <c r="AW138" s="391"/>
      <c r="AX138" s="391"/>
      <c r="AY138" s="391"/>
      <c r="AZ138" s="265"/>
      <c r="BA138" s="265"/>
      <c r="BB138" s="265"/>
      <c r="BC138" s="265"/>
      <c r="BD138" s="265"/>
      <c r="BE138" s="260"/>
      <c r="BF138" s="260"/>
      <c r="BG138" s="260"/>
      <c r="BH138" s="260"/>
      <c r="BI138" s="260"/>
    </row>
    <row r="139" spans="1:61" ht="15">
      <c r="A139" s="267"/>
      <c r="B139" s="265"/>
      <c r="C139" s="265"/>
      <c r="D139" s="409"/>
      <c r="E139" s="265"/>
      <c r="F139" s="265"/>
      <c r="G139" s="265"/>
      <c r="H139" s="265"/>
      <c r="I139" s="265"/>
      <c r="J139" s="265"/>
      <c r="K139" s="265"/>
      <c r="L139" s="265"/>
      <c r="M139" s="265"/>
      <c r="N139" s="265"/>
      <c r="O139" s="265"/>
      <c r="P139" s="265"/>
      <c r="Q139" s="265"/>
      <c r="R139" s="265"/>
      <c r="S139" s="265"/>
      <c r="T139" s="265"/>
      <c r="U139" s="265"/>
      <c r="V139" s="265"/>
      <c r="W139" s="265"/>
      <c r="X139" s="265"/>
      <c r="Y139" s="265"/>
      <c r="Z139" s="265"/>
      <c r="AA139" s="265"/>
      <c r="AB139" s="265"/>
      <c r="AC139" s="265"/>
      <c r="AD139" s="265"/>
      <c r="AE139" s="265"/>
      <c r="AF139" s="265"/>
      <c r="AG139" s="265"/>
      <c r="AH139" s="265"/>
      <c r="AI139" s="265"/>
      <c r="AJ139" s="265"/>
      <c r="AK139" s="265"/>
      <c r="AL139" s="265"/>
      <c r="AM139" s="265"/>
      <c r="AN139" s="265"/>
      <c r="AO139" s="265"/>
      <c r="AP139" s="265"/>
      <c r="AQ139" s="265"/>
      <c r="AR139" s="265"/>
      <c r="AS139" s="391"/>
      <c r="AT139" s="391"/>
      <c r="AU139" s="391"/>
      <c r="AV139" s="391"/>
      <c r="AW139" s="391"/>
      <c r="AX139" s="391"/>
      <c r="AY139" s="391"/>
      <c r="AZ139" s="265"/>
      <c r="BA139" s="265"/>
      <c r="BB139" s="265"/>
      <c r="BC139" s="265"/>
      <c r="BD139" s="265"/>
      <c r="BE139" s="260"/>
      <c r="BF139" s="260"/>
      <c r="BG139" s="260"/>
      <c r="BH139" s="260"/>
      <c r="BI139" s="260"/>
    </row>
    <row r="140" spans="1:61" ht="15">
      <c r="A140" s="267"/>
      <c r="B140" s="265"/>
      <c r="C140" s="265"/>
      <c r="D140" s="409"/>
      <c r="E140" s="265"/>
      <c r="F140" s="265"/>
      <c r="G140" s="265"/>
      <c r="H140" s="265"/>
      <c r="I140" s="265"/>
      <c r="J140" s="265"/>
      <c r="K140" s="265"/>
      <c r="L140" s="265"/>
      <c r="M140" s="265"/>
      <c r="N140" s="265"/>
      <c r="O140" s="265"/>
      <c r="P140" s="265"/>
      <c r="Q140" s="265"/>
      <c r="R140" s="265"/>
      <c r="S140" s="265"/>
      <c r="T140" s="265"/>
      <c r="U140" s="265"/>
      <c r="V140" s="265"/>
      <c r="W140" s="265"/>
      <c r="X140" s="265"/>
      <c r="Y140" s="265"/>
      <c r="Z140" s="265"/>
      <c r="AA140" s="265"/>
      <c r="AB140" s="265"/>
      <c r="AC140" s="265"/>
      <c r="AD140" s="265"/>
      <c r="AE140" s="265"/>
      <c r="AF140" s="265"/>
      <c r="AG140" s="265"/>
      <c r="AH140" s="265"/>
      <c r="AI140" s="265"/>
      <c r="AJ140" s="265"/>
      <c r="AK140" s="265"/>
      <c r="AL140" s="265"/>
      <c r="AM140" s="265"/>
      <c r="AN140" s="265"/>
      <c r="AO140" s="265"/>
      <c r="AP140" s="265"/>
      <c r="AQ140" s="265"/>
      <c r="AR140" s="265"/>
      <c r="AS140" s="391"/>
      <c r="AT140" s="391"/>
      <c r="AU140" s="391"/>
      <c r="AV140" s="391"/>
      <c r="AW140" s="391"/>
      <c r="AX140" s="391"/>
      <c r="AY140" s="391"/>
      <c r="AZ140" s="265"/>
      <c r="BA140" s="265"/>
      <c r="BB140" s="265"/>
      <c r="BC140" s="265"/>
      <c r="BD140" s="265"/>
      <c r="BE140" s="260"/>
      <c r="BF140" s="260"/>
      <c r="BG140" s="260"/>
      <c r="BH140" s="260"/>
      <c r="BI140" s="260"/>
    </row>
    <row r="141" spans="1:61" ht="15">
      <c r="A141" s="267"/>
      <c r="B141" s="265"/>
      <c r="C141" s="265"/>
      <c r="D141" s="409"/>
      <c r="E141" s="265"/>
      <c r="F141" s="265"/>
      <c r="G141" s="265"/>
      <c r="H141" s="265"/>
      <c r="I141" s="265"/>
      <c r="J141" s="265"/>
      <c r="K141" s="265"/>
      <c r="L141" s="265"/>
      <c r="M141" s="265"/>
      <c r="N141" s="265"/>
      <c r="O141" s="265"/>
      <c r="P141" s="265"/>
      <c r="Q141" s="265"/>
      <c r="R141" s="265"/>
      <c r="S141" s="265"/>
      <c r="T141" s="265"/>
      <c r="U141" s="265"/>
      <c r="V141" s="265"/>
      <c r="W141" s="265"/>
      <c r="X141" s="265"/>
      <c r="Y141" s="265"/>
      <c r="Z141" s="265"/>
      <c r="AA141" s="265"/>
      <c r="AB141" s="265"/>
      <c r="AC141" s="265"/>
      <c r="AD141" s="265"/>
      <c r="AE141" s="265"/>
      <c r="AF141" s="265"/>
      <c r="AG141" s="265"/>
      <c r="AH141" s="265"/>
      <c r="AI141" s="265"/>
      <c r="AJ141" s="265"/>
      <c r="AK141" s="265"/>
      <c r="AL141" s="265"/>
      <c r="AM141" s="265"/>
      <c r="AN141" s="265"/>
      <c r="AO141" s="265"/>
      <c r="AP141" s="265"/>
      <c r="AQ141" s="265"/>
      <c r="AR141" s="265"/>
      <c r="AS141" s="391"/>
      <c r="AT141" s="391"/>
      <c r="AU141" s="391"/>
      <c r="AV141" s="391"/>
      <c r="AW141" s="391"/>
      <c r="AX141" s="391"/>
      <c r="AY141" s="391"/>
      <c r="AZ141" s="265"/>
      <c r="BA141" s="265"/>
      <c r="BB141" s="265"/>
      <c r="BC141" s="265"/>
      <c r="BD141" s="265"/>
      <c r="BE141" s="260"/>
      <c r="BF141" s="260"/>
      <c r="BG141" s="260"/>
      <c r="BH141" s="260"/>
      <c r="BI141" s="260"/>
    </row>
    <row r="142" spans="1:61" ht="15">
      <c r="A142" s="267"/>
      <c r="B142" s="265"/>
      <c r="C142" s="265"/>
      <c r="D142" s="409"/>
      <c r="E142" s="265"/>
      <c r="F142" s="265"/>
      <c r="G142" s="265"/>
      <c r="H142" s="265"/>
      <c r="I142" s="265"/>
      <c r="J142" s="265"/>
      <c r="K142" s="265"/>
      <c r="L142" s="265"/>
      <c r="M142" s="265"/>
      <c r="N142" s="265"/>
      <c r="O142" s="265"/>
      <c r="P142" s="265"/>
      <c r="Q142" s="265"/>
      <c r="R142" s="265"/>
      <c r="S142" s="265"/>
      <c r="T142" s="265"/>
      <c r="U142" s="265"/>
      <c r="V142" s="265"/>
      <c r="W142" s="265"/>
      <c r="X142" s="265"/>
      <c r="Y142" s="265"/>
      <c r="Z142" s="265"/>
      <c r="AA142" s="265"/>
      <c r="AB142" s="265"/>
      <c r="AC142" s="265"/>
      <c r="AD142" s="265"/>
      <c r="AE142" s="265"/>
      <c r="AF142" s="265"/>
      <c r="AG142" s="265"/>
      <c r="AH142" s="265"/>
      <c r="AI142" s="265"/>
      <c r="AJ142" s="265"/>
      <c r="AK142" s="265"/>
      <c r="AL142" s="265"/>
      <c r="AM142" s="265"/>
      <c r="AN142" s="265"/>
      <c r="AO142" s="265"/>
      <c r="AP142" s="265"/>
      <c r="AQ142" s="265"/>
      <c r="AR142" s="265"/>
      <c r="AS142" s="391"/>
      <c r="AT142" s="391"/>
      <c r="AU142" s="391"/>
      <c r="AV142" s="391"/>
      <c r="AW142" s="391"/>
      <c r="AX142" s="391"/>
      <c r="AY142" s="391"/>
      <c r="AZ142" s="265"/>
      <c r="BA142" s="265"/>
      <c r="BB142" s="265"/>
      <c r="BC142" s="265"/>
      <c r="BD142" s="265"/>
      <c r="BE142" s="260"/>
      <c r="BF142" s="260"/>
      <c r="BG142" s="260"/>
      <c r="BH142" s="260"/>
      <c r="BI142" s="260"/>
    </row>
    <row r="143" spans="1:61" ht="15">
      <c r="A143" s="267"/>
      <c r="B143" s="265"/>
      <c r="C143" s="265"/>
      <c r="D143" s="409"/>
      <c r="E143" s="265"/>
      <c r="F143" s="265"/>
      <c r="G143" s="265"/>
      <c r="H143" s="265"/>
      <c r="I143" s="265"/>
      <c r="J143" s="265"/>
      <c r="K143" s="265"/>
      <c r="L143" s="265"/>
      <c r="M143" s="265"/>
      <c r="N143" s="265"/>
      <c r="O143" s="265"/>
      <c r="P143" s="265"/>
      <c r="Q143" s="265"/>
      <c r="R143" s="265"/>
      <c r="S143" s="265"/>
      <c r="T143" s="265"/>
      <c r="U143" s="265"/>
      <c r="V143" s="265"/>
      <c r="W143" s="265"/>
      <c r="X143" s="265"/>
      <c r="Y143" s="265"/>
      <c r="Z143" s="265"/>
      <c r="AA143" s="265"/>
      <c r="AB143" s="265"/>
      <c r="AC143" s="265"/>
      <c r="AD143" s="265"/>
      <c r="AE143" s="265"/>
      <c r="AF143" s="265"/>
      <c r="AG143" s="265"/>
      <c r="AH143" s="265"/>
      <c r="AI143" s="265"/>
      <c r="AJ143" s="265"/>
      <c r="AK143" s="265"/>
      <c r="AL143" s="265"/>
      <c r="AM143" s="265"/>
      <c r="AN143" s="265"/>
      <c r="AO143" s="265"/>
      <c r="AP143" s="265"/>
      <c r="AQ143" s="265"/>
      <c r="AR143" s="265"/>
      <c r="AS143" s="391"/>
      <c r="AT143" s="391"/>
      <c r="AU143" s="391"/>
      <c r="AV143" s="391"/>
      <c r="AW143" s="391"/>
      <c r="AX143" s="391"/>
      <c r="AY143" s="391"/>
      <c r="AZ143" s="265"/>
      <c r="BA143" s="265"/>
      <c r="BB143" s="265"/>
      <c r="BC143" s="265"/>
      <c r="BD143" s="265"/>
      <c r="BE143" s="260"/>
      <c r="BF143" s="260"/>
      <c r="BG143" s="260"/>
      <c r="BH143" s="260"/>
      <c r="BI143" s="260"/>
    </row>
    <row r="144" spans="1:61" ht="15">
      <c r="A144" s="267"/>
      <c r="B144" s="265"/>
      <c r="C144" s="265"/>
      <c r="D144" s="409"/>
      <c r="E144" s="265"/>
      <c r="F144" s="265"/>
      <c r="G144" s="265"/>
      <c r="H144" s="265"/>
      <c r="I144" s="265"/>
      <c r="J144" s="265"/>
      <c r="K144" s="265"/>
      <c r="L144" s="265"/>
      <c r="M144" s="265"/>
      <c r="N144" s="265"/>
      <c r="O144" s="265"/>
      <c r="P144" s="265"/>
      <c r="Q144" s="265"/>
      <c r="R144" s="265"/>
      <c r="S144" s="265"/>
      <c r="T144" s="265"/>
      <c r="U144" s="265"/>
      <c r="V144" s="265"/>
      <c r="W144" s="265"/>
      <c r="X144" s="265"/>
      <c r="Y144" s="265"/>
      <c r="Z144" s="265"/>
      <c r="AA144" s="265"/>
      <c r="AB144" s="265"/>
      <c r="AC144" s="265"/>
      <c r="AD144" s="265"/>
      <c r="AE144" s="265"/>
      <c r="AF144" s="265"/>
      <c r="AG144" s="265"/>
      <c r="AH144" s="265"/>
      <c r="AI144" s="265"/>
      <c r="AJ144" s="265"/>
      <c r="AK144" s="265"/>
      <c r="AL144" s="265"/>
      <c r="AM144" s="265"/>
      <c r="AN144" s="265"/>
      <c r="AO144" s="265"/>
      <c r="AP144" s="265"/>
      <c r="AQ144" s="265"/>
      <c r="AR144" s="265"/>
      <c r="AS144" s="391"/>
      <c r="AT144" s="391"/>
      <c r="AU144" s="391"/>
      <c r="AV144" s="391"/>
      <c r="AW144" s="391"/>
      <c r="AX144" s="391"/>
      <c r="AY144" s="391"/>
      <c r="AZ144" s="265"/>
      <c r="BA144" s="265"/>
      <c r="BB144" s="265"/>
      <c r="BC144" s="265"/>
      <c r="BD144" s="265"/>
      <c r="BE144" s="260"/>
      <c r="BF144" s="260"/>
      <c r="BG144" s="260"/>
      <c r="BH144" s="260"/>
      <c r="BI144" s="260"/>
    </row>
    <row r="145" spans="1:61" ht="15">
      <c r="A145" s="267"/>
      <c r="B145" s="265"/>
      <c r="C145" s="265"/>
      <c r="D145" s="409"/>
      <c r="E145" s="265"/>
      <c r="F145" s="265"/>
      <c r="G145" s="265"/>
      <c r="H145" s="265"/>
      <c r="I145" s="265"/>
      <c r="J145" s="265"/>
      <c r="K145" s="265"/>
      <c r="L145" s="265"/>
      <c r="M145" s="265"/>
      <c r="N145" s="265"/>
      <c r="O145" s="265"/>
      <c r="P145" s="265"/>
      <c r="Q145" s="265"/>
      <c r="R145" s="265"/>
      <c r="S145" s="265"/>
      <c r="T145" s="265"/>
      <c r="U145" s="265"/>
      <c r="V145" s="265"/>
      <c r="W145" s="265"/>
      <c r="X145" s="265"/>
      <c r="Y145" s="265"/>
      <c r="Z145" s="265"/>
      <c r="AA145" s="265"/>
      <c r="AB145" s="265"/>
      <c r="AC145" s="265"/>
      <c r="AD145" s="265"/>
      <c r="AE145" s="265"/>
      <c r="AF145" s="265"/>
      <c r="AG145" s="265"/>
      <c r="AH145" s="265"/>
      <c r="AI145" s="265"/>
      <c r="AJ145" s="265"/>
      <c r="AK145" s="265"/>
      <c r="AL145" s="265"/>
      <c r="AM145" s="265"/>
      <c r="AN145" s="265"/>
      <c r="AO145" s="265"/>
      <c r="AP145" s="265"/>
      <c r="AQ145" s="265"/>
      <c r="AR145" s="265"/>
      <c r="AS145" s="391"/>
      <c r="AT145" s="391"/>
      <c r="AU145" s="391"/>
      <c r="AV145" s="391"/>
      <c r="AW145" s="391"/>
      <c r="AX145" s="391"/>
      <c r="AY145" s="391"/>
      <c r="AZ145" s="265"/>
      <c r="BA145" s="265"/>
      <c r="BB145" s="265"/>
      <c r="BC145" s="265"/>
      <c r="BD145" s="265"/>
      <c r="BE145" s="260"/>
      <c r="BF145" s="260"/>
      <c r="BG145" s="260"/>
      <c r="BH145" s="260"/>
      <c r="BI145" s="260"/>
    </row>
    <row r="146" spans="1:61" ht="15">
      <c r="A146" s="267"/>
      <c r="B146" s="265"/>
      <c r="C146" s="265"/>
      <c r="D146" s="409"/>
      <c r="E146" s="265"/>
      <c r="F146" s="265"/>
      <c r="G146" s="265"/>
      <c r="H146" s="265"/>
      <c r="I146" s="265"/>
      <c r="J146" s="265"/>
      <c r="K146" s="265"/>
      <c r="L146" s="265"/>
      <c r="M146" s="265"/>
      <c r="N146" s="265"/>
      <c r="O146" s="265"/>
      <c r="P146" s="265"/>
      <c r="Q146" s="265"/>
      <c r="R146" s="265"/>
      <c r="S146" s="265"/>
      <c r="T146" s="265"/>
      <c r="U146" s="265"/>
      <c r="V146" s="265"/>
      <c r="W146" s="265"/>
      <c r="X146" s="265"/>
      <c r="Y146" s="265"/>
      <c r="Z146" s="265"/>
      <c r="AA146" s="265"/>
      <c r="AB146" s="265"/>
      <c r="AC146" s="265"/>
      <c r="AD146" s="265"/>
      <c r="AE146" s="265"/>
      <c r="AF146" s="265"/>
      <c r="AG146" s="265"/>
      <c r="AH146" s="265"/>
      <c r="AI146" s="265"/>
      <c r="AJ146" s="265"/>
      <c r="AK146" s="265"/>
      <c r="AL146" s="265"/>
      <c r="AM146" s="265"/>
      <c r="AN146" s="265"/>
      <c r="AO146" s="265"/>
      <c r="AP146" s="265"/>
      <c r="AQ146" s="265"/>
      <c r="AR146" s="265"/>
      <c r="AS146" s="391"/>
      <c r="AT146" s="391"/>
      <c r="AU146" s="391"/>
      <c r="AV146" s="391"/>
      <c r="AW146" s="391"/>
      <c r="AX146" s="391"/>
      <c r="AY146" s="391"/>
      <c r="AZ146" s="265"/>
      <c r="BA146" s="265"/>
      <c r="BB146" s="265"/>
      <c r="BC146" s="265"/>
      <c r="BD146" s="265"/>
      <c r="BE146" s="260"/>
      <c r="BF146" s="260"/>
      <c r="BG146" s="260"/>
      <c r="BH146" s="260"/>
      <c r="BI146" s="260"/>
    </row>
    <row r="147" spans="1:61" ht="15">
      <c r="A147" s="267"/>
      <c r="B147" s="265"/>
      <c r="C147" s="265"/>
      <c r="D147" s="409"/>
      <c r="E147" s="265"/>
      <c r="F147" s="265"/>
      <c r="G147" s="265"/>
      <c r="H147" s="265"/>
      <c r="I147" s="265"/>
      <c r="J147" s="265"/>
      <c r="K147" s="265"/>
      <c r="L147" s="265"/>
      <c r="M147" s="265"/>
      <c r="N147" s="265"/>
      <c r="O147" s="265"/>
      <c r="P147" s="265"/>
      <c r="Q147" s="265"/>
      <c r="R147" s="265"/>
      <c r="S147" s="265"/>
      <c r="T147" s="265"/>
      <c r="U147" s="265"/>
      <c r="V147" s="265"/>
      <c r="W147" s="265"/>
      <c r="X147" s="265"/>
      <c r="Y147" s="265"/>
      <c r="Z147" s="265"/>
      <c r="AA147" s="265"/>
      <c r="AB147" s="265"/>
      <c r="AC147" s="265"/>
      <c r="AD147" s="265"/>
      <c r="AE147" s="265"/>
      <c r="AF147" s="265"/>
      <c r="AG147" s="265"/>
      <c r="AH147" s="265"/>
      <c r="AI147" s="265"/>
      <c r="AJ147" s="265"/>
      <c r="AK147" s="265"/>
      <c r="AL147" s="265"/>
      <c r="AM147" s="265"/>
      <c r="AN147" s="265"/>
      <c r="AO147" s="265"/>
      <c r="AP147" s="265"/>
      <c r="AQ147" s="265"/>
      <c r="AR147" s="265"/>
      <c r="AS147" s="391"/>
      <c r="AT147" s="391"/>
      <c r="AU147" s="391"/>
      <c r="AV147" s="391"/>
      <c r="AW147" s="391"/>
      <c r="AX147" s="391"/>
      <c r="AY147" s="391"/>
      <c r="AZ147" s="265"/>
      <c r="BA147" s="265"/>
      <c r="BB147" s="265"/>
      <c r="BC147" s="265"/>
      <c r="BD147" s="265"/>
      <c r="BE147" s="260"/>
      <c r="BF147" s="260"/>
      <c r="BG147" s="260"/>
      <c r="BH147" s="260"/>
      <c r="BI147" s="260"/>
    </row>
    <row r="148" spans="1:61" ht="15">
      <c r="A148" s="267"/>
      <c r="B148" s="265"/>
      <c r="C148" s="265"/>
      <c r="D148" s="409"/>
      <c r="E148" s="265"/>
      <c r="F148" s="265"/>
      <c r="G148" s="265"/>
      <c r="H148" s="265"/>
      <c r="I148" s="265"/>
      <c r="J148" s="265"/>
      <c r="K148" s="265"/>
      <c r="L148" s="265"/>
      <c r="M148" s="265"/>
      <c r="N148" s="265"/>
      <c r="O148" s="265"/>
      <c r="P148" s="265"/>
      <c r="Q148" s="265"/>
      <c r="R148" s="265"/>
      <c r="S148" s="265"/>
      <c r="T148" s="265"/>
      <c r="U148" s="265"/>
      <c r="V148" s="265"/>
      <c r="W148" s="265"/>
      <c r="X148" s="265"/>
      <c r="Y148" s="265"/>
      <c r="Z148" s="265"/>
      <c r="AA148" s="265"/>
      <c r="AB148" s="265"/>
      <c r="AC148" s="265"/>
      <c r="AD148" s="265"/>
      <c r="AE148" s="265"/>
      <c r="AF148" s="265"/>
      <c r="AG148" s="265"/>
      <c r="AH148" s="265"/>
      <c r="AI148" s="265"/>
      <c r="AJ148" s="265"/>
      <c r="AK148" s="265"/>
      <c r="AL148" s="265"/>
      <c r="AM148" s="265"/>
      <c r="AN148" s="265"/>
      <c r="AO148" s="265"/>
      <c r="AP148" s="265"/>
      <c r="AQ148" s="265"/>
      <c r="AR148" s="265"/>
      <c r="AS148" s="391"/>
      <c r="AT148" s="391"/>
      <c r="AU148" s="391"/>
      <c r="AV148" s="391"/>
      <c r="AW148" s="391"/>
      <c r="AX148" s="391"/>
      <c r="AY148" s="391"/>
      <c r="AZ148" s="265"/>
      <c r="BA148" s="265"/>
      <c r="BB148" s="265"/>
      <c r="BC148" s="265"/>
      <c r="BD148" s="265"/>
      <c r="BE148" s="260"/>
      <c r="BF148" s="260"/>
      <c r="BG148" s="260"/>
      <c r="BH148" s="260"/>
      <c r="BI148" s="260"/>
    </row>
    <row r="149" spans="1:61" ht="15">
      <c r="A149" s="267"/>
      <c r="B149" s="265"/>
      <c r="C149" s="265"/>
      <c r="D149" s="409"/>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c r="AM149" s="265"/>
      <c r="AN149" s="265"/>
      <c r="AO149" s="265"/>
      <c r="AP149" s="265"/>
      <c r="AQ149" s="265"/>
      <c r="AR149" s="265"/>
      <c r="AS149" s="391"/>
      <c r="AT149" s="391"/>
      <c r="AU149" s="391"/>
      <c r="AV149" s="391"/>
      <c r="AW149" s="391"/>
      <c r="AX149" s="391"/>
      <c r="AY149" s="391"/>
      <c r="AZ149" s="265"/>
      <c r="BA149" s="265"/>
      <c r="BB149" s="265"/>
      <c r="BC149" s="265"/>
      <c r="BD149" s="265"/>
      <c r="BE149" s="260"/>
      <c r="BF149" s="260"/>
      <c r="BG149" s="260"/>
      <c r="BH149" s="260"/>
      <c r="BI149" s="260"/>
    </row>
    <row r="150" spans="1:61" ht="15">
      <c r="A150" s="267"/>
      <c r="B150" s="265"/>
      <c r="C150" s="265"/>
      <c r="D150" s="409"/>
      <c r="E150" s="265"/>
      <c r="F150" s="265"/>
      <c r="G150" s="265"/>
      <c r="H150" s="265"/>
      <c r="I150" s="265"/>
      <c r="J150" s="265"/>
      <c r="K150" s="265"/>
      <c r="L150" s="265"/>
      <c r="M150" s="265"/>
      <c r="N150" s="265"/>
      <c r="O150" s="265"/>
      <c r="P150" s="265"/>
      <c r="Q150" s="265"/>
      <c r="R150" s="265"/>
      <c r="S150" s="265"/>
      <c r="T150" s="265"/>
      <c r="U150" s="265"/>
      <c r="V150" s="265"/>
      <c r="W150" s="265"/>
      <c r="X150" s="265"/>
      <c r="Y150" s="265"/>
      <c r="Z150" s="265"/>
      <c r="AA150" s="265"/>
      <c r="AB150" s="265"/>
      <c r="AC150" s="265"/>
      <c r="AD150" s="265"/>
      <c r="AE150" s="265"/>
      <c r="AF150" s="265"/>
      <c r="AG150" s="265"/>
      <c r="AH150" s="265"/>
      <c r="AI150" s="265"/>
      <c r="AJ150" s="265"/>
      <c r="AK150" s="265"/>
      <c r="AL150" s="265"/>
      <c r="AM150" s="265"/>
      <c r="AN150" s="265"/>
      <c r="AO150" s="265"/>
      <c r="AP150" s="265"/>
      <c r="AQ150" s="265"/>
      <c r="AR150" s="265"/>
      <c r="AS150" s="391"/>
      <c r="AT150" s="391"/>
      <c r="AU150" s="391"/>
      <c r="AV150" s="391"/>
      <c r="AW150" s="391"/>
      <c r="AX150" s="391"/>
      <c r="AY150" s="391"/>
      <c r="AZ150" s="265"/>
      <c r="BA150" s="265"/>
      <c r="BB150" s="265"/>
      <c r="BC150" s="265"/>
      <c r="BD150" s="265"/>
      <c r="BE150" s="260"/>
      <c r="BF150" s="260"/>
      <c r="BG150" s="260"/>
      <c r="BH150" s="260"/>
      <c r="BI150" s="260"/>
    </row>
    <row r="151" spans="1:61" ht="15">
      <c r="A151" s="267"/>
      <c r="B151" s="265"/>
      <c r="C151" s="265"/>
      <c r="D151" s="409"/>
      <c r="E151" s="265"/>
      <c r="F151" s="265"/>
      <c r="G151" s="265"/>
      <c r="H151" s="265"/>
      <c r="I151" s="265"/>
      <c r="J151" s="265"/>
      <c r="K151" s="265"/>
      <c r="L151" s="265"/>
      <c r="M151" s="265"/>
      <c r="N151" s="265"/>
      <c r="O151" s="265"/>
      <c r="P151" s="265"/>
      <c r="Q151" s="265"/>
      <c r="R151" s="265"/>
      <c r="S151" s="265"/>
      <c r="T151" s="265"/>
      <c r="U151" s="265"/>
      <c r="V151" s="265"/>
      <c r="W151" s="265"/>
      <c r="X151" s="265"/>
      <c r="Y151" s="265"/>
      <c r="Z151" s="265"/>
      <c r="AA151" s="265"/>
      <c r="AB151" s="265"/>
      <c r="AC151" s="265"/>
      <c r="AD151" s="265"/>
      <c r="AE151" s="265"/>
      <c r="AF151" s="265"/>
      <c r="AG151" s="265"/>
      <c r="AH151" s="265"/>
      <c r="AI151" s="265"/>
      <c r="AJ151" s="265"/>
      <c r="AK151" s="265"/>
      <c r="AL151" s="265"/>
      <c r="AM151" s="265"/>
      <c r="AN151" s="265"/>
      <c r="AO151" s="265"/>
      <c r="AP151" s="265"/>
      <c r="AQ151" s="265"/>
      <c r="AR151" s="265"/>
      <c r="AS151" s="391"/>
      <c r="AT151" s="391"/>
      <c r="AU151" s="391"/>
      <c r="AV151" s="391"/>
      <c r="AW151" s="391"/>
      <c r="AX151" s="391"/>
      <c r="AY151" s="391"/>
      <c r="AZ151" s="265"/>
      <c r="BA151" s="265"/>
      <c r="BB151" s="265"/>
      <c r="BC151" s="265"/>
      <c r="BD151" s="265"/>
      <c r="BE151" s="260"/>
      <c r="BF151" s="260"/>
      <c r="BG151" s="260"/>
      <c r="BH151" s="260"/>
      <c r="BI151" s="260"/>
    </row>
    <row r="152" spans="1:61" ht="15">
      <c r="A152" s="267"/>
      <c r="B152" s="265"/>
      <c r="C152" s="265"/>
      <c r="D152" s="409"/>
      <c r="E152" s="265"/>
      <c r="F152" s="265"/>
      <c r="G152" s="265"/>
      <c r="H152" s="265"/>
      <c r="I152" s="265"/>
      <c r="J152" s="265"/>
      <c r="K152" s="265"/>
      <c r="L152" s="265"/>
      <c r="M152" s="265"/>
      <c r="N152" s="265"/>
      <c r="O152" s="265"/>
      <c r="P152" s="265"/>
      <c r="Q152" s="265"/>
      <c r="R152" s="265"/>
      <c r="S152" s="265"/>
      <c r="T152" s="265"/>
      <c r="U152" s="265"/>
      <c r="V152" s="265"/>
      <c r="W152" s="265"/>
      <c r="X152" s="265"/>
      <c r="Y152" s="265"/>
      <c r="Z152" s="265"/>
      <c r="AA152" s="265"/>
      <c r="AB152" s="265"/>
      <c r="AC152" s="265"/>
      <c r="AD152" s="265"/>
      <c r="AE152" s="265"/>
      <c r="AF152" s="265"/>
      <c r="AG152" s="265"/>
      <c r="AH152" s="265"/>
      <c r="AI152" s="265"/>
      <c r="AJ152" s="265"/>
      <c r="AK152" s="265"/>
      <c r="AL152" s="265"/>
      <c r="AM152" s="265"/>
      <c r="AN152" s="265"/>
      <c r="AO152" s="265"/>
      <c r="AP152" s="265"/>
      <c r="AQ152" s="265"/>
      <c r="AR152" s="265"/>
      <c r="AS152" s="391"/>
      <c r="AT152" s="391"/>
      <c r="AU152" s="391"/>
      <c r="AV152" s="391"/>
      <c r="AW152" s="391"/>
      <c r="AX152" s="391"/>
      <c r="AY152" s="391"/>
      <c r="AZ152" s="265"/>
      <c r="BA152" s="265"/>
      <c r="BB152" s="265"/>
      <c r="BC152" s="265"/>
      <c r="BD152" s="265"/>
      <c r="BE152" s="260"/>
      <c r="BF152" s="260"/>
      <c r="BG152" s="260"/>
      <c r="BH152" s="260"/>
      <c r="BI152" s="260"/>
    </row>
    <row r="153" spans="1:61" ht="15">
      <c r="A153" s="267"/>
      <c r="B153" s="265"/>
      <c r="C153" s="265"/>
      <c r="D153" s="409"/>
      <c r="E153" s="265"/>
      <c r="F153" s="265"/>
      <c r="G153" s="265"/>
      <c r="H153" s="265"/>
      <c r="I153" s="265"/>
      <c r="J153" s="265"/>
      <c r="K153" s="265"/>
      <c r="L153" s="265"/>
      <c r="M153" s="265"/>
      <c r="N153" s="265"/>
      <c r="O153" s="265"/>
      <c r="P153" s="265"/>
      <c r="Q153" s="265"/>
      <c r="R153" s="265"/>
      <c r="S153" s="265"/>
      <c r="T153" s="265"/>
      <c r="U153" s="265"/>
      <c r="V153" s="265"/>
      <c r="W153" s="265"/>
      <c r="X153" s="265"/>
      <c r="Y153" s="265"/>
      <c r="Z153" s="265"/>
      <c r="AA153" s="265"/>
      <c r="AB153" s="265"/>
      <c r="AC153" s="265"/>
      <c r="AD153" s="265"/>
      <c r="AE153" s="265"/>
      <c r="AF153" s="265"/>
      <c r="AG153" s="265"/>
      <c r="AH153" s="265"/>
      <c r="AI153" s="265"/>
      <c r="AJ153" s="265"/>
      <c r="AK153" s="265"/>
      <c r="AL153" s="265"/>
      <c r="AM153" s="265"/>
      <c r="AN153" s="265"/>
      <c r="AO153" s="265"/>
      <c r="AP153" s="265"/>
      <c r="AQ153" s="265"/>
      <c r="AR153" s="265"/>
      <c r="AS153" s="391"/>
      <c r="AT153" s="391"/>
      <c r="AU153" s="391"/>
      <c r="AV153" s="391"/>
      <c r="AW153" s="391"/>
      <c r="AX153" s="391"/>
      <c r="AY153" s="391"/>
      <c r="AZ153" s="265"/>
      <c r="BA153" s="265"/>
      <c r="BB153" s="265"/>
      <c r="BC153" s="265"/>
      <c r="BD153" s="265"/>
      <c r="BE153" s="260"/>
      <c r="BF153" s="260"/>
      <c r="BG153" s="260"/>
      <c r="BH153" s="260"/>
      <c r="BI153" s="260"/>
    </row>
    <row r="154" spans="1:61" ht="15">
      <c r="A154" s="267"/>
      <c r="B154" s="265"/>
      <c r="C154" s="265"/>
      <c r="D154" s="409"/>
      <c r="E154" s="265"/>
      <c r="F154" s="265"/>
      <c r="G154" s="265"/>
      <c r="H154" s="265"/>
      <c r="I154" s="265"/>
      <c r="J154" s="265"/>
      <c r="K154" s="265"/>
      <c r="L154" s="265"/>
      <c r="M154" s="265"/>
      <c r="N154" s="265"/>
      <c r="O154" s="265"/>
      <c r="P154" s="265"/>
      <c r="Q154" s="265"/>
      <c r="R154" s="265"/>
      <c r="S154" s="265"/>
      <c r="T154" s="265"/>
      <c r="U154" s="265"/>
      <c r="V154" s="265"/>
      <c r="W154" s="265"/>
      <c r="X154" s="265"/>
      <c r="Y154" s="265"/>
      <c r="Z154" s="265"/>
      <c r="AA154" s="265"/>
      <c r="AB154" s="265"/>
      <c r="AC154" s="265"/>
      <c r="AD154" s="265"/>
      <c r="AE154" s="265"/>
      <c r="AF154" s="265"/>
      <c r="AG154" s="265"/>
      <c r="AH154" s="265"/>
      <c r="AI154" s="265"/>
      <c r="AJ154" s="265"/>
      <c r="AK154" s="265"/>
      <c r="AL154" s="265"/>
      <c r="AM154" s="265"/>
      <c r="AN154" s="265"/>
      <c r="AO154" s="265"/>
      <c r="AP154" s="265"/>
      <c r="AQ154" s="265"/>
      <c r="AR154" s="265"/>
      <c r="AS154" s="391"/>
      <c r="AT154" s="391"/>
      <c r="AU154" s="391"/>
      <c r="AV154" s="391"/>
      <c r="AW154" s="391"/>
      <c r="AX154" s="391"/>
      <c r="AY154" s="391"/>
      <c r="AZ154" s="265"/>
      <c r="BA154" s="265"/>
      <c r="BB154" s="265"/>
      <c r="BC154" s="265"/>
      <c r="BD154" s="265"/>
      <c r="BE154" s="260"/>
      <c r="BF154" s="260"/>
      <c r="BG154" s="260"/>
      <c r="BH154" s="260"/>
      <c r="BI154" s="260"/>
    </row>
    <row r="155" spans="1:61" ht="15">
      <c r="A155" s="267"/>
      <c r="B155" s="265"/>
      <c r="C155" s="265"/>
      <c r="D155" s="409"/>
      <c r="E155" s="265"/>
      <c r="F155" s="265"/>
      <c r="G155" s="265"/>
      <c r="H155" s="265"/>
      <c r="I155" s="265"/>
      <c r="J155" s="265"/>
      <c r="K155" s="265"/>
      <c r="L155" s="265"/>
      <c r="M155" s="265"/>
      <c r="N155" s="265"/>
      <c r="O155" s="265"/>
      <c r="P155" s="265"/>
      <c r="Q155" s="265"/>
      <c r="R155" s="265"/>
      <c r="S155" s="265"/>
      <c r="T155" s="265"/>
      <c r="U155" s="265"/>
      <c r="V155" s="265"/>
      <c r="W155" s="265"/>
      <c r="X155" s="265"/>
      <c r="Y155" s="265"/>
      <c r="Z155" s="265"/>
      <c r="AA155" s="265"/>
      <c r="AB155" s="265"/>
      <c r="AC155" s="265"/>
      <c r="AD155" s="265"/>
      <c r="AE155" s="265"/>
      <c r="AF155" s="265"/>
      <c r="AG155" s="265"/>
      <c r="AH155" s="265"/>
      <c r="AI155" s="265"/>
      <c r="AJ155" s="265"/>
      <c r="AK155" s="265"/>
      <c r="AL155" s="265"/>
      <c r="AM155" s="265"/>
      <c r="AN155" s="265"/>
      <c r="AO155" s="265"/>
      <c r="AP155" s="265"/>
      <c r="AQ155" s="265"/>
      <c r="AR155" s="265"/>
      <c r="AS155" s="391"/>
      <c r="AT155" s="391"/>
      <c r="AU155" s="391"/>
      <c r="AV155" s="391"/>
      <c r="AW155" s="391"/>
      <c r="AX155" s="391"/>
      <c r="AY155" s="391"/>
      <c r="AZ155" s="265"/>
      <c r="BA155" s="265"/>
      <c r="BB155" s="265"/>
      <c r="BC155" s="265"/>
      <c r="BD155" s="265"/>
      <c r="BE155" s="260"/>
      <c r="BF155" s="260"/>
      <c r="BG155" s="260"/>
      <c r="BH155" s="260"/>
      <c r="BI155" s="260"/>
    </row>
    <row r="156" spans="1:61" ht="15">
      <c r="A156" s="267"/>
      <c r="B156" s="265"/>
      <c r="C156" s="265"/>
      <c r="D156" s="409"/>
      <c r="E156" s="265"/>
      <c r="F156" s="265"/>
      <c r="G156" s="265"/>
      <c r="H156" s="265"/>
      <c r="I156" s="265"/>
      <c r="J156" s="265"/>
      <c r="K156" s="265"/>
      <c r="L156" s="265"/>
      <c r="M156" s="265"/>
      <c r="N156" s="265"/>
      <c r="O156" s="265"/>
      <c r="P156" s="265"/>
      <c r="Q156" s="265"/>
      <c r="R156" s="265"/>
      <c r="S156" s="265"/>
      <c r="T156" s="265"/>
      <c r="U156" s="265"/>
      <c r="V156" s="265"/>
      <c r="W156" s="265"/>
      <c r="X156" s="265"/>
      <c r="Y156" s="265"/>
      <c r="Z156" s="265"/>
      <c r="AA156" s="265"/>
      <c r="AB156" s="265"/>
      <c r="AC156" s="265"/>
      <c r="AD156" s="265"/>
      <c r="AE156" s="265"/>
      <c r="AF156" s="265"/>
      <c r="AG156" s="265"/>
      <c r="AH156" s="265"/>
      <c r="AI156" s="265"/>
      <c r="AJ156" s="265"/>
      <c r="AK156" s="265"/>
      <c r="AL156" s="265"/>
      <c r="AM156" s="265"/>
      <c r="AN156" s="265"/>
      <c r="AO156" s="265"/>
      <c r="AP156" s="265"/>
      <c r="AQ156" s="265"/>
      <c r="AR156" s="265"/>
      <c r="AS156" s="391"/>
      <c r="AT156" s="391"/>
      <c r="AU156" s="391"/>
      <c r="AV156" s="391"/>
      <c r="AW156" s="391"/>
      <c r="AX156" s="391"/>
      <c r="AY156" s="391"/>
      <c r="AZ156" s="265"/>
      <c r="BA156" s="265"/>
      <c r="BB156" s="265"/>
      <c r="BC156" s="265"/>
      <c r="BD156" s="265"/>
      <c r="BE156" s="260"/>
      <c r="BF156" s="260"/>
      <c r="BG156" s="260"/>
      <c r="BH156" s="260"/>
      <c r="BI156" s="260"/>
    </row>
    <row r="157" spans="1:61" ht="15">
      <c r="A157" s="267"/>
      <c r="B157" s="265"/>
      <c r="C157" s="265"/>
      <c r="D157" s="409"/>
      <c r="E157" s="265"/>
      <c r="F157" s="265"/>
      <c r="G157" s="265"/>
      <c r="H157" s="265"/>
      <c r="I157" s="265"/>
      <c r="J157" s="265"/>
      <c r="K157" s="265"/>
      <c r="L157" s="265"/>
      <c r="M157" s="265"/>
      <c r="N157" s="265"/>
      <c r="O157" s="265"/>
      <c r="P157" s="265"/>
      <c r="Q157" s="265"/>
      <c r="R157" s="265"/>
      <c r="S157" s="265"/>
      <c r="T157" s="265"/>
      <c r="U157" s="265"/>
      <c r="V157" s="265"/>
      <c r="W157" s="265"/>
      <c r="X157" s="265"/>
      <c r="Y157" s="265"/>
      <c r="Z157" s="265"/>
      <c r="AA157" s="265"/>
      <c r="AB157" s="265"/>
      <c r="AC157" s="265"/>
      <c r="AD157" s="265"/>
      <c r="AE157" s="265"/>
      <c r="AF157" s="265"/>
      <c r="AG157" s="265"/>
      <c r="AH157" s="265"/>
      <c r="AI157" s="265"/>
      <c r="AJ157" s="265"/>
      <c r="AK157" s="265"/>
      <c r="AL157" s="265"/>
      <c r="AM157" s="265"/>
      <c r="AN157" s="265"/>
      <c r="AO157" s="265"/>
      <c r="AP157" s="265"/>
      <c r="AQ157" s="265"/>
      <c r="AR157" s="265"/>
      <c r="AS157" s="391"/>
      <c r="AT157" s="391"/>
      <c r="AU157" s="391"/>
      <c r="AV157" s="391"/>
      <c r="AW157" s="391"/>
      <c r="AX157" s="391"/>
      <c r="AY157" s="391"/>
      <c r="AZ157" s="265"/>
      <c r="BA157" s="265"/>
      <c r="BB157" s="265"/>
      <c r="BC157" s="265"/>
      <c r="BD157" s="265"/>
      <c r="BE157" s="260"/>
      <c r="BF157" s="260"/>
      <c r="BG157" s="260"/>
      <c r="BH157" s="260"/>
      <c r="BI157" s="260"/>
    </row>
    <row r="158" spans="1:61" ht="15">
      <c r="A158" s="267"/>
      <c r="B158" s="265"/>
      <c r="C158" s="265"/>
      <c r="D158" s="409"/>
      <c r="E158" s="265"/>
      <c r="F158" s="265"/>
      <c r="G158" s="265"/>
      <c r="H158" s="265"/>
      <c r="I158" s="265"/>
      <c r="J158" s="265"/>
      <c r="K158" s="265"/>
      <c r="L158" s="265"/>
      <c r="M158" s="265"/>
      <c r="N158" s="265"/>
      <c r="O158" s="265"/>
      <c r="P158" s="265"/>
      <c r="Q158" s="265"/>
      <c r="R158" s="265"/>
      <c r="S158" s="265"/>
      <c r="T158" s="265"/>
      <c r="U158" s="265"/>
      <c r="V158" s="265"/>
      <c r="W158" s="265"/>
      <c r="X158" s="265"/>
      <c r="Y158" s="265"/>
      <c r="Z158" s="265"/>
      <c r="AA158" s="265"/>
      <c r="AB158" s="265"/>
      <c r="AC158" s="265"/>
      <c r="AD158" s="265"/>
      <c r="AE158" s="265"/>
      <c r="AF158" s="265"/>
      <c r="AG158" s="265"/>
      <c r="AH158" s="265"/>
      <c r="AI158" s="265"/>
      <c r="AJ158" s="265"/>
      <c r="AK158" s="265"/>
      <c r="AL158" s="265"/>
      <c r="AM158" s="265"/>
      <c r="AN158" s="265"/>
      <c r="AO158" s="265"/>
      <c r="AP158" s="265"/>
      <c r="AQ158" s="265"/>
      <c r="AR158" s="265"/>
      <c r="AS158" s="391"/>
      <c r="AT158" s="391"/>
      <c r="AU158" s="391"/>
      <c r="AV158" s="391"/>
      <c r="AW158" s="391"/>
      <c r="AX158" s="391"/>
      <c r="AY158" s="391"/>
      <c r="AZ158" s="265"/>
      <c r="BA158" s="265"/>
      <c r="BB158" s="265"/>
      <c r="BC158" s="265"/>
      <c r="BD158" s="265"/>
      <c r="BE158" s="260"/>
      <c r="BF158" s="260"/>
      <c r="BG158" s="260"/>
      <c r="BH158" s="260"/>
      <c r="BI158" s="260"/>
    </row>
    <row r="159" spans="1:61" ht="15">
      <c r="A159" s="267"/>
      <c r="B159" s="265"/>
      <c r="C159" s="265"/>
      <c r="D159" s="409"/>
      <c r="E159" s="265"/>
      <c r="F159" s="265"/>
      <c r="G159" s="265"/>
      <c r="H159" s="265"/>
      <c r="I159" s="265"/>
      <c r="J159" s="265"/>
      <c r="K159" s="265"/>
      <c r="L159" s="265"/>
      <c r="M159" s="265"/>
      <c r="N159" s="265"/>
      <c r="O159" s="265"/>
      <c r="P159" s="265"/>
      <c r="Q159" s="265"/>
      <c r="R159" s="265"/>
      <c r="S159" s="265"/>
      <c r="T159" s="265"/>
      <c r="U159" s="265"/>
      <c r="V159" s="265"/>
      <c r="W159" s="265"/>
      <c r="X159" s="265"/>
      <c r="Y159" s="265"/>
      <c r="Z159" s="265"/>
      <c r="AA159" s="265"/>
      <c r="AB159" s="265"/>
      <c r="AC159" s="265"/>
      <c r="AD159" s="265"/>
      <c r="AE159" s="265"/>
      <c r="AF159" s="265"/>
      <c r="AG159" s="265"/>
      <c r="AH159" s="265"/>
      <c r="AI159" s="265"/>
      <c r="AJ159" s="265"/>
      <c r="AK159" s="265"/>
      <c r="AL159" s="265"/>
      <c r="AM159" s="265"/>
      <c r="AN159" s="265"/>
      <c r="AO159" s="265"/>
      <c r="AP159" s="265"/>
      <c r="AQ159" s="265"/>
      <c r="AR159" s="265"/>
      <c r="AS159" s="391"/>
      <c r="AT159" s="391"/>
      <c r="AU159" s="391"/>
      <c r="AV159" s="391"/>
      <c r="AW159" s="391"/>
      <c r="AX159" s="391"/>
      <c r="AY159" s="391"/>
      <c r="AZ159" s="265"/>
      <c r="BA159" s="265"/>
      <c r="BB159" s="265"/>
      <c r="BC159" s="265"/>
      <c r="BD159" s="265"/>
      <c r="BE159" s="260"/>
      <c r="BF159" s="260"/>
      <c r="BG159" s="260"/>
      <c r="BH159" s="260"/>
      <c r="BI159" s="260"/>
    </row>
    <row r="160" spans="1:61" ht="15">
      <c r="A160" s="267"/>
      <c r="B160" s="265"/>
      <c r="C160" s="265"/>
      <c r="D160" s="409"/>
      <c r="E160" s="265"/>
      <c r="F160" s="265"/>
      <c r="G160" s="265"/>
      <c r="H160" s="265"/>
      <c r="I160" s="265"/>
      <c r="J160" s="265"/>
      <c r="K160" s="265"/>
      <c r="L160" s="265"/>
      <c r="M160" s="265"/>
      <c r="N160" s="265"/>
      <c r="O160" s="265"/>
      <c r="P160" s="265"/>
      <c r="Q160" s="265"/>
      <c r="R160" s="265"/>
      <c r="S160" s="265"/>
      <c r="T160" s="265"/>
      <c r="U160" s="265"/>
      <c r="V160" s="265"/>
      <c r="W160" s="265"/>
      <c r="X160" s="265"/>
      <c r="Y160" s="265"/>
      <c r="Z160" s="265"/>
      <c r="AA160" s="265"/>
      <c r="AB160" s="265"/>
      <c r="AC160" s="265"/>
      <c r="AD160" s="265"/>
      <c r="AE160" s="265"/>
      <c r="AF160" s="265"/>
      <c r="AG160" s="265"/>
      <c r="AH160" s="265"/>
      <c r="AI160" s="265"/>
      <c r="AJ160" s="265"/>
      <c r="AK160" s="265"/>
      <c r="AL160" s="265"/>
      <c r="AM160" s="265"/>
      <c r="AN160" s="265"/>
      <c r="AO160" s="265"/>
      <c r="AP160" s="265"/>
      <c r="AQ160" s="265"/>
      <c r="AR160" s="265"/>
      <c r="AS160" s="391"/>
      <c r="AT160" s="391"/>
      <c r="AU160" s="391"/>
      <c r="AV160" s="391"/>
      <c r="AW160" s="391"/>
      <c r="AX160" s="391"/>
      <c r="AY160" s="391"/>
      <c r="AZ160" s="265"/>
      <c r="BA160" s="265"/>
      <c r="BB160" s="265"/>
      <c r="BC160" s="265"/>
      <c r="BD160" s="265"/>
      <c r="BE160" s="260"/>
      <c r="BF160" s="260"/>
      <c r="BG160" s="260"/>
      <c r="BH160" s="260"/>
      <c r="BI160" s="260"/>
    </row>
    <row r="161" spans="1:61" ht="15">
      <c r="A161" s="267"/>
      <c r="B161" s="265"/>
      <c r="C161" s="265"/>
      <c r="D161" s="409"/>
      <c r="E161" s="265"/>
      <c r="F161" s="265"/>
      <c r="G161" s="265"/>
      <c r="H161" s="265"/>
      <c r="I161" s="265"/>
      <c r="J161" s="265"/>
      <c r="K161" s="265"/>
      <c r="L161" s="265"/>
      <c r="M161" s="265"/>
      <c r="N161" s="265"/>
      <c r="O161" s="265"/>
      <c r="P161" s="265"/>
      <c r="Q161" s="265"/>
      <c r="R161" s="265"/>
      <c r="S161" s="265"/>
      <c r="T161" s="265"/>
      <c r="U161" s="265"/>
      <c r="V161" s="265"/>
      <c r="W161" s="265"/>
      <c r="X161" s="265"/>
      <c r="Y161" s="265"/>
      <c r="Z161" s="265"/>
      <c r="AA161" s="265"/>
      <c r="AB161" s="265"/>
      <c r="AC161" s="265"/>
      <c r="AD161" s="265"/>
      <c r="AE161" s="265"/>
      <c r="AF161" s="265"/>
      <c r="AG161" s="265"/>
      <c r="AH161" s="265"/>
      <c r="AI161" s="265"/>
      <c r="AJ161" s="265"/>
      <c r="AK161" s="265"/>
      <c r="AL161" s="265"/>
      <c r="AM161" s="265"/>
      <c r="AN161" s="265"/>
      <c r="AO161" s="265"/>
      <c r="AP161" s="265"/>
      <c r="AQ161" s="265"/>
      <c r="AR161" s="265"/>
      <c r="AS161" s="391"/>
      <c r="AT161" s="391"/>
      <c r="AU161" s="391"/>
      <c r="AV161" s="391"/>
      <c r="AW161" s="391"/>
      <c r="AX161" s="391"/>
      <c r="AY161" s="391"/>
      <c r="AZ161" s="265"/>
      <c r="BA161" s="265"/>
      <c r="BB161" s="265"/>
      <c r="BC161" s="265"/>
      <c r="BD161" s="265"/>
      <c r="BE161" s="260"/>
      <c r="BF161" s="260"/>
      <c r="BG161" s="260"/>
      <c r="BH161" s="260"/>
      <c r="BI161" s="260"/>
    </row>
    <row r="162" spans="1:61" ht="15">
      <c r="A162" s="267"/>
      <c r="B162" s="265"/>
      <c r="C162" s="265"/>
      <c r="D162" s="409"/>
      <c r="E162" s="265"/>
      <c r="F162" s="265"/>
      <c r="G162" s="265"/>
      <c r="H162" s="265"/>
      <c r="I162" s="265"/>
      <c r="J162" s="265"/>
      <c r="K162" s="265"/>
      <c r="L162" s="265"/>
      <c r="M162" s="265"/>
      <c r="N162" s="265"/>
      <c r="O162" s="265"/>
      <c r="P162" s="265"/>
      <c r="Q162" s="265"/>
      <c r="R162" s="265"/>
      <c r="S162" s="265"/>
      <c r="T162" s="265"/>
      <c r="U162" s="265"/>
      <c r="V162" s="265"/>
      <c r="W162" s="265"/>
      <c r="X162" s="265"/>
      <c r="Y162" s="265"/>
      <c r="Z162" s="265"/>
      <c r="AA162" s="265"/>
      <c r="AB162" s="265"/>
      <c r="AC162" s="265"/>
      <c r="AD162" s="265"/>
      <c r="AE162" s="265"/>
      <c r="AF162" s="265"/>
      <c r="AG162" s="265"/>
      <c r="AH162" s="265"/>
      <c r="AI162" s="265"/>
      <c r="AJ162" s="265"/>
      <c r="AK162" s="265"/>
      <c r="AL162" s="265"/>
      <c r="AM162" s="265"/>
      <c r="AN162" s="265"/>
      <c r="AO162" s="265"/>
      <c r="AP162" s="265"/>
      <c r="AQ162" s="265"/>
      <c r="AR162" s="265"/>
      <c r="AS162" s="391"/>
      <c r="AT162" s="391"/>
      <c r="AU162" s="391"/>
      <c r="AV162" s="391"/>
      <c r="AW162" s="391"/>
      <c r="AX162" s="391"/>
      <c r="AY162" s="391"/>
      <c r="AZ162" s="265"/>
      <c r="BA162" s="265"/>
      <c r="BB162" s="265"/>
      <c r="BC162" s="265"/>
      <c r="BD162" s="265"/>
      <c r="BE162" s="260"/>
      <c r="BF162" s="260"/>
      <c r="BG162" s="260"/>
      <c r="BH162" s="260"/>
      <c r="BI162" s="260"/>
    </row>
    <row r="163" spans="1:61" ht="15">
      <c r="A163" s="267"/>
      <c r="B163" s="265"/>
      <c r="C163" s="265"/>
      <c r="D163" s="409"/>
      <c r="E163" s="265"/>
      <c r="F163" s="265"/>
      <c r="G163" s="265"/>
      <c r="H163" s="265"/>
      <c r="I163" s="265"/>
      <c r="J163" s="265"/>
      <c r="K163" s="265"/>
      <c r="L163" s="265"/>
      <c r="M163" s="265"/>
      <c r="N163" s="265"/>
      <c r="O163" s="265"/>
      <c r="P163" s="265"/>
      <c r="Q163" s="265"/>
      <c r="R163" s="265"/>
      <c r="S163" s="265"/>
      <c r="T163" s="265"/>
      <c r="U163" s="265"/>
      <c r="V163" s="265"/>
      <c r="W163" s="265"/>
      <c r="X163" s="265"/>
      <c r="Y163" s="265"/>
      <c r="Z163" s="265"/>
      <c r="AA163" s="265"/>
      <c r="AB163" s="265"/>
      <c r="AC163" s="265"/>
      <c r="AD163" s="265"/>
      <c r="AE163" s="265"/>
      <c r="AF163" s="265"/>
      <c r="AG163" s="265"/>
      <c r="AH163" s="265"/>
      <c r="AI163" s="265"/>
      <c r="AJ163" s="265"/>
      <c r="AK163" s="265"/>
      <c r="AL163" s="265"/>
      <c r="AM163" s="265"/>
      <c r="AN163" s="265"/>
      <c r="AO163" s="265"/>
      <c r="AP163" s="265"/>
      <c r="AQ163" s="265"/>
      <c r="AR163" s="265"/>
      <c r="AS163" s="391"/>
      <c r="AT163" s="391"/>
      <c r="AU163" s="391"/>
      <c r="AV163" s="391"/>
      <c r="AW163" s="391"/>
      <c r="AX163" s="391"/>
      <c r="AY163" s="391"/>
      <c r="AZ163" s="265"/>
      <c r="BA163" s="265"/>
      <c r="BB163" s="265"/>
      <c r="BC163" s="265"/>
      <c r="BD163" s="265"/>
      <c r="BE163" s="260"/>
      <c r="BF163" s="260"/>
      <c r="BG163" s="260"/>
      <c r="BH163" s="260"/>
      <c r="BI163" s="260"/>
    </row>
    <row r="164" spans="1:61" ht="15">
      <c r="A164" s="267"/>
      <c r="B164" s="265"/>
      <c r="C164" s="265"/>
      <c r="D164" s="409"/>
      <c r="E164" s="265"/>
      <c r="F164" s="265"/>
      <c r="G164" s="265"/>
      <c r="H164" s="265"/>
      <c r="I164" s="265"/>
      <c r="J164" s="265"/>
      <c r="K164" s="265"/>
      <c r="L164" s="265"/>
      <c r="M164" s="265"/>
      <c r="N164" s="265"/>
      <c r="O164" s="265"/>
      <c r="P164" s="265"/>
      <c r="Q164" s="265"/>
      <c r="R164" s="265"/>
      <c r="S164" s="265"/>
      <c r="T164" s="265"/>
      <c r="U164" s="265"/>
      <c r="V164" s="265"/>
      <c r="W164" s="265"/>
      <c r="X164" s="265"/>
      <c r="Y164" s="265"/>
      <c r="Z164" s="265"/>
      <c r="AA164" s="265"/>
      <c r="AB164" s="265"/>
      <c r="AC164" s="265"/>
      <c r="AD164" s="265"/>
      <c r="AE164" s="265"/>
      <c r="AF164" s="265"/>
      <c r="AG164" s="265"/>
      <c r="AH164" s="265"/>
      <c r="AI164" s="265"/>
      <c r="AJ164" s="265"/>
      <c r="AK164" s="265"/>
      <c r="AL164" s="265"/>
      <c r="AM164" s="265"/>
      <c r="AN164" s="265"/>
      <c r="AO164" s="265"/>
      <c r="AP164" s="265"/>
      <c r="AQ164" s="265"/>
      <c r="AR164" s="265"/>
      <c r="AS164" s="391"/>
      <c r="AT164" s="391"/>
      <c r="AU164" s="391"/>
      <c r="AV164" s="391"/>
      <c r="AW164" s="391"/>
      <c r="AX164" s="391"/>
      <c r="AY164" s="391"/>
      <c r="AZ164" s="265"/>
      <c r="BA164" s="265"/>
      <c r="BB164" s="265"/>
      <c r="BC164" s="265"/>
      <c r="BD164" s="265"/>
      <c r="BE164" s="260"/>
      <c r="BF164" s="260"/>
      <c r="BG164" s="260"/>
      <c r="BH164" s="260"/>
      <c r="BI164" s="260"/>
    </row>
    <row r="165" spans="1:61" ht="15">
      <c r="A165" s="267"/>
      <c r="B165" s="265"/>
      <c r="C165" s="265"/>
      <c r="D165" s="409"/>
      <c r="E165" s="265"/>
      <c r="F165" s="265"/>
      <c r="G165" s="265"/>
      <c r="H165" s="265"/>
      <c r="I165" s="265"/>
      <c r="J165" s="265"/>
      <c r="K165" s="265"/>
      <c r="L165" s="265"/>
      <c r="M165" s="265"/>
      <c r="N165" s="265"/>
      <c r="O165" s="265"/>
      <c r="P165" s="265"/>
      <c r="Q165" s="265"/>
      <c r="R165" s="265"/>
      <c r="S165" s="265"/>
      <c r="T165" s="265"/>
      <c r="U165" s="265"/>
      <c r="V165" s="265"/>
      <c r="W165" s="265"/>
      <c r="X165" s="265"/>
      <c r="Y165" s="265"/>
      <c r="Z165" s="265"/>
      <c r="AA165" s="265"/>
      <c r="AB165" s="265"/>
      <c r="AC165" s="265"/>
      <c r="AD165" s="265"/>
      <c r="AE165" s="265"/>
      <c r="AF165" s="265"/>
      <c r="AG165" s="265"/>
      <c r="AH165" s="265"/>
      <c r="AI165" s="265"/>
      <c r="AJ165" s="265"/>
      <c r="AK165" s="265"/>
      <c r="AL165" s="265"/>
      <c r="AM165" s="265"/>
      <c r="AN165" s="265"/>
      <c r="AO165" s="265"/>
      <c r="AP165" s="265"/>
      <c r="AQ165" s="265"/>
      <c r="AR165" s="265"/>
      <c r="AS165" s="391"/>
      <c r="AT165" s="391"/>
      <c r="AU165" s="391"/>
      <c r="AV165" s="391"/>
      <c r="AW165" s="391"/>
      <c r="AX165" s="391"/>
      <c r="AY165" s="391"/>
      <c r="AZ165" s="265"/>
      <c r="BA165" s="265"/>
      <c r="BB165" s="265"/>
      <c r="BC165" s="265"/>
      <c r="BD165" s="265"/>
      <c r="BE165" s="260"/>
      <c r="BF165" s="260"/>
      <c r="BG165" s="260"/>
      <c r="BH165" s="260"/>
      <c r="BI165" s="260"/>
    </row>
    <row r="166" spans="1:61" ht="15">
      <c r="A166" s="267"/>
      <c r="B166" s="265"/>
      <c r="C166" s="265"/>
      <c r="D166" s="409"/>
      <c r="E166" s="265"/>
      <c r="F166" s="265"/>
      <c r="G166" s="265"/>
      <c r="H166" s="265"/>
      <c r="I166" s="265"/>
      <c r="J166" s="265"/>
      <c r="K166" s="265"/>
      <c r="L166" s="265"/>
      <c r="M166" s="265"/>
      <c r="N166" s="265"/>
      <c r="O166" s="265"/>
      <c r="P166" s="265"/>
      <c r="Q166" s="265"/>
      <c r="R166" s="265"/>
      <c r="S166" s="265"/>
      <c r="T166" s="265"/>
      <c r="U166" s="265"/>
      <c r="V166" s="265"/>
      <c r="W166" s="265"/>
      <c r="X166" s="265"/>
      <c r="Y166" s="265"/>
      <c r="Z166" s="265"/>
      <c r="AA166" s="265"/>
      <c r="AB166" s="265"/>
      <c r="AC166" s="265"/>
      <c r="AD166" s="265"/>
      <c r="AE166" s="265"/>
      <c r="AF166" s="265"/>
      <c r="AG166" s="265"/>
      <c r="AH166" s="265"/>
      <c r="AI166" s="265"/>
      <c r="AJ166" s="265"/>
      <c r="AK166" s="265"/>
      <c r="AL166" s="265"/>
      <c r="AM166" s="265"/>
      <c r="AN166" s="265"/>
      <c r="AO166" s="265"/>
      <c r="AP166" s="265"/>
      <c r="AQ166" s="265"/>
      <c r="AR166" s="265"/>
      <c r="AS166" s="391"/>
      <c r="AT166" s="391"/>
      <c r="AU166" s="391"/>
      <c r="AV166" s="391"/>
      <c r="AW166" s="391"/>
      <c r="AX166" s="391"/>
      <c r="AY166" s="391"/>
      <c r="AZ166" s="265"/>
      <c r="BA166" s="265"/>
      <c r="BB166" s="265"/>
      <c r="BC166" s="265"/>
      <c r="BD166" s="265"/>
      <c r="BE166" s="260"/>
      <c r="BF166" s="260"/>
      <c r="BG166" s="260"/>
      <c r="BH166" s="260"/>
      <c r="BI166" s="260"/>
    </row>
    <row r="167" spans="1:61" ht="15">
      <c r="A167" s="267"/>
      <c r="B167" s="265"/>
      <c r="C167" s="265"/>
      <c r="D167" s="409"/>
      <c r="E167" s="265"/>
      <c r="F167" s="265"/>
      <c r="G167" s="265"/>
      <c r="H167" s="265"/>
      <c r="I167" s="265"/>
      <c r="J167" s="265"/>
      <c r="K167" s="265"/>
      <c r="L167" s="265"/>
      <c r="M167" s="265"/>
      <c r="N167" s="265"/>
      <c r="O167" s="265"/>
      <c r="P167" s="265"/>
      <c r="Q167" s="265"/>
      <c r="R167" s="265"/>
      <c r="S167" s="265"/>
      <c r="T167" s="265"/>
      <c r="U167" s="265"/>
      <c r="V167" s="265"/>
      <c r="W167" s="265"/>
      <c r="X167" s="265"/>
      <c r="Y167" s="265"/>
      <c r="Z167" s="265"/>
      <c r="AA167" s="265"/>
      <c r="AB167" s="265"/>
      <c r="AC167" s="265"/>
      <c r="AD167" s="265"/>
      <c r="AE167" s="265"/>
      <c r="AF167" s="265"/>
      <c r="AG167" s="265"/>
      <c r="AH167" s="265"/>
      <c r="AI167" s="265"/>
      <c r="AJ167" s="265"/>
      <c r="AK167" s="265"/>
      <c r="AL167" s="265"/>
      <c r="AM167" s="265"/>
      <c r="AN167" s="265"/>
      <c r="AO167" s="265"/>
      <c r="AP167" s="265"/>
      <c r="AQ167" s="265"/>
      <c r="AR167" s="265"/>
      <c r="AS167" s="391"/>
      <c r="AT167" s="391"/>
      <c r="AU167" s="391"/>
      <c r="AV167" s="391"/>
      <c r="AW167" s="391"/>
      <c r="AX167" s="391"/>
      <c r="AY167" s="391"/>
      <c r="AZ167" s="265"/>
      <c r="BA167" s="265"/>
      <c r="BB167" s="265"/>
      <c r="BC167" s="265"/>
      <c r="BD167" s="265"/>
      <c r="BE167" s="260"/>
      <c r="BF167" s="260"/>
      <c r="BG167" s="260"/>
      <c r="BH167" s="260"/>
      <c r="BI167" s="260"/>
    </row>
    <row r="168" spans="1:61" ht="15">
      <c r="A168" s="267"/>
      <c r="B168" s="265"/>
      <c r="C168" s="265"/>
      <c r="D168" s="409"/>
      <c r="E168" s="265"/>
      <c r="F168" s="265"/>
      <c r="G168" s="265"/>
      <c r="H168" s="265"/>
      <c r="I168" s="265"/>
      <c r="J168" s="265"/>
      <c r="K168" s="265"/>
      <c r="L168" s="265"/>
      <c r="M168" s="265"/>
      <c r="N168" s="265"/>
      <c r="O168" s="265"/>
      <c r="P168" s="265"/>
      <c r="Q168" s="265"/>
      <c r="R168" s="265"/>
      <c r="S168" s="265"/>
      <c r="T168" s="265"/>
      <c r="U168" s="265"/>
      <c r="V168" s="265"/>
      <c r="W168" s="265"/>
      <c r="X168" s="265"/>
      <c r="Y168" s="265"/>
      <c r="Z168" s="265"/>
      <c r="AA168" s="265"/>
      <c r="AB168" s="265"/>
      <c r="AC168" s="265"/>
      <c r="AD168" s="265"/>
      <c r="AE168" s="265"/>
      <c r="AF168" s="265"/>
      <c r="AG168" s="265"/>
      <c r="AH168" s="265"/>
      <c r="AI168" s="265"/>
      <c r="AJ168" s="265"/>
      <c r="AK168" s="265"/>
      <c r="AL168" s="265"/>
      <c r="AM168" s="265"/>
      <c r="AN168" s="265"/>
      <c r="AO168" s="265"/>
      <c r="AP168" s="265"/>
      <c r="AQ168" s="265"/>
      <c r="AR168" s="265"/>
      <c r="AS168" s="391"/>
      <c r="AT168" s="391"/>
      <c r="AU168" s="391"/>
      <c r="AV168" s="391"/>
      <c r="AW168" s="391"/>
      <c r="AX168" s="391"/>
      <c r="AY168" s="391"/>
      <c r="AZ168" s="265"/>
      <c r="BA168" s="265"/>
      <c r="BB168" s="265"/>
      <c r="BC168" s="265"/>
      <c r="BD168" s="265"/>
      <c r="BE168" s="260"/>
      <c r="BF168" s="260"/>
      <c r="BG168" s="260"/>
      <c r="BH168" s="260"/>
      <c r="BI168" s="260"/>
    </row>
    <row r="169" spans="1:61" ht="15">
      <c r="A169" s="267"/>
      <c r="B169" s="265"/>
      <c r="C169" s="265"/>
      <c r="D169" s="409"/>
      <c r="E169" s="265"/>
      <c r="F169" s="265"/>
      <c r="G169" s="265"/>
      <c r="H169" s="265"/>
      <c r="I169" s="265"/>
      <c r="J169" s="265"/>
      <c r="K169" s="265"/>
      <c r="L169" s="265"/>
      <c r="M169" s="265"/>
      <c r="N169" s="265"/>
      <c r="O169" s="265"/>
      <c r="P169" s="265"/>
      <c r="Q169" s="265"/>
      <c r="R169" s="265"/>
      <c r="S169" s="265"/>
      <c r="T169" s="265"/>
      <c r="U169" s="265"/>
      <c r="V169" s="265"/>
      <c r="W169" s="265"/>
      <c r="X169" s="265"/>
      <c r="Y169" s="265"/>
      <c r="Z169" s="265"/>
      <c r="AA169" s="265"/>
      <c r="AB169" s="265"/>
      <c r="AC169" s="265"/>
      <c r="AD169" s="265"/>
      <c r="AE169" s="265"/>
      <c r="AF169" s="265"/>
      <c r="AG169" s="265"/>
      <c r="AH169" s="265"/>
      <c r="AI169" s="265"/>
      <c r="AJ169" s="265"/>
      <c r="AK169" s="265"/>
      <c r="AL169" s="265"/>
      <c r="AM169" s="265"/>
      <c r="AN169" s="265"/>
      <c r="AO169" s="265"/>
      <c r="AP169" s="265"/>
      <c r="AQ169" s="265"/>
      <c r="AR169" s="265"/>
      <c r="AS169" s="391"/>
      <c r="AT169" s="391"/>
      <c r="AU169" s="391"/>
      <c r="AV169" s="391"/>
      <c r="AW169" s="391"/>
      <c r="AX169" s="391"/>
      <c r="AY169" s="391"/>
      <c r="AZ169" s="265"/>
      <c r="BA169" s="265"/>
      <c r="BB169" s="265"/>
      <c r="BC169" s="265"/>
      <c r="BD169" s="265"/>
      <c r="BE169" s="260"/>
      <c r="BF169" s="260"/>
      <c r="BG169" s="260"/>
      <c r="BH169" s="260"/>
      <c r="BI169" s="260"/>
    </row>
    <row r="170" spans="1:61" ht="15">
      <c r="A170" s="267"/>
      <c r="B170" s="265"/>
      <c r="C170" s="265"/>
      <c r="D170" s="409"/>
      <c r="E170" s="265"/>
      <c r="F170" s="265"/>
      <c r="G170" s="265"/>
      <c r="H170" s="265"/>
      <c r="I170" s="265"/>
      <c r="J170" s="265"/>
      <c r="K170" s="265"/>
      <c r="L170" s="265"/>
      <c r="M170" s="265"/>
      <c r="N170" s="265"/>
      <c r="O170" s="265"/>
      <c r="P170" s="265"/>
      <c r="Q170" s="265"/>
      <c r="R170" s="265"/>
      <c r="S170" s="265"/>
      <c r="T170" s="265"/>
      <c r="U170" s="265"/>
      <c r="V170" s="265"/>
      <c r="W170" s="265"/>
      <c r="X170" s="265"/>
      <c r="Y170" s="265"/>
      <c r="Z170" s="265"/>
      <c r="AA170" s="265"/>
      <c r="AB170" s="265"/>
      <c r="AC170" s="265"/>
      <c r="AD170" s="265"/>
      <c r="AE170" s="265"/>
      <c r="AF170" s="265"/>
      <c r="AG170" s="265"/>
      <c r="AH170" s="265"/>
      <c r="AI170" s="265"/>
      <c r="AJ170" s="265"/>
      <c r="AK170" s="265"/>
      <c r="AL170" s="265"/>
      <c r="AM170" s="265"/>
      <c r="AN170" s="265"/>
      <c r="AO170" s="265"/>
      <c r="AP170" s="265"/>
      <c r="AQ170" s="265"/>
      <c r="AR170" s="265"/>
      <c r="AS170" s="391"/>
      <c r="AT170" s="391"/>
      <c r="AU170" s="391"/>
      <c r="AV170" s="391"/>
      <c r="AW170" s="391"/>
      <c r="AX170" s="391"/>
      <c r="AY170" s="391"/>
      <c r="AZ170" s="265"/>
      <c r="BA170" s="265"/>
      <c r="BB170" s="265"/>
      <c r="BC170" s="265"/>
      <c r="BD170" s="265"/>
      <c r="BE170" s="260"/>
      <c r="BF170" s="260"/>
      <c r="BG170" s="260"/>
      <c r="BH170" s="260"/>
      <c r="BI170" s="260"/>
    </row>
    <row r="171" spans="1:61" ht="15">
      <c r="A171" s="267"/>
      <c r="B171" s="265"/>
      <c r="C171" s="265"/>
      <c r="D171" s="409"/>
      <c r="E171" s="265"/>
      <c r="F171" s="265"/>
      <c r="G171" s="265"/>
      <c r="H171" s="265"/>
      <c r="I171" s="265"/>
      <c r="J171" s="265"/>
      <c r="K171" s="265"/>
      <c r="L171" s="265"/>
      <c r="M171" s="265"/>
      <c r="N171" s="265"/>
      <c r="O171" s="265"/>
      <c r="P171" s="265"/>
      <c r="Q171" s="265"/>
      <c r="R171" s="265"/>
      <c r="S171" s="265"/>
      <c r="T171" s="265"/>
      <c r="U171" s="265"/>
      <c r="V171" s="265"/>
      <c r="W171" s="265"/>
      <c r="X171" s="265"/>
      <c r="Y171" s="265"/>
      <c r="Z171" s="265"/>
      <c r="AA171" s="265"/>
      <c r="AB171" s="265"/>
      <c r="AC171" s="265"/>
      <c r="AD171" s="265"/>
      <c r="AE171" s="265"/>
      <c r="AF171" s="265"/>
      <c r="AG171" s="265"/>
      <c r="AH171" s="265"/>
      <c r="AI171" s="265"/>
      <c r="AJ171" s="265"/>
      <c r="AK171" s="265"/>
      <c r="AL171" s="265"/>
      <c r="AM171" s="265"/>
      <c r="AN171" s="265"/>
      <c r="AO171" s="265"/>
      <c r="AP171" s="265"/>
      <c r="AQ171" s="265"/>
      <c r="AR171" s="265"/>
      <c r="AS171" s="391"/>
      <c r="AT171" s="391"/>
      <c r="AU171" s="391"/>
      <c r="AV171" s="391"/>
      <c r="AW171" s="391"/>
      <c r="AX171" s="391"/>
      <c r="AY171" s="391"/>
      <c r="AZ171" s="265"/>
      <c r="BA171" s="265"/>
      <c r="BB171" s="265"/>
      <c r="BC171" s="265"/>
      <c r="BD171" s="265"/>
      <c r="BE171" s="260"/>
      <c r="BF171" s="260"/>
      <c r="BG171" s="260"/>
      <c r="BH171" s="260"/>
      <c r="BI171" s="260"/>
    </row>
    <row r="172" spans="1:61" ht="15">
      <c r="A172" s="267"/>
      <c r="B172" s="265"/>
      <c r="C172" s="265"/>
      <c r="D172" s="409"/>
      <c r="E172" s="265"/>
      <c r="F172" s="265"/>
      <c r="G172" s="265"/>
      <c r="H172" s="265"/>
      <c r="I172" s="265"/>
      <c r="J172" s="265"/>
      <c r="K172" s="265"/>
      <c r="L172" s="265"/>
      <c r="M172" s="265"/>
      <c r="N172" s="265"/>
      <c r="O172" s="265"/>
      <c r="P172" s="265"/>
      <c r="Q172" s="265"/>
      <c r="R172" s="265"/>
      <c r="S172" s="265"/>
      <c r="T172" s="265"/>
      <c r="U172" s="265"/>
      <c r="V172" s="265"/>
      <c r="W172" s="265"/>
      <c r="X172" s="265"/>
      <c r="Y172" s="265"/>
      <c r="Z172" s="265"/>
      <c r="AA172" s="265"/>
      <c r="AB172" s="265"/>
      <c r="AC172" s="265"/>
      <c r="AD172" s="265"/>
      <c r="AE172" s="265"/>
      <c r="AF172" s="265"/>
      <c r="AG172" s="265"/>
      <c r="AH172" s="265"/>
      <c r="AI172" s="265"/>
      <c r="AJ172" s="265"/>
      <c r="AK172" s="265"/>
      <c r="AL172" s="265"/>
      <c r="AM172" s="265"/>
      <c r="AN172" s="265"/>
      <c r="AO172" s="265"/>
      <c r="AP172" s="265"/>
      <c r="AQ172" s="265"/>
      <c r="AR172" s="265"/>
      <c r="AS172" s="391"/>
      <c r="AT172" s="391"/>
      <c r="AU172" s="391"/>
      <c r="AV172" s="391"/>
      <c r="AW172" s="391"/>
      <c r="AX172" s="391"/>
      <c r="AY172" s="391"/>
      <c r="AZ172" s="265"/>
      <c r="BA172" s="265"/>
      <c r="BB172" s="265"/>
      <c r="BC172" s="265"/>
      <c r="BD172" s="265"/>
      <c r="BE172" s="260"/>
      <c r="BF172" s="260"/>
      <c r="BG172" s="260"/>
      <c r="BH172" s="260"/>
      <c r="BI172" s="260"/>
    </row>
    <row r="173" spans="1:61" ht="15">
      <c r="A173" s="267"/>
      <c r="B173" s="265"/>
      <c r="C173" s="265"/>
      <c r="D173" s="409"/>
      <c r="E173" s="265"/>
      <c r="F173" s="265"/>
      <c r="G173" s="265"/>
      <c r="H173" s="265"/>
      <c r="I173" s="265"/>
      <c r="J173" s="265"/>
      <c r="K173" s="265"/>
      <c r="L173" s="265"/>
      <c r="M173" s="265"/>
      <c r="N173" s="265"/>
      <c r="O173" s="265"/>
      <c r="P173" s="265"/>
      <c r="Q173" s="265"/>
      <c r="R173" s="265"/>
      <c r="S173" s="265"/>
      <c r="T173" s="265"/>
      <c r="U173" s="265"/>
      <c r="V173" s="265"/>
      <c r="W173" s="265"/>
      <c r="X173" s="265"/>
      <c r="Y173" s="265"/>
      <c r="Z173" s="265"/>
      <c r="AA173" s="265"/>
      <c r="AB173" s="265"/>
      <c r="AC173" s="265"/>
      <c r="AD173" s="265"/>
      <c r="AE173" s="265"/>
      <c r="AF173" s="265"/>
      <c r="AG173" s="265"/>
      <c r="AH173" s="265"/>
      <c r="AI173" s="265"/>
      <c r="AJ173" s="265"/>
      <c r="AK173" s="265"/>
      <c r="AL173" s="265"/>
      <c r="AM173" s="265"/>
      <c r="AN173" s="265"/>
      <c r="AO173" s="265"/>
      <c r="AP173" s="265"/>
      <c r="AQ173" s="265"/>
      <c r="AR173" s="265"/>
      <c r="AS173" s="391"/>
      <c r="AT173" s="391"/>
      <c r="AU173" s="391"/>
      <c r="AV173" s="391"/>
      <c r="AW173" s="391"/>
      <c r="AX173" s="391"/>
      <c r="AY173" s="391"/>
      <c r="AZ173" s="265"/>
      <c r="BA173" s="265"/>
      <c r="BB173" s="265"/>
      <c r="BC173" s="265"/>
      <c r="BD173" s="265"/>
      <c r="BE173" s="260"/>
      <c r="BF173" s="260"/>
      <c r="BG173" s="260"/>
      <c r="BH173" s="260"/>
      <c r="BI173" s="260"/>
    </row>
    <row r="174" spans="1:61" ht="15">
      <c r="A174" s="267"/>
      <c r="B174" s="265"/>
      <c r="C174" s="265"/>
      <c r="D174" s="409"/>
      <c r="E174" s="265"/>
      <c r="F174" s="265"/>
      <c r="G174" s="265"/>
      <c r="H174" s="265"/>
      <c r="I174" s="265"/>
      <c r="J174" s="265"/>
      <c r="K174" s="265"/>
      <c r="L174" s="265"/>
      <c r="M174" s="265"/>
      <c r="N174" s="265"/>
      <c r="O174" s="265"/>
      <c r="P174" s="265"/>
      <c r="Q174" s="265"/>
      <c r="R174" s="265"/>
      <c r="S174" s="265"/>
      <c r="T174" s="265"/>
      <c r="U174" s="265"/>
      <c r="V174" s="265"/>
      <c r="W174" s="265"/>
      <c r="X174" s="265"/>
      <c r="Y174" s="265"/>
      <c r="Z174" s="265"/>
      <c r="AA174" s="265"/>
      <c r="AB174" s="265"/>
      <c r="AC174" s="265"/>
      <c r="AD174" s="265"/>
      <c r="AE174" s="265"/>
      <c r="AF174" s="265"/>
      <c r="AG174" s="265"/>
      <c r="AH174" s="265"/>
      <c r="AI174" s="265"/>
      <c r="AJ174" s="265"/>
      <c r="AK174" s="265"/>
      <c r="AL174" s="265"/>
      <c r="AM174" s="265"/>
      <c r="AN174" s="265"/>
      <c r="AO174" s="265"/>
      <c r="AP174" s="265"/>
      <c r="AQ174" s="265"/>
      <c r="AR174" s="265"/>
      <c r="AS174" s="391"/>
      <c r="AT174" s="391"/>
      <c r="AU174" s="391"/>
      <c r="AV174" s="391"/>
      <c r="AW174" s="391"/>
      <c r="AX174" s="391"/>
      <c r="AY174" s="391"/>
      <c r="AZ174" s="265"/>
      <c r="BA174" s="265"/>
      <c r="BB174" s="265"/>
      <c r="BC174" s="265"/>
      <c r="BD174" s="265"/>
      <c r="BE174" s="260"/>
      <c r="BF174" s="260"/>
      <c r="BG174" s="260"/>
      <c r="BH174" s="260"/>
      <c r="BI174" s="260"/>
    </row>
    <row r="175" spans="1:61" ht="15">
      <c r="A175" s="267"/>
      <c r="B175" s="265"/>
      <c r="C175" s="265"/>
      <c r="D175" s="409"/>
      <c r="E175" s="265"/>
      <c r="F175" s="265"/>
      <c r="G175" s="265"/>
      <c r="H175" s="265"/>
      <c r="I175" s="265"/>
      <c r="J175" s="265"/>
      <c r="K175" s="265"/>
      <c r="L175" s="265"/>
      <c r="M175" s="265"/>
      <c r="N175" s="265"/>
      <c r="O175" s="265"/>
      <c r="P175" s="265"/>
      <c r="Q175" s="265"/>
      <c r="R175" s="265"/>
      <c r="S175" s="265"/>
      <c r="T175" s="265"/>
      <c r="U175" s="265"/>
      <c r="V175" s="265"/>
      <c r="W175" s="265"/>
      <c r="X175" s="265"/>
      <c r="Y175" s="265"/>
      <c r="Z175" s="265"/>
      <c r="AA175" s="265"/>
      <c r="AB175" s="265"/>
      <c r="AC175" s="265"/>
      <c r="AD175" s="265"/>
      <c r="AE175" s="265"/>
      <c r="AF175" s="265"/>
      <c r="AG175" s="265"/>
      <c r="AH175" s="265"/>
      <c r="AI175" s="265"/>
      <c r="AJ175" s="265"/>
      <c r="AK175" s="265"/>
      <c r="AL175" s="265"/>
      <c r="AM175" s="265"/>
      <c r="AN175" s="265"/>
      <c r="AO175" s="265"/>
      <c r="AP175" s="265"/>
      <c r="AQ175" s="265"/>
      <c r="AR175" s="265"/>
      <c r="AS175" s="391"/>
      <c r="AT175" s="391"/>
      <c r="AU175" s="391"/>
      <c r="AV175" s="391"/>
      <c r="AW175" s="391"/>
      <c r="AX175" s="391"/>
      <c r="AY175" s="391"/>
      <c r="AZ175" s="265"/>
      <c r="BA175" s="265"/>
      <c r="BB175" s="265"/>
      <c r="BC175" s="265"/>
      <c r="BD175" s="265"/>
      <c r="BE175" s="260"/>
      <c r="BF175" s="260"/>
      <c r="BG175" s="260"/>
      <c r="BH175" s="260"/>
      <c r="BI175" s="260"/>
    </row>
    <row r="176" spans="1:61" ht="15">
      <c r="A176" s="267"/>
      <c r="B176" s="265"/>
      <c r="C176" s="265"/>
      <c r="D176" s="409"/>
      <c r="E176" s="265"/>
      <c r="F176" s="265"/>
      <c r="G176" s="265"/>
      <c r="H176" s="265"/>
      <c r="I176" s="265"/>
      <c r="J176" s="265"/>
      <c r="K176" s="265"/>
      <c r="L176" s="265"/>
      <c r="M176" s="265"/>
      <c r="N176" s="265"/>
      <c r="O176" s="265"/>
      <c r="P176" s="265"/>
      <c r="Q176" s="265"/>
      <c r="R176" s="265"/>
      <c r="S176" s="265"/>
      <c r="T176" s="265"/>
      <c r="U176" s="265"/>
      <c r="V176" s="265"/>
      <c r="W176" s="265"/>
      <c r="X176" s="265"/>
      <c r="Y176" s="265"/>
      <c r="Z176" s="265"/>
      <c r="AA176" s="265"/>
      <c r="AB176" s="265"/>
      <c r="AC176" s="265"/>
      <c r="AD176" s="265"/>
      <c r="AE176" s="265"/>
      <c r="AF176" s="265"/>
      <c r="AG176" s="265"/>
      <c r="AH176" s="265"/>
      <c r="AI176" s="265"/>
      <c r="AJ176" s="265"/>
      <c r="AK176" s="265"/>
      <c r="AL176" s="265"/>
      <c r="AM176" s="265"/>
      <c r="AN176" s="265"/>
      <c r="AO176" s="265"/>
      <c r="AP176" s="265"/>
      <c r="AQ176" s="265"/>
      <c r="AR176" s="265"/>
      <c r="AS176" s="391"/>
      <c r="AT176" s="391"/>
      <c r="AU176" s="391"/>
      <c r="AV176" s="391"/>
      <c r="AW176" s="391"/>
      <c r="AX176" s="391"/>
      <c r="AY176" s="391"/>
      <c r="AZ176" s="265"/>
      <c r="BA176" s="265"/>
      <c r="BB176" s="265"/>
      <c r="BC176" s="265"/>
      <c r="BD176" s="265"/>
      <c r="BE176" s="260"/>
      <c r="BF176" s="260"/>
      <c r="BG176" s="260"/>
      <c r="BH176" s="260"/>
      <c r="BI176" s="260"/>
    </row>
    <row r="177" spans="1:61" ht="15">
      <c r="A177" s="267"/>
      <c r="B177" s="265"/>
      <c r="C177" s="265"/>
      <c r="D177" s="409"/>
      <c r="E177" s="265"/>
      <c r="F177" s="265"/>
      <c r="G177" s="265"/>
      <c r="H177" s="265"/>
      <c r="I177" s="265"/>
      <c r="J177" s="265"/>
      <c r="K177" s="265"/>
      <c r="L177" s="265"/>
      <c r="M177" s="265"/>
      <c r="N177" s="265"/>
      <c r="O177" s="265"/>
      <c r="P177" s="265"/>
      <c r="Q177" s="265"/>
      <c r="R177" s="265"/>
      <c r="S177" s="265"/>
      <c r="T177" s="265"/>
      <c r="U177" s="265"/>
      <c r="V177" s="265"/>
      <c r="W177" s="265"/>
      <c r="X177" s="265"/>
      <c r="Y177" s="265"/>
      <c r="Z177" s="265"/>
      <c r="AA177" s="265"/>
      <c r="AB177" s="265"/>
      <c r="AC177" s="265"/>
      <c r="AD177" s="265"/>
      <c r="AE177" s="265"/>
      <c r="AF177" s="265"/>
      <c r="AG177" s="265"/>
      <c r="AH177" s="265"/>
      <c r="AI177" s="265"/>
      <c r="AJ177" s="265"/>
      <c r="AK177" s="265"/>
      <c r="AL177" s="265"/>
      <c r="AM177" s="265"/>
      <c r="AN177" s="265"/>
      <c r="AO177" s="265"/>
      <c r="AP177" s="265"/>
      <c r="AQ177" s="265"/>
      <c r="AR177" s="265"/>
      <c r="AS177" s="391"/>
      <c r="AT177" s="391"/>
      <c r="AU177" s="391"/>
      <c r="AV177" s="391"/>
      <c r="AW177" s="391"/>
      <c r="AX177" s="391"/>
      <c r="AY177" s="391"/>
      <c r="AZ177" s="265"/>
      <c r="BA177" s="265"/>
      <c r="BB177" s="265"/>
      <c r="BC177" s="265"/>
      <c r="BD177" s="265"/>
      <c r="BE177" s="260"/>
      <c r="BF177" s="260"/>
      <c r="BG177" s="260"/>
      <c r="BH177" s="260"/>
      <c r="BI177" s="260"/>
    </row>
    <row r="178" spans="1:61" ht="15">
      <c r="A178" s="267"/>
      <c r="B178" s="265"/>
      <c r="C178" s="265"/>
      <c r="D178" s="409"/>
      <c r="E178" s="265"/>
      <c r="F178" s="265"/>
      <c r="G178" s="265"/>
      <c r="H178" s="265"/>
      <c r="I178" s="265"/>
      <c r="J178" s="265"/>
      <c r="K178" s="265"/>
      <c r="L178" s="265"/>
      <c r="M178" s="265"/>
      <c r="N178" s="265"/>
      <c r="O178" s="265"/>
      <c r="P178" s="265"/>
      <c r="Q178" s="265"/>
      <c r="R178" s="265"/>
      <c r="S178" s="265"/>
      <c r="T178" s="265"/>
      <c r="U178" s="265"/>
      <c r="V178" s="265"/>
      <c r="W178" s="265"/>
      <c r="X178" s="265"/>
      <c r="Y178" s="265"/>
      <c r="Z178" s="265"/>
      <c r="AA178" s="265"/>
      <c r="AB178" s="265"/>
      <c r="AC178" s="265"/>
      <c r="AD178" s="265"/>
      <c r="AE178" s="265"/>
      <c r="AF178" s="265"/>
      <c r="AG178" s="265"/>
      <c r="AH178" s="265"/>
      <c r="AI178" s="265"/>
      <c r="AJ178" s="265"/>
      <c r="AK178" s="265"/>
      <c r="AL178" s="265"/>
      <c r="AM178" s="265"/>
      <c r="AN178" s="265"/>
      <c r="AO178" s="265"/>
      <c r="AP178" s="265"/>
      <c r="AQ178" s="265"/>
      <c r="AR178" s="265"/>
      <c r="AS178" s="391"/>
      <c r="AT178" s="391"/>
      <c r="AU178" s="391"/>
      <c r="AV178" s="391"/>
      <c r="AW178" s="391"/>
      <c r="AX178" s="391"/>
      <c r="AY178" s="391"/>
      <c r="AZ178" s="265"/>
      <c r="BA178" s="265"/>
      <c r="BB178" s="265"/>
      <c r="BC178" s="265"/>
      <c r="BD178" s="265"/>
      <c r="BE178" s="260"/>
      <c r="BF178" s="260"/>
      <c r="BG178" s="260"/>
      <c r="BH178" s="260"/>
      <c r="BI178" s="260"/>
    </row>
    <row r="179" spans="1:61" ht="15">
      <c r="A179" s="267"/>
      <c r="B179" s="265"/>
      <c r="C179" s="265"/>
      <c r="D179" s="409"/>
      <c r="E179" s="265"/>
      <c r="F179" s="265"/>
      <c r="G179" s="265"/>
      <c r="H179" s="265"/>
      <c r="I179" s="265"/>
      <c r="J179" s="265"/>
      <c r="K179" s="265"/>
      <c r="L179" s="265"/>
      <c r="M179" s="265"/>
      <c r="N179" s="265"/>
      <c r="O179" s="265"/>
      <c r="P179" s="265"/>
      <c r="Q179" s="265"/>
      <c r="R179" s="265"/>
      <c r="S179" s="265"/>
      <c r="T179" s="265"/>
      <c r="U179" s="265"/>
      <c r="V179" s="265"/>
      <c r="W179" s="265"/>
      <c r="X179" s="265"/>
      <c r="Y179" s="265"/>
      <c r="Z179" s="265"/>
      <c r="AA179" s="265"/>
      <c r="AB179" s="265"/>
      <c r="AC179" s="265"/>
      <c r="AD179" s="265"/>
      <c r="AE179" s="265"/>
      <c r="AF179" s="265"/>
      <c r="AG179" s="265"/>
      <c r="AH179" s="265"/>
      <c r="AI179" s="265"/>
      <c r="AJ179" s="265"/>
      <c r="AK179" s="265"/>
      <c r="AL179" s="265"/>
      <c r="AM179" s="265"/>
      <c r="AN179" s="265"/>
      <c r="AO179" s="265"/>
      <c r="AP179" s="265"/>
      <c r="AQ179" s="265"/>
      <c r="AR179" s="265"/>
      <c r="AS179" s="391"/>
      <c r="AT179" s="391"/>
      <c r="AU179" s="391"/>
      <c r="AV179" s="391"/>
      <c r="AW179" s="391"/>
      <c r="AX179" s="391"/>
      <c r="AY179" s="391"/>
      <c r="AZ179" s="265"/>
      <c r="BA179" s="265"/>
      <c r="BB179" s="265"/>
      <c r="BC179" s="265"/>
      <c r="BD179" s="265"/>
      <c r="BE179" s="260"/>
      <c r="BF179" s="260"/>
      <c r="BG179" s="260"/>
      <c r="BH179" s="260"/>
      <c r="BI179" s="260"/>
    </row>
    <row r="180" spans="1:61" ht="15">
      <c r="A180" s="267"/>
      <c r="B180" s="265"/>
      <c r="C180" s="265"/>
      <c r="D180" s="409"/>
      <c r="E180" s="265"/>
      <c r="F180" s="265"/>
      <c r="G180" s="265"/>
      <c r="H180" s="265"/>
      <c r="I180" s="265"/>
      <c r="J180" s="265"/>
      <c r="K180" s="265"/>
      <c r="L180" s="265"/>
      <c r="M180" s="265"/>
      <c r="N180" s="265"/>
      <c r="O180" s="265"/>
      <c r="P180" s="265"/>
      <c r="Q180" s="265"/>
      <c r="R180" s="265"/>
      <c r="S180" s="265"/>
      <c r="T180" s="265"/>
      <c r="U180" s="265"/>
      <c r="V180" s="265"/>
      <c r="W180" s="265"/>
      <c r="X180" s="265"/>
      <c r="Y180" s="265"/>
      <c r="Z180" s="265"/>
      <c r="AA180" s="265"/>
      <c r="AB180" s="265"/>
      <c r="AC180" s="265"/>
      <c r="AD180" s="265"/>
      <c r="AE180" s="265"/>
      <c r="AF180" s="265"/>
      <c r="AG180" s="265"/>
      <c r="AH180" s="265"/>
      <c r="AI180" s="265"/>
      <c r="AJ180" s="265"/>
      <c r="AK180" s="265"/>
      <c r="AL180" s="265"/>
      <c r="AM180" s="265"/>
      <c r="AN180" s="265"/>
      <c r="AO180" s="265"/>
      <c r="AP180" s="265"/>
      <c r="AQ180" s="265"/>
      <c r="AR180" s="265"/>
      <c r="AS180" s="391"/>
      <c r="AT180" s="391"/>
      <c r="AU180" s="391"/>
      <c r="AV180" s="391"/>
      <c r="AW180" s="391"/>
      <c r="AX180" s="391"/>
      <c r="AY180" s="391"/>
      <c r="AZ180" s="265"/>
      <c r="BA180" s="265"/>
      <c r="BB180" s="265"/>
      <c r="BC180" s="265"/>
      <c r="BD180" s="265"/>
      <c r="BE180" s="260"/>
      <c r="BF180" s="260"/>
      <c r="BG180" s="260"/>
      <c r="BH180" s="260"/>
      <c r="BI180" s="260"/>
    </row>
    <row r="181" spans="1:61" ht="15">
      <c r="A181" s="267"/>
      <c r="B181" s="265"/>
      <c r="C181" s="265"/>
      <c r="D181" s="409"/>
      <c r="E181" s="265"/>
      <c r="F181" s="265"/>
      <c r="G181" s="265"/>
      <c r="H181" s="265"/>
      <c r="I181" s="265"/>
      <c r="J181" s="265"/>
      <c r="K181" s="265"/>
      <c r="L181" s="265"/>
      <c r="M181" s="265"/>
      <c r="N181" s="265"/>
      <c r="O181" s="265"/>
      <c r="P181" s="265"/>
      <c r="Q181" s="265"/>
      <c r="R181" s="265"/>
      <c r="S181" s="265"/>
      <c r="T181" s="265"/>
      <c r="U181" s="265"/>
      <c r="V181" s="265"/>
      <c r="W181" s="265"/>
      <c r="X181" s="265"/>
      <c r="Y181" s="265"/>
      <c r="Z181" s="265"/>
      <c r="AA181" s="265"/>
      <c r="AB181" s="265"/>
      <c r="AC181" s="265"/>
      <c r="AD181" s="265"/>
      <c r="AE181" s="265"/>
      <c r="AF181" s="265"/>
      <c r="AG181" s="265"/>
      <c r="AH181" s="265"/>
      <c r="AI181" s="265"/>
      <c r="AJ181" s="265"/>
      <c r="AK181" s="265"/>
      <c r="AL181" s="265"/>
      <c r="AM181" s="265"/>
      <c r="AN181" s="265"/>
      <c r="AO181" s="265"/>
      <c r="AP181" s="265"/>
      <c r="AQ181" s="265"/>
      <c r="AR181" s="265"/>
      <c r="AS181" s="391"/>
      <c r="AT181" s="391"/>
      <c r="AU181" s="391"/>
      <c r="AV181" s="391"/>
      <c r="AW181" s="391"/>
      <c r="AX181" s="391"/>
      <c r="AY181" s="391"/>
      <c r="AZ181" s="265"/>
      <c r="BA181" s="265"/>
      <c r="BB181" s="265"/>
      <c r="BC181" s="265"/>
      <c r="BD181" s="265"/>
      <c r="BE181" s="260"/>
      <c r="BF181" s="260"/>
      <c r="BG181" s="260"/>
      <c r="BH181" s="260"/>
      <c r="BI181" s="260"/>
    </row>
    <row r="182" spans="1:61" ht="15">
      <c r="A182" s="267"/>
      <c r="B182" s="265"/>
      <c r="C182" s="265"/>
      <c r="D182" s="409"/>
      <c r="E182" s="265"/>
      <c r="F182" s="265"/>
      <c r="G182" s="265"/>
      <c r="H182" s="265"/>
      <c r="I182" s="265"/>
      <c r="J182" s="265"/>
      <c r="K182" s="265"/>
      <c r="L182" s="265"/>
      <c r="M182" s="265"/>
      <c r="N182" s="265"/>
      <c r="O182" s="265"/>
      <c r="P182" s="265"/>
      <c r="Q182" s="265"/>
      <c r="R182" s="265"/>
      <c r="S182" s="265"/>
      <c r="T182" s="265"/>
      <c r="U182" s="265"/>
      <c r="V182" s="265"/>
      <c r="W182" s="265"/>
      <c r="X182" s="265"/>
      <c r="Y182" s="265"/>
      <c r="Z182" s="265"/>
      <c r="AA182" s="265"/>
      <c r="AB182" s="265"/>
      <c r="AC182" s="265"/>
      <c r="AD182" s="265"/>
      <c r="AE182" s="265"/>
      <c r="AF182" s="265"/>
      <c r="AG182" s="265"/>
      <c r="AH182" s="265"/>
      <c r="AI182" s="265"/>
      <c r="AJ182" s="265"/>
      <c r="AK182" s="265"/>
      <c r="AL182" s="265"/>
      <c r="AM182" s="265"/>
      <c r="AN182" s="265"/>
      <c r="AO182" s="265"/>
      <c r="AP182" s="265"/>
      <c r="AQ182" s="265"/>
      <c r="AR182" s="265"/>
      <c r="AS182" s="391"/>
      <c r="AT182" s="391"/>
      <c r="AU182" s="391"/>
      <c r="AV182" s="391"/>
      <c r="AW182" s="391"/>
      <c r="AX182" s="391"/>
      <c r="AY182" s="391"/>
      <c r="AZ182" s="265"/>
      <c r="BA182" s="265"/>
      <c r="BB182" s="265"/>
      <c r="BC182" s="265"/>
      <c r="BD182" s="265"/>
      <c r="BE182" s="260"/>
      <c r="BF182" s="260"/>
      <c r="BG182" s="260"/>
      <c r="BH182" s="260"/>
      <c r="BI182" s="260"/>
    </row>
    <row r="183" spans="1:61" ht="15">
      <c r="A183" s="267"/>
      <c r="B183" s="265"/>
      <c r="C183" s="265"/>
      <c r="D183" s="409"/>
      <c r="E183" s="265"/>
      <c r="F183" s="265"/>
      <c r="G183" s="265"/>
      <c r="H183" s="265"/>
      <c r="I183" s="265"/>
      <c r="J183" s="265"/>
      <c r="K183" s="265"/>
      <c r="L183" s="265"/>
      <c r="M183" s="265"/>
      <c r="N183" s="265"/>
      <c r="O183" s="265"/>
      <c r="P183" s="265"/>
      <c r="Q183" s="265"/>
      <c r="R183" s="265"/>
      <c r="S183" s="265"/>
      <c r="T183" s="265"/>
      <c r="U183" s="265"/>
      <c r="V183" s="265"/>
      <c r="W183" s="265"/>
      <c r="X183" s="265"/>
      <c r="Y183" s="265"/>
      <c r="Z183" s="265"/>
      <c r="AA183" s="265"/>
      <c r="AB183" s="265"/>
      <c r="AC183" s="265"/>
      <c r="AD183" s="265"/>
      <c r="AE183" s="265"/>
      <c r="AF183" s="265"/>
      <c r="AG183" s="265"/>
      <c r="AH183" s="265"/>
      <c r="AI183" s="265"/>
      <c r="AJ183" s="265"/>
      <c r="AK183" s="265"/>
      <c r="AL183" s="265"/>
      <c r="AM183" s="265"/>
      <c r="AN183" s="265"/>
      <c r="AO183" s="265"/>
      <c r="AP183" s="265"/>
      <c r="AQ183" s="265"/>
      <c r="AR183" s="265"/>
      <c r="AS183" s="391"/>
      <c r="AT183" s="391"/>
      <c r="AU183" s="391"/>
      <c r="AV183" s="391"/>
      <c r="AW183" s="391"/>
      <c r="AX183" s="391"/>
      <c r="AY183" s="391"/>
      <c r="AZ183" s="265"/>
      <c r="BA183" s="265"/>
      <c r="BB183" s="265"/>
      <c r="BC183" s="265"/>
      <c r="BD183" s="265"/>
      <c r="BE183" s="260"/>
      <c r="BF183" s="260"/>
      <c r="BG183" s="260"/>
      <c r="BH183" s="260"/>
      <c r="BI183" s="260"/>
    </row>
    <row r="184" spans="1:61" ht="15">
      <c r="A184" s="267"/>
      <c r="B184" s="265"/>
      <c r="C184" s="265"/>
      <c r="D184" s="409"/>
      <c r="E184" s="265"/>
      <c r="F184" s="265"/>
      <c r="G184" s="265"/>
      <c r="H184" s="265"/>
      <c r="I184" s="265"/>
      <c r="J184" s="265"/>
      <c r="K184" s="265"/>
      <c r="L184" s="265"/>
      <c r="M184" s="265"/>
      <c r="N184" s="265"/>
      <c r="O184" s="265"/>
      <c r="P184" s="265"/>
      <c r="Q184" s="265"/>
      <c r="R184" s="265"/>
      <c r="S184" s="265"/>
      <c r="T184" s="265"/>
      <c r="U184" s="265"/>
      <c r="V184" s="265"/>
      <c r="W184" s="265"/>
      <c r="X184" s="265"/>
      <c r="Y184" s="265"/>
      <c r="Z184" s="265"/>
      <c r="AA184" s="265"/>
      <c r="AB184" s="265"/>
      <c r="AC184" s="265"/>
      <c r="AD184" s="265"/>
      <c r="AE184" s="265"/>
      <c r="AF184" s="265"/>
      <c r="AG184" s="265"/>
      <c r="AH184" s="265"/>
      <c r="AI184" s="265"/>
      <c r="AJ184" s="265"/>
      <c r="AK184" s="265"/>
      <c r="AL184" s="265"/>
      <c r="AM184" s="265"/>
      <c r="AN184" s="265"/>
      <c r="AO184" s="265"/>
      <c r="AP184" s="265"/>
      <c r="AQ184" s="265"/>
      <c r="AR184" s="265"/>
      <c r="AS184" s="391"/>
      <c r="AT184" s="391"/>
      <c r="AU184" s="391"/>
      <c r="AV184" s="391"/>
      <c r="AW184" s="391"/>
      <c r="AX184" s="391"/>
      <c r="AY184" s="391"/>
      <c r="AZ184" s="265"/>
      <c r="BA184" s="265"/>
      <c r="BB184" s="265"/>
      <c r="BC184" s="265"/>
      <c r="BD184" s="265"/>
      <c r="BE184" s="260"/>
      <c r="BF184" s="260"/>
      <c r="BG184" s="260"/>
      <c r="BH184" s="260"/>
      <c r="BI184" s="260"/>
    </row>
    <row r="185" spans="1:61" ht="15">
      <c r="A185" s="267"/>
      <c r="B185" s="265"/>
      <c r="C185" s="265"/>
      <c r="D185" s="409"/>
      <c r="E185" s="265"/>
      <c r="F185" s="265"/>
      <c r="G185" s="265"/>
      <c r="H185" s="265"/>
      <c r="I185" s="265"/>
      <c r="J185" s="265"/>
      <c r="K185" s="265"/>
      <c r="L185" s="265"/>
      <c r="M185" s="265"/>
      <c r="N185" s="265"/>
      <c r="O185" s="265"/>
      <c r="P185" s="265"/>
      <c r="Q185" s="265"/>
      <c r="R185" s="265"/>
      <c r="S185" s="265"/>
      <c r="T185" s="265"/>
      <c r="U185" s="265"/>
      <c r="V185" s="265"/>
      <c r="W185" s="265"/>
      <c r="X185" s="265"/>
      <c r="Y185" s="265"/>
      <c r="Z185" s="265"/>
      <c r="AA185" s="265"/>
      <c r="AB185" s="265"/>
      <c r="AC185" s="265"/>
      <c r="AD185" s="265"/>
      <c r="AE185" s="265"/>
      <c r="AF185" s="265"/>
      <c r="AG185" s="265"/>
      <c r="AH185" s="265"/>
      <c r="AI185" s="265"/>
      <c r="AJ185" s="265"/>
      <c r="AK185" s="265"/>
      <c r="AL185" s="265"/>
      <c r="AM185" s="265"/>
      <c r="AN185" s="265"/>
      <c r="AO185" s="265"/>
      <c r="AP185" s="265"/>
      <c r="AQ185" s="265"/>
      <c r="AR185" s="265"/>
      <c r="AS185" s="391"/>
      <c r="AT185" s="391"/>
      <c r="AU185" s="391"/>
      <c r="AV185" s="391"/>
      <c r="AW185" s="391"/>
      <c r="AX185" s="391"/>
      <c r="AY185" s="391"/>
      <c r="AZ185" s="265"/>
      <c r="BA185" s="265"/>
      <c r="BB185" s="265"/>
      <c r="BC185" s="265"/>
      <c r="BD185" s="265"/>
      <c r="BE185" s="260"/>
      <c r="BF185" s="260"/>
      <c r="BG185" s="260"/>
      <c r="BH185" s="260"/>
      <c r="BI185" s="260"/>
    </row>
    <row r="186" spans="1:61" ht="15">
      <c r="A186" s="267"/>
      <c r="B186" s="265"/>
      <c r="C186" s="265"/>
      <c r="D186" s="409"/>
      <c r="E186" s="265"/>
      <c r="F186" s="265"/>
      <c r="G186" s="265"/>
      <c r="H186" s="265"/>
      <c r="I186" s="265"/>
      <c r="J186" s="265"/>
      <c r="K186" s="265"/>
      <c r="L186" s="265"/>
      <c r="M186" s="265"/>
      <c r="N186" s="265"/>
      <c r="O186" s="265"/>
      <c r="P186" s="265"/>
      <c r="Q186" s="265"/>
      <c r="R186" s="265"/>
      <c r="S186" s="265"/>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265"/>
      <c r="AP186" s="265"/>
      <c r="AQ186" s="265"/>
      <c r="AR186" s="265"/>
      <c r="AS186" s="391"/>
      <c r="AT186" s="391"/>
      <c r="AU186" s="391"/>
      <c r="AV186" s="391"/>
      <c r="AW186" s="391"/>
      <c r="AX186" s="391"/>
      <c r="AY186" s="391"/>
      <c r="AZ186" s="265"/>
      <c r="BA186" s="265"/>
      <c r="BB186" s="265"/>
      <c r="BC186" s="265"/>
      <c r="BD186" s="265"/>
      <c r="BE186" s="260"/>
      <c r="BF186" s="260"/>
      <c r="BG186" s="260"/>
      <c r="BH186" s="260"/>
      <c r="BI186" s="260"/>
    </row>
    <row r="187" spans="1:61" ht="15">
      <c r="A187" s="267"/>
      <c r="B187" s="265"/>
      <c r="C187" s="265"/>
      <c r="D187" s="409"/>
      <c r="E187" s="265"/>
      <c r="F187" s="265"/>
      <c r="G187" s="265"/>
      <c r="H187" s="265"/>
      <c r="I187" s="265"/>
      <c r="J187" s="265"/>
      <c r="K187" s="265"/>
      <c r="L187" s="265"/>
      <c r="M187" s="265"/>
      <c r="N187" s="265"/>
      <c r="O187" s="265"/>
      <c r="P187" s="265"/>
      <c r="Q187" s="265"/>
      <c r="R187" s="265"/>
      <c r="S187" s="265"/>
      <c r="T187" s="265"/>
      <c r="U187" s="265"/>
      <c r="V187" s="265"/>
      <c r="W187" s="265"/>
      <c r="X187" s="265"/>
      <c r="Y187" s="265"/>
      <c r="Z187" s="265"/>
      <c r="AA187" s="265"/>
      <c r="AB187" s="265"/>
      <c r="AC187" s="265"/>
      <c r="AD187" s="265"/>
      <c r="AE187" s="265"/>
      <c r="AF187" s="265"/>
      <c r="AG187" s="265"/>
      <c r="AH187" s="265"/>
      <c r="AI187" s="265"/>
      <c r="AJ187" s="265"/>
      <c r="AK187" s="265"/>
      <c r="AL187" s="265"/>
      <c r="AM187" s="265"/>
      <c r="AN187" s="265"/>
      <c r="AO187" s="265"/>
      <c r="AP187" s="265"/>
      <c r="AQ187" s="265"/>
      <c r="AR187" s="265"/>
      <c r="AS187" s="391"/>
      <c r="AT187" s="391"/>
      <c r="AU187" s="391"/>
      <c r="AV187" s="391"/>
      <c r="AW187" s="391"/>
      <c r="AX187" s="391"/>
      <c r="AY187" s="391"/>
      <c r="AZ187" s="265"/>
      <c r="BA187" s="265"/>
      <c r="BB187" s="265"/>
      <c r="BC187" s="265"/>
      <c r="BD187" s="265"/>
      <c r="BE187" s="260"/>
      <c r="BF187" s="260"/>
      <c r="BG187" s="260"/>
      <c r="BH187" s="260"/>
      <c r="BI187" s="260"/>
    </row>
    <row r="188" spans="1:61" ht="15">
      <c r="A188" s="267"/>
      <c r="B188" s="265"/>
      <c r="C188" s="265"/>
      <c r="D188" s="409"/>
      <c r="E188" s="265"/>
      <c r="F188" s="265"/>
      <c r="G188" s="265"/>
      <c r="H188" s="265"/>
      <c r="I188" s="265"/>
      <c r="J188" s="265"/>
      <c r="K188" s="265"/>
      <c r="L188" s="265"/>
      <c r="M188" s="265"/>
      <c r="N188" s="265"/>
      <c r="O188" s="265"/>
      <c r="P188" s="265"/>
      <c r="Q188" s="265"/>
      <c r="R188" s="265"/>
      <c r="S188" s="265"/>
      <c r="T188" s="265"/>
      <c r="U188" s="265"/>
      <c r="V188" s="265"/>
      <c r="W188" s="265"/>
      <c r="X188" s="265"/>
      <c r="Y188" s="265"/>
      <c r="Z188" s="265"/>
      <c r="AA188" s="265"/>
      <c r="AB188" s="265"/>
      <c r="AC188" s="265"/>
      <c r="AD188" s="265"/>
      <c r="AE188" s="265"/>
      <c r="AF188" s="265"/>
      <c r="AG188" s="265"/>
      <c r="AH188" s="265"/>
      <c r="AI188" s="265"/>
      <c r="AJ188" s="265"/>
      <c r="AK188" s="265"/>
      <c r="AL188" s="265"/>
      <c r="AM188" s="265"/>
      <c r="AN188" s="265"/>
      <c r="AO188" s="265"/>
      <c r="AP188" s="265"/>
      <c r="AQ188" s="265"/>
      <c r="AR188" s="265"/>
      <c r="AS188" s="391"/>
      <c r="AT188" s="391"/>
      <c r="AU188" s="391"/>
      <c r="AV188" s="391"/>
      <c r="AW188" s="391"/>
      <c r="AX188" s="391"/>
      <c r="AY188" s="391"/>
      <c r="AZ188" s="265"/>
      <c r="BA188" s="265"/>
      <c r="BB188" s="265"/>
      <c r="BC188" s="265"/>
      <c r="BD188" s="265"/>
      <c r="BE188" s="260"/>
      <c r="BF188" s="260"/>
      <c r="BG188" s="260"/>
      <c r="BH188" s="260"/>
      <c r="BI188" s="260"/>
    </row>
    <row r="189" spans="1:61" ht="15">
      <c r="A189" s="267"/>
      <c r="B189" s="265"/>
      <c r="C189" s="265"/>
      <c r="D189" s="409"/>
      <c r="E189" s="265"/>
      <c r="F189" s="265"/>
      <c r="G189" s="265"/>
      <c r="H189" s="265"/>
      <c r="I189" s="265"/>
      <c r="J189" s="265"/>
      <c r="K189" s="265"/>
      <c r="L189" s="265"/>
      <c r="M189" s="265"/>
      <c r="N189" s="265"/>
      <c r="O189" s="265"/>
      <c r="P189" s="265"/>
      <c r="Q189" s="265"/>
      <c r="R189" s="265"/>
      <c r="S189" s="265"/>
      <c r="T189" s="265"/>
      <c r="U189" s="265"/>
      <c r="V189" s="265"/>
      <c r="W189" s="265"/>
      <c r="X189" s="265"/>
      <c r="Y189" s="265"/>
      <c r="Z189" s="265"/>
      <c r="AA189" s="265"/>
      <c r="AB189" s="265"/>
      <c r="AC189" s="265"/>
      <c r="AD189" s="265"/>
      <c r="AE189" s="265"/>
      <c r="AF189" s="265"/>
      <c r="AG189" s="265"/>
      <c r="AH189" s="265"/>
      <c r="AI189" s="265"/>
      <c r="AJ189" s="265"/>
      <c r="AK189" s="265"/>
      <c r="AL189" s="265"/>
      <c r="AM189" s="265"/>
      <c r="AN189" s="265"/>
      <c r="AO189" s="265"/>
      <c r="AP189" s="265"/>
      <c r="AQ189" s="265"/>
      <c r="AR189" s="265"/>
      <c r="AS189" s="391"/>
      <c r="AT189" s="391"/>
      <c r="AU189" s="391"/>
      <c r="AV189" s="391"/>
      <c r="AW189" s="391"/>
      <c r="AX189" s="391"/>
      <c r="AY189" s="391"/>
      <c r="AZ189" s="265"/>
      <c r="BA189" s="265"/>
      <c r="BB189" s="265"/>
      <c r="BC189" s="265"/>
      <c r="BD189" s="265"/>
      <c r="BE189" s="260"/>
      <c r="BF189" s="260"/>
      <c r="BG189" s="260"/>
      <c r="BH189" s="260"/>
      <c r="BI189" s="260"/>
    </row>
    <row r="190" spans="1:61" ht="15">
      <c r="A190" s="267"/>
      <c r="B190" s="265"/>
      <c r="C190" s="265"/>
      <c r="D190" s="409"/>
      <c r="E190" s="265"/>
      <c r="F190" s="265"/>
      <c r="G190" s="265"/>
      <c r="H190" s="265"/>
      <c r="I190" s="265"/>
      <c r="J190" s="265"/>
      <c r="K190" s="265"/>
      <c r="L190" s="265"/>
      <c r="M190" s="265"/>
      <c r="N190" s="265"/>
      <c r="O190" s="265"/>
      <c r="P190" s="265"/>
      <c r="Q190" s="265"/>
      <c r="R190" s="265"/>
      <c r="S190" s="265"/>
      <c r="T190" s="265"/>
      <c r="U190" s="265"/>
      <c r="V190" s="265"/>
      <c r="W190" s="265"/>
      <c r="X190" s="265"/>
      <c r="Y190" s="265"/>
      <c r="Z190" s="265"/>
      <c r="AA190" s="265"/>
      <c r="AB190" s="265"/>
      <c r="AC190" s="265"/>
      <c r="AD190" s="265"/>
      <c r="AE190" s="265"/>
      <c r="AF190" s="265"/>
      <c r="AG190" s="265"/>
      <c r="AH190" s="265"/>
      <c r="AI190" s="265"/>
      <c r="AJ190" s="265"/>
      <c r="AK190" s="265"/>
      <c r="AL190" s="265"/>
      <c r="AM190" s="265"/>
      <c r="AN190" s="265"/>
      <c r="AO190" s="265"/>
      <c r="AP190" s="265"/>
      <c r="AQ190" s="265"/>
      <c r="AR190" s="265"/>
      <c r="AS190" s="391"/>
      <c r="AT190" s="391"/>
      <c r="AU190" s="391"/>
      <c r="AV190" s="391"/>
      <c r="AW190" s="391"/>
      <c r="AX190" s="391"/>
      <c r="AY190" s="391"/>
      <c r="AZ190" s="265"/>
      <c r="BA190" s="265"/>
      <c r="BB190" s="265"/>
      <c r="BC190" s="265"/>
      <c r="BD190" s="265"/>
      <c r="BE190" s="260"/>
      <c r="BF190" s="260"/>
      <c r="BG190" s="260"/>
      <c r="BH190" s="260"/>
      <c r="BI190" s="260"/>
    </row>
    <row r="191" spans="1:61" ht="15">
      <c r="A191" s="267"/>
      <c r="B191" s="265"/>
      <c r="C191" s="265"/>
      <c r="D191" s="409"/>
      <c r="E191" s="265"/>
      <c r="F191" s="265"/>
      <c r="G191" s="265"/>
      <c r="H191" s="265"/>
      <c r="I191" s="265"/>
      <c r="J191" s="265"/>
      <c r="K191" s="265"/>
      <c r="L191" s="265"/>
      <c r="M191" s="265"/>
      <c r="N191" s="265"/>
      <c r="O191" s="265"/>
      <c r="P191" s="265"/>
      <c r="Q191" s="265"/>
      <c r="R191" s="265"/>
      <c r="S191" s="265"/>
      <c r="T191" s="265"/>
      <c r="U191" s="265"/>
      <c r="V191" s="265"/>
      <c r="W191" s="265"/>
      <c r="X191" s="265"/>
      <c r="Y191" s="265"/>
      <c r="Z191" s="265"/>
      <c r="AA191" s="265"/>
      <c r="AB191" s="265"/>
      <c r="AC191" s="265"/>
      <c r="AD191" s="265"/>
      <c r="AE191" s="265"/>
      <c r="AF191" s="265"/>
      <c r="AG191" s="265"/>
      <c r="AH191" s="265"/>
      <c r="AI191" s="265"/>
      <c r="AJ191" s="265"/>
      <c r="AK191" s="265"/>
      <c r="AL191" s="265"/>
      <c r="AM191" s="265"/>
      <c r="AN191" s="265"/>
      <c r="AO191" s="265"/>
      <c r="AP191" s="265"/>
      <c r="AQ191" s="265"/>
      <c r="AR191" s="265"/>
      <c r="AS191" s="391"/>
      <c r="AT191" s="391"/>
      <c r="AU191" s="391"/>
      <c r="AV191" s="391"/>
      <c r="AW191" s="391"/>
      <c r="AX191" s="391"/>
      <c r="AY191" s="391"/>
      <c r="AZ191" s="265"/>
      <c r="BA191" s="265"/>
      <c r="BB191" s="265"/>
      <c r="BC191" s="265"/>
      <c r="BD191" s="265"/>
      <c r="BE191" s="260"/>
      <c r="BF191" s="260"/>
      <c r="BG191" s="260"/>
      <c r="BH191" s="260"/>
      <c r="BI191" s="260"/>
    </row>
    <row r="192" spans="1:61" ht="15">
      <c r="A192" s="267"/>
      <c r="B192" s="265"/>
      <c r="C192" s="265"/>
      <c r="D192" s="409"/>
      <c r="E192" s="265"/>
      <c r="F192" s="265"/>
      <c r="G192" s="265"/>
      <c r="H192" s="265"/>
      <c r="I192" s="265"/>
      <c r="J192" s="265"/>
      <c r="K192" s="265"/>
      <c r="L192" s="265"/>
      <c r="M192" s="265"/>
      <c r="N192" s="265"/>
      <c r="O192" s="265"/>
      <c r="P192" s="265"/>
      <c r="Q192" s="265"/>
      <c r="R192" s="265"/>
      <c r="S192" s="265"/>
      <c r="T192" s="265"/>
      <c r="U192" s="265"/>
      <c r="V192" s="265"/>
      <c r="W192" s="265"/>
      <c r="X192" s="265"/>
      <c r="Y192" s="265"/>
      <c r="Z192" s="265"/>
      <c r="AA192" s="265"/>
      <c r="AB192" s="265"/>
      <c r="AC192" s="265"/>
      <c r="AD192" s="265"/>
      <c r="AE192" s="265"/>
      <c r="AF192" s="265"/>
      <c r="AG192" s="265"/>
      <c r="AH192" s="265"/>
      <c r="AI192" s="265"/>
      <c r="AJ192" s="265"/>
      <c r="AK192" s="265"/>
      <c r="AL192" s="265"/>
      <c r="AM192" s="265"/>
      <c r="AN192" s="265"/>
      <c r="AO192" s="265"/>
      <c r="AP192" s="265"/>
      <c r="AQ192" s="265"/>
      <c r="AR192" s="265"/>
      <c r="AS192" s="391"/>
      <c r="AT192" s="391"/>
      <c r="AU192" s="391"/>
      <c r="AV192" s="391"/>
      <c r="AW192" s="391"/>
      <c r="AX192" s="391"/>
      <c r="AY192" s="391"/>
      <c r="AZ192" s="265"/>
      <c r="BA192" s="265"/>
      <c r="BB192" s="265"/>
      <c r="BC192" s="265"/>
      <c r="BD192" s="265"/>
      <c r="BE192" s="260"/>
      <c r="BF192" s="260"/>
      <c r="BG192" s="260"/>
      <c r="BH192" s="260"/>
      <c r="BI192" s="260"/>
    </row>
    <row r="193" spans="1:61" ht="15">
      <c r="A193" s="267"/>
      <c r="B193" s="265"/>
      <c r="C193" s="265"/>
      <c r="D193" s="409"/>
      <c r="E193" s="265"/>
      <c r="F193" s="265"/>
      <c r="G193" s="265"/>
      <c r="H193" s="265"/>
      <c r="I193" s="265"/>
      <c r="J193" s="265"/>
      <c r="K193" s="265"/>
      <c r="L193" s="265"/>
      <c r="M193" s="265"/>
      <c r="N193" s="265"/>
      <c r="O193" s="265"/>
      <c r="P193" s="265"/>
      <c r="Q193" s="265"/>
      <c r="R193" s="265"/>
      <c r="S193" s="265"/>
      <c r="T193" s="265"/>
      <c r="U193" s="265"/>
      <c r="V193" s="265"/>
      <c r="W193" s="265"/>
      <c r="X193" s="265"/>
      <c r="Y193" s="265"/>
      <c r="Z193" s="265"/>
      <c r="AA193" s="265"/>
      <c r="AB193" s="265"/>
      <c r="AC193" s="265"/>
      <c r="AD193" s="265"/>
      <c r="AE193" s="265"/>
      <c r="AF193" s="265"/>
      <c r="AG193" s="265"/>
      <c r="AH193" s="265"/>
      <c r="AI193" s="265"/>
      <c r="AJ193" s="265"/>
      <c r="AK193" s="265"/>
      <c r="AL193" s="265"/>
      <c r="AM193" s="265"/>
      <c r="AN193" s="265"/>
      <c r="AO193" s="265"/>
      <c r="AP193" s="265"/>
      <c r="AQ193" s="265"/>
      <c r="AR193" s="265"/>
      <c r="AS193" s="391"/>
      <c r="AT193" s="391"/>
      <c r="AU193" s="391"/>
      <c r="AV193" s="391"/>
      <c r="AW193" s="391"/>
      <c r="AX193" s="391"/>
      <c r="AY193" s="391"/>
      <c r="AZ193" s="265"/>
      <c r="BA193" s="265"/>
      <c r="BB193" s="265"/>
      <c r="BC193" s="265"/>
      <c r="BD193" s="265"/>
      <c r="BE193" s="260"/>
      <c r="BF193" s="260"/>
      <c r="BG193" s="260"/>
      <c r="BH193" s="260"/>
      <c r="BI193" s="260"/>
    </row>
    <row r="194" spans="1:61" ht="15">
      <c r="A194" s="267"/>
      <c r="B194" s="265"/>
      <c r="C194" s="265"/>
      <c r="D194" s="409"/>
      <c r="E194" s="265"/>
      <c r="F194" s="265"/>
      <c r="G194" s="265"/>
      <c r="H194" s="265"/>
      <c r="I194" s="265"/>
      <c r="J194" s="265"/>
      <c r="K194" s="265"/>
      <c r="L194" s="265"/>
      <c r="M194" s="265"/>
      <c r="N194" s="265"/>
      <c r="O194" s="265"/>
      <c r="P194" s="265"/>
      <c r="Q194" s="265"/>
      <c r="R194" s="265"/>
      <c r="S194" s="265"/>
      <c r="T194" s="265"/>
      <c r="U194" s="265"/>
      <c r="V194" s="265"/>
      <c r="W194" s="265"/>
      <c r="X194" s="265"/>
      <c r="Y194" s="265"/>
      <c r="Z194" s="265"/>
      <c r="AA194" s="265"/>
      <c r="AB194" s="265"/>
      <c r="AC194" s="265"/>
      <c r="AD194" s="265"/>
      <c r="AE194" s="265"/>
      <c r="AF194" s="265"/>
      <c r="AG194" s="265"/>
      <c r="AH194" s="265"/>
      <c r="AI194" s="265"/>
      <c r="AJ194" s="265"/>
      <c r="AK194" s="265"/>
      <c r="AL194" s="265"/>
      <c r="AM194" s="265"/>
      <c r="AN194" s="265"/>
      <c r="AO194" s="265"/>
      <c r="AP194" s="265"/>
      <c r="AQ194" s="265"/>
      <c r="AR194" s="265"/>
      <c r="AS194" s="391"/>
      <c r="AT194" s="391"/>
      <c r="AU194" s="391"/>
      <c r="AV194" s="391"/>
      <c r="AW194" s="391"/>
      <c r="AX194" s="391"/>
      <c r="AY194" s="391"/>
      <c r="AZ194" s="265"/>
      <c r="BA194" s="265"/>
      <c r="BB194" s="265"/>
      <c r="BC194" s="265"/>
      <c r="BD194" s="265"/>
      <c r="BE194" s="260"/>
      <c r="BF194" s="260"/>
      <c r="BG194" s="260"/>
      <c r="BH194" s="260"/>
      <c r="BI194" s="260"/>
    </row>
    <row r="195" spans="1:61" ht="15">
      <c r="A195" s="267"/>
      <c r="B195" s="265"/>
      <c r="C195" s="265"/>
      <c r="D195" s="409"/>
      <c r="E195" s="265"/>
      <c r="F195" s="265"/>
      <c r="G195" s="265"/>
      <c r="H195" s="265"/>
      <c r="I195" s="265"/>
      <c r="J195" s="265"/>
      <c r="K195" s="265"/>
      <c r="L195" s="265"/>
      <c r="M195" s="265"/>
      <c r="N195" s="265"/>
      <c r="O195" s="265"/>
      <c r="P195" s="265"/>
      <c r="Q195" s="265"/>
      <c r="R195" s="265"/>
      <c r="S195" s="265"/>
      <c r="T195" s="265"/>
      <c r="U195" s="265"/>
      <c r="V195" s="265"/>
      <c r="W195" s="265"/>
      <c r="X195" s="265"/>
      <c r="Y195" s="265"/>
      <c r="Z195" s="265"/>
      <c r="AA195" s="265"/>
      <c r="AB195" s="265"/>
      <c r="AC195" s="265"/>
      <c r="AD195" s="265"/>
      <c r="AE195" s="265"/>
      <c r="AF195" s="265"/>
      <c r="AG195" s="265"/>
      <c r="AH195" s="265"/>
      <c r="AI195" s="265"/>
      <c r="AJ195" s="265"/>
      <c r="AK195" s="265"/>
      <c r="AL195" s="265"/>
      <c r="AM195" s="265"/>
      <c r="AN195" s="265"/>
      <c r="AO195" s="265"/>
      <c r="AP195" s="265"/>
      <c r="AQ195" s="265"/>
      <c r="AR195" s="265"/>
      <c r="AS195" s="391"/>
      <c r="AT195" s="391"/>
      <c r="AU195" s="391"/>
      <c r="AV195" s="391"/>
      <c r="AW195" s="391"/>
      <c r="AX195" s="391"/>
      <c r="AY195" s="391"/>
      <c r="AZ195" s="265"/>
      <c r="BA195" s="265"/>
      <c r="BB195" s="265"/>
      <c r="BC195" s="265"/>
      <c r="BD195" s="265"/>
      <c r="BE195" s="260"/>
      <c r="BF195" s="260"/>
      <c r="BG195" s="260"/>
      <c r="BH195" s="260"/>
      <c r="BI195" s="260"/>
    </row>
    <row r="196" spans="1:61" ht="15">
      <c r="A196" s="267"/>
      <c r="B196" s="265"/>
      <c r="C196" s="265"/>
      <c r="D196" s="409"/>
      <c r="E196" s="265"/>
      <c r="F196" s="265"/>
      <c r="G196" s="265"/>
      <c r="H196" s="265"/>
      <c r="I196" s="265"/>
      <c r="J196" s="265"/>
      <c r="K196" s="265"/>
      <c r="L196" s="265"/>
      <c r="M196" s="265"/>
      <c r="N196" s="265"/>
      <c r="O196" s="265"/>
      <c r="P196" s="265"/>
      <c r="Q196" s="265"/>
      <c r="R196" s="265"/>
      <c r="S196" s="265"/>
      <c r="T196" s="265"/>
      <c r="U196" s="265"/>
      <c r="V196" s="265"/>
      <c r="W196" s="265"/>
      <c r="X196" s="265"/>
      <c r="Y196" s="265"/>
      <c r="Z196" s="265"/>
      <c r="AA196" s="265"/>
      <c r="AB196" s="265"/>
      <c r="AC196" s="265"/>
      <c r="AD196" s="265"/>
      <c r="AE196" s="265"/>
      <c r="AF196" s="265"/>
      <c r="AG196" s="265"/>
      <c r="AH196" s="265"/>
      <c r="AI196" s="265"/>
      <c r="AJ196" s="265"/>
      <c r="AK196" s="265"/>
      <c r="AL196" s="265"/>
      <c r="AM196" s="265"/>
      <c r="AN196" s="265"/>
      <c r="AO196" s="265"/>
      <c r="AP196" s="265"/>
      <c r="AQ196" s="265"/>
      <c r="AR196" s="265"/>
      <c r="AS196" s="391"/>
      <c r="AT196" s="391"/>
      <c r="AU196" s="391"/>
      <c r="AV196" s="391"/>
      <c r="AW196" s="391"/>
      <c r="AX196" s="391"/>
      <c r="AY196" s="391"/>
      <c r="AZ196" s="265"/>
      <c r="BA196" s="265"/>
      <c r="BB196" s="265"/>
      <c r="BC196" s="265"/>
      <c r="BD196" s="265"/>
      <c r="BE196" s="260"/>
      <c r="BF196" s="260"/>
      <c r="BG196" s="260"/>
      <c r="BH196" s="260"/>
      <c r="BI196" s="260"/>
    </row>
    <row r="197" spans="1:61" ht="15">
      <c r="A197" s="267"/>
      <c r="B197" s="265"/>
      <c r="C197" s="265"/>
      <c r="D197" s="409"/>
      <c r="E197" s="265"/>
      <c r="F197" s="265"/>
      <c r="G197" s="265"/>
      <c r="H197" s="265"/>
      <c r="I197" s="265"/>
      <c r="J197" s="265"/>
      <c r="K197" s="265"/>
      <c r="L197" s="265"/>
      <c r="M197" s="265"/>
      <c r="N197" s="265"/>
      <c r="O197" s="265"/>
      <c r="P197" s="265"/>
      <c r="Q197" s="265"/>
      <c r="R197" s="265"/>
      <c r="S197" s="265"/>
      <c r="T197" s="265"/>
      <c r="U197" s="265"/>
      <c r="V197" s="265"/>
      <c r="W197" s="265"/>
      <c r="X197" s="265"/>
      <c r="Y197" s="265"/>
      <c r="Z197" s="265"/>
      <c r="AA197" s="265"/>
      <c r="AB197" s="265"/>
      <c r="AC197" s="265"/>
      <c r="AD197" s="265"/>
      <c r="AE197" s="265"/>
      <c r="AF197" s="265"/>
      <c r="AG197" s="265"/>
      <c r="AH197" s="265"/>
      <c r="AI197" s="265"/>
      <c r="AJ197" s="265"/>
      <c r="AK197" s="265"/>
      <c r="AL197" s="265"/>
      <c r="AM197" s="265"/>
      <c r="AN197" s="265"/>
      <c r="AO197" s="265"/>
      <c r="AP197" s="265"/>
      <c r="AQ197" s="265"/>
      <c r="AR197" s="265"/>
      <c r="AS197" s="265"/>
      <c r="AT197" s="265"/>
      <c r="AU197" s="265"/>
      <c r="AV197" s="265"/>
      <c r="AW197" s="265"/>
      <c r="AX197" s="265"/>
      <c r="AY197" s="265"/>
      <c r="AZ197" s="265"/>
      <c r="BA197" s="265"/>
      <c r="BB197" s="265"/>
      <c r="BC197" s="265"/>
      <c r="BD197" s="265"/>
      <c r="BE197" s="260"/>
      <c r="BF197" s="260"/>
      <c r="BG197" s="260"/>
      <c r="BH197" s="260"/>
      <c r="BI197" s="260"/>
    </row>
    <row r="198" spans="1:61" ht="15">
      <c r="A198" s="267"/>
      <c r="B198" s="265"/>
      <c r="C198" s="265"/>
      <c r="D198" s="409"/>
      <c r="E198" s="265"/>
      <c r="F198" s="265"/>
      <c r="G198" s="265"/>
      <c r="H198" s="265"/>
      <c r="I198" s="265"/>
      <c r="J198" s="265"/>
      <c r="K198" s="265"/>
      <c r="L198" s="265"/>
      <c r="M198" s="265"/>
      <c r="N198" s="265"/>
      <c r="O198" s="265"/>
      <c r="P198" s="265"/>
      <c r="Q198" s="265"/>
      <c r="R198" s="265"/>
      <c r="S198" s="265"/>
      <c r="T198" s="265"/>
      <c r="U198" s="265"/>
      <c r="V198" s="265"/>
      <c r="W198" s="265"/>
      <c r="X198" s="265"/>
      <c r="Y198" s="265"/>
      <c r="Z198" s="265"/>
      <c r="AA198" s="265"/>
      <c r="AB198" s="265"/>
      <c r="AC198" s="265"/>
      <c r="AD198" s="265"/>
      <c r="AE198" s="265"/>
      <c r="AF198" s="265"/>
      <c r="AG198" s="265"/>
      <c r="AH198" s="265"/>
      <c r="AI198" s="265"/>
      <c r="AJ198" s="265"/>
      <c r="AK198" s="265"/>
      <c r="AL198" s="265"/>
      <c r="AM198" s="265"/>
      <c r="AN198" s="265"/>
      <c r="AO198" s="265"/>
      <c r="AP198" s="265"/>
      <c r="AQ198" s="265"/>
      <c r="AR198" s="265"/>
      <c r="AS198" s="265"/>
      <c r="AT198" s="265"/>
      <c r="AU198" s="265"/>
      <c r="AV198" s="265"/>
      <c r="AW198" s="265"/>
      <c r="AX198" s="265"/>
      <c r="AY198" s="265"/>
      <c r="AZ198" s="265"/>
      <c r="BA198" s="265"/>
      <c r="BB198" s="265"/>
      <c r="BC198" s="265"/>
      <c r="BD198" s="265"/>
      <c r="BE198" s="260"/>
      <c r="BF198" s="260"/>
      <c r="BG198" s="260"/>
      <c r="BH198" s="260"/>
      <c r="BI198" s="260"/>
    </row>
    <row r="199" spans="1:61" ht="15">
      <c r="A199" s="267"/>
      <c r="B199" s="265"/>
      <c r="C199" s="265"/>
      <c r="D199" s="409"/>
      <c r="E199" s="265"/>
      <c r="F199" s="265"/>
      <c r="G199" s="265"/>
      <c r="H199" s="265"/>
      <c r="I199" s="265"/>
      <c r="J199" s="265"/>
      <c r="K199" s="265"/>
      <c r="L199" s="265"/>
      <c r="M199" s="265"/>
      <c r="N199" s="265"/>
      <c r="O199" s="265"/>
      <c r="P199" s="265"/>
      <c r="Q199" s="265"/>
      <c r="R199" s="265"/>
      <c r="S199" s="265"/>
      <c r="T199" s="265"/>
      <c r="U199" s="265"/>
      <c r="V199" s="265"/>
      <c r="W199" s="265"/>
      <c r="X199" s="265"/>
      <c r="Y199" s="265"/>
      <c r="Z199" s="265"/>
      <c r="AA199" s="265"/>
      <c r="AB199" s="265"/>
      <c r="AC199" s="265"/>
      <c r="AD199" s="265"/>
      <c r="AE199" s="265"/>
      <c r="AF199" s="265"/>
      <c r="AG199" s="265"/>
      <c r="AH199" s="265"/>
      <c r="AI199" s="265"/>
      <c r="AJ199" s="265"/>
      <c r="AK199" s="265"/>
      <c r="AL199" s="265"/>
      <c r="AM199" s="265"/>
      <c r="AN199" s="265"/>
      <c r="AO199" s="265"/>
      <c r="AP199" s="265"/>
      <c r="AQ199" s="265"/>
      <c r="AR199" s="265"/>
      <c r="AS199" s="265"/>
      <c r="AT199" s="265"/>
      <c r="AU199" s="265"/>
      <c r="AV199" s="265"/>
      <c r="AW199" s="265"/>
      <c r="AX199" s="265"/>
      <c r="AY199" s="265"/>
      <c r="AZ199" s="265"/>
      <c r="BA199" s="265"/>
      <c r="BB199" s="265"/>
      <c r="BC199" s="265"/>
      <c r="BD199" s="265"/>
      <c r="BE199" s="260"/>
      <c r="BF199" s="260"/>
      <c r="BG199" s="260"/>
      <c r="BH199" s="260"/>
      <c r="BI199" s="260"/>
    </row>
    <row r="200" spans="1:61" ht="15">
      <c r="A200" s="267"/>
      <c r="B200" s="265"/>
      <c r="C200" s="265"/>
      <c r="D200" s="409"/>
      <c r="E200" s="265"/>
      <c r="F200" s="265"/>
      <c r="G200" s="265"/>
      <c r="H200" s="265"/>
      <c r="I200" s="265"/>
      <c r="J200" s="265"/>
      <c r="K200" s="265"/>
      <c r="L200" s="265"/>
      <c r="M200" s="265"/>
      <c r="N200" s="265"/>
      <c r="O200" s="265"/>
      <c r="P200" s="265"/>
      <c r="Q200" s="265"/>
      <c r="R200" s="265"/>
      <c r="S200" s="265"/>
      <c r="T200" s="265"/>
      <c r="U200" s="265"/>
      <c r="V200" s="265"/>
      <c r="W200" s="265"/>
      <c r="X200" s="265"/>
      <c r="Y200" s="265"/>
      <c r="Z200" s="265"/>
      <c r="AA200" s="265"/>
      <c r="AB200" s="265"/>
      <c r="AC200" s="265"/>
      <c r="AD200" s="265"/>
      <c r="AE200" s="265"/>
      <c r="AF200" s="265"/>
      <c r="AG200" s="265"/>
      <c r="AH200" s="265"/>
      <c r="AI200" s="265"/>
      <c r="AJ200" s="265"/>
      <c r="AK200" s="265"/>
      <c r="AL200" s="265"/>
      <c r="AM200" s="265"/>
      <c r="AN200" s="265"/>
      <c r="AO200" s="265"/>
      <c r="AP200" s="265"/>
      <c r="AQ200" s="265"/>
      <c r="AR200" s="265"/>
      <c r="AS200" s="265"/>
      <c r="AT200" s="265"/>
      <c r="AU200" s="265"/>
      <c r="AV200" s="265"/>
      <c r="AW200" s="265"/>
      <c r="AX200" s="265"/>
      <c r="AY200" s="265"/>
      <c r="AZ200" s="265"/>
      <c r="BA200" s="265"/>
      <c r="BB200" s="265"/>
      <c r="BC200" s="265"/>
      <c r="BD200" s="265"/>
      <c r="BE200" s="260"/>
      <c r="BF200" s="260"/>
      <c r="BG200" s="260"/>
      <c r="BH200" s="260"/>
      <c r="BI200" s="260"/>
    </row>
    <row r="201" spans="1:61" ht="15">
      <c r="A201" s="267"/>
      <c r="B201" s="265"/>
      <c r="C201" s="265"/>
      <c r="D201" s="409"/>
      <c r="E201" s="265"/>
      <c r="F201" s="265"/>
      <c r="G201" s="265"/>
      <c r="H201" s="265"/>
      <c r="I201" s="265"/>
      <c r="J201" s="265"/>
      <c r="K201" s="265"/>
      <c r="L201" s="265"/>
      <c r="M201" s="265"/>
      <c r="N201" s="265"/>
      <c r="O201" s="265"/>
      <c r="P201" s="265"/>
      <c r="Q201" s="265"/>
      <c r="R201" s="265"/>
      <c r="S201" s="265"/>
      <c r="T201" s="265"/>
      <c r="U201" s="265"/>
      <c r="V201" s="265"/>
      <c r="W201" s="265"/>
      <c r="X201" s="265"/>
      <c r="Y201" s="265"/>
      <c r="Z201" s="265"/>
      <c r="AA201" s="265"/>
      <c r="AB201" s="265"/>
      <c r="AC201" s="265"/>
      <c r="AD201" s="265"/>
      <c r="AE201" s="265"/>
      <c r="AF201" s="265"/>
      <c r="AG201" s="265"/>
      <c r="AH201" s="265"/>
      <c r="AI201" s="265"/>
      <c r="AJ201" s="265"/>
      <c r="AK201" s="265"/>
      <c r="AL201" s="265"/>
      <c r="AM201" s="265"/>
      <c r="AN201" s="265"/>
      <c r="AO201" s="265"/>
      <c r="AP201" s="265"/>
      <c r="AQ201" s="265"/>
      <c r="AR201" s="265"/>
      <c r="AS201" s="265"/>
      <c r="AT201" s="265"/>
      <c r="AU201" s="265"/>
      <c r="AV201" s="265"/>
      <c r="AW201" s="265"/>
      <c r="AX201" s="265"/>
      <c r="AY201" s="265"/>
      <c r="AZ201" s="265"/>
      <c r="BA201" s="265"/>
      <c r="BB201" s="265"/>
      <c r="BC201" s="265"/>
      <c r="BD201" s="265"/>
      <c r="BE201" s="260"/>
      <c r="BF201" s="260"/>
      <c r="BG201" s="260"/>
      <c r="BH201" s="260"/>
      <c r="BI201" s="260"/>
    </row>
    <row r="202" spans="1:61" ht="15">
      <c r="A202" s="267"/>
      <c r="B202" s="265"/>
      <c r="C202" s="265"/>
      <c r="D202" s="409"/>
      <c r="E202" s="265"/>
      <c r="F202" s="265"/>
      <c r="G202" s="265"/>
      <c r="H202" s="265"/>
      <c r="I202" s="265"/>
      <c r="J202" s="265"/>
      <c r="K202" s="265"/>
      <c r="L202" s="265"/>
      <c r="M202" s="265"/>
      <c r="N202" s="265"/>
      <c r="O202" s="265"/>
      <c r="P202" s="265"/>
      <c r="Q202" s="265"/>
      <c r="R202" s="265"/>
      <c r="S202" s="265"/>
      <c r="T202" s="265"/>
      <c r="U202" s="265"/>
      <c r="V202" s="265"/>
      <c r="W202" s="265"/>
      <c r="X202" s="265"/>
      <c r="Y202" s="265"/>
      <c r="Z202" s="265"/>
      <c r="AA202" s="265"/>
      <c r="AB202" s="265"/>
      <c r="AC202" s="265"/>
      <c r="AD202" s="265"/>
      <c r="AE202" s="265"/>
      <c r="AF202" s="265"/>
      <c r="AG202" s="265"/>
      <c r="AH202" s="265"/>
      <c r="AI202" s="265"/>
      <c r="AJ202" s="265"/>
      <c r="AK202" s="265"/>
      <c r="AL202" s="265"/>
      <c r="AM202" s="265"/>
      <c r="AN202" s="265"/>
      <c r="AO202" s="265"/>
      <c r="AP202" s="265"/>
      <c r="AQ202" s="265"/>
      <c r="AR202" s="265"/>
      <c r="AS202" s="265"/>
      <c r="AT202" s="265"/>
      <c r="AU202" s="265"/>
      <c r="AV202" s="265"/>
      <c r="AW202" s="265"/>
      <c r="AX202" s="265"/>
      <c r="AY202" s="265"/>
      <c r="AZ202" s="265"/>
      <c r="BA202" s="265"/>
      <c r="BB202" s="265"/>
      <c r="BC202" s="265"/>
      <c r="BD202" s="265"/>
      <c r="BE202" s="260"/>
      <c r="BF202" s="260"/>
      <c r="BG202" s="260"/>
      <c r="BH202" s="260"/>
      <c r="BI202" s="260"/>
    </row>
    <row r="203" spans="1:61" ht="15">
      <c r="A203" s="267"/>
      <c r="B203" s="265"/>
      <c r="C203" s="265"/>
      <c r="D203" s="409"/>
      <c r="E203" s="265"/>
      <c r="F203" s="265"/>
      <c r="G203" s="265"/>
      <c r="H203" s="265"/>
      <c r="I203" s="265"/>
      <c r="J203" s="265"/>
      <c r="K203" s="265"/>
      <c r="L203" s="265"/>
      <c r="M203" s="265"/>
      <c r="N203" s="265"/>
      <c r="O203" s="265"/>
      <c r="P203" s="265"/>
      <c r="Q203" s="265"/>
      <c r="R203" s="265"/>
      <c r="S203" s="265"/>
      <c r="T203" s="265"/>
      <c r="U203" s="265"/>
      <c r="V203" s="265"/>
      <c r="W203" s="265"/>
      <c r="X203" s="265"/>
      <c r="Y203" s="265"/>
      <c r="Z203" s="265"/>
      <c r="AA203" s="265"/>
      <c r="AB203" s="265"/>
      <c r="AC203" s="265"/>
      <c r="AD203" s="265"/>
      <c r="AE203" s="265"/>
      <c r="AF203" s="265"/>
      <c r="AG203" s="265"/>
      <c r="AH203" s="265"/>
      <c r="AI203" s="265"/>
      <c r="AJ203" s="265"/>
      <c r="AK203" s="265"/>
      <c r="AL203" s="265"/>
      <c r="AM203" s="265"/>
      <c r="AN203" s="265"/>
      <c r="AO203" s="265"/>
      <c r="AP203" s="265"/>
      <c r="AQ203" s="265"/>
      <c r="AR203" s="265"/>
      <c r="AS203" s="265"/>
      <c r="AT203" s="265"/>
      <c r="AU203" s="265"/>
      <c r="AV203" s="265"/>
      <c r="AW203" s="265"/>
      <c r="AX203" s="265"/>
      <c r="AY203" s="265"/>
      <c r="AZ203" s="265"/>
      <c r="BA203" s="265"/>
      <c r="BB203" s="265"/>
      <c r="BC203" s="265"/>
      <c r="BD203" s="265"/>
      <c r="BE203" s="260"/>
      <c r="BF203" s="260"/>
      <c r="BG203" s="260"/>
      <c r="BH203" s="260"/>
      <c r="BI203" s="260"/>
    </row>
    <row r="204" spans="1:61" ht="15">
      <c r="A204" s="267"/>
      <c r="B204" s="265"/>
      <c r="C204" s="265"/>
      <c r="D204" s="409"/>
      <c r="E204" s="265"/>
      <c r="F204" s="265"/>
      <c r="G204" s="265"/>
      <c r="H204" s="265"/>
      <c r="I204" s="265"/>
      <c r="J204" s="265"/>
      <c r="K204" s="265"/>
      <c r="L204" s="265"/>
      <c r="M204" s="265"/>
      <c r="N204" s="265"/>
      <c r="O204" s="265"/>
      <c r="P204" s="265"/>
      <c r="Q204" s="265"/>
      <c r="R204" s="265"/>
      <c r="S204" s="265"/>
      <c r="T204" s="265"/>
      <c r="U204" s="265"/>
      <c r="V204" s="265"/>
      <c r="W204" s="265"/>
      <c r="X204" s="265"/>
      <c r="Y204" s="265"/>
      <c r="Z204" s="265"/>
      <c r="AA204" s="265"/>
      <c r="AB204" s="265"/>
      <c r="AC204" s="265"/>
      <c r="AD204" s="265"/>
      <c r="AE204" s="265"/>
      <c r="AF204" s="265"/>
      <c r="AG204" s="265"/>
      <c r="AH204" s="265"/>
      <c r="AI204" s="265"/>
      <c r="AJ204" s="265"/>
      <c r="AK204" s="265"/>
      <c r="AL204" s="265"/>
      <c r="AM204" s="265"/>
      <c r="AN204" s="265"/>
      <c r="AO204" s="265"/>
      <c r="AP204" s="265"/>
      <c r="AQ204" s="265"/>
      <c r="AR204" s="265"/>
      <c r="AS204" s="265"/>
      <c r="AT204" s="265"/>
      <c r="AU204" s="265"/>
      <c r="AV204" s="265"/>
      <c r="AW204" s="265"/>
      <c r="AX204" s="265"/>
      <c r="AY204" s="265"/>
      <c r="AZ204" s="265"/>
      <c r="BA204" s="265"/>
      <c r="BB204" s="265"/>
      <c r="BC204" s="265"/>
      <c r="BD204" s="265"/>
      <c r="BE204" s="260"/>
      <c r="BF204" s="260"/>
      <c r="BG204" s="260"/>
      <c r="BH204" s="260"/>
      <c r="BI204" s="260"/>
    </row>
    <row r="205" spans="1:61" ht="15">
      <c r="A205" s="267"/>
      <c r="B205" s="265"/>
      <c r="C205" s="265"/>
      <c r="D205" s="409"/>
      <c r="E205" s="265"/>
      <c r="F205" s="265"/>
      <c r="G205" s="265"/>
      <c r="H205" s="265"/>
      <c r="I205" s="265"/>
      <c r="J205" s="265"/>
      <c r="K205" s="265"/>
      <c r="L205" s="265"/>
      <c r="M205" s="265"/>
      <c r="N205" s="265"/>
      <c r="O205" s="265"/>
      <c r="P205" s="265"/>
      <c r="Q205" s="265"/>
      <c r="R205" s="265"/>
      <c r="S205" s="265"/>
      <c r="T205" s="265"/>
      <c r="U205" s="265"/>
      <c r="V205" s="265"/>
      <c r="W205" s="265"/>
      <c r="X205" s="265"/>
      <c r="Y205" s="265"/>
      <c r="Z205" s="265"/>
      <c r="AA205" s="265"/>
      <c r="AB205" s="265"/>
      <c r="AC205" s="265"/>
      <c r="AD205" s="265"/>
      <c r="AE205" s="265"/>
      <c r="AF205" s="265"/>
      <c r="AG205" s="265"/>
      <c r="AH205" s="265"/>
      <c r="AI205" s="265"/>
      <c r="AJ205" s="265"/>
      <c r="AK205" s="265"/>
      <c r="AL205" s="265"/>
      <c r="AM205" s="265"/>
      <c r="AN205" s="265"/>
      <c r="AO205" s="265"/>
      <c r="AP205" s="265"/>
      <c r="AQ205" s="265"/>
      <c r="AR205" s="265"/>
      <c r="AS205" s="265"/>
      <c r="AT205" s="265"/>
      <c r="AU205" s="265"/>
      <c r="AV205" s="265"/>
      <c r="AW205" s="265"/>
      <c r="AX205" s="265"/>
      <c r="AY205" s="265"/>
      <c r="AZ205" s="265"/>
      <c r="BA205" s="265"/>
      <c r="BB205" s="265"/>
      <c r="BC205" s="265"/>
      <c r="BD205" s="265"/>
      <c r="BE205" s="260"/>
      <c r="BF205" s="260"/>
      <c r="BG205" s="260"/>
      <c r="BH205" s="260"/>
      <c r="BI205" s="260"/>
    </row>
    <row r="206" spans="1:61" ht="15">
      <c r="A206" s="267"/>
      <c r="B206" s="265"/>
      <c r="C206" s="265"/>
      <c r="D206" s="409"/>
      <c r="E206" s="265"/>
      <c r="F206" s="265"/>
      <c r="G206" s="265"/>
      <c r="H206" s="265"/>
      <c r="I206" s="265"/>
      <c r="J206" s="265"/>
      <c r="K206" s="265"/>
      <c r="L206" s="265"/>
      <c r="M206" s="265"/>
      <c r="N206" s="265"/>
      <c r="O206" s="265"/>
      <c r="P206" s="265"/>
      <c r="Q206" s="265"/>
      <c r="R206" s="265"/>
      <c r="S206" s="265"/>
      <c r="T206" s="265"/>
      <c r="U206" s="265"/>
      <c r="V206" s="265"/>
      <c r="W206" s="265"/>
      <c r="X206" s="265"/>
      <c r="Y206" s="265"/>
      <c r="Z206" s="265"/>
      <c r="AA206" s="265"/>
      <c r="AB206" s="265"/>
      <c r="AC206" s="265"/>
      <c r="AD206" s="265"/>
      <c r="AE206" s="265"/>
      <c r="AF206" s="265"/>
      <c r="AG206" s="265"/>
      <c r="AH206" s="265"/>
      <c r="AI206" s="265"/>
      <c r="AJ206" s="265"/>
      <c r="AK206" s="265"/>
      <c r="AL206" s="265"/>
      <c r="AM206" s="265"/>
      <c r="AN206" s="265"/>
      <c r="AO206" s="265"/>
      <c r="AP206" s="265"/>
      <c r="AQ206" s="265"/>
      <c r="AR206" s="265"/>
      <c r="AS206" s="265"/>
      <c r="AT206" s="265"/>
      <c r="AU206" s="265"/>
      <c r="AV206" s="265"/>
      <c r="AW206" s="265"/>
      <c r="AX206" s="265"/>
      <c r="AY206" s="265"/>
      <c r="AZ206" s="265"/>
      <c r="BA206" s="265"/>
      <c r="BB206" s="265"/>
      <c r="BC206" s="265"/>
      <c r="BD206" s="265"/>
      <c r="BE206" s="260"/>
      <c r="BF206" s="260"/>
      <c r="BG206" s="260"/>
      <c r="BH206" s="260"/>
      <c r="BI206" s="260"/>
    </row>
    <row r="207" spans="1:61" ht="15">
      <c r="A207" s="267"/>
      <c r="B207" s="265"/>
      <c r="C207" s="265"/>
      <c r="D207" s="409"/>
      <c r="E207" s="265"/>
      <c r="F207" s="265"/>
      <c r="G207" s="265"/>
      <c r="H207" s="265"/>
      <c r="I207" s="265"/>
      <c r="J207" s="265"/>
      <c r="K207" s="265"/>
      <c r="L207" s="265"/>
      <c r="M207" s="265"/>
      <c r="N207" s="265"/>
      <c r="O207" s="265"/>
      <c r="P207" s="265"/>
      <c r="Q207" s="265"/>
      <c r="R207" s="265"/>
      <c r="S207" s="265"/>
      <c r="T207" s="265"/>
      <c r="U207" s="265"/>
      <c r="V207" s="265"/>
      <c r="W207" s="265"/>
      <c r="X207" s="265"/>
      <c r="Y207" s="265"/>
      <c r="Z207" s="265"/>
      <c r="AA207" s="265"/>
      <c r="AB207" s="265"/>
      <c r="AC207" s="265"/>
      <c r="AD207" s="265"/>
      <c r="AE207" s="265"/>
      <c r="AF207" s="265"/>
      <c r="AG207" s="265"/>
      <c r="AH207" s="265"/>
      <c r="AI207" s="265"/>
      <c r="AJ207" s="265"/>
      <c r="AK207" s="265"/>
      <c r="AL207" s="265"/>
      <c r="AM207" s="265"/>
      <c r="AN207" s="265"/>
      <c r="AO207" s="265"/>
      <c r="AP207" s="265"/>
      <c r="AQ207" s="265"/>
      <c r="AR207" s="265"/>
      <c r="AS207" s="265"/>
      <c r="AT207" s="265"/>
      <c r="AU207" s="265"/>
      <c r="AV207" s="265"/>
      <c r="AW207" s="265"/>
      <c r="AX207" s="265"/>
      <c r="AY207" s="265"/>
      <c r="AZ207" s="265"/>
      <c r="BA207" s="265"/>
      <c r="BB207" s="265"/>
      <c r="BC207" s="265"/>
      <c r="BD207" s="265"/>
      <c r="BE207" s="260"/>
      <c r="BF207" s="260"/>
      <c r="BG207" s="260"/>
      <c r="BH207" s="260"/>
      <c r="BI207" s="260"/>
    </row>
    <row r="208" spans="1:61" ht="15">
      <c r="A208" s="267"/>
      <c r="B208" s="265"/>
      <c r="C208" s="265"/>
      <c r="D208" s="409"/>
      <c r="E208" s="265"/>
      <c r="F208" s="265"/>
      <c r="G208" s="265"/>
      <c r="H208" s="265"/>
      <c r="I208" s="265"/>
      <c r="J208" s="265"/>
      <c r="K208" s="265"/>
      <c r="L208" s="265"/>
      <c r="M208" s="265"/>
      <c r="N208" s="265"/>
      <c r="O208" s="265"/>
      <c r="P208" s="265"/>
      <c r="Q208" s="265"/>
      <c r="R208" s="265"/>
      <c r="S208" s="265"/>
      <c r="T208" s="265"/>
      <c r="U208" s="265"/>
      <c r="V208" s="265"/>
      <c r="W208" s="265"/>
      <c r="X208" s="265"/>
      <c r="Y208" s="265"/>
      <c r="Z208" s="265"/>
      <c r="AA208" s="265"/>
      <c r="AB208" s="265"/>
      <c r="AC208" s="265"/>
      <c r="AD208" s="265"/>
      <c r="AE208" s="265"/>
      <c r="AF208" s="265"/>
      <c r="AG208" s="265"/>
      <c r="AH208" s="265"/>
      <c r="AI208" s="265"/>
      <c r="AJ208" s="265"/>
      <c r="AK208" s="265"/>
      <c r="AL208" s="265"/>
      <c r="AM208" s="265"/>
      <c r="AN208" s="265"/>
      <c r="AO208" s="265"/>
      <c r="AP208" s="265"/>
      <c r="AQ208" s="265"/>
      <c r="AR208" s="265"/>
      <c r="AS208" s="265"/>
      <c r="AT208" s="265"/>
      <c r="AU208" s="265"/>
      <c r="AV208" s="265"/>
      <c r="AW208" s="265"/>
      <c r="AX208" s="265"/>
      <c r="AY208" s="265"/>
      <c r="AZ208" s="265"/>
      <c r="BA208" s="265"/>
      <c r="BB208" s="265"/>
      <c r="BC208" s="265"/>
      <c r="BD208" s="265"/>
      <c r="BE208" s="260"/>
      <c r="BF208" s="260"/>
      <c r="BG208" s="260"/>
      <c r="BH208" s="260"/>
      <c r="BI208" s="260"/>
    </row>
    <row r="209" spans="1:61" ht="15">
      <c r="A209" s="267"/>
      <c r="B209" s="265"/>
      <c r="C209" s="265"/>
      <c r="D209" s="409"/>
      <c r="E209" s="265"/>
      <c r="F209" s="265"/>
      <c r="G209" s="265"/>
      <c r="H209" s="265"/>
      <c r="I209" s="265"/>
      <c r="J209" s="265"/>
      <c r="K209" s="265"/>
      <c r="L209" s="265"/>
      <c r="M209" s="265"/>
      <c r="N209" s="265"/>
      <c r="O209" s="265"/>
      <c r="P209" s="265"/>
      <c r="Q209" s="265"/>
      <c r="R209" s="265"/>
      <c r="S209" s="265"/>
      <c r="T209" s="265"/>
      <c r="U209" s="265"/>
      <c r="V209" s="265"/>
      <c r="W209" s="265"/>
      <c r="X209" s="265"/>
      <c r="Y209" s="265"/>
      <c r="Z209" s="265"/>
      <c r="AA209" s="265"/>
      <c r="AB209" s="265"/>
      <c r="AC209" s="265"/>
      <c r="AD209" s="265"/>
      <c r="AE209" s="265"/>
      <c r="AF209" s="265"/>
      <c r="AG209" s="265"/>
      <c r="AH209" s="265"/>
      <c r="AI209" s="265"/>
      <c r="AJ209" s="265"/>
      <c r="AK209" s="265"/>
      <c r="AL209" s="265"/>
      <c r="AM209" s="265"/>
      <c r="AN209" s="265"/>
      <c r="AO209" s="265"/>
      <c r="AP209" s="265"/>
      <c r="AQ209" s="265"/>
      <c r="AR209" s="265"/>
      <c r="AS209" s="265"/>
      <c r="AT209" s="265"/>
      <c r="AU209" s="265"/>
      <c r="AV209" s="265"/>
      <c r="AW209" s="265"/>
      <c r="AX209" s="265"/>
      <c r="AY209" s="265"/>
      <c r="AZ209" s="265"/>
      <c r="BA209" s="265"/>
      <c r="BB209" s="265"/>
      <c r="BC209" s="265"/>
      <c r="BD209" s="265"/>
      <c r="BE209" s="260"/>
      <c r="BF209" s="260"/>
      <c r="BG209" s="260"/>
      <c r="BH209" s="260"/>
      <c r="BI209" s="260"/>
    </row>
    <row r="210" spans="1:61" ht="15">
      <c r="A210" s="267"/>
      <c r="B210" s="265"/>
      <c r="C210" s="265"/>
      <c r="D210" s="409"/>
      <c r="E210" s="265"/>
      <c r="F210" s="265"/>
      <c r="G210" s="265"/>
      <c r="H210" s="265"/>
      <c r="I210" s="265"/>
      <c r="J210" s="265"/>
      <c r="K210" s="265"/>
      <c r="L210" s="265"/>
      <c r="M210" s="265"/>
      <c r="N210" s="265"/>
      <c r="O210" s="265"/>
      <c r="P210" s="265"/>
      <c r="Q210" s="265"/>
      <c r="R210" s="265"/>
      <c r="S210" s="265"/>
      <c r="T210" s="265"/>
      <c r="U210" s="265"/>
      <c r="V210" s="265"/>
      <c r="W210" s="265"/>
      <c r="X210" s="265"/>
      <c r="Y210" s="265"/>
      <c r="Z210" s="265"/>
      <c r="AA210" s="265"/>
      <c r="AB210" s="265"/>
      <c r="AC210" s="265"/>
      <c r="AD210" s="265"/>
      <c r="AE210" s="265"/>
      <c r="AF210" s="265"/>
      <c r="AG210" s="265"/>
      <c r="AH210" s="265"/>
      <c r="AI210" s="265"/>
      <c r="AJ210" s="265"/>
      <c r="AK210" s="265"/>
      <c r="AL210" s="265"/>
      <c r="AM210" s="265"/>
      <c r="AN210" s="265"/>
      <c r="AO210" s="265"/>
      <c r="AP210" s="265"/>
      <c r="AQ210" s="265"/>
      <c r="AR210" s="265"/>
      <c r="AS210" s="265"/>
      <c r="AT210" s="265"/>
      <c r="AU210" s="265"/>
      <c r="AV210" s="265"/>
      <c r="AW210" s="265"/>
      <c r="AX210" s="265"/>
      <c r="AY210" s="265"/>
      <c r="AZ210" s="265"/>
      <c r="BA210" s="265"/>
      <c r="BB210" s="265"/>
      <c r="BC210" s="265"/>
      <c r="BD210" s="265"/>
      <c r="BE210" s="260"/>
      <c r="BF210" s="260"/>
      <c r="BG210" s="260"/>
      <c r="BH210" s="260"/>
      <c r="BI210" s="260"/>
    </row>
    <row r="211" spans="1:61" ht="15">
      <c r="A211" s="267"/>
      <c r="B211" s="265"/>
      <c r="C211" s="265"/>
      <c r="D211" s="409"/>
      <c r="E211" s="265"/>
      <c r="F211" s="265"/>
      <c r="G211" s="265"/>
      <c r="H211" s="265"/>
      <c r="I211" s="265"/>
      <c r="J211" s="265"/>
      <c r="K211" s="265"/>
      <c r="L211" s="265"/>
      <c r="M211" s="265"/>
      <c r="N211" s="265"/>
      <c r="O211" s="265"/>
      <c r="P211" s="265"/>
      <c r="Q211" s="265"/>
      <c r="R211" s="265"/>
      <c r="S211" s="265"/>
      <c r="T211" s="265"/>
      <c r="U211" s="265"/>
      <c r="V211" s="265"/>
      <c r="W211" s="265"/>
      <c r="X211" s="265"/>
      <c r="Y211" s="265"/>
      <c r="Z211" s="265"/>
      <c r="AA211" s="265"/>
      <c r="AB211" s="265"/>
      <c r="AC211" s="265"/>
      <c r="AD211" s="265"/>
      <c r="AE211" s="265"/>
      <c r="AF211" s="265"/>
      <c r="AG211" s="265"/>
      <c r="AH211" s="265"/>
      <c r="AI211" s="265"/>
      <c r="AJ211" s="265"/>
      <c r="AK211" s="265"/>
      <c r="AL211" s="265"/>
      <c r="AM211" s="265"/>
      <c r="AN211" s="265"/>
      <c r="AO211" s="265"/>
      <c r="AP211" s="265"/>
      <c r="AQ211" s="265"/>
      <c r="AR211" s="265"/>
      <c r="AS211" s="265"/>
      <c r="AT211" s="265"/>
      <c r="AU211" s="265"/>
      <c r="AV211" s="265"/>
      <c r="AW211" s="265"/>
      <c r="AX211" s="265"/>
      <c r="AY211" s="265"/>
      <c r="AZ211" s="265"/>
      <c r="BA211" s="265"/>
      <c r="BB211" s="265"/>
      <c r="BC211" s="265"/>
      <c r="BD211" s="265"/>
      <c r="BE211" s="260"/>
      <c r="BF211" s="260"/>
      <c r="BG211" s="260"/>
      <c r="BH211" s="260"/>
      <c r="BI211" s="260"/>
    </row>
    <row r="212" spans="1:61" ht="15">
      <c r="A212" s="267"/>
      <c r="B212" s="265"/>
      <c r="C212" s="265"/>
      <c r="D212" s="409"/>
      <c r="E212" s="265"/>
      <c r="F212" s="265"/>
      <c r="G212" s="265"/>
      <c r="H212" s="265"/>
      <c r="I212" s="265"/>
      <c r="J212" s="265"/>
      <c r="K212" s="265"/>
      <c r="L212" s="265"/>
      <c r="M212" s="265"/>
      <c r="N212" s="265"/>
      <c r="O212" s="265"/>
      <c r="P212" s="265"/>
      <c r="Q212" s="265"/>
      <c r="R212" s="265"/>
      <c r="S212" s="265"/>
      <c r="T212" s="265"/>
      <c r="U212" s="265"/>
      <c r="V212" s="265"/>
      <c r="W212" s="265"/>
      <c r="X212" s="265"/>
      <c r="Y212" s="265"/>
      <c r="Z212" s="265"/>
      <c r="AA212" s="265"/>
      <c r="AB212" s="265"/>
      <c r="AC212" s="265"/>
      <c r="AD212" s="265"/>
      <c r="AE212" s="265"/>
      <c r="AF212" s="265"/>
      <c r="AG212" s="265"/>
      <c r="AH212" s="265"/>
      <c r="AI212" s="265"/>
      <c r="AJ212" s="265"/>
      <c r="AK212" s="265"/>
      <c r="AL212" s="265"/>
      <c r="AM212" s="265"/>
      <c r="AN212" s="265"/>
      <c r="AO212" s="265"/>
      <c r="AP212" s="265"/>
      <c r="AQ212" s="265"/>
      <c r="AR212" s="265"/>
      <c r="AS212" s="265"/>
      <c r="AT212" s="265"/>
      <c r="AU212" s="265"/>
      <c r="AV212" s="265"/>
      <c r="AW212" s="265"/>
      <c r="AX212" s="265"/>
      <c r="AY212" s="265"/>
      <c r="AZ212" s="265"/>
      <c r="BA212" s="265"/>
      <c r="BB212" s="265"/>
      <c r="BC212" s="265"/>
      <c r="BD212" s="265"/>
      <c r="BE212" s="260"/>
      <c r="BF212" s="260"/>
      <c r="BG212" s="260"/>
      <c r="BH212" s="260"/>
      <c r="BI212" s="260"/>
    </row>
    <row r="213" spans="1:61" ht="15">
      <c r="A213" s="267"/>
      <c r="B213" s="265"/>
      <c r="C213" s="265"/>
      <c r="D213" s="409"/>
      <c r="E213" s="265"/>
      <c r="F213" s="265"/>
      <c r="G213" s="265"/>
      <c r="H213" s="265"/>
      <c r="I213" s="265"/>
      <c r="J213" s="265"/>
      <c r="K213" s="265"/>
      <c r="L213" s="265"/>
      <c r="M213" s="265"/>
      <c r="N213" s="265"/>
      <c r="O213" s="265"/>
      <c r="P213" s="265"/>
      <c r="Q213" s="265"/>
      <c r="R213" s="265"/>
      <c r="S213" s="265"/>
      <c r="T213" s="265"/>
      <c r="U213" s="265"/>
      <c r="V213" s="265"/>
      <c r="W213" s="265"/>
      <c r="X213" s="265"/>
      <c r="Y213" s="265"/>
      <c r="Z213" s="265"/>
      <c r="AA213" s="265"/>
      <c r="AB213" s="265"/>
      <c r="AC213" s="265"/>
      <c r="AD213" s="265"/>
      <c r="AE213" s="265"/>
      <c r="AF213" s="265"/>
      <c r="AG213" s="265"/>
      <c r="AH213" s="265"/>
      <c r="AI213" s="265"/>
      <c r="AJ213" s="265"/>
      <c r="AK213" s="265"/>
      <c r="AL213" s="265"/>
      <c r="AM213" s="265"/>
      <c r="AN213" s="265"/>
      <c r="AO213" s="265"/>
      <c r="AP213" s="265"/>
      <c r="AQ213" s="265"/>
      <c r="AR213" s="265"/>
      <c r="AS213" s="265"/>
      <c r="AT213" s="265"/>
      <c r="AU213" s="265"/>
      <c r="AV213" s="265"/>
      <c r="AW213" s="265"/>
      <c r="AX213" s="265"/>
      <c r="AY213" s="265"/>
      <c r="AZ213" s="265"/>
      <c r="BA213" s="265"/>
      <c r="BB213" s="265"/>
      <c r="BC213" s="265"/>
      <c r="BD213" s="265"/>
      <c r="BE213" s="260"/>
      <c r="BF213" s="260"/>
      <c r="BG213" s="260"/>
      <c r="BH213" s="260"/>
      <c r="BI213" s="260"/>
    </row>
    <row r="214" spans="1:61" ht="15">
      <c r="A214" s="267"/>
      <c r="B214" s="265"/>
      <c r="C214" s="265"/>
      <c r="D214" s="409"/>
      <c r="E214" s="265"/>
      <c r="F214" s="265"/>
      <c r="G214" s="265"/>
      <c r="H214" s="265"/>
      <c r="I214" s="265"/>
      <c r="J214" s="265"/>
      <c r="K214" s="265"/>
      <c r="L214" s="265"/>
      <c r="M214" s="265"/>
      <c r="N214" s="265"/>
      <c r="O214" s="265"/>
      <c r="P214" s="265"/>
      <c r="Q214" s="265"/>
      <c r="R214" s="265"/>
      <c r="S214" s="265"/>
      <c r="T214" s="265"/>
      <c r="U214" s="265"/>
      <c r="V214" s="265"/>
      <c r="W214" s="265"/>
      <c r="X214" s="265"/>
      <c r="Y214" s="265"/>
      <c r="Z214" s="265"/>
      <c r="AA214" s="265"/>
      <c r="AB214" s="265"/>
      <c r="AC214" s="265"/>
      <c r="AD214" s="265"/>
      <c r="AE214" s="265"/>
      <c r="AF214" s="265"/>
      <c r="AG214" s="265"/>
      <c r="AH214" s="265"/>
      <c r="AI214" s="265"/>
      <c r="AJ214" s="265"/>
      <c r="AK214" s="265"/>
      <c r="AL214" s="265"/>
      <c r="AM214" s="265"/>
      <c r="AN214" s="265"/>
      <c r="AO214" s="265"/>
      <c r="AP214" s="265"/>
      <c r="AQ214" s="265"/>
      <c r="AR214" s="265"/>
      <c r="AS214" s="265"/>
      <c r="AT214" s="265"/>
      <c r="AU214" s="265"/>
      <c r="AV214" s="265"/>
      <c r="AW214" s="265"/>
      <c r="AX214" s="265"/>
      <c r="AY214" s="265"/>
      <c r="AZ214" s="265"/>
      <c r="BA214" s="265"/>
      <c r="BB214" s="265"/>
      <c r="BC214" s="265"/>
      <c r="BD214" s="265"/>
      <c r="BE214" s="260"/>
      <c r="BF214" s="260"/>
      <c r="BG214" s="260"/>
      <c r="BH214" s="260"/>
      <c r="BI214" s="260"/>
    </row>
    <row r="215" spans="1:61" ht="15">
      <c r="A215" s="267"/>
      <c r="B215" s="265"/>
      <c r="C215" s="265"/>
      <c r="D215" s="409"/>
      <c r="E215" s="265"/>
      <c r="F215" s="265"/>
      <c r="G215" s="265"/>
      <c r="H215" s="265"/>
      <c r="I215" s="265"/>
      <c r="J215" s="265"/>
      <c r="K215" s="265"/>
      <c r="L215" s="265"/>
      <c r="M215" s="265"/>
      <c r="N215" s="265"/>
      <c r="O215" s="265"/>
      <c r="P215" s="265"/>
      <c r="Q215" s="265"/>
      <c r="R215" s="265"/>
      <c r="S215" s="265"/>
      <c r="T215" s="265"/>
      <c r="U215" s="265"/>
      <c r="V215" s="265"/>
      <c r="W215" s="265"/>
      <c r="X215" s="265"/>
      <c r="Y215" s="265"/>
      <c r="Z215" s="265"/>
      <c r="AA215" s="265"/>
      <c r="AB215" s="265"/>
      <c r="AC215" s="265"/>
      <c r="AD215" s="265"/>
      <c r="AE215" s="265"/>
      <c r="AF215" s="265"/>
      <c r="AG215" s="265"/>
      <c r="AH215" s="265"/>
      <c r="AI215" s="265"/>
      <c r="AJ215" s="265"/>
      <c r="AK215" s="265"/>
      <c r="AL215" s="265"/>
      <c r="AM215" s="265"/>
      <c r="AN215" s="265"/>
      <c r="AO215" s="265"/>
      <c r="AP215" s="265"/>
      <c r="AQ215" s="265"/>
      <c r="AR215" s="265"/>
      <c r="AS215" s="265"/>
      <c r="AT215" s="265"/>
      <c r="AU215" s="265"/>
      <c r="AV215" s="265"/>
      <c r="AW215" s="265"/>
      <c r="AX215" s="265"/>
      <c r="AY215" s="265"/>
      <c r="AZ215" s="265"/>
      <c r="BA215" s="265"/>
      <c r="BB215" s="265"/>
      <c r="BC215" s="265"/>
      <c r="BD215" s="265"/>
      <c r="BE215" s="260"/>
      <c r="BF215" s="260"/>
      <c r="BG215" s="260"/>
      <c r="BH215" s="260"/>
      <c r="BI215" s="260"/>
    </row>
    <row r="216" spans="1:61" ht="15">
      <c r="A216" s="267"/>
      <c r="B216" s="265"/>
      <c r="C216" s="265"/>
      <c r="D216" s="409"/>
      <c r="E216" s="265"/>
      <c r="F216" s="265"/>
      <c r="G216" s="265"/>
      <c r="H216" s="265"/>
      <c r="I216" s="265"/>
      <c r="J216" s="265"/>
      <c r="K216" s="265"/>
      <c r="L216" s="265"/>
      <c r="M216" s="265"/>
      <c r="N216" s="265"/>
      <c r="O216" s="265"/>
      <c r="P216" s="265"/>
      <c r="Q216" s="265"/>
      <c r="R216" s="265"/>
      <c r="S216" s="265"/>
      <c r="T216" s="265"/>
      <c r="U216" s="265"/>
      <c r="V216" s="265"/>
      <c r="W216" s="265"/>
      <c r="X216" s="265"/>
      <c r="Y216" s="265"/>
      <c r="Z216" s="265"/>
      <c r="AA216" s="265"/>
      <c r="AB216" s="265"/>
      <c r="AC216" s="265"/>
      <c r="AD216" s="265"/>
      <c r="AE216" s="265"/>
      <c r="AF216" s="265"/>
      <c r="AG216" s="265"/>
      <c r="AH216" s="265"/>
      <c r="AI216" s="265"/>
      <c r="AJ216" s="265"/>
      <c r="AK216" s="265"/>
      <c r="AL216" s="265"/>
      <c r="AM216" s="265"/>
      <c r="AN216" s="265"/>
      <c r="AO216" s="265"/>
      <c r="AP216" s="265"/>
      <c r="AQ216" s="265"/>
      <c r="AR216" s="265"/>
      <c r="AS216" s="265"/>
      <c r="AT216" s="265"/>
      <c r="AU216" s="265"/>
      <c r="AV216" s="265"/>
      <c r="AW216" s="265"/>
      <c r="AX216" s="265"/>
      <c r="AY216" s="265"/>
      <c r="AZ216" s="265"/>
      <c r="BA216" s="265"/>
      <c r="BB216" s="265"/>
      <c r="BC216" s="265"/>
      <c r="BD216" s="265"/>
      <c r="BE216" s="260"/>
      <c r="BF216" s="260"/>
      <c r="BG216" s="260"/>
      <c r="BH216" s="260"/>
      <c r="BI216" s="260"/>
    </row>
    <row r="217" spans="1:61" ht="15">
      <c r="A217" s="267"/>
      <c r="B217" s="265"/>
      <c r="C217" s="265"/>
      <c r="D217" s="409"/>
      <c r="E217" s="265"/>
      <c r="F217" s="265"/>
      <c r="G217" s="265"/>
      <c r="H217" s="265"/>
      <c r="I217" s="265"/>
      <c r="J217" s="265"/>
      <c r="K217" s="265"/>
      <c r="L217" s="265"/>
      <c r="M217" s="265"/>
      <c r="N217" s="265"/>
      <c r="O217" s="265"/>
      <c r="P217" s="265"/>
      <c r="Q217" s="265"/>
      <c r="R217" s="265"/>
      <c r="S217" s="265"/>
      <c r="T217" s="265"/>
      <c r="U217" s="265"/>
      <c r="V217" s="265"/>
      <c r="W217" s="265"/>
      <c r="X217" s="265"/>
      <c r="Y217" s="265"/>
      <c r="Z217" s="265"/>
      <c r="AA217" s="265"/>
      <c r="AB217" s="265"/>
      <c r="AC217" s="265"/>
      <c r="AD217" s="265"/>
      <c r="AE217" s="265"/>
      <c r="AF217" s="265"/>
      <c r="AG217" s="265"/>
      <c r="AH217" s="265"/>
      <c r="AI217" s="265"/>
      <c r="AJ217" s="265"/>
      <c r="AK217" s="265"/>
      <c r="AL217" s="265"/>
      <c r="AM217" s="265"/>
      <c r="AN217" s="265"/>
      <c r="AO217" s="265"/>
      <c r="AP217" s="265"/>
      <c r="AQ217" s="265"/>
      <c r="AR217" s="265"/>
      <c r="AS217" s="265"/>
      <c r="AT217" s="265"/>
      <c r="AU217" s="265"/>
      <c r="AV217" s="265"/>
      <c r="AW217" s="265"/>
      <c r="AX217" s="265"/>
      <c r="AY217" s="265"/>
      <c r="AZ217" s="265"/>
      <c r="BA217" s="265"/>
      <c r="BB217" s="265"/>
      <c r="BC217" s="265"/>
      <c r="BD217" s="265"/>
      <c r="BE217" s="260"/>
      <c r="BF217" s="260"/>
      <c r="BG217" s="260"/>
      <c r="BH217" s="260"/>
      <c r="BI217" s="260"/>
    </row>
    <row r="218" spans="1:61" ht="15">
      <c r="A218" s="267"/>
      <c r="B218" s="265"/>
      <c r="C218" s="265"/>
      <c r="D218" s="409"/>
      <c r="E218" s="265"/>
      <c r="F218" s="265"/>
      <c r="G218" s="265"/>
      <c r="H218" s="265"/>
      <c r="I218" s="265"/>
      <c r="J218" s="265"/>
      <c r="K218" s="265"/>
      <c r="L218" s="265"/>
      <c r="M218" s="265"/>
      <c r="N218" s="265"/>
      <c r="O218" s="265"/>
      <c r="P218" s="265"/>
      <c r="Q218" s="265"/>
      <c r="R218" s="265"/>
      <c r="S218" s="265"/>
      <c r="T218" s="265"/>
      <c r="U218" s="265"/>
      <c r="V218" s="265"/>
      <c r="W218" s="265"/>
      <c r="X218" s="265"/>
      <c r="Y218" s="265"/>
      <c r="Z218" s="265"/>
      <c r="AA218" s="265"/>
      <c r="AB218" s="265"/>
      <c r="AC218" s="265"/>
      <c r="AD218" s="265"/>
      <c r="AE218" s="265"/>
      <c r="AF218" s="265"/>
      <c r="AG218" s="265"/>
      <c r="AH218" s="265"/>
      <c r="AI218" s="265"/>
      <c r="AJ218" s="265"/>
      <c r="AK218" s="265"/>
      <c r="AL218" s="265"/>
      <c r="AM218" s="265"/>
      <c r="AN218" s="265"/>
      <c r="AO218" s="265"/>
      <c r="AP218" s="265"/>
      <c r="AQ218" s="265"/>
      <c r="AR218" s="265"/>
      <c r="AS218" s="265"/>
      <c r="AT218" s="265"/>
      <c r="AU218" s="265"/>
      <c r="AV218" s="265"/>
      <c r="AW218" s="265"/>
      <c r="AX218" s="265"/>
      <c r="AY218" s="265"/>
      <c r="AZ218" s="265"/>
      <c r="BA218" s="265"/>
      <c r="BB218" s="265"/>
      <c r="BC218" s="265"/>
      <c r="BD218" s="265"/>
      <c r="BE218" s="260"/>
      <c r="BF218" s="260"/>
      <c r="BG218" s="260"/>
      <c r="BH218" s="260"/>
      <c r="BI218" s="260"/>
    </row>
    <row r="219" spans="1:61" ht="15">
      <c r="A219" s="267"/>
      <c r="B219" s="265"/>
      <c r="C219" s="265"/>
      <c r="D219" s="409"/>
      <c r="E219" s="265"/>
      <c r="F219" s="265"/>
      <c r="G219" s="265"/>
      <c r="H219" s="265"/>
      <c r="I219" s="265"/>
      <c r="J219" s="265"/>
      <c r="K219" s="265"/>
      <c r="L219" s="265"/>
      <c r="M219" s="265"/>
      <c r="N219" s="265"/>
      <c r="O219" s="265"/>
      <c r="P219" s="265"/>
      <c r="Q219" s="265"/>
      <c r="R219" s="265"/>
      <c r="S219" s="265"/>
      <c r="T219" s="265"/>
      <c r="U219" s="265"/>
      <c r="V219" s="265"/>
      <c r="W219" s="265"/>
      <c r="X219" s="265"/>
      <c r="Y219" s="265"/>
      <c r="Z219" s="265"/>
      <c r="AA219" s="265"/>
      <c r="AB219" s="265"/>
      <c r="AC219" s="265"/>
      <c r="AD219" s="265"/>
      <c r="AE219" s="265"/>
      <c r="AF219" s="265"/>
      <c r="AG219" s="265"/>
      <c r="AH219" s="265"/>
      <c r="AI219" s="265"/>
      <c r="AJ219" s="265"/>
      <c r="AK219" s="265"/>
      <c r="AL219" s="265"/>
      <c r="AM219" s="265"/>
      <c r="AN219" s="265"/>
      <c r="AO219" s="265"/>
      <c r="AP219" s="265"/>
      <c r="AQ219" s="265"/>
      <c r="AR219" s="265"/>
      <c r="AS219" s="265"/>
      <c r="AT219" s="265"/>
      <c r="AU219" s="265"/>
      <c r="AV219" s="265"/>
      <c r="AW219" s="265"/>
      <c r="AX219" s="265"/>
      <c r="AY219" s="265"/>
      <c r="AZ219" s="265"/>
      <c r="BA219" s="265"/>
      <c r="BB219" s="265"/>
      <c r="BC219" s="265"/>
      <c r="BD219" s="265"/>
      <c r="BE219" s="260"/>
      <c r="BF219" s="260"/>
      <c r="BG219" s="260"/>
      <c r="BH219" s="260"/>
      <c r="BI219" s="260"/>
    </row>
    <row r="220" spans="1:61" ht="15">
      <c r="A220" s="267"/>
      <c r="B220" s="265"/>
      <c r="C220" s="265"/>
      <c r="D220" s="409"/>
      <c r="E220" s="265"/>
      <c r="F220" s="265"/>
      <c r="G220" s="265"/>
      <c r="H220" s="265"/>
      <c r="I220" s="265"/>
      <c r="J220" s="265"/>
      <c r="K220" s="265"/>
      <c r="L220" s="265"/>
      <c r="M220" s="265"/>
      <c r="N220" s="265"/>
      <c r="O220" s="265"/>
      <c r="P220" s="265"/>
      <c r="Q220" s="265"/>
      <c r="R220" s="265"/>
      <c r="S220" s="265"/>
      <c r="T220" s="265"/>
      <c r="U220" s="265"/>
      <c r="V220" s="265"/>
      <c r="W220" s="265"/>
      <c r="X220" s="265"/>
      <c r="Y220" s="265"/>
      <c r="Z220" s="265"/>
      <c r="AA220" s="265"/>
      <c r="AB220" s="265"/>
      <c r="AC220" s="265"/>
      <c r="AD220" s="265"/>
      <c r="AE220" s="265"/>
      <c r="AF220" s="265"/>
      <c r="AG220" s="265"/>
      <c r="AH220" s="265"/>
      <c r="AI220" s="265"/>
      <c r="AJ220" s="265"/>
      <c r="AK220" s="265"/>
      <c r="AL220" s="265"/>
      <c r="AM220" s="265"/>
      <c r="AN220" s="265"/>
      <c r="AO220" s="265"/>
      <c r="AP220" s="265"/>
      <c r="AQ220" s="265"/>
      <c r="AR220" s="265"/>
      <c r="AS220" s="265"/>
      <c r="AT220" s="265"/>
      <c r="AU220" s="265"/>
      <c r="AV220" s="265"/>
      <c r="AW220" s="265"/>
      <c r="AX220" s="265"/>
      <c r="AY220" s="265"/>
      <c r="AZ220" s="265"/>
      <c r="BA220" s="265"/>
      <c r="BB220" s="265"/>
      <c r="BC220" s="265"/>
      <c r="BD220" s="265"/>
      <c r="BE220" s="260"/>
      <c r="BF220" s="260"/>
      <c r="BG220" s="260"/>
      <c r="BH220" s="260"/>
      <c r="BI220" s="260"/>
    </row>
    <row r="221" spans="1:61" ht="15">
      <c r="A221" s="267"/>
      <c r="B221" s="265"/>
      <c r="C221" s="265"/>
      <c r="D221" s="409"/>
      <c r="E221" s="265"/>
      <c r="F221" s="265"/>
      <c r="G221" s="265"/>
      <c r="H221" s="265"/>
      <c r="I221" s="265"/>
      <c r="J221" s="265"/>
      <c r="K221" s="265"/>
      <c r="L221" s="265"/>
      <c r="M221" s="265"/>
      <c r="N221" s="265"/>
      <c r="O221" s="265"/>
      <c r="P221" s="265"/>
      <c r="Q221" s="265"/>
      <c r="R221" s="265"/>
      <c r="S221" s="265"/>
      <c r="T221" s="265"/>
      <c r="U221" s="265"/>
      <c r="V221" s="265"/>
      <c r="W221" s="265"/>
      <c r="X221" s="265"/>
      <c r="Y221" s="265"/>
      <c r="Z221" s="265"/>
      <c r="AA221" s="265"/>
      <c r="AB221" s="265"/>
      <c r="AC221" s="265"/>
      <c r="AD221" s="265"/>
      <c r="AE221" s="265"/>
      <c r="AF221" s="265"/>
      <c r="AG221" s="265"/>
      <c r="AH221" s="265"/>
      <c r="AI221" s="265"/>
      <c r="AJ221" s="265"/>
      <c r="AK221" s="265"/>
      <c r="AL221" s="265"/>
      <c r="AM221" s="265"/>
      <c r="AN221" s="265"/>
      <c r="AO221" s="265"/>
      <c r="AP221" s="265"/>
      <c r="AQ221" s="265"/>
      <c r="AR221" s="265"/>
      <c r="AS221" s="265"/>
      <c r="AT221" s="265"/>
      <c r="AU221" s="265"/>
      <c r="AV221" s="265"/>
      <c r="AW221" s="265"/>
      <c r="AX221" s="265"/>
      <c r="AY221" s="265"/>
      <c r="AZ221" s="265"/>
      <c r="BA221" s="265"/>
      <c r="BB221" s="265"/>
      <c r="BC221" s="265"/>
      <c r="BD221" s="265"/>
      <c r="BE221" s="260"/>
      <c r="BF221" s="260"/>
      <c r="BG221" s="260"/>
      <c r="BH221" s="260"/>
      <c r="BI221" s="260"/>
    </row>
    <row r="222" spans="1:61" ht="15">
      <c r="A222" s="267"/>
      <c r="B222" s="265"/>
      <c r="C222" s="265"/>
      <c r="D222" s="409"/>
      <c r="E222" s="265"/>
      <c r="F222" s="265"/>
      <c r="G222" s="265"/>
      <c r="H222" s="265"/>
      <c r="I222" s="265"/>
      <c r="J222" s="265"/>
      <c r="K222" s="265"/>
      <c r="L222" s="265"/>
      <c r="M222" s="265"/>
      <c r="N222" s="265"/>
      <c r="O222" s="265"/>
      <c r="P222" s="265"/>
      <c r="Q222" s="265"/>
      <c r="R222" s="265"/>
      <c r="S222" s="265"/>
      <c r="T222" s="265"/>
      <c r="U222" s="265"/>
      <c r="V222" s="265"/>
      <c r="W222" s="265"/>
      <c r="X222" s="265"/>
      <c r="Y222" s="265"/>
      <c r="Z222" s="265"/>
      <c r="AA222" s="265"/>
      <c r="AB222" s="265"/>
      <c r="AC222" s="265"/>
      <c r="AD222" s="265"/>
      <c r="AE222" s="265"/>
      <c r="AF222" s="265"/>
      <c r="AG222" s="265"/>
      <c r="AH222" s="265"/>
      <c r="AI222" s="265"/>
      <c r="AJ222" s="265"/>
      <c r="AK222" s="265"/>
      <c r="AL222" s="265"/>
      <c r="AM222" s="265"/>
      <c r="AN222" s="265"/>
      <c r="AO222" s="265"/>
      <c r="AP222" s="265"/>
      <c r="AQ222" s="265"/>
      <c r="AR222" s="265"/>
      <c r="AS222" s="265"/>
      <c r="AT222" s="265"/>
      <c r="AU222" s="265"/>
      <c r="AV222" s="265"/>
      <c r="AW222" s="265"/>
      <c r="AX222" s="265"/>
      <c r="AY222" s="265"/>
      <c r="AZ222" s="265"/>
      <c r="BA222" s="265"/>
      <c r="BB222" s="265"/>
      <c r="BC222" s="265"/>
      <c r="BD222" s="265"/>
      <c r="BE222" s="260"/>
      <c r="BF222" s="260"/>
      <c r="BG222" s="260"/>
      <c r="BH222" s="260"/>
      <c r="BI222" s="260"/>
    </row>
    <row r="223" spans="1:61" ht="15">
      <c r="A223" s="267"/>
      <c r="B223" s="265"/>
      <c r="C223" s="265"/>
      <c r="D223" s="409"/>
      <c r="E223" s="265"/>
      <c r="F223" s="265"/>
      <c r="G223" s="265"/>
      <c r="H223" s="265"/>
      <c r="I223" s="265"/>
      <c r="J223" s="265"/>
      <c r="K223" s="265"/>
      <c r="L223" s="265"/>
      <c r="M223" s="265"/>
      <c r="N223" s="265"/>
      <c r="O223" s="265"/>
      <c r="P223" s="265"/>
      <c r="Q223" s="265"/>
      <c r="R223" s="265"/>
      <c r="S223" s="265"/>
      <c r="T223" s="265"/>
      <c r="U223" s="265"/>
      <c r="V223" s="265"/>
      <c r="W223" s="265"/>
      <c r="X223" s="265"/>
      <c r="Y223" s="265"/>
      <c r="Z223" s="265"/>
      <c r="AA223" s="265"/>
      <c r="AB223" s="265"/>
      <c r="AC223" s="265"/>
      <c r="AD223" s="265"/>
      <c r="AE223" s="265"/>
      <c r="AF223" s="265"/>
      <c r="AG223" s="265"/>
      <c r="AH223" s="265"/>
      <c r="AI223" s="265"/>
      <c r="AJ223" s="265"/>
      <c r="AK223" s="265"/>
      <c r="AL223" s="265"/>
      <c r="AM223" s="265"/>
      <c r="AN223" s="265"/>
      <c r="AO223" s="265"/>
      <c r="AP223" s="265"/>
      <c r="AQ223" s="265"/>
      <c r="AR223" s="265"/>
      <c r="AS223" s="265"/>
      <c r="AT223" s="265"/>
      <c r="AU223" s="265"/>
      <c r="AV223" s="265"/>
      <c r="AW223" s="265"/>
      <c r="AX223" s="265"/>
      <c r="AY223" s="265"/>
      <c r="AZ223" s="265"/>
      <c r="BA223" s="265"/>
      <c r="BB223" s="265"/>
      <c r="BC223" s="265"/>
      <c r="BD223" s="265"/>
      <c r="BE223" s="260"/>
      <c r="BF223" s="260"/>
      <c r="BG223" s="260"/>
      <c r="BH223" s="260"/>
      <c r="BI223" s="260"/>
    </row>
    <row r="224" spans="1:61" ht="15">
      <c r="A224" s="267"/>
      <c r="B224" s="265"/>
      <c r="C224" s="265"/>
      <c r="D224" s="409"/>
      <c r="E224" s="265"/>
      <c r="F224" s="265"/>
      <c r="G224" s="265"/>
      <c r="H224" s="265"/>
      <c r="I224" s="265"/>
      <c r="J224" s="265"/>
      <c r="K224" s="265"/>
      <c r="L224" s="265"/>
      <c r="M224" s="265"/>
      <c r="N224" s="265"/>
      <c r="O224" s="265"/>
      <c r="P224" s="265"/>
      <c r="Q224" s="265"/>
      <c r="R224" s="265"/>
      <c r="S224" s="265"/>
      <c r="T224" s="265"/>
      <c r="U224" s="265"/>
      <c r="V224" s="265"/>
      <c r="W224" s="265"/>
      <c r="X224" s="265"/>
      <c r="Y224" s="265"/>
      <c r="Z224" s="265"/>
      <c r="AA224" s="265"/>
      <c r="AB224" s="265"/>
      <c r="AC224" s="265"/>
      <c r="AD224" s="265"/>
      <c r="AE224" s="265"/>
      <c r="AF224" s="265"/>
      <c r="AG224" s="265"/>
      <c r="AH224" s="265"/>
      <c r="AI224" s="265"/>
      <c r="AJ224" s="265"/>
      <c r="AK224" s="265"/>
      <c r="AL224" s="265"/>
      <c r="AM224" s="265"/>
      <c r="AN224" s="265"/>
      <c r="AO224" s="265"/>
      <c r="AP224" s="265"/>
      <c r="AQ224" s="265"/>
      <c r="AR224" s="265"/>
      <c r="AS224" s="265"/>
      <c r="AT224" s="265"/>
      <c r="AU224" s="265"/>
      <c r="AV224" s="265"/>
      <c r="AW224" s="265"/>
      <c r="AX224" s="265"/>
      <c r="AY224" s="265"/>
      <c r="AZ224" s="265"/>
      <c r="BA224" s="265"/>
      <c r="BB224" s="265"/>
      <c r="BC224" s="265"/>
      <c r="BD224" s="265"/>
      <c r="BE224" s="260"/>
      <c r="BF224" s="260"/>
      <c r="BG224" s="260"/>
      <c r="BH224" s="260"/>
      <c r="BI224" s="260"/>
    </row>
    <row r="225" spans="1:61" ht="15">
      <c r="A225" s="267"/>
      <c r="B225" s="265"/>
      <c r="C225" s="265"/>
      <c r="D225" s="409"/>
      <c r="E225" s="265"/>
      <c r="F225" s="265"/>
      <c r="G225" s="265"/>
      <c r="H225" s="265"/>
      <c r="I225" s="265"/>
      <c r="J225" s="265"/>
      <c r="K225" s="265"/>
      <c r="L225" s="265"/>
      <c r="M225" s="265"/>
      <c r="N225" s="265"/>
      <c r="O225" s="265"/>
      <c r="P225" s="265"/>
      <c r="Q225" s="265"/>
      <c r="R225" s="265"/>
      <c r="S225" s="265"/>
      <c r="T225" s="265"/>
      <c r="U225" s="265"/>
      <c r="V225" s="265"/>
      <c r="W225" s="265"/>
      <c r="X225" s="265"/>
      <c r="Y225" s="265"/>
      <c r="Z225" s="265"/>
      <c r="AA225" s="265"/>
      <c r="AB225" s="265"/>
      <c r="AC225" s="265"/>
      <c r="AD225" s="265"/>
      <c r="AE225" s="265"/>
      <c r="AF225" s="265"/>
      <c r="AG225" s="265"/>
      <c r="AH225" s="265"/>
      <c r="AI225" s="265"/>
      <c r="AJ225" s="265"/>
      <c r="AK225" s="265"/>
      <c r="AL225" s="265"/>
      <c r="AM225" s="265"/>
      <c r="AN225" s="265"/>
      <c r="AO225" s="265"/>
      <c r="AP225" s="265"/>
      <c r="AQ225" s="265"/>
      <c r="AR225" s="265"/>
      <c r="AS225" s="265"/>
      <c r="AT225" s="265"/>
      <c r="AU225" s="265"/>
      <c r="AV225" s="265"/>
      <c r="AW225" s="265"/>
      <c r="AX225" s="265"/>
      <c r="AY225" s="265"/>
      <c r="AZ225" s="265"/>
      <c r="BA225" s="265"/>
      <c r="BB225" s="265"/>
      <c r="BC225" s="265"/>
      <c r="BD225" s="265"/>
      <c r="BE225" s="260"/>
      <c r="BF225" s="260"/>
      <c r="BG225" s="260"/>
      <c r="BH225" s="260"/>
      <c r="BI225" s="260"/>
    </row>
    <row r="226" spans="1:61" ht="15">
      <c r="A226" s="267"/>
      <c r="B226" s="265"/>
      <c r="C226" s="265"/>
      <c r="D226" s="409"/>
      <c r="E226" s="265"/>
      <c r="F226" s="265"/>
      <c r="G226" s="265"/>
      <c r="H226" s="265"/>
      <c r="I226" s="265"/>
      <c r="J226" s="265"/>
      <c r="K226" s="265"/>
      <c r="L226" s="265"/>
      <c r="M226" s="265"/>
      <c r="N226" s="265"/>
      <c r="O226" s="265"/>
      <c r="P226" s="265"/>
      <c r="Q226" s="265"/>
      <c r="R226" s="265"/>
      <c r="S226" s="265"/>
      <c r="T226" s="265"/>
      <c r="U226" s="265"/>
      <c r="V226" s="265"/>
      <c r="W226" s="265"/>
      <c r="X226" s="265"/>
      <c r="Y226" s="265"/>
      <c r="Z226" s="265"/>
      <c r="AA226" s="265"/>
      <c r="AB226" s="265"/>
      <c r="AC226" s="265"/>
      <c r="AD226" s="265"/>
      <c r="AE226" s="265"/>
      <c r="AF226" s="265"/>
      <c r="AG226" s="265"/>
      <c r="AH226" s="265"/>
      <c r="AI226" s="265"/>
      <c r="AJ226" s="265"/>
      <c r="AK226" s="265"/>
      <c r="AL226" s="265"/>
      <c r="AM226" s="265"/>
      <c r="AN226" s="265"/>
      <c r="AO226" s="265"/>
      <c r="AP226" s="265"/>
      <c r="AQ226" s="265"/>
      <c r="AR226" s="265"/>
      <c r="AS226" s="265"/>
      <c r="AT226" s="265"/>
      <c r="AU226" s="265"/>
      <c r="AV226" s="265"/>
      <c r="AW226" s="265"/>
      <c r="AX226" s="265"/>
      <c r="AY226" s="265"/>
      <c r="AZ226" s="265"/>
      <c r="BA226" s="265"/>
      <c r="BB226" s="265"/>
      <c r="BC226" s="265"/>
      <c r="BD226" s="265"/>
      <c r="BE226" s="260"/>
      <c r="BF226" s="260"/>
      <c r="BG226" s="260"/>
      <c r="BH226" s="260"/>
      <c r="BI226" s="260"/>
    </row>
    <row r="227" spans="1:61" ht="15">
      <c r="A227" s="267"/>
      <c r="B227" s="265"/>
      <c r="C227" s="265"/>
      <c r="D227" s="409"/>
      <c r="E227" s="265"/>
      <c r="F227" s="265"/>
      <c r="G227" s="265"/>
      <c r="H227" s="265"/>
      <c r="I227" s="265"/>
      <c r="J227" s="265"/>
      <c r="K227" s="265"/>
      <c r="L227" s="265"/>
      <c r="M227" s="265"/>
      <c r="N227" s="265"/>
      <c r="O227" s="265"/>
      <c r="P227" s="265"/>
      <c r="Q227" s="265"/>
      <c r="R227" s="265"/>
      <c r="S227" s="265"/>
      <c r="T227" s="265"/>
      <c r="U227" s="265"/>
      <c r="V227" s="265"/>
      <c r="W227" s="265"/>
      <c r="X227" s="265"/>
      <c r="Y227" s="265"/>
      <c r="Z227" s="265"/>
      <c r="AA227" s="265"/>
      <c r="AB227" s="265"/>
      <c r="AC227" s="265"/>
      <c r="AD227" s="265"/>
      <c r="AE227" s="265"/>
      <c r="AF227" s="265"/>
      <c r="AG227" s="265"/>
      <c r="AH227" s="265"/>
      <c r="AI227" s="265"/>
      <c r="AJ227" s="265"/>
      <c r="AK227" s="265"/>
      <c r="AL227" s="265"/>
      <c r="AM227" s="265"/>
      <c r="AN227" s="265"/>
      <c r="AO227" s="265"/>
      <c r="AP227" s="265"/>
      <c r="AQ227" s="265"/>
      <c r="AR227" s="265"/>
      <c r="AS227" s="265"/>
      <c r="AT227" s="265"/>
      <c r="AU227" s="265"/>
      <c r="AV227" s="265"/>
      <c r="AW227" s="265"/>
      <c r="AX227" s="265"/>
      <c r="AY227" s="265"/>
      <c r="AZ227" s="265"/>
      <c r="BA227" s="265"/>
      <c r="BB227" s="265"/>
      <c r="BC227" s="265"/>
      <c r="BD227" s="265"/>
      <c r="BE227" s="260"/>
      <c r="BF227" s="260"/>
      <c r="BG227" s="260"/>
      <c r="BH227" s="260"/>
      <c r="BI227" s="260"/>
    </row>
    <row r="228" spans="1:61" ht="15">
      <c r="A228" s="267"/>
      <c r="B228" s="265"/>
      <c r="C228" s="265"/>
      <c r="D228" s="409"/>
      <c r="E228" s="265"/>
      <c r="F228" s="265"/>
      <c r="G228" s="265"/>
      <c r="H228" s="265"/>
      <c r="I228" s="265"/>
      <c r="J228" s="265"/>
      <c r="K228" s="265"/>
      <c r="L228" s="265"/>
      <c r="M228" s="265"/>
      <c r="N228" s="265"/>
      <c r="O228" s="265"/>
      <c r="P228" s="265"/>
      <c r="Q228" s="265"/>
      <c r="R228" s="265"/>
      <c r="S228" s="265"/>
      <c r="T228" s="265"/>
      <c r="U228" s="265"/>
      <c r="V228" s="265"/>
      <c r="W228" s="265"/>
      <c r="X228" s="265"/>
      <c r="Y228" s="265"/>
      <c r="Z228" s="265"/>
      <c r="AA228" s="265"/>
      <c r="AB228" s="265"/>
      <c r="AC228" s="265"/>
      <c r="AD228" s="265"/>
      <c r="AE228" s="265"/>
      <c r="AF228" s="265"/>
      <c r="AG228" s="265"/>
      <c r="AH228" s="265"/>
      <c r="AI228" s="265"/>
      <c r="AJ228" s="265"/>
      <c r="AK228" s="265"/>
      <c r="AL228" s="265"/>
      <c r="AM228" s="265"/>
      <c r="AN228" s="265"/>
      <c r="AO228" s="265"/>
      <c r="AP228" s="265"/>
      <c r="AQ228" s="265"/>
      <c r="AR228" s="265"/>
      <c r="AS228" s="265"/>
      <c r="AT228" s="265"/>
      <c r="AU228" s="265"/>
      <c r="AV228" s="265"/>
      <c r="AW228" s="265"/>
      <c r="AX228" s="265"/>
      <c r="AY228" s="265"/>
      <c r="AZ228" s="265"/>
      <c r="BA228" s="265"/>
      <c r="BB228" s="265"/>
      <c r="BC228" s="265"/>
      <c r="BD228" s="265"/>
      <c r="BE228" s="260"/>
      <c r="BF228" s="260"/>
      <c r="BG228" s="260"/>
      <c r="BH228" s="260"/>
      <c r="BI228" s="260"/>
    </row>
    <row r="229" spans="1:61" ht="15">
      <c r="A229" s="267"/>
      <c r="B229" s="265"/>
      <c r="C229" s="265"/>
      <c r="D229" s="409"/>
      <c r="E229" s="265"/>
      <c r="F229" s="265"/>
      <c r="G229" s="265"/>
      <c r="H229" s="265"/>
      <c r="I229" s="265"/>
      <c r="J229" s="265"/>
      <c r="K229" s="265"/>
      <c r="L229" s="265"/>
      <c r="M229" s="265"/>
      <c r="N229" s="265"/>
      <c r="O229" s="265"/>
      <c r="P229" s="265"/>
      <c r="Q229" s="265"/>
      <c r="R229" s="265"/>
      <c r="S229" s="265"/>
      <c r="T229" s="265"/>
      <c r="U229" s="265"/>
      <c r="V229" s="265"/>
      <c r="W229" s="265"/>
      <c r="X229" s="265"/>
      <c r="Y229" s="265"/>
      <c r="Z229" s="265"/>
      <c r="AA229" s="265"/>
      <c r="AB229" s="265"/>
      <c r="AC229" s="265"/>
      <c r="AD229" s="265"/>
      <c r="AE229" s="265"/>
      <c r="AF229" s="265"/>
      <c r="AG229" s="265"/>
      <c r="AH229" s="265"/>
      <c r="AI229" s="265"/>
      <c r="AJ229" s="265"/>
      <c r="AK229" s="265"/>
      <c r="AL229" s="265"/>
      <c r="AM229" s="265"/>
      <c r="AN229" s="265"/>
      <c r="AO229" s="265"/>
      <c r="AP229" s="265"/>
      <c r="AQ229" s="265"/>
      <c r="AR229" s="265"/>
      <c r="AS229" s="265"/>
      <c r="AT229" s="265"/>
      <c r="AU229" s="265"/>
      <c r="AV229" s="265"/>
      <c r="AW229" s="265"/>
      <c r="AX229" s="265"/>
      <c r="AY229" s="265"/>
      <c r="AZ229" s="265"/>
      <c r="BA229" s="265"/>
      <c r="BB229" s="265"/>
      <c r="BC229" s="265"/>
      <c r="BD229" s="265"/>
      <c r="BE229" s="260"/>
      <c r="BF229" s="260"/>
      <c r="BG229" s="260"/>
      <c r="BH229" s="260"/>
      <c r="BI229" s="260"/>
    </row>
    <row r="230" spans="1:61" ht="15">
      <c r="A230" s="267"/>
      <c r="B230" s="265"/>
      <c r="C230" s="265"/>
      <c r="D230" s="409"/>
      <c r="E230" s="265"/>
      <c r="F230" s="265"/>
      <c r="G230" s="265"/>
      <c r="H230" s="265"/>
      <c r="I230" s="265"/>
      <c r="J230" s="265"/>
      <c r="K230" s="265"/>
      <c r="L230" s="265"/>
      <c r="M230" s="265"/>
      <c r="N230" s="265"/>
      <c r="O230" s="265"/>
      <c r="P230" s="265"/>
      <c r="Q230" s="265"/>
      <c r="R230" s="265"/>
      <c r="S230" s="265"/>
      <c r="T230" s="265"/>
      <c r="U230" s="265"/>
      <c r="V230" s="265"/>
      <c r="W230" s="265"/>
      <c r="X230" s="265"/>
      <c r="Y230" s="265"/>
      <c r="Z230" s="265"/>
      <c r="AA230" s="265"/>
      <c r="AB230" s="265"/>
      <c r="AC230" s="265"/>
      <c r="AD230" s="265"/>
      <c r="AE230" s="265"/>
      <c r="AF230" s="265"/>
      <c r="AG230" s="265"/>
      <c r="AH230" s="265"/>
      <c r="AI230" s="265"/>
      <c r="AJ230" s="265"/>
      <c r="AK230" s="265"/>
      <c r="AL230" s="265"/>
      <c r="AM230" s="265"/>
      <c r="AN230" s="265"/>
      <c r="AO230" s="265"/>
      <c r="AP230" s="265"/>
      <c r="AQ230" s="265"/>
      <c r="AR230" s="265"/>
      <c r="AS230" s="265"/>
      <c r="AT230" s="265"/>
      <c r="AU230" s="265"/>
      <c r="AV230" s="265"/>
      <c r="AW230" s="265"/>
      <c r="AX230" s="265"/>
      <c r="AY230" s="265"/>
      <c r="AZ230" s="265"/>
      <c r="BA230" s="265"/>
      <c r="BB230" s="265"/>
      <c r="BC230" s="265"/>
      <c r="BD230" s="265"/>
      <c r="BE230" s="260"/>
      <c r="BF230" s="260"/>
      <c r="BG230" s="260"/>
      <c r="BH230" s="260"/>
      <c r="BI230" s="260"/>
    </row>
    <row r="231" spans="1:61" ht="15">
      <c r="A231" s="267"/>
      <c r="B231" s="265"/>
      <c r="C231" s="265"/>
      <c r="D231" s="409"/>
      <c r="E231" s="265"/>
      <c r="F231" s="265"/>
      <c r="G231" s="265"/>
      <c r="H231" s="265"/>
      <c r="I231" s="265"/>
      <c r="J231" s="265"/>
      <c r="K231" s="265"/>
      <c r="L231" s="265"/>
      <c r="M231" s="265"/>
      <c r="N231" s="265"/>
      <c r="O231" s="265"/>
      <c r="P231" s="265"/>
      <c r="Q231" s="265"/>
      <c r="R231" s="265"/>
      <c r="S231" s="265"/>
      <c r="T231" s="265"/>
      <c r="U231" s="265"/>
      <c r="V231" s="265"/>
      <c r="W231" s="265"/>
      <c r="X231" s="265"/>
      <c r="Y231" s="265"/>
      <c r="Z231" s="265"/>
      <c r="AA231" s="265"/>
      <c r="AB231" s="265"/>
      <c r="AC231" s="265"/>
      <c r="AD231" s="265"/>
      <c r="AE231" s="265"/>
      <c r="AF231" s="265"/>
      <c r="AG231" s="265"/>
      <c r="AH231" s="265"/>
      <c r="AI231" s="265"/>
      <c r="AJ231" s="265"/>
      <c r="AK231" s="265"/>
      <c r="AL231" s="265"/>
      <c r="AM231" s="265"/>
      <c r="AN231" s="265"/>
      <c r="AO231" s="265"/>
      <c r="AP231" s="265"/>
      <c r="AQ231" s="265"/>
      <c r="AR231" s="265"/>
      <c r="AS231" s="265"/>
      <c r="AT231" s="265"/>
      <c r="AU231" s="265"/>
      <c r="AV231" s="265"/>
      <c r="AW231" s="265"/>
      <c r="AX231" s="265"/>
      <c r="AY231" s="265"/>
      <c r="AZ231" s="265"/>
      <c r="BA231" s="265"/>
      <c r="BB231" s="265"/>
      <c r="BC231" s="265"/>
      <c r="BD231" s="265"/>
      <c r="BE231" s="260"/>
      <c r="BF231" s="260"/>
      <c r="BG231" s="260"/>
      <c r="BH231" s="260"/>
      <c r="BI231" s="260"/>
    </row>
    <row r="232" spans="1:61" ht="15">
      <c r="A232" s="267"/>
      <c r="B232" s="265"/>
      <c r="C232" s="265"/>
      <c r="D232" s="409"/>
      <c r="E232" s="265"/>
      <c r="F232" s="265"/>
      <c r="G232" s="265"/>
      <c r="H232" s="265"/>
      <c r="I232" s="265"/>
      <c r="J232" s="265"/>
      <c r="K232" s="265"/>
      <c r="L232" s="265"/>
      <c r="M232" s="265"/>
      <c r="N232" s="265"/>
      <c r="O232" s="265"/>
      <c r="P232" s="265"/>
      <c r="Q232" s="265"/>
      <c r="R232" s="265"/>
      <c r="S232" s="265"/>
      <c r="T232" s="265"/>
      <c r="U232" s="265"/>
      <c r="V232" s="265"/>
      <c r="W232" s="265"/>
      <c r="X232" s="265"/>
      <c r="Y232" s="265"/>
      <c r="Z232" s="265"/>
      <c r="AA232" s="265"/>
      <c r="AB232" s="265"/>
      <c r="AC232" s="265"/>
      <c r="AD232" s="265"/>
      <c r="AE232" s="265"/>
      <c r="AF232" s="265"/>
      <c r="AG232" s="265"/>
      <c r="AH232" s="265"/>
      <c r="AI232" s="265"/>
      <c r="AJ232" s="265"/>
      <c r="AK232" s="265"/>
      <c r="AL232" s="265"/>
      <c r="AM232" s="265"/>
      <c r="AN232" s="265"/>
      <c r="AO232" s="265"/>
      <c r="AP232" s="265"/>
      <c r="AQ232" s="265"/>
      <c r="AR232" s="265"/>
      <c r="AS232" s="265"/>
      <c r="AT232" s="265"/>
      <c r="AU232" s="265"/>
      <c r="AV232" s="265"/>
      <c r="AW232" s="265"/>
      <c r="AX232" s="265"/>
      <c r="AY232" s="265"/>
      <c r="AZ232" s="265"/>
      <c r="BA232" s="265"/>
      <c r="BB232" s="265"/>
      <c r="BC232" s="265"/>
      <c r="BD232" s="265"/>
      <c r="BE232" s="260"/>
      <c r="BF232" s="260"/>
      <c r="BG232" s="260"/>
      <c r="BH232" s="260"/>
      <c r="BI232" s="260"/>
    </row>
    <row r="233" spans="1:61" ht="15">
      <c r="A233" s="267"/>
      <c r="B233" s="265"/>
      <c r="C233" s="265"/>
      <c r="D233" s="409"/>
      <c r="E233" s="265"/>
      <c r="F233" s="265"/>
      <c r="G233" s="265"/>
      <c r="H233" s="265"/>
      <c r="I233" s="265"/>
      <c r="J233" s="265"/>
      <c r="K233" s="265"/>
      <c r="L233" s="265"/>
      <c r="M233" s="265"/>
      <c r="N233" s="265"/>
      <c r="O233" s="265"/>
      <c r="P233" s="265"/>
      <c r="Q233" s="265"/>
      <c r="R233" s="265"/>
      <c r="S233" s="265"/>
      <c r="T233" s="265"/>
      <c r="U233" s="265"/>
      <c r="V233" s="265"/>
      <c r="W233" s="265"/>
      <c r="X233" s="265"/>
      <c r="Y233" s="265"/>
      <c r="Z233" s="265"/>
      <c r="AA233" s="265"/>
      <c r="AB233" s="265"/>
      <c r="AC233" s="265"/>
      <c r="AD233" s="265"/>
      <c r="AE233" s="265"/>
      <c r="AF233" s="265"/>
      <c r="AG233" s="265"/>
      <c r="AH233" s="265"/>
      <c r="AI233" s="265"/>
      <c r="AJ233" s="265"/>
      <c r="AK233" s="265"/>
      <c r="AL233" s="265"/>
      <c r="AM233" s="265"/>
      <c r="AN233" s="265"/>
      <c r="AO233" s="265"/>
      <c r="AP233" s="265"/>
      <c r="AQ233" s="265"/>
      <c r="AR233" s="265"/>
      <c r="AS233" s="265"/>
      <c r="AT233" s="265"/>
      <c r="AU233" s="265"/>
      <c r="AV233" s="265"/>
      <c r="AW233" s="265"/>
      <c r="AX233" s="265"/>
      <c r="AY233" s="265"/>
      <c r="AZ233" s="265"/>
      <c r="BA233" s="265"/>
      <c r="BB233" s="265"/>
      <c r="BC233" s="265"/>
      <c r="BD233" s="265"/>
      <c r="BE233" s="260"/>
      <c r="BF233" s="260"/>
      <c r="BG233" s="260"/>
      <c r="BH233" s="260"/>
      <c r="BI233" s="260"/>
    </row>
    <row r="234" spans="1:61" ht="15">
      <c r="A234" s="267"/>
      <c r="B234" s="265"/>
      <c r="C234" s="265"/>
      <c r="D234" s="409"/>
      <c r="E234" s="265"/>
      <c r="F234" s="265"/>
      <c r="G234" s="265"/>
      <c r="H234" s="265"/>
      <c r="I234" s="265"/>
      <c r="J234" s="265"/>
      <c r="K234" s="265"/>
      <c r="L234" s="265"/>
      <c r="M234" s="265"/>
      <c r="N234" s="265"/>
      <c r="O234" s="265"/>
      <c r="P234" s="265"/>
      <c r="Q234" s="265"/>
      <c r="R234" s="265"/>
      <c r="S234" s="265"/>
      <c r="T234" s="265"/>
      <c r="U234" s="265"/>
      <c r="V234" s="265"/>
      <c r="W234" s="265"/>
      <c r="X234" s="265"/>
      <c r="Y234" s="265"/>
      <c r="Z234" s="265"/>
      <c r="AA234" s="265"/>
      <c r="AB234" s="265"/>
      <c r="AC234" s="265"/>
      <c r="AD234" s="265"/>
      <c r="AE234" s="265"/>
      <c r="AF234" s="265"/>
      <c r="AG234" s="265"/>
      <c r="AH234" s="265"/>
      <c r="AI234" s="265"/>
      <c r="AJ234" s="265"/>
      <c r="AK234" s="265"/>
      <c r="AL234" s="265"/>
      <c r="AM234" s="265"/>
      <c r="AN234" s="265"/>
      <c r="AO234" s="265"/>
      <c r="AP234" s="265"/>
      <c r="AQ234" s="265"/>
      <c r="AR234" s="265"/>
      <c r="AS234" s="265"/>
      <c r="AT234" s="265"/>
      <c r="AU234" s="265"/>
      <c r="AV234" s="265"/>
      <c r="AW234" s="265"/>
      <c r="AX234" s="265"/>
      <c r="AY234" s="265"/>
      <c r="AZ234" s="265"/>
      <c r="BA234" s="265"/>
      <c r="BB234" s="265"/>
      <c r="BC234" s="265"/>
      <c r="BD234" s="265"/>
      <c r="BE234" s="260"/>
      <c r="BF234" s="260"/>
      <c r="BG234" s="260"/>
      <c r="BH234" s="260"/>
      <c r="BI234" s="260"/>
    </row>
    <row r="235" spans="1:61" ht="15">
      <c r="A235" s="267"/>
      <c r="B235" s="265"/>
      <c r="C235" s="265"/>
      <c r="D235" s="409"/>
      <c r="E235" s="265"/>
      <c r="F235" s="265"/>
      <c r="G235" s="265"/>
      <c r="H235" s="265"/>
      <c r="I235" s="265"/>
      <c r="J235" s="265"/>
      <c r="K235" s="265"/>
      <c r="L235" s="265"/>
      <c r="M235" s="265"/>
      <c r="N235" s="265"/>
      <c r="O235" s="265"/>
      <c r="P235" s="265"/>
      <c r="Q235" s="265"/>
      <c r="R235" s="265"/>
      <c r="S235" s="265"/>
      <c r="T235" s="265"/>
      <c r="U235" s="265"/>
      <c r="V235" s="265"/>
      <c r="W235" s="265"/>
      <c r="X235" s="265"/>
      <c r="Y235" s="265"/>
      <c r="Z235" s="265"/>
      <c r="AA235" s="265"/>
      <c r="AB235" s="265"/>
      <c r="AC235" s="265"/>
      <c r="AD235" s="265"/>
      <c r="AE235" s="265"/>
      <c r="AF235" s="265"/>
      <c r="AG235" s="265"/>
      <c r="AH235" s="265"/>
      <c r="AI235" s="265"/>
      <c r="AJ235" s="265"/>
      <c r="AK235" s="265"/>
      <c r="AL235" s="265"/>
      <c r="AM235" s="265"/>
      <c r="AN235" s="265"/>
      <c r="AO235" s="265"/>
      <c r="AP235" s="265"/>
      <c r="AQ235" s="265"/>
      <c r="AR235" s="265"/>
      <c r="AS235" s="265"/>
      <c r="AT235" s="265"/>
      <c r="AU235" s="265"/>
      <c r="AV235" s="265"/>
      <c r="AW235" s="265"/>
      <c r="AX235" s="265"/>
      <c r="AY235" s="265"/>
      <c r="AZ235" s="265"/>
      <c r="BA235" s="265"/>
      <c r="BB235" s="265"/>
      <c r="BC235" s="265"/>
      <c r="BD235" s="265"/>
      <c r="BE235" s="260"/>
      <c r="BF235" s="260"/>
      <c r="BG235" s="260"/>
      <c r="BH235" s="260"/>
      <c r="BI235" s="260"/>
    </row>
    <row r="236" spans="1:61" ht="15">
      <c r="A236" s="267"/>
      <c r="B236" s="265"/>
      <c r="C236" s="265"/>
      <c r="D236" s="409"/>
      <c r="E236" s="265"/>
      <c r="F236" s="265"/>
      <c r="G236" s="265"/>
      <c r="H236" s="265"/>
      <c r="I236" s="265"/>
      <c r="J236" s="265"/>
      <c r="K236" s="265"/>
      <c r="L236" s="265"/>
      <c r="M236" s="265"/>
      <c r="N236" s="265"/>
      <c r="O236" s="265"/>
      <c r="P236" s="265"/>
      <c r="Q236" s="265"/>
      <c r="R236" s="265"/>
      <c r="S236" s="265"/>
      <c r="T236" s="265"/>
      <c r="U236" s="265"/>
      <c r="V236" s="265"/>
      <c r="W236" s="265"/>
      <c r="X236" s="265"/>
      <c r="Y236" s="265"/>
      <c r="Z236" s="265"/>
      <c r="AA236" s="265"/>
      <c r="AB236" s="265"/>
      <c r="AC236" s="265"/>
      <c r="AD236" s="265"/>
      <c r="AE236" s="265"/>
      <c r="AF236" s="265"/>
      <c r="AG236" s="265"/>
      <c r="AH236" s="265"/>
      <c r="AI236" s="265"/>
      <c r="AJ236" s="265"/>
      <c r="AK236" s="265"/>
      <c r="AL236" s="265"/>
      <c r="AM236" s="265"/>
      <c r="AN236" s="265"/>
      <c r="AO236" s="265"/>
      <c r="AP236" s="265"/>
      <c r="AQ236" s="265"/>
      <c r="AR236" s="265"/>
      <c r="AS236" s="265"/>
      <c r="AT236" s="265"/>
      <c r="AU236" s="265"/>
      <c r="AV236" s="265"/>
      <c r="AW236" s="265"/>
      <c r="AX236" s="265"/>
      <c r="AY236" s="265"/>
      <c r="AZ236" s="265"/>
      <c r="BA236" s="265"/>
      <c r="BB236" s="265"/>
      <c r="BC236" s="265"/>
      <c r="BD236" s="265"/>
      <c r="BE236" s="260"/>
      <c r="BF236" s="260"/>
      <c r="BG236" s="260"/>
      <c r="BH236" s="260"/>
      <c r="BI236" s="260"/>
    </row>
    <row r="237" spans="1:61" ht="15">
      <c r="A237" s="267"/>
      <c r="B237" s="265"/>
      <c r="C237" s="265"/>
      <c r="D237" s="409"/>
      <c r="E237" s="265"/>
      <c r="F237" s="265"/>
      <c r="G237" s="265"/>
      <c r="H237" s="265"/>
      <c r="I237" s="265"/>
      <c r="J237" s="265"/>
      <c r="K237" s="265"/>
      <c r="L237" s="265"/>
      <c r="M237" s="265"/>
      <c r="N237" s="265"/>
      <c r="O237" s="265"/>
      <c r="P237" s="265"/>
      <c r="Q237" s="265"/>
      <c r="R237" s="265"/>
      <c r="S237" s="265"/>
      <c r="T237" s="265"/>
      <c r="U237" s="265"/>
      <c r="V237" s="265"/>
      <c r="W237" s="265"/>
      <c r="X237" s="265"/>
      <c r="Y237" s="265"/>
      <c r="Z237" s="265"/>
      <c r="AA237" s="265"/>
      <c r="AB237" s="265"/>
      <c r="AC237" s="265"/>
      <c r="AD237" s="265"/>
      <c r="AE237" s="265"/>
      <c r="AF237" s="265"/>
      <c r="AG237" s="265"/>
      <c r="AH237" s="265"/>
      <c r="AI237" s="265"/>
      <c r="AJ237" s="265"/>
      <c r="AK237" s="265"/>
      <c r="AL237" s="265"/>
      <c r="AM237" s="265"/>
      <c r="AN237" s="265"/>
      <c r="AO237" s="265"/>
      <c r="AP237" s="265"/>
      <c r="AQ237" s="265"/>
      <c r="AR237" s="265"/>
      <c r="AS237" s="265"/>
      <c r="AT237" s="265"/>
      <c r="AU237" s="265"/>
      <c r="AV237" s="265"/>
      <c r="AW237" s="265"/>
      <c r="AX237" s="265"/>
      <c r="AY237" s="265"/>
      <c r="AZ237" s="265"/>
      <c r="BA237" s="265"/>
      <c r="BB237" s="265"/>
      <c r="BC237" s="265"/>
      <c r="BD237" s="265"/>
      <c r="BE237" s="260"/>
      <c r="BF237" s="260"/>
      <c r="BG237" s="260"/>
      <c r="BH237" s="260"/>
      <c r="BI237" s="260"/>
    </row>
    <row r="238" spans="1:61" ht="15">
      <c r="A238" s="267"/>
      <c r="B238" s="265"/>
      <c r="C238" s="265"/>
      <c r="D238" s="409"/>
      <c r="E238" s="265"/>
      <c r="F238" s="265"/>
      <c r="G238" s="265"/>
      <c r="H238" s="265"/>
      <c r="I238" s="265"/>
      <c r="J238" s="265"/>
      <c r="K238" s="265"/>
      <c r="L238" s="265"/>
      <c r="M238" s="265"/>
      <c r="N238" s="265"/>
      <c r="O238" s="265"/>
      <c r="P238" s="265"/>
      <c r="Q238" s="265"/>
      <c r="R238" s="265"/>
      <c r="S238" s="265"/>
      <c r="T238" s="265"/>
      <c r="U238" s="265"/>
      <c r="V238" s="265"/>
      <c r="W238" s="265"/>
      <c r="X238" s="265"/>
      <c r="Y238" s="265"/>
      <c r="Z238" s="265"/>
      <c r="AA238" s="265"/>
      <c r="AB238" s="265"/>
      <c r="AC238" s="265"/>
      <c r="AD238" s="265"/>
      <c r="AE238" s="265"/>
      <c r="AF238" s="265"/>
      <c r="AG238" s="265"/>
      <c r="AH238" s="265"/>
      <c r="AI238" s="265"/>
      <c r="AJ238" s="265"/>
      <c r="AK238" s="265"/>
      <c r="AL238" s="265"/>
      <c r="AM238" s="265"/>
      <c r="AN238" s="265"/>
      <c r="AO238" s="265"/>
      <c r="AP238" s="265"/>
      <c r="AQ238" s="265"/>
      <c r="AR238" s="265"/>
      <c r="AS238" s="265"/>
      <c r="AT238" s="265"/>
      <c r="AU238" s="265"/>
      <c r="AV238" s="265"/>
      <c r="AW238" s="265"/>
      <c r="AX238" s="265"/>
      <c r="AY238" s="265"/>
      <c r="AZ238" s="265"/>
      <c r="BA238" s="265"/>
      <c r="BB238" s="265"/>
      <c r="BC238" s="265"/>
      <c r="BD238" s="265"/>
      <c r="BE238" s="260"/>
      <c r="BF238" s="260"/>
      <c r="BG238" s="260"/>
      <c r="BH238" s="260"/>
      <c r="BI238" s="260"/>
    </row>
    <row r="239" spans="1:61" ht="15">
      <c r="A239" s="267"/>
      <c r="B239" s="265"/>
      <c r="C239" s="265"/>
      <c r="D239" s="409"/>
      <c r="E239" s="265"/>
      <c r="F239" s="265"/>
      <c r="G239" s="265"/>
      <c r="H239" s="265"/>
      <c r="I239" s="265"/>
      <c r="J239" s="265"/>
      <c r="K239" s="265"/>
      <c r="L239" s="265"/>
      <c r="M239" s="265"/>
      <c r="N239" s="265"/>
      <c r="O239" s="265"/>
      <c r="P239" s="265"/>
      <c r="Q239" s="265"/>
      <c r="R239" s="265"/>
      <c r="S239" s="265"/>
      <c r="T239" s="265"/>
      <c r="U239" s="265"/>
      <c r="V239" s="265"/>
      <c r="W239" s="265"/>
      <c r="X239" s="265"/>
      <c r="Y239" s="265"/>
      <c r="Z239" s="265"/>
      <c r="AA239" s="265"/>
      <c r="AB239" s="265"/>
      <c r="AC239" s="265"/>
      <c r="AD239" s="265"/>
      <c r="AE239" s="265"/>
      <c r="AF239" s="265"/>
      <c r="AG239" s="265"/>
      <c r="AH239" s="265"/>
      <c r="AI239" s="265"/>
      <c r="AJ239" s="265"/>
      <c r="AK239" s="265"/>
      <c r="AL239" s="265"/>
      <c r="AM239" s="265"/>
      <c r="AN239" s="265"/>
      <c r="AO239" s="265"/>
      <c r="AP239" s="265"/>
      <c r="AQ239" s="265"/>
      <c r="AR239" s="265"/>
      <c r="AS239" s="265"/>
      <c r="AT239" s="265"/>
      <c r="AU239" s="265"/>
      <c r="AV239" s="265"/>
      <c r="AW239" s="265"/>
      <c r="AX239" s="265"/>
      <c r="AY239" s="265"/>
      <c r="AZ239" s="265"/>
      <c r="BA239" s="265"/>
      <c r="BB239" s="265"/>
      <c r="BC239" s="265"/>
      <c r="BD239" s="265"/>
      <c r="BE239" s="260"/>
      <c r="BF239" s="260"/>
      <c r="BG239" s="260"/>
      <c r="BH239" s="260"/>
      <c r="BI239" s="260"/>
    </row>
    <row r="240" spans="1:61" ht="15">
      <c r="A240" s="267"/>
      <c r="B240" s="265"/>
      <c r="C240" s="265"/>
      <c r="D240" s="409"/>
      <c r="E240" s="265"/>
      <c r="F240" s="265"/>
      <c r="G240" s="265"/>
      <c r="H240" s="265"/>
      <c r="I240" s="265"/>
      <c r="J240" s="265"/>
      <c r="K240" s="265"/>
      <c r="L240" s="265"/>
      <c r="M240" s="265"/>
      <c r="N240" s="265"/>
      <c r="O240" s="265"/>
      <c r="P240" s="265"/>
      <c r="Q240" s="265"/>
      <c r="R240" s="265"/>
      <c r="S240" s="265"/>
      <c r="T240" s="265"/>
      <c r="U240" s="265"/>
      <c r="V240" s="265"/>
      <c r="W240" s="265"/>
      <c r="X240" s="265"/>
      <c r="Y240" s="265"/>
      <c r="Z240" s="265"/>
      <c r="AA240" s="265"/>
      <c r="AB240" s="265"/>
      <c r="AC240" s="265"/>
      <c r="AD240" s="265"/>
      <c r="AE240" s="265"/>
      <c r="AF240" s="265"/>
      <c r="AG240" s="265"/>
      <c r="AH240" s="265"/>
      <c r="AI240" s="265"/>
      <c r="AJ240" s="265"/>
      <c r="AK240" s="265"/>
      <c r="AL240" s="265"/>
      <c r="AM240" s="265"/>
      <c r="AN240" s="265"/>
      <c r="AO240" s="265"/>
      <c r="AP240" s="265"/>
      <c r="AQ240" s="265"/>
      <c r="AR240" s="265"/>
      <c r="AS240" s="265"/>
      <c r="AT240" s="265"/>
      <c r="AU240" s="265"/>
      <c r="AV240" s="265"/>
      <c r="AW240" s="265"/>
      <c r="AX240" s="265"/>
      <c r="AY240" s="265"/>
      <c r="AZ240" s="265"/>
      <c r="BA240" s="265"/>
      <c r="BB240" s="265"/>
      <c r="BC240" s="265"/>
      <c r="BD240" s="265"/>
      <c r="BE240" s="260"/>
      <c r="BF240" s="260"/>
      <c r="BG240" s="260"/>
      <c r="BH240" s="260"/>
      <c r="BI240" s="260"/>
    </row>
    <row r="241" spans="1:61" ht="15">
      <c r="A241" s="267"/>
      <c r="B241" s="265"/>
      <c r="C241" s="265"/>
      <c r="D241" s="409"/>
      <c r="E241" s="265"/>
      <c r="F241" s="265"/>
      <c r="G241" s="265"/>
      <c r="H241" s="265"/>
      <c r="I241" s="265"/>
      <c r="J241" s="265"/>
      <c r="K241" s="265"/>
      <c r="L241" s="265"/>
      <c r="M241" s="265"/>
      <c r="N241" s="265"/>
      <c r="O241" s="265"/>
      <c r="P241" s="265"/>
      <c r="Q241" s="265"/>
      <c r="R241" s="265"/>
      <c r="S241" s="265"/>
      <c r="T241" s="265"/>
      <c r="U241" s="265"/>
      <c r="V241" s="265"/>
      <c r="W241" s="265"/>
      <c r="X241" s="265"/>
      <c r="Y241" s="265"/>
      <c r="Z241" s="265"/>
      <c r="AA241" s="265"/>
      <c r="AB241" s="265"/>
      <c r="AC241" s="265"/>
      <c r="AD241" s="265"/>
      <c r="AE241" s="265"/>
      <c r="AF241" s="265"/>
      <c r="AG241" s="265"/>
      <c r="AH241" s="265"/>
      <c r="AI241" s="265"/>
      <c r="AJ241" s="265"/>
      <c r="AK241" s="265"/>
      <c r="AL241" s="265"/>
      <c r="AM241" s="265"/>
      <c r="AN241" s="265"/>
      <c r="AO241" s="265"/>
      <c r="AP241" s="265"/>
      <c r="AQ241" s="265"/>
      <c r="AR241" s="265"/>
      <c r="AS241" s="265"/>
      <c r="AT241" s="265"/>
      <c r="AU241" s="265"/>
      <c r="AV241" s="265"/>
      <c r="AW241" s="265"/>
      <c r="AX241" s="265"/>
      <c r="AY241" s="265"/>
      <c r="AZ241" s="265"/>
      <c r="BA241" s="265"/>
      <c r="BB241" s="265"/>
      <c r="BC241" s="265"/>
      <c r="BD241" s="265"/>
      <c r="BE241" s="260"/>
      <c r="BF241" s="260"/>
      <c r="BG241" s="260"/>
      <c r="BH241" s="260"/>
      <c r="BI241" s="260"/>
    </row>
    <row r="242" spans="1:61" ht="15">
      <c r="A242" s="267"/>
      <c r="B242" s="265"/>
      <c r="C242" s="265"/>
      <c r="D242" s="409"/>
      <c r="E242" s="265"/>
      <c r="F242" s="265"/>
      <c r="G242" s="265"/>
      <c r="H242" s="265"/>
      <c r="I242" s="265"/>
      <c r="J242" s="265"/>
      <c r="K242" s="265"/>
      <c r="L242" s="265"/>
      <c r="M242" s="265"/>
      <c r="N242" s="265"/>
      <c r="O242" s="265"/>
      <c r="P242" s="265"/>
      <c r="Q242" s="265"/>
      <c r="R242" s="265"/>
      <c r="S242" s="265"/>
      <c r="T242" s="265"/>
      <c r="U242" s="265"/>
      <c r="V242" s="265"/>
      <c r="W242" s="265"/>
      <c r="X242" s="265"/>
      <c r="Y242" s="265"/>
      <c r="Z242" s="265"/>
      <c r="AA242" s="265"/>
      <c r="AB242" s="265"/>
      <c r="AC242" s="265"/>
      <c r="AD242" s="265"/>
      <c r="AE242" s="265"/>
      <c r="AF242" s="265"/>
      <c r="AG242" s="265"/>
      <c r="AH242" s="265"/>
      <c r="AI242" s="265"/>
      <c r="AJ242" s="265"/>
      <c r="AK242" s="265"/>
      <c r="AL242" s="265"/>
      <c r="AM242" s="265"/>
      <c r="AN242" s="265"/>
      <c r="AO242" s="265"/>
      <c r="AP242" s="265"/>
      <c r="AQ242" s="265"/>
      <c r="AR242" s="265"/>
      <c r="AS242" s="265"/>
      <c r="AT242" s="265"/>
      <c r="AU242" s="265"/>
      <c r="AV242" s="265"/>
      <c r="AW242" s="265"/>
      <c r="AX242" s="265"/>
      <c r="AY242" s="265"/>
      <c r="AZ242" s="265"/>
      <c r="BA242" s="265"/>
      <c r="BB242" s="265"/>
      <c r="BC242" s="265"/>
      <c r="BD242" s="265"/>
      <c r="BE242" s="260"/>
      <c r="BF242" s="260"/>
      <c r="BG242" s="260"/>
      <c r="BH242" s="260"/>
      <c r="BI242" s="260"/>
    </row>
    <row r="243" spans="1:61" ht="15">
      <c r="A243" s="267"/>
      <c r="B243" s="265"/>
      <c r="C243" s="265"/>
      <c r="D243" s="409"/>
      <c r="E243" s="265"/>
      <c r="F243" s="265"/>
      <c r="G243" s="265"/>
      <c r="H243" s="265"/>
      <c r="I243" s="265"/>
      <c r="J243" s="265"/>
      <c r="K243" s="265"/>
      <c r="L243" s="265"/>
      <c r="M243" s="265"/>
      <c r="N243" s="265"/>
      <c r="O243" s="265"/>
      <c r="P243" s="265"/>
      <c r="Q243" s="265"/>
      <c r="R243" s="265"/>
      <c r="S243" s="265"/>
      <c r="T243" s="265"/>
      <c r="U243" s="265"/>
      <c r="V243" s="265"/>
      <c r="W243" s="265"/>
      <c r="X243" s="265"/>
      <c r="Y243" s="265"/>
      <c r="Z243" s="265"/>
      <c r="AA243" s="265"/>
      <c r="AB243" s="265"/>
      <c r="AC243" s="265"/>
      <c r="AD243" s="265"/>
      <c r="AE243" s="265"/>
      <c r="AF243" s="265"/>
      <c r="AG243" s="265"/>
      <c r="AH243" s="265"/>
      <c r="AI243" s="265"/>
      <c r="AJ243" s="265"/>
      <c r="AK243" s="265"/>
      <c r="AL243" s="265"/>
      <c r="AM243" s="265"/>
      <c r="AN243" s="265"/>
      <c r="AO243" s="265"/>
      <c r="AP243" s="265"/>
      <c r="AQ243" s="265"/>
      <c r="AR243" s="265"/>
      <c r="AS243" s="265"/>
      <c r="AT243" s="265"/>
      <c r="AU243" s="265"/>
      <c r="AV243" s="265"/>
      <c r="AW243" s="265"/>
      <c r="AX243" s="265"/>
      <c r="AY243" s="265"/>
      <c r="AZ243" s="265"/>
      <c r="BA243" s="265"/>
      <c r="BB243" s="265"/>
      <c r="BC243" s="265"/>
      <c r="BD243" s="265"/>
      <c r="BE243" s="260"/>
      <c r="BF243" s="260"/>
      <c r="BG243" s="260"/>
      <c r="BH243" s="260"/>
      <c r="BI243" s="260"/>
    </row>
    <row r="244" spans="1:61" ht="15">
      <c r="A244" s="267"/>
      <c r="B244" s="265"/>
      <c r="C244" s="265"/>
      <c r="D244" s="409"/>
      <c r="E244" s="265"/>
      <c r="F244" s="265"/>
      <c r="G244" s="265"/>
      <c r="H244" s="265"/>
      <c r="I244" s="265"/>
      <c r="J244" s="265"/>
      <c r="K244" s="265"/>
      <c r="L244" s="265"/>
      <c r="M244" s="265"/>
      <c r="N244" s="265"/>
      <c r="O244" s="265"/>
      <c r="P244" s="265"/>
      <c r="Q244" s="265"/>
      <c r="R244" s="265"/>
      <c r="S244" s="265"/>
      <c r="T244" s="265"/>
      <c r="U244" s="265"/>
      <c r="V244" s="265"/>
      <c r="W244" s="265"/>
      <c r="X244" s="265"/>
      <c r="Y244" s="265"/>
      <c r="Z244" s="265"/>
      <c r="AA244" s="265"/>
      <c r="AB244" s="265"/>
      <c r="AC244" s="265"/>
      <c r="AD244" s="265"/>
      <c r="AE244" s="265"/>
      <c r="AF244" s="265"/>
      <c r="AG244" s="265"/>
      <c r="AH244" s="265"/>
      <c r="AI244" s="265"/>
      <c r="AJ244" s="265"/>
      <c r="AK244" s="265"/>
      <c r="AL244" s="265"/>
      <c r="AM244" s="265"/>
      <c r="AN244" s="265"/>
      <c r="AO244" s="265"/>
      <c r="AP244" s="265"/>
      <c r="AQ244" s="265"/>
      <c r="AR244" s="265"/>
      <c r="AS244" s="265"/>
      <c r="AT244" s="265"/>
      <c r="AU244" s="265"/>
      <c r="AV244" s="265"/>
      <c r="AW244" s="265"/>
      <c r="AX244" s="265"/>
      <c r="AY244" s="265"/>
      <c r="AZ244" s="265"/>
      <c r="BA244" s="265"/>
      <c r="BB244" s="265"/>
      <c r="BC244" s="265"/>
      <c r="BD244" s="265"/>
      <c r="BE244" s="260"/>
      <c r="BF244" s="260"/>
      <c r="BG244" s="260"/>
      <c r="BH244" s="260"/>
      <c r="BI244" s="260"/>
    </row>
    <row r="245" spans="1:61" ht="15">
      <c r="A245" s="267"/>
      <c r="B245" s="265"/>
      <c r="C245" s="265"/>
      <c r="D245" s="409"/>
      <c r="E245" s="265"/>
      <c r="F245" s="265"/>
      <c r="G245" s="265"/>
      <c r="H245" s="265"/>
      <c r="I245" s="265"/>
      <c r="J245" s="265"/>
      <c r="K245" s="265"/>
      <c r="L245" s="265"/>
      <c r="M245" s="265"/>
      <c r="N245" s="265"/>
      <c r="O245" s="265"/>
      <c r="P245" s="265"/>
      <c r="Q245" s="265"/>
      <c r="R245" s="265"/>
      <c r="S245" s="265"/>
      <c r="T245" s="265"/>
      <c r="U245" s="265"/>
      <c r="V245" s="265"/>
      <c r="W245" s="265"/>
      <c r="X245" s="265"/>
      <c r="Y245" s="265"/>
      <c r="Z245" s="265"/>
      <c r="AA245" s="265"/>
      <c r="AB245" s="265"/>
      <c r="AC245" s="265"/>
      <c r="AD245" s="265"/>
      <c r="AE245" s="265"/>
      <c r="AF245" s="265"/>
      <c r="AG245" s="265"/>
      <c r="AH245" s="265"/>
      <c r="AI245" s="265"/>
      <c r="AJ245" s="265"/>
      <c r="AK245" s="265"/>
      <c r="AL245" s="265"/>
      <c r="AM245" s="265"/>
      <c r="AN245" s="265"/>
      <c r="AO245" s="265"/>
      <c r="AP245" s="265"/>
      <c r="AQ245" s="265"/>
      <c r="AR245" s="265"/>
      <c r="AS245" s="265"/>
      <c r="AT245" s="265"/>
      <c r="AU245" s="265"/>
      <c r="AV245" s="265"/>
      <c r="AW245" s="265"/>
      <c r="AX245" s="265"/>
      <c r="AY245" s="265"/>
      <c r="AZ245" s="265"/>
      <c r="BA245" s="265"/>
      <c r="BB245" s="265"/>
      <c r="BC245" s="265"/>
      <c r="BD245" s="265"/>
      <c r="BE245" s="260"/>
      <c r="BF245" s="260"/>
      <c r="BG245" s="260"/>
      <c r="BH245" s="260"/>
      <c r="BI245" s="260"/>
    </row>
    <row r="246" spans="1:61" ht="15">
      <c r="A246" s="267"/>
      <c r="B246" s="265"/>
      <c r="C246" s="265"/>
      <c r="D246" s="409"/>
      <c r="E246" s="265"/>
      <c r="F246" s="265"/>
      <c r="G246" s="265"/>
      <c r="H246" s="265"/>
      <c r="I246" s="265"/>
      <c r="J246" s="265"/>
      <c r="K246" s="265"/>
      <c r="L246" s="265"/>
      <c r="M246" s="265"/>
      <c r="N246" s="265"/>
      <c r="O246" s="265"/>
      <c r="P246" s="265"/>
      <c r="Q246" s="265"/>
      <c r="R246" s="265"/>
      <c r="S246" s="265"/>
      <c r="T246" s="265"/>
      <c r="U246" s="265"/>
      <c r="V246" s="265"/>
      <c r="W246" s="265"/>
      <c r="X246" s="265"/>
      <c r="Y246" s="265"/>
      <c r="Z246" s="265"/>
      <c r="AA246" s="265"/>
      <c r="AB246" s="265"/>
      <c r="AC246" s="265"/>
      <c r="AD246" s="265"/>
      <c r="AE246" s="265"/>
      <c r="AF246" s="265"/>
      <c r="AG246" s="265"/>
      <c r="AH246" s="265"/>
      <c r="AI246" s="265"/>
      <c r="AJ246" s="265"/>
      <c r="AK246" s="265"/>
      <c r="AL246" s="265"/>
      <c r="AM246" s="265"/>
      <c r="AN246" s="265"/>
      <c r="AO246" s="265"/>
      <c r="AP246" s="265"/>
      <c r="AQ246" s="265"/>
      <c r="AR246" s="265"/>
      <c r="AS246" s="265"/>
      <c r="AT246" s="265"/>
      <c r="AU246" s="265"/>
      <c r="AV246" s="265"/>
      <c r="AW246" s="265"/>
      <c r="AX246" s="265"/>
      <c r="AY246" s="265"/>
      <c r="AZ246" s="265"/>
      <c r="BA246" s="265"/>
      <c r="BB246" s="265"/>
      <c r="BC246" s="265"/>
      <c r="BD246" s="265"/>
      <c r="BE246" s="260"/>
      <c r="BF246" s="260"/>
      <c r="BG246" s="260"/>
      <c r="BH246" s="260"/>
      <c r="BI246" s="260"/>
    </row>
    <row r="247" spans="1:61" ht="15">
      <c r="A247" s="267"/>
      <c r="B247" s="265"/>
      <c r="C247" s="265"/>
      <c r="D247" s="409"/>
      <c r="E247" s="265"/>
      <c r="F247" s="265"/>
      <c r="G247" s="265"/>
      <c r="H247" s="265"/>
      <c r="I247" s="265"/>
      <c r="J247" s="265"/>
      <c r="K247" s="265"/>
      <c r="L247" s="265"/>
      <c r="M247" s="265"/>
      <c r="N247" s="265"/>
      <c r="O247" s="265"/>
      <c r="P247" s="265"/>
      <c r="Q247" s="265"/>
      <c r="R247" s="265"/>
      <c r="S247" s="265"/>
      <c r="T247" s="265"/>
      <c r="U247" s="265"/>
      <c r="V247" s="265"/>
      <c r="W247" s="265"/>
      <c r="X247" s="265"/>
      <c r="Y247" s="265"/>
      <c r="Z247" s="265"/>
      <c r="AA247" s="265"/>
      <c r="AB247" s="265"/>
      <c r="AC247" s="265"/>
      <c r="AD247" s="265"/>
      <c r="AE247" s="265"/>
      <c r="AF247" s="265"/>
      <c r="AG247" s="265"/>
      <c r="AH247" s="265"/>
      <c r="AI247" s="265"/>
      <c r="AJ247" s="265"/>
      <c r="AK247" s="265"/>
      <c r="AL247" s="265"/>
      <c r="AM247" s="265"/>
      <c r="AN247" s="265"/>
      <c r="AO247" s="265"/>
      <c r="AP247" s="265"/>
      <c r="AQ247" s="265"/>
      <c r="AR247" s="265"/>
      <c r="AS247" s="265"/>
      <c r="AT247" s="265"/>
      <c r="AU247" s="265"/>
      <c r="AV247" s="265"/>
      <c r="AW247" s="265"/>
      <c r="AX247" s="265"/>
      <c r="AY247" s="265"/>
      <c r="AZ247" s="265"/>
      <c r="BA247" s="265"/>
      <c r="BB247" s="265"/>
      <c r="BC247" s="265"/>
      <c r="BD247" s="265"/>
      <c r="BE247" s="260"/>
      <c r="BF247" s="260"/>
      <c r="BG247" s="260"/>
      <c r="BH247" s="260"/>
      <c r="BI247" s="260"/>
    </row>
    <row r="248" spans="1:61" ht="15">
      <c r="A248" s="267"/>
      <c r="B248" s="265"/>
      <c r="C248" s="265"/>
      <c r="D248" s="409"/>
      <c r="E248" s="265"/>
      <c r="F248" s="265"/>
      <c r="G248" s="265"/>
      <c r="H248" s="265"/>
      <c r="I248" s="265"/>
      <c r="J248" s="265"/>
      <c r="K248" s="265"/>
      <c r="L248" s="265"/>
      <c r="M248" s="265"/>
      <c r="N248" s="265"/>
      <c r="O248" s="265"/>
      <c r="P248" s="265"/>
      <c r="Q248" s="265"/>
      <c r="R248" s="265"/>
      <c r="S248" s="265"/>
      <c r="T248" s="265"/>
      <c r="U248" s="265"/>
      <c r="V248" s="265"/>
      <c r="W248" s="265"/>
      <c r="X248" s="265"/>
      <c r="Y248" s="265"/>
      <c r="Z248" s="265"/>
      <c r="AA248" s="265"/>
      <c r="AB248" s="265"/>
      <c r="AC248" s="265"/>
      <c r="AD248" s="265"/>
      <c r="AE248" s="265"/>
      <c r="AF248" s="265"/>
      <c r="AG248" s="265"/>
      <c r="AH248" s="265"/>
      <c r="AI248" s="265"/>
      <c r="AJ248" s="265"/>
      <c r="AK248" s="265"/>
      <c r="AL248" s="265"/>
      <c r="AM248" s="265"/>
      <c r="AN248" s="265"/>
      <c r="AO248" s="265"/>
      <c r="AP248" s="265"/>
      <c r="AQ248" s="265"/>
      <c r="AR248" s="265"/>
      <c r="AS248" s="265"/>
      <c r="AT248" s="265"/>
      <c r="AU248" s="265"/>
      <c r="AV248" s="265"/>
      <c r="AW248" s="265"/>
      <c r="AX248" s="265"/>
      <c r="AY248" s="265"/>
      <c r="AZ248" s="265"/>
      <c r="BA248" s="265"/>
      <c r="BB248" s="265"/>
      <c r="BC248" s="265"/>
      <c r="BD248" s="265"/>
      <c r="BE248" s="260"/>
      <c r="BF248" s="260"/>
      <c r="BG248" s="260"/>
      <c r="BH248" s="260"/>
      <c r="BI248" s="260"/>
    </row>
    <row r="249" spans="1:61" ht="15">
      <c r="A249" s="267"/>
      <c r="B249" s="265"/>
      <c r="C249" s="265"/>
      <c r="D249" s="409"/>
      <c r="E249" s="265"/>
      <c r="F249" s="265"/>
      <c r="G249" s="265"/>
      <c r="H249" s="265"/>
      <c r="I249" s="265"/>
      <c r="J249" s="265"/>
      <c r="K249" s="265"/>
      <c r="L249" s="265"/>
      <c r="M249" s="265"/>
      <c r="N249" s="265"/>
      <c r="O249" s="265"/>
      <c r="P249" s="265"/>
      <c r="Q249" s="265"/>
      <c r="R249" s="265"/>
      <c r="S249" s="265"/>
      <c r="T249" s="265"/>
      <c r="U249" s="265"/>
      <c r="V249" s="265"/>
      <c r="W249" s="265"/>
      <c r="X249" s="265"/>
      <c r="Y249" s="265"/>
      <c r="Z249" s="265"/>
      <c r="AA249" s="265"/>
      <c r="AB249" s="265"/>
      <c r="AC249" s="265"/>
      <c r="AD249" s="265"/>
      <c r="AE249" s="265"/>
      <c r="AF249" s="265"/>
      <c r="AG249" s="265"/>
      <c r="AH249" s="265"/>
      <c r="AI249" s="265"/>
      <c r="AJ249" s="265"/>
      <c r="AK249" s="265"/>
      <c r="AL249" s="265"/>
      <c r="AM249" s="265"/>
      <c r="AN249" s="265"/>
      <c r="AO249" s="265"/>
      <c r="AP249" s="265"/>
      <c r="AQ249" s="265"/>
      <c r="AR249" s="265"/>
      <c r="AS249" s="265"/>
      <c r="AT249" s="265"/>
      <c r="AU249" s="265"/>
      <c r="AV249" s="265"/>
      <c r="AW249" s="265"/>
      <c r="AX249" s="265"/>
      <c r="AY249" s="265"/>
      <c r="AZ249" s="265"/>
      <c r="BA249" s="265"/>
      <c r="BB249" s="265"/>
      <c r="BC249" s="265"/>
      <c r="BD249" s="265"/>
      <c r="BE249" s="260"/>
      <c r="BF249" s="260"/>
      <c r="BG249" s="260"/>
      <c r="BH249" s="260"/>
      <c r="BI249" s="260"/>
    </row>
    <row r="250" spans="1:61" ht="15">
      <c r="A250" s="267"/>
      <c r="B250" s="265"/>
      <c r="C250" s="265"/>
      <c r="D250" s="409"/>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5"/>
      <c r="AL250" s="265"/>
      <c r="AM250" s="265"/>
      <c r="AN250" s="265"/>
      <c r="AO250" s="265"/>
      <c r="AP250" s="265"/>
      <c r="AQ250" s="265"/>
      <c r="AR250" s="265"/>
      <c r="AS250" s="265"/>
      <c r="AT250" s="265"/>
      <c r="AU250" s="265"/>
      <c r="AV250" s="265"/>
      <c r="AW250" s="265"/>
      <c r="AX250" s="265"/>
      <c r="AY250" s="265"/>
      <c r="AZ250" s="265"/>
      <c r="BA250" s="265"/>
      <c r="BB250" s="265"/>
      <c r="BC250" s="265"/>
      <c r="BD250" s="265"/>
      <c r="BE250" s="260"/>
      <c r="BF250" s="260"/>
      <c r="BG250" s="260"/>
      <c r="BH250" s="260"/>
      <c r="BI250" s="260"/>
    </row>
    <row r="251" spans="1:61" ht="15">
      <c r="A251" s="267"/>
      <c r="B251" s="265"/>
      <c r="C251" s="265"/>
      <c r="D251" s="409"/>
      <c r="E251" s="265"/>
      <c r="F251" s="265"/>
      <c r="G251" s="265"/>
      <c r="H251" s="265"/>
      <c r="I251" s="265"/>
      <c r="J251" s="265"/>
      <c r="K251" s="265"/>
      <c r="L251" s="265"/>
      <c r="M251" s="265"/>
      <c r="N251" s="265"/>
      <c r="O251" s="265"/>
      <c r="P251" s="265"/>
      <c r="Q251" s="265"/>
      <c r="R251" s="265"/>
      <c r="S251" s="265"/>
      <c r="T251" s="265"/>
      <c r="U251" s="265"/>
      <c r="V251" s="265"/>
      <c r="W251" s="265"/>
      <c r="X251" s="265"/>
      <c r="Y251" s="265"/>
      <c r="Z251" s="265"/>
      <c r="AA251" s="265"/>
      <c r="AB251" s="265"/>
      <c r="AC251" s="265"/>
      <c r="AD251" s="265"/>
      <c r="AE251" s="265"/>
      <c r="AF251" s="265"/>
      <c r="AG251" s="265"/>
      <c r="AH251" s="265"/>
      <c r="AI251" s="265"/>
      <c r="AJ251" s="265"/>
      <c r="AK251" s="265"/>
      <c r="AL251" s="265"/>
      <c r="AM251" s="265"/>
      <c r="AN251" s="265"/>
      <c r="AO251" s="265"/>
      <c r="AP251" s="265"/>
      <c r="AQ251" s="265"/>
      <c r="AR251" s="265"/>
      <c r="AS251" s="265"/>
      <c r="AT251" s="265"/>
      <c r="AU251" s="265"/>
      <c r="AV251" s="265"/>
      <c r="AW251" s="265"/>
      <c r="AX251" s="265"/>
      <c r="AY251" s="265"/>
      <c r="AZ251" s="265"/>
      <c r="BA251" s="265"/>
      <c r="BB251" s="265"/>
      <c r="BC251" s="265"/>
      <c r="BD251" s="265"/>
      <c r="BE251" s="260"/>
      <c r="BF251" s="260"/>
      <c r="BG251" s="260"/>
      <c r="BH251" s="260"/>
      <c r="BI251" s="260"/>
    </row>
    <row r="252" spans="1:61" ht="15">
      <c r="A252" s="267"/>
      <c r="B252" s="265"/>
      <c r="C252" s="265"/>
      <c r="D252" s="409"/>
      <c r="E252" s="265"/>
      <c r="F252" s="265"/>
      <c r="G252" s="265"/>
      <c r="H252" s="265"/>
      <c r="I252" s="265"/>
      <c r="J252" s="265"/>
      <c r="K252" s="265"/>
      <c r="L252" s="265"/>
      <c r="M252" s="265"/>
      <c r="N252" s="265"/>
      <c r="O252" s="265"/>
      <c r="P252" s="265"/>
      <c r="Q252" s="265"/>
      <c r="R252" s="265"/>
      <c r="S252" s="265"/>
      <c r="T252" s="265"/>
      <c r="U252" s="265"/>
      <c r="V252" s="265"/>
      <c r="W252" s="265"/>
      <c r="X252" s="265"/>
      <c r="Y252" s="265"/>
      <c r="Z252" s="265"/>
      <c r="AA252" s="265"/>
      <c r="AB252" s="265"/>
      <c r="AC252" s="265"/>
      <c r="AD252" s="265"/>
      <c r="AE252" s="265"/>
      <c r="AF252" s="265"/>
      <c r="AG252" s="265"/>
      <c r="AH252" s="265"/>
      <c r="AI252" s="265"/>
      <c r="AJ252" s="265"/>
      <c r="AK252" s="265"/>
      <c r="AL252" s="265"/>
      <c r="AM252" s="265"/>
      <c r="AN252" s="265"/>
      <c r="AO252" s="265"/>
      <c r="AP252" s="265"/>
      <c r="AQ252" s="265"/>
      <c r="AR252" s="265"/>
      <c r="AS252" s="265"/>
      <c r="AT252" s="265"/>
      <c r="AU252" s="265"/>
      <c r="AV252" s="265"/>
      <c r="AW252" s="265"/>
      <c r="AX252" s="265"/>
      <c r="AY252" s="265"/>
      <c r="AZ252" s="265"/>
      <c r="BA252" s="265"/>
      <c r="BB252" s="265"/>
      <c r="BC252" s="265"/>
      <c r="BD252" s="265"/>
      <c r="BE252" s="260"/>
      <c r="BF252" s="260"/>
      <c r="BG252" s="260"/>
      <c r="BH252" s="260"/>
      <c r="BI252" s="260"/>
    </row>
    <row r="253" spans="1:61" ht="15">
      <c r="A253" s="267"/>
      <c r="B253" s="265"/>
      <c r="C253" s="265"/>
      <c r="D253" s="409"/>
      <c r="E253" s="265"/>
      <c r="F253" s="265"/>
      <c r="G253" s="265"/>
      <c r="H253" s="265"/>
      <c r="I253" s="265"/>
      <c r="J253" s="265"/>
      <c r="K253" s="265"/>
      <c r="L253" s="265"/>
      <c r="M253" s="265"/>
      <c r="N253" s="265"/>
      <c r="O253" s="265"/>
      <c r="P253" s="265"/>
      <c r="Q253" s="265"/>
      <c r="R253" s="265"/>
      <c r="S253" s="265"/>
      <c r="T253" s="265"/>
      <c r="U253" s="265"/>
      <c r="V253" s="265"/>
      <c r="W253" s="265"/>
      <c r="X253" s="265"/>
      <c r="Y253" s="265"/>
      <c r="Z253" s="265"/>
      <c r="AA253" s="265"/>
      <c r="AB253" s="265"/>
      <c r="AC253" s="265"/>
      <c r="AD253" s="265"/>
      <c r="AE253" s="265"/>
      <c r="AF253" s="265"/>
      <c r="AG253" s="265"/>
      <c r="AH253" s="265"/>
      <c r="AI253" s="265"/>
      <c r="AJ253" s="265"/>
      <c r="AK253" s="265"/>
      <c r="AL253" s="265"/>
      <c r="AM253" s="265"/>
      <c r="AN253" s="265"/>
      <c r="AO253" s="265"/>
      <c r="AP253" s="265"/>
      <c r="AQ253" s="265"/>
      <c r="AR253" s="265"/>
      <c r="AS253" s="265"/>
      <c r="AT253" s="265"/>
      <c r="AU253" s="265"/>
      <c r="AV253" s="265"/>
      <c r="AW253" s="265"/>
      <c r="AX253" s="265"/>
      <c r="AY253" s="265"/>
      <c r="AZ253" s="265"/>
      <c r="BA253" s="265"/>
      <c r="BB253" s="265"/>
      <c r="BC253" s="265"/>
      <c r="BD253" s="265"/>
      <c r="BE253" s="260"/>
      <c r="BF253" s="260"/>
      <c r="BG253" s="260"/>
      <c r="BH253" s="260"/>
      <c r="BI253" s="260"/>
    </row>
    <row r="254" spans="1:61" ht="15">
      <c r="A254" s="267"/>
      <c r="B254" s="265"/>
      <c r="C254" s="265"/>
      <c r="D254" s="409"/>
      <c r="E254" s="265"/>
      <c r="F254" s="265"/>
      <c r="G254" s="265"/>
      <c r="H254" s="265"/>
      <c r="I254" s="265"/>
      <c r="J254" s="265"/>
      <c r="K254" s="265"/>
      <c r="L254" s="265"/>
      <c r="M254" s="265"/>
      <c r="N254" s="265"/>
      <c r="O254" s="265"/>
      <c r="P254" s="265"/>
      <c r="Q254" s="265"/>
      <c r="R254" s="265"/>
      <c r="S254" s="265"/>
      <c r="T254" s="265"/>
      <c r="U254" s="265"/>
      <c r="V254" s="265"/>
      <c r="W254" s="265"/>
      <c r="X254" s="265"/>
      <c r="Y254" s="265"/>
      <c r="Z254" s="265"/>
      <c r="AA254" s="265"/>
      <c r="AB254" s="265"/>
      <c r="AC254" s="265"/>
      <c r="AD254" s="265"/>
      <c r="AE254" s="265"/>
      <c r="AF254" s="265"/>
      <c r="AG254" s="265"/>
      <c r="AH254" s="265"/>
      <c r="AI254" s="265"/>
      <c r="AJ254" s="265"/>
      <c r="AK254" s="265"/>
      <c r="AL254" s="265"/>
      <c r="AM254" s="265"/>
      <c r="AN254" s="265"/>
      <c r="AO254" s="265"/>
      <c r="AP254" s="265"/>
      <c r="AQ254" s="265"/>
      <c r="AR254" s="265"/>
      <c r="AS254" s="265"/>
      <c r="AT254" s="265"/>
      <c r="AU254" s="265"/>
      <c r="AV254" s="265"/>
      <c r="AW254" s="265"/>
      <c r="AX254" s="265"/>
      <c r="AY254" s="265"/>
      <c r="AZ254" s="265"/>
      <c r="BA254" s="265"/>
      <c r="BB254" s="265"/>
      <c r="BC254" s="265"/>
      <c r="BD254" s="265"/>
      <c r="BE254" s="260"/>
      <c r="BF254" s="260"/>
      <c r="BG254" s="260"/>
      <c r="BH254" s="260"/>
      <c r="BI254" s="260"/>
    </row>
    <row r="255" spans="1:61" ht="15">
      <c r="A255" s="267"/>
      <c r="B255" s="265"/>
      <c r="C255" s="265"/>
      <c r="D255" s="409"/>
      <c r="E255" s="265"/>
      <c r="F255" s="265"/>
      <c r="G255" s="265"/>
      <c r="H255" s="265"/>
      <c r="I255" s="265"/>
      <c r="J255" s="265"/>
      <c r="K255" s="265"/>
      <c r="L255" s="265"/>
      <c r="M255" s="265"/>
      <c r="N255" s="265"/>
      <c r="O255" s="265"/>
      <c r="P255" s="265"/>
      <c r="Q255" s="265"/>
      <c r="R255" s="265"/>
      <c r="S255" s="265"/>
      <c r="T255" s="265"/>
      <c r="U255" s="265"/>
      <c r="V255" s="265"/>
      <c r="W255" s="265"/>
      <c r="X255" s="265"/>
      <c r="Y255" s="265"/>
      <c r="Z255" s="265"/>
      <c r="AA255" s="265"/>
      <c r="AB255" s="265"/>
      <c r="AC255" s="265"/>
      <c r="AD255" s="265"/>
      <c r="AE255" s="265"/>
      <c r="AF255" s="265"/>
      <c r="AG255" s="265"/>
      <c r="AH255" s="265"/>
      <c r="AI255" s="265"/>
      <c r="AJ255" s="265"/>
      <c r="AK255" s="265"/>
      <c r="AL255" s="265"/>
      <c r="AM255" s="265"/>
      <c r="AN255" s="265"/>
      <c r="AO255" s="265"/>
      <c r="AP255" s="265"/>
      <c r="AQ255" s="265"/>
      <c r="AR255" s="265"/>
      <c r="AS255" s="265"/>
      <c r="AT255" s="265"/>
      <c r="AU255" s="265"/>
      <c r="AV255" s="265"/>
      <c r="AW255" s="265"/>
      <c r="AX255" s="265"/>
      <c r="AY255" s="265"/>
      <c r="AZ255" s="265"/>
      <c r="BA255" s="265"/>
      <c r="BB255" s="265"/>
      <c r="BC255" s="265"/>
      <c r="BD255" s="265"/>
      <c r="BE255" s="260"/>
      <c r="BF255" s="260"/>
      <c r="BG255" s="260"/>
      <c r="BH255" s="260"/>
      <c r="BI255" s="260"/>
    </row>
    <row r="256" spans="1:61" ht="15">
      <c r="A256" s="267"/>
      <c r="B256" s="265"/>
      <c r="C256" s="265"/>
      <c r="D256" s="409"/>
      <c r="E256" s="265"/>
      <c r="F256" s="265"/>
      <c r="G256" s="265"/>
      <c r="H256" s="265"/>
      <c r="I256" s="265"/>
      <c r="J256" s="265"/>
      <c r="K256" s="265"/>
      <c r="L256" s="265"/>
      <c r="M256" s="265"/>
      <c r="N256" s="265"/>
      <c r="O256" s="265"/>
      <c r="P256" s="265"/>
      <c r="Q256" s="265"/>
      <c r="R256" s="265"/>
      <c r="S256" s="265"/>
      <c r="T256" s="265"/>
      <c r="U256" s="265"/>
      <c r="V256" s="265"/>
      <c r="W256" s="265"/>
      <c r="X256" s="265"/>
      <c r="Y256" s="265"/>
      <c r="Z256" s="265"/>
      <c r="AA256" s="265"/>
      <c r="AB256" s="265"/>
      <c r="AC256" s="265"/>
      <c r="AD256" s="265"/>
      <c r="AE256" s="265"/>
      <c r="AF256" s="265"/>
      <c r="AG256" s="265"/>
      <c r="AH256" s="265"/>
      <c r="AI256" s="265"/>
      <c r="AJ256" s="265"/>
      <c r="AK256" s="265"/>
      <c r="AL256" s="265"/>
      <c r="AM256" s="265"/>
      <c r="AN256" s="265"/>
      <c r="AO256" s="265"/>
      <c r="AP256" s="265"/>
      <c r="AQ256" s="265"/>
      <c r="AR256" s="265"/>
      <c r="AS256" s="265"/>
      <c r="AT256" s="265"/>
      <c r="AU256" s="265"/>
      <c r="AV256" s="265"/>
      <c r="AW256" s="265"/>
      <c r="AX256" s="265"/>
      <c r="AY256" s="265"/>
      <c r="AZ256" s="265"/>
      <c r="BA256" s="265"/>
      <c r="BB256" s="265"/>
      <c r="BC256" s="265"/>
      <c r="BD256" s="265"/>
      <c r="BE256" s="260"/>
      <c r="BF256" s="260"/>
      <c r="BG256" s="260"/>
      <c r="BH256" s="260"/>
      <c r="BI256" s="260"/>
    </row>
    <row r="257" spans="1:61" ht="15">
      <c r="A257" s="267"/>
      <c r="B257" s="265"/>
      <c r="C257" s="265"/>
      <c r="D257" s="409"/>
      <c r="E257" s="265"/>
      <c r="F257" s="265"/>
      <c r="G257" s="265"/>
      <c r="H257" s="265"/>
      <c r="I257" s="265"/>
      <c r="J257" s="265"/>
      <c r="K257" s="265"/>
      <c r="L257" s="265"/>
      <c r="M257" s="265"/>
      <c r="N257" s="265"/>
      <c r="O257" s="265"/>
      <c r="P257" s="265"/>
      <c r="Q257" s="265"/>
      <c r="R257" s="265"/>
      <c r="S257" s="265"/>
      <c r="T257" s="265"/>
      <c r="U257" s="265"/>
      <c r="V257" s="265"/>
      <c r="W257" s="265"/>
      <c r="X257" s="265"/>
      <c r="Y257" s="265"/>
      <c r="Z257" s="265"/>
      <c r="AA257" s="265"/>
      <c r="AB257" s="265"/>
      <c r="AC257" s="265"/>
      <c r="AD257" s="265"/>
      <c r="AE257" s="265"/>
      <c r="AF257" s="265"/>
      <c r="AG257" s="265"/>
      <c r="AH257" s="265"/>
      <c r="AI257" s="265"/>
      <c r="AJ257" s="265"/>
      <c r="AK257" s="265"/>
      <c r="AL257" s="265"/>
      <c r="AM257" s="265"/>
      <c r="AN257" s="265"/>
      <c r="AO257" s="265"/>
      <c r="AP257" s="265"/>
      <c r="AQ257" s="265"/>
      <c r="AR257" s="265"/>
      <c r="AS257" s="265"/>
      <c r="AT257" s="265"/>
      <c r="AU257" s="265"/>
      <c r="AV257" s="265"/>
      <c r="AW257" s="265"/>
      <c r="AX257" s="265"/>
      <c r="AY257" s="265"/>
      <c r="AZ257" s="265"/>
      <c r="BA257" s="265"/>
      <c r="BB257" s="265"/>
      <c r="BC257" s="265"/>
      <c r="BD257" s="265"/>
      <c r="BE257" s="260"/>
      <c r="BF257" s="260"/>
      <c r="BG257" s="260"/>
      <c r="BH257" s="260"/>
      <c r="BI257" s="260"/>
    </row>
    <row r="258" spans="1:61" ht="15">
      <c r="A258" s="267"/>
      <c r="B258" s="265"/>
      <c r="C258" s="265"/>
      <c r="D258" s="409"/>
      <c r="E258" s="265"/>
      <c r="F258" s="265"/>
      <c r="G258" s="265"/>
      <c r="H258" s="265"/>
      <c r="I258" s="265"/>
      <c r="J258" s="265"/>
      <c r="K258" s="265"/>
      <c r="L258" s="265"/>
      <c r="M258" s="265"/>
      <c r="N258" s="265"/>
      <c r="O258" s="265"/>
      <c r="P258" s="265"/>
      <c r="Q258" s="265"/>
      <c r="R258" s="265"/>
      <c r="S258" s="265"/>
      <c r="T258" s="265"/>
      <c r="U258" s="265"/>
      <c r="V258" s="265"/>
      <c r="W258" s="265"/>
      <c r="X258" s="265"/>
      <c r="Y258" s="265"/>
      <c r="Z258" s="265"/>
      <c r="AA258" s="265"/>
      <c r="AB258" s="265"/>
      <c r="AC258" s="265"/>
      <c r="AD258" s="265"/>
      <c r="AE258" s="265"/>
      <c r="AF258" s="265"/>
      <c r="AG258" s="265"/>
      <c r="AH258" s="265"/>
      <c r="AI258" s="265"/>
      <c r="AJ258" s="265"/>
      <c r="AK258" s="265"/>
      <c r="AL258" s="265"/>
      <c r="AM258" s="265"/>
      <c r="AN258" s="265"/>
      <c r="AO258" s="265"/>
      <c r="AP258" s="265"/>
      <c r="AQ258" s="265"/>
      <c r="AR258" s="265"/>
      <c r="AS258" s="265"/>
      <c r="AT258" s="265"/>
      <c r="AU258" s="265"/>
      <c r="AV258" s="265"/>
      <c r="AW258" s="265"/>
      <c r="AX258" s="265"/>
      <c r="AY258" s="265"/>
      <c r="AZ258" s="265"/>
      <c r="BA258" s="265"/>
      <c r="BB258" s="265"/>
      <c r="BC258" s="265"/>
      <c r="BD258" s="265"/>
      <c r="BE258" s="260"/>
      <c r="BF258" s="260"/>
      <c r="BG258" s="260"/>
      <c r="BH258" s="260"/>
      <c r="BI258" s="260"/>
    </row>
    <row r="259" spans="1:61" ht="15">
      <c r="A259" s="267"/>
      <c r="B259" s="265"/>
      <c r="C259" s="265"/>
      <c r="D259" s="409"/>
      <c r="E259" s="265"/>
      <c r="F259" s="265"/>
      <c r="G259" s="265"/>
      <c r="H259" s="265"/>
      <c r="I259" s="265"/>
      <c r="J259" s="265"/>
      <c r="K259" s="265"/>
      <c r="L259" s="265"/>
      <c r="M259" s="265"/>
      <c r="N259" s="265"/>
      <c r="O259" s="265"/>
      <c r="P259" s="265"/>
      <c r="Q259" s="265"/>
      <c r="R259" s="265"/>
      <c r="S259" s="265"/>
      <c r="T259" s="265"/>
      <c r="U259" s="265"/>
      <c r="V259" s="265"/>
      <c r="W259" s="265"/>
      <c r="X259" s="265"/>
      <c r="Y259" s="265"/>
      <c r="Z259" s="265"/>
      <c r="AA259" s="265"/>
      <c r="AB259" s="265"/>
      <c r="AC259" s="265"/>
      <c r="AD259" s="265"/>
      <c r="AE259" s="265"/>
      <c r="AF259" s="265"/>
      <c r="AG259" s="265"/>
      <c r="AH259" s="265"/>
      <c r="AI259" s="265"/>
      <c r="AJ259" s="265"/>
      <c r="AK259" s="265"/>
      <c r="AL259" s="265"/>
      <c r="AM259" s="265"/>
      <c r="AN259" s="265"/>
      <c r="AO259" s="265"/>
      <c r="AP259" s="265"/>
      <c r="AQ259" s="265"/>
      <c r="AR259" s="265"/>
      <c r="AS259" s="265"/>
      <c r="AT259" s="265"/>
      <c r="AU259" s="265"/>
      <c r="AV259" s="265"/>
      <c r="AW259" s="265"/>
      <c r="AX259" s="265"/>
      <c r="AY259" s="265"/>
      <c r="AZ259" s="265"/>
      <c r="BA259" s="265"/>
      <c r="BB259" s="265"/>
      <c r="BC259" s="265"/>
      <c r="BD259" s="265"/>
      <c r="BE259" s="260"/>
      <c r="BF259" s="260"/>
      <c r="BG259" s="260"/>
      <c r="BH259" s="260"/>
      <c r="BI259" s="260"/>
    </row>
    <row r="260" spans="1:61" ht="15">
      <c r="A260" s="267"/>
      <c r="B260" s="265"/>
      <c r="C260" s="265"/>
      <c r="D260" s="409"/>
      <c r="E260" s="265"/>
      <c r="F260" s="265"/>
      <c r="G260" s="265"/>
      <c r="H260" s="265"/>
      <c r="I260" s="265"/>
      <c r="J260" s="265"/>
      <c r="K260" s="265"/>
      <c r="L260" s="265"/>
      <c r="M260" s="265"/>
      <c r="N260" s="265"/>
      <c r="O260" s="265"/>
      <c r="P260" s="265"/>
      <c r="Q260" s="265"/>
      <c r="R260" s="265"/>
      <c r="S260" s="265"/>
      <c r="T260" s="265"/>
      <c r="U260" s="265"/>
      <c r="V260" s="265"/>
      <c r="W260" s="265"/>
      <c r="X260" s="265"/>
      <c r="Y260" s="265"/>
      <c r="Z260" s="265"/>
      <c r="AA260" s="265"/>
      <c r="AB260" s="265"/>
      <c r="AC260" s="265"/>
      <c r="AD260" s="265"/>
      <c r="AE260" s="265"/>
      <c r="AF260" s="265"/>
      <c r="AG260" s="265"/>
      <c r="AH260" s="265"/>
      <c r="AI260" s="265"/>
      <c r="AJ260" s="265"/>
      <c r="AK260" s="265"/>
      <c r="AL260" s="265"/>
      <c r="AM260" s="265"/>
      <c r="AN260" s="265"/>
      <c r="AO260" s="265"/>
      <c r="AP260" s="265"/>
      <c r="AQ260" s="265"/>
      <c r="AR260" s="265"/>
      <c r="AS260" s="265"/>
      <c r="AT260" s="265"/>
      <c r="AU260" s="265"/>
      <c r="AV260" s="265"/>
      <c r="AW260" s="265"/>
      <c r="AX260" s="265"/>
      <c r="AY260" s="265"/>
      <c r="AZ260" s="265"/>
      <c r="BA260" s="265"/>
      <c r="BB260" s="265"/>
      <c r="BC260" s="265"/>
      <c r="BD260" s="265"/>
      <c r="BE260" s="260"/>
      <c r="BF260" s="260"/>
      <c r="BG260" s="260"/>
      <c r="BH260" s="260"/>
      <c r="BI260" s="260"/>
    </row>
    <row r="261" spans="1:61" ht="15">
      <c r="A261" s="267"/>
      <c r="B261" s="265"/>
      <c r="C261" s="265"/>
      <c r="D261" s="409"/>
      <c r="E261" s="265"/>
      <c r="F261" s="265"/>
      <c r="G261" s="265"/>
      <c r="H261" s="265"/>
      <c r="I261" s="265"/>
      <c r="J261" s="265"/>
      <c r="K261" s="265"/>
      <c r="L261" s="265"/>
      <c r="M261" s="265"/>
      <c r="N261" s="265"/>
      <c r="O261" s="265"/>
      <c r="P261" s="265"/>
      <c r="Q261" s="265"/>
      <c r="R261" s="265"/>
      <c r="S261" s="265"/>
      <c r="T261" s="265"/>
      <c r="U261" s="265"/>
      <c r="V261" s="265"/>
      <c r="W261" s="265"/>
      <c r="X261" s="265"/>
      <c r="Y261" s="265"/>
      <c r="Z261" s="265"/>
      <c r="AA261" s="265"/>
      <c r="AB261" s="265"/>
      <c r="AC261" s="265"/>
      <c r="AD261" s="265"/>
      <c r="AE261" s="265"/>
      <c r="AF261" s="265"/>
      <c r="AG261" s="265"/>
      <c r="AH261" s="265"/>
      <c r="AI261" s="265"/>
      <c r="AJ261" s="265"/>
      <c r="AK261" s="265"/>
      <c r="AL261" s="265"/>
      <c r="AM261" s="265"/>
      <c r="AN261" s="265"/>
      <c r="AO261" s="265"/>
      <c r="AP261" s="265"/>
      <c r="AQ261" s="265"/>
      <c r="AR261" s="265"/>
      <c r="AS261" s="265"/>
      <c r="AT261" s="265"/>
      <c r="AU261" s="265"/>
      <c r="AV261" s="265"/>
      <c r="AW261" s="265"/>
      <c r="AX261" s="265"/>
      <c r="AY261" s="265"/>
      <c r="AZ261" s="265"/>
      <c r="BA261" s="265"/>
      <c r="BB261" s="265"/>
      <c r="BC261" s="265"/>
      <c r="BD261" s="265"/>
      <c r="BE261" s="260"/>
      <c r="BF261" s="260"/>
      <c r="BG261" s="260"/>
      <c r="BH261" s="260"/>
      <c r="BI261" s="260"/>
    </row>
    <row r="262" spans="1:61" ht="15">
      <c r="A262" s="267"/>
      <c r="B262" s="265"/>
      <c r="C262" s="265"/>
      <c r="D262" s="409"/>
      <c r="E262" s="265"/>
      <c r="F262" s="265"/>
      <c r="G262" s="265"/>
      <c r="H262" s="265"/>
      <c r="I262" s="265"/>
      <c r="J262" s="265"/>
      <c r="K262" s="265"/>
      <c r="L262" s="265"/>
      <c r="M262" s="265"/>
      <c r="N262" s="265"/>
      <c r="O262" s="265"/>
      <c r="P262" s="265"/>
      <c r="Q262" s="265"/>
      <c r="R262" s="265"/>
      <c r="S262" s="265"/>
      <c r="T262" s="265"/>
      <c r="U262" s="265"/>
      <c r="V262" s="265"/>
      <c r="W262" s="265"/>
      <c r="X262" s="265"/>
      <c r="Y262" s="265"/>
      <c r="Z262" s="265"/>
      <c r="AA262" s="265"/>
      <c r="AB262" s="265"/>
      <c r="AC262" s="265"/>
      <c r="AD262" s="265"/>
      <c r="AE262" s="265"/>
      <c r="AF262" s="265"/>
      <c r="AG262" s="265"/>
      <c r="AH262" s="265"/>
      <c r="AI262" s="265"/>
      <c r="AJ262" s="265"/>
      <c r="AK262" s="265"/>
      <c r="AL262" s="265"/>
      <c r="AM262" s="265"/>
      <c r="AN262" s="265"/>
      <c r="AO262" s="265"/>
      <c r="AP262" s="265"/>
      <c r="AQ262" s="265"/>
      <c r="AR262" s="265"/>
      <c r="AS262" s="265"/>
      <c r="AT262" s="265"/>
      <c r="AU262" s="265"/>
      <c r="AV262" s="265"/>
      <c r="AW262" s="265"/>
      <c r="AX262" s="265"/>
      <c r="AY262" s="265"/>
      <c r="AZ262" s="265"/>
      <c r="BA262" s="265"/>
      <c r="BB262" s="265"/>
      <c r="BC262" s="265"/>
      <c r="BD262" s="265"/>
      <c r="BE262" s="260"/>
      <c r="BF262" s="260"/>
      <c r="BG262" s="260"/>
      <c r="BH262" s="260"/>
      <c r="BI262" s="260"/>
    </row>
    <row r="263" spans="1:61" ht="15">
      <c r="A263" s="267"/>
      <c r="B263" s="265"/>
      <c r="C263" s="265"/>
      <c r="D263" s="409"/>
      <c r="E263" s="265"/>
      <c r="F263" s="265"/>
      <c r="G263" s="265"/>
      <c r="H263" s="265"/>
      <c r="I263" s="265"/>
      <c r="J263" s="265"/>
      <c r="K263" s="265"/>
      <c r="L263" s="265"/>
      <c r="M263" s="265"/>
      <c r="N263" s="265"/>
      <c r="O263" s="265"/>
      <c r="P263" s="265"/>
      <c r="Q263" s="265"/>
      <c r="R263" s="265"/>
      <c r="S263" s="265"/>
      <c r="T263" s="265"/>
      <c r="U263" s="265"/>
      <c r="V263" s="265"/>
      <c r="W263" s="265"/>
      <c r="X263" s="265"/>
      <c r="Y263" s="265"/>
      <c r="Z263" s="265"/>
      <c r="AA263" s="265"/>
      <c r="AB263" s="265"/>
      <c r="AC263" s="265"/>
      <c r="AD263" s="265"/>
      <c r="AE263" s="265"/>
      <c r="AF263" s="265"/>
      <c r="AG263" s="265"/>
      <c r="AH263" s="265"/>
      <c r="AI263" s="265"/>
      <c r="AJ263" s="265"/>
      <c r="AK263" s="265"/>
      <c r="AL263" s="265"/>
      <c r="AM263" s="265"/>
      <c r="AN263" s="265"/>
      <c r="AO263" s="265"/>
      <c r="AP263" s="265"/>
      <c r="AQ263" s="265"/>
      <c r="AR263" s="265"/>
      <c r="AS263" s="265"/>
      <c r="AT263" s="265"/>
      <c r="AU263" s="265"/>
      <c r="AV263" s="265"/>
      <c r="AW263" s="265"/>
      <c r="AX263" s="265"/>
      <c r="AY263" s="265"/>
      <c r="AZ263" s="265"/>
      <c r="BA263" s="265"/>
      <c r="BB263" s="265"/>
      <c r="BC263" s="265"/>
      <c r="BD263" s="265"/>
      <c r="BE263" s="260"/>
      <c r="BF263" s="260"/>
      <c r="BG263" s="260"/>
      <c r="BH263" s="260"/>
      <c r="BI263" s="260"/>
    </row>
    <row r="264" spans="1:61" ht="15">
      <c r="A264" s="267"/>
      <c r="B264" s="265"/>
      <c r="C264" s="265"/>
      <c r="D264" s="409"/>
      <c r="E264" s="265"/>
      <c r="F264" s="265"/>
      <c r="G264" s="265"/>
      <c r="H264" s="265"/>
      <c r="I264" s="265"/>
      <c r="J264" s="265"/>
      <c r="K264" s="265"/>
      <c r="L264" s="265"/>
      <c r="M264" s="265"/>
      <c r="N264" s="265"/>
      <c r="O264" s="265"/>
      <c r="P264" s="265"/>
      <c r="Q264" s="265"/>
      <c r="R264" s="265"/>
      <c r="S264" s="265"/>
      <c r="T264" s="265"/>
      <c r="U264" s="265"/>
      <c r="V264" s="265"/>
      <c r="W264" s="265"/>
      <c r="X264" s="265"/>
      <c r="Y264" s="265"/>
      <c r="Z264" s="265"/>
      <c r="AA264" s="265"/>
      <c r="AB264" s="265"/>
      <c r="AC264" s="265"/>
      <c r="AD264" s="265"/>
      <c r="AE264" s="265"/>
      <c r="AF264" s="265"/>
      <c r="AG264" s="265"/>
      <c r="AH264" s="265"/>
      <c r="AI264" s="265"/>
      <c r="AJ264" s="265"/>
      <c r="AK264" s="265"/>
      <c r="AL264" s="265"/>
      <c r="AM264" s="265"/>
      <c r="AN264" s="265"/>
      <c r="AO264" s="265"/>
      <c r="AP264" s="265"/>
      <c r="AQ264" s="265"/>
      <c r="AR264" s="265"/>
      <c r="AS264" s="265"/>
      <c r="AT264" s="265"/>
      <c r="AU264" s="265"/>
      <c r="AV264" s="265"/>
      <c r="AW264" s="265"/>
      <c r="AX264" s="265"/>
      <c r="AY264" s="265"/>
      <c r="AZ264" s="265"/>
      <c r="BA264" s="265"/>
      <c r="BB264" s="265"/>
      <c r="BC264" s="265"/>
      <c r="BD264" s="265"/>
      <c r="BE264" s="260"/>
      <c r="BF264" s="260"/>
      <c r="BG264" s="260"/>
      <c r="BH264" s="260"/>
      <c r="BI264" s="260"/>
    </row>
    <row r="265" spans="1:61" ht="15">
      <c r="A265" s="267"/>
      <c r="B265" s="265"/>
      <c r="C265" s="265"/>
      <c r="D265" s="409"/>
      <c r="E265" s="265"/>
      <c r="F265" s="265"/>
      <c r="G265" s="265"/>
      <c r="H265" s="265"/>
      <c r="I265" s="265"/>
      <c r="J265" s="265"/>
      <c r="K265" s="265"/>
      <c r="L265" s="265"/>
      <c r="M265" s="265"/>
      <c r="N265" s="265"/>
      <c r="O265" s="265"/>
      <c r="P265" s="265"/>
      <c r="Q265" s="265"/>
      <c r="R265" s="265"/>
      <c r="S265" s="265"/>
      <c r="T265" s="265"/>
      <c r="U265" s="265"/>
      <c r="V265" s="265"/>
      <c r="W265" s="265"/>
      <c r="X265" s="265"/>
      <c r="Y265" s="265"/>
      <c r="Z265" s="265"/>
      <c r="AA265" s="265"/>
      <c r="AB265" s="265"/>
      <c r="AC265" s="265"/>
      <c r="AD265" s="265"/>
      <c r="AE265" s="265"/>
      <c r="AF265" s="265"/>
      <c r="AG265" s="265"/>
      <c r="AH265" s="265"/>
      <c r="AI265" s="265"/>
      <c r="AJ265" s="265"/>
      <c r="AK265" s="265"/>
      <c r="AL265" s="265"/>
      <c r="AM265" s="265"/>
      <c r="AN265" s="265"/>
      <c r="AO265" s="265"/>
      <c r="AP265" s="265"/>
      <c r="AQ265" s="265"/>
      <c r="AR265" s="265"/>
      <c r="AS265" s="265"/>
      <c r="AT265" s="265"/>
      <c r="AU265" s="265"/>
      <c r="AV265" s="265"/>
      <c r="AW265" s="265"/>
      <c r="AX265" s="265"/>
      <c r="AY265" s="265"/>
      <c r="AZ265" s="265"/>
      <c r="BA265" s="265"/>
      <c r="BB265" s="265"/>
      <c r="BC265" s="265"/>
      <c r="BD265" s="265"/>
      <c r="BE265" s="260"/>
      <c r="BF265" s="260"/>
      <c r="BG265" s="260"/>
      <c r="BH265" s="260"/>
      <c r="BI265" s="260"/>
    </row>
    <row r="266" spans="1:61" ht="15">
      <c r="A266" s="267"/>
      <c r="B266" s="265"/>
      <c r="C266" s="265"/>
      <c r="D266" s="409"/>
      <c r="E266" s="265"/>
      <c r="F266" s="265"/>
      <c r="G266" s="265"/>
      <c r="H266" s="265"/>
      <c r="I266" s="265"/>
      <c r="J266" s="265"/>
      <c r="K266" s="265"/>
      <c r="L266" s="265"/>
      <c r="M266" s="265"/>
      <c r="N266" s="265"/>
      <c r="O266" s="265"/>
      <c r="P266" s="265"/>
      <c r="Q266" s="265"/>
      <c r="R266" s="265"/>
      <c r="S266" s="265"/>
      <c r="T266" s="265"/>
      <c r="U266" s="265"/>
      <c r="V266" s="265"/>
      <c r="W266" s="265"/>
      <c r="X266" s="265"/>
      <c r="Y266" s="265"/>
      <c r="Z266" s="265"/>
      <c r="AA266" s="265"/>
      <c r="AB266" s="265"/>
      <c r="AC266" s="265"/>
      <c r="AD266" s="265"/>
      <c r="AE266" s="265"/>
      <c r="AF266" s="265"/>
      <c r="AG266" s="265"/>
      <c r="AH266" s="265"/>
      <c r="AI266" s="265"/>
      <c r="AJ266" s="265"/>
      <c r="AK266" s="265"/>
      <c r="AL266" s="265"/>
      <c r="AM266" s="265"/>
      <c r="AN266" s="265"/>
      <c r="AO266" s="265"/>
      <c r="AP266" s="265"/>
      <c r="AQ266" s="265"/>
      <c r="AR266" s="265"/>
      <c r="AS266" s="265"/>
      <c r="AT266" s="265"/>
      <c r="AU266" s="265"/>
      <c r="AV266" s="265"/>
      <c r="AW266" s="265"/>
      <c r="AX266" s="265"/>
      <c r="AY266" s="265"/>
      <c r="AZ266" s="265"/>
      <c r="BA266" s="265"/>
      <c r="BB266" s="265"/>
      <c r="BC266" s="265"/>
      <c r="BD266" s="265"/>
      <c r="BE266" s="260"/>
      <c r="BF266" s="260"/>
      <c r="BG266" s="260"/>
      <c r="BH266" s="260"/>
      <c r="BI266" s="260"/>
    </row>
    <row r="267" spans="1:61" ht="15">
      <c r="A267" s="267"/>
      <c r="B267" s="265"/>
      <c r="C267" s="265"/>
      <c r="D267" s="409"/>
      <c r="E267" s="265"/>
      <c r="F267" s="265"/>
      <c r="G267" s="265"/>
      <c r="H267" s="265"/>
      <c r="I267" s="265"/>
      <c r="J267" s="265"/>
      <c r="K267" s="265"/>
      <c r="L267" s="265"/>
      <c r="M267" s="265"/>
      <c r="N267" s="265"/>
      <c r="O267" s="265"/>
      <c r="P267" s="265"/>
      <c r="Q267" s="265"/>
      <c r="R267" s="265"/>
      <c r="S267" s="265"/>
      <c r="T267" s="265"/>
      <c r="U267" s="265"/>
      <c r="V267" s="265"/>
      <c r="W267" s="265"/>
      <c r="X267" s="265"/>
      <c r="Y267" s="265"/>
      <c r="Z267" s="265"/>
      <c r="AA267" s="265"/>
      <c r="AB267" s="265"/>
      <c r="AC267" s="265"/>
      <c r="AD267" s="265"/>
      <c r="AE267" s="265"/>
      <c r="AF267" s="265"/>
      <c r="AG267" s="265"/>
      <c r="AH267" s="265"/>
      <c r="AI267" s="265"/>
      <c r="AJ267" s="265"/>
      <c r="AK267" s="265"/>
      <c r="AL267" s="265"/>
      <c r="AM267" s="265"/>
      <c r="AN267" s="265"/>
      <c r="AO267" s="265"/>
      <c r="AP267" s="265"/>
      <c r="AQ267" s="265"/>
      <c r="AR267" s="265"/>
      <c r="AS267" s="265"/>
      <c r="AT267" s="265"/>
      <c r="AU267" s="265"/>
      <c r="AV267" s="265"/>
      <c r="AW267" s="265"/>
      <c r="AX267" s="265"/>
      <c r="AY267" s="265"/>
      <c r="AZ267" s="265"/>
      <c r="BA267" s="265"/>
      <c r="BB267" s="265"/>
      <c r="BC267" s="265"/>
      <c r="BD267" s="265"/>
      <c r="BE267" s="260"/>
      <c r="BF267" s="260"/>
      <c r="BG267" s="260"/>
      <c r="BH267" s="260"/>
      <c r="BI267" s="260"/>
    </row>
    <row r="268" spans="1:61" ht="15">
      <c r="A268" s="267"/>
      <c r="B268" s="265"/>
      <c r="C268" s="265"/>
      <c r="D268" s="409"/>
      <c r="E268" s="265"/>
      <c r="F268" s="265"/>
      <c r="G268" s="265"/>
      <c r="H268" s="265"/>
      <c r="I268" s="265"/>
      <c r="J268" s="265"/>
      <c r="K268" s="265"/>
      <c r="L268" s="265"/>
      <c r="M268" s="265"/>
      <c r="N268" s="265"/>
      <c r="O268" s="265"/>
      <c r="P268" s="265"/>
      <c r="Q268" s="265"/>
      <c r="R268" s="265"/>
      <c r="S268" s="265"/>
      <c r="T268" s="265"/>
      <c r="U268" s="265"/>
      <c r="V268" s="265"/>
      <c r="W268" s="265"/>
      <c r="X268" s="265"/>
      <c r="Y268" s="265"/>
      <c r="Z268" s="265"/>
      <c r="AA268" s="265"/>
      <c r="AB268" s="265"/>
      <c r="AC268" s="265"/>
      <c r="AD268" s="265"/>
      <c r="AE268" s="265"/>
      <c r="AF268" s="265"/>
      <c r="AG268" s="265"/>
      <c r="AH268" s="265"/>
      <c r="AI268" s="265"/>
      <c r="AJ268" s="265"/>
      <c r="AK268" s="265"/>
      <c r="AL268" s="265"/>
      <c r="AM268" s="265"/>
      <c r="AN268" s="265"/>
      <c r="AO268" s="265"/>
      <c r="AP268" s="265"/>
      <c r="AQ268" s="265"/>
      <c r="AR268" s="265"/>
      <c r="AS268" s="265"/>
      <c r="AT268" s="265"/>
      <c r="AU268" s="265"/>
      <c r="AV268" s="265"/>
      <c r="AW268" s="265"/>
      <c r="AX268" s="265"/>
      <c r="AY268" s="265"/>
      <c r="AZ268" s="265"/>
      <c r="BA268" s="265"/>
      <c r="BB268" s="265"/>
      <c r="BC268" s="265"/>
      <c r="BD268" s="265"/>
      <c r="BE268" s="260"/>
      <c r="BF268" s="260"/>
      <c r="BG268" s="260"/>
      <c r="BH268" s="260"/>
      <c r="BI268" s="260"/>
    </row>
    <row r="269" spans="1:61" ht="15">
      <c r="A269" s="267"/>
      <c r="B269" s="265"/>
      <c r="C269" s="265"/>
      <c r="D269" s="409"/>
      <c r="E269" s="265"/>
      <c r="F269" s="265"/>
      <c r="G269" s="265"/>
      <c r="H269" s="265"/>
      <c r="I269" s="265"/>
      <c r="J269" s="265"/>
      <c r="K269" s="265"/>
      <c r="L269" s="265"/>
      <c r="M269" s="265"/>
      <c r="N269" s="265"/>
      <c r="O269" s="265"/>
      <c r="P269" s="265"/>
      <c r="Q269" s="265"/>
      <c r="R269" s="265"/>
      <c r="S269" s="265"/>
      <c r="T269" s="265"/>
      <c r="U269" s="265"/>
      <c r="V269" s="265"/>
      <c r="W269" s="265"/>
      <c r="X269" s="265"/>
      <c r="Y269" s="265"/>
      <c r="Z269" s="265"/>
      <c r="AA269" s="265"/>
      <c r="AB269" s="265"/>
      <c r="AC269" s="265"/>
      <c r="AD269" s="265"/>
      <c r="AE269" s="265"/>
      <c r="AF269" s="265"/>
      <c r="AG269" s="265"/>
      <c r="AH269" s="265"/>
      <c r="AI269" s="265"/>
      <c r="AJ269" s="265"/>
      <c r="AK269" s="265"/>
      <c r="AL269" s="265"/>
      <c r="AM269" s="265"/>
      <c r="AN269" s="265"/>
      <c r="AO269" s="265"/>
      <c r="AP269" s="265"/>
      <c r="AQ269" s="265"/>
      <c r="AR269" s="265"/>
      <c r="AS269" s="265"/>
      <c r="AT269" s="265"/>
      <c r="AU269" s="265"/>
      <c r="AV269" s="265"/>
      <c r="AW269" s="265"/>
      <c r="AX269" s="265"/>
      <c r="AY269" s="265"/>
      <c r="AZ269" s="265"/>
      <c r="BA269" s="265"/>
      <c r="BB269" s="265"/>
      <c r="BC269" s="265"/>
      <c r="BD269" s="265"/>
      <c r="BE269" s="260"/>
      <c r="BF269" s="260"/>
      <c r="BG269" s="260"/>
      <c r="BH269" s="260"/>
      <c r="BI269" s="260"/>
    </row>
    <row r="270" spans="1:61" ht="15">
      <c r="A270" s="267"/>
      <c r="B270" s="265"/>
      <c r="C270" s="265"/>
      <c r="D270" s="409"/>
      <c r="E270" s="265"/>
      <c r="F270" s="265"/>
      <c r="G270" s="265"/>
      <c r="H270" s="265"/>
      <c r="I270" s="265"/>
      <c r="J270" s="265"/>
      <c r="K270" s="265"/>
      <c r="L270" s="265"/>
      <c r="M270" s="265"/>
      <c r="N270" s="265"/>
      <c r="O270" s="265"/>
      <c r="P270" s="265"/>
      <c r="Q270" s="265"/>
      <c r="R270" s="265"/>
      <c r="S270" s="265"/>
      <c r="T270" s="265"/>
      <c r="U270" s="265"/>
      <c r="V270" s="265"/>
      <c r="W270" s="265"/>
      <c r="X270" s="265"/>
      <c r="Y270" s="265"/>
      <c r="Z270" s="265"/>
      <c r="AA270" s="265"/>
      <c r="AB270" s="265"/>
      <c r="AC270" s="265"/>
      <c r="AD270" s="265"/>
      <c r="AE270" s="265"/>
      <c r="AF270" s="265"/>
      <c r="AG270" s="265"/>
      <c r="AH270" s="265"/>
      <c r="AI270" s="265"/>
      <c r="AJ270" s="265"/>
      <c r="AK270" s="265"/>
      <c r="AL270" s="265"/>
      <c r="AM270" s="265"/>
      <c r="AN270" s="265"/>
      <c r="AO270" s="265"/>
      <c r="AP270" s="265"/>
      <c r="AQ270" s="265"/>
      <c r="AR270" s="265"/>
      <c r="AS270" s="265"/>
      <c r="AT270" s="265"/>
      <c r="AU270" s="265"/>
      <c r="AV270" s="265"/>
      <c r="AW270" s="265"/>
      <c r="AX270" s="265"/>
      <c r="AY270" s="265"/>
      <c r="AZ270" s="265"/>
      <c r="BA270" s="265"/>
      <c r="BB270" s="265"/>
      <c r="BC270" s="265"/>
      <c r="BD270" s="265"/>
      <c r="BE270" s="260"/>
      <c r="BF270" s="260"/>
      <c r="BG270" s="260"/>
      <c r="BH270" s="260"/>
      <c r="BI270" s="260"/>
    </row>
    <row r="271" spans="1:61" ht="15">
      <c r="A271" s="267"/>
      <c r="B271" s="265"/>
      <c r="C271" s="265"/>
      <c r="D271" s="409"/>
      <c r="E271" s="265"/>
      <c r="F271" s="265"/>
      <c r="G271" s="265"/>
      <c r="H271" s="265"/>
      <c r="I271" s="265"/>
      <c r="J271" s="265"/>
      <c r="K271" s="265"/>
      <c r="L271" s="265"/>
      <c r="M271" s="265"/>
      <c r="N271" s="265"/>
      <c r="O271" s="265"/>
      <c r="P271" s="265"/>
      <c r="Q271" s="265"/>
      <c r="R271" s="265"/>
      <c r="S271" s="265"/>
      <c r="T271" s="265"/>
      <c r="U271" s="265"/>
      <c r="V271" s="265"/>
      <c r="W271" s="265"/>
      <c r="X271" s="265"/>
      <c r="Y271" s="265"/>
      <c r="Z271" s="265"/>
      <c r="AA271" s="265"/>
      <c r="AB271" s="265"/>
      <c r="AC271" s="265"/>
      <c r="AD271" s="265"/>
      <c r="AE271" s="265"/>
      <c r="AF271" s="265"/>
      <c r="AG271" s="265"/>
      <c r="AH271" s="265"/>
      <c r="AI271" s="265"/>
      <c r="AJ271" s="265"/>
      <c r="AK271" s="265"/>
      <c r="AL271" s="265"/>
      <c r="AM271" s="265"/>
      <c r="AN271" s="265"/>
      <c r="AO271" s="265"/>
      <c r="AP271" s="265"/>
      <c r="AQ271" s="265"/>
      <c r="AR271" s="265"/>
      <c r="AS271" s="265"/>
      <c r="AT271" s="265"/>
      <c r="AU271" s="265"/>
      <c r="AV271" s="265"/>
      <c r="AW271" s="265"/>
      <c r="AX271" s="265"/>
      <c r="AY271" s="265"/>
      <c r="AZ271" s="265"/>
      <c r="BA271" s="265"/>
      <c r="BB271" s="265"/>
      <c r="BC271" s="265"/>
      <c r="BD271" s="265"/>
      <c r="BE271" s="260"/>
      <c r="BF271" s="260"/>
      <c r="BG271" s="260"/>
      <c r="BH271" s="260"/>
      <c r="BI271" s="260"/>
    </row>
    <row r="272" spans="1:61" ht="15">
      <c r="A272" s="267"/>
      <c r="B272" s="265"/>
      <c r="C272" s="265"/>
      <c r="D272" s="409"/>
      <c r="E272" s="265"/>
      <c r="F272" s="265"/>
      <c r="G272" s="265"/>
      <c r="H272" s="265"/>
      <c r="I272" s="265"/>
      <c r="J272" s="265"/>
      <c r="K272" s="265"/>
      <c r="L272" s="265"/>
      <c r="M272" s="265"/>
      <c r="N272" s="265"/>
      <c r="O272" s="265"/>
      <c r="P272" s="265"/>
      <c r="Q272" s="265"/>
      <c r="R272" s="265"/>
      <c r="S272" s="265"/>
      <c r="T272" s="265"/>
      <c r="U272" s="265"/>
      <c r="V272" s="265"/>
      <c r="W272" s="265"/>
      <c r="X272" s="265"/>
      <c r="Y272" s="265"/>
      <c r="Z272" s="265"/>
      <c r="AA272" s="265"/>
      <c r="AB272" s="265"/>
      <c r="AC272" s="265"/>
      <c r="AD272" s="265"/>
      <c r="AE272" s="265"/>
      <c r="AF272" s="265"/>
      <c r="AG272" s="265"/>
      <c r="AH272" s="265"/>
      <c r="AI272" s="265"/>
      <c r="AJ272" s="265"/>
      <c r="AK272" s="265"/>
      <c r="AL272" s="265"/>
      <c r="AM272" s="265"/>
      <c r="AN272" s="265"/>
      <c r="AO272" s="265"/>
      <c r="AP272" s="265"/>
      <c r="AQ272" s="265"/>
      <c r="AR272" s="265"/>
      <c r="AS272" s="265"/>
      <c r="AT272" s="265"/>
      <c r="AU272" s="265"/>
      <c r="AV272" s="265"/>
      <c r="AW272" s="265"/>
      <c r="AX272" s="265"/>
      <c r="AY272" s="265"/>
      <c r="AZ272" s="265"/>
      <c r="BA272" s="265"/>
      <c r="BB272" s="265"/>
      <c r="BC272" s="265"/>
      <c r="BD272" s="265"/>
      <c r="BE272" s="260"/>
      <c r="BF272" s="260"/>
      <c r="BG272" s="260"/>
      <c r="BH272" s="260"/>
      <c r="BI272" s="260"/>
    </row>
    <row r="273" spans="1:61" ht="15">
      <c r="A273" s="267"/>
      <c r="B273" s="265"/>
      <c r="C273" s="265"/>
      <c r="D273" s="409"/>
      <c r="E273" s="265"/>
      <c r="F273" s="265"/>
      <c r="G273" s="265"/>
      <c r="H273" s="265"/>
      <c r="I273" s="265"/>
      <c r="J273" s="265"/>
      <c r="K273" s="265"/>
      <c r="L273" s="265"/>
      <c r="M273" s="265"/>
      <c r="N273" s="265"/>
      <c r="O273" s="265"/>
      <c r="P273" s="265"/>
      <c r="Q273" s="265"/>
      <c r="R273" s="265"/>
      <c r="S273" s="265"/>
      <c r="T273" s="265"/>
      <c r="U273" s="265"/>
      <c r="V273" s="265"/>
      <c r="W273" s="265"/>
      <c r="X273" s="265"/>
      <c r="Y273" s="265"/>
      <c r="Z273" s="265"/>
      <c r="AA273" s="265"/>
      <c r="AB273" s="265"/>
      <c r="AC273" s="265"/>
      <c r="AD273" s="265"/>
      <c r="AE273" s="265"/>
      <c r="AF273" s="265"/>
      <c r="AG273" s="265"/>
      <c r="AH273" s="265"/>
      <c r="AI273" s="265"/>
      <c r="AJ273" s="265"/>
      <c r="AK273" s="265"/>
      <c r="AL273" s="265"/>
      <c r="AM273" s="265"/>
      <c r="AN273" s="265"/>
      <c r="AO273" s="265"/>
      <c r="AP273" s="265"/>
      <c r="AQ273" s="265"/>
      <c r="AR273" s="265"/>
      <c r="AS273" s="265"/>
      <c r="AT273" s="265"/>
      <c r="AU273" s="265"/>
      <c r="AV273" s="265"/>
      <c r="AW273" s="265"/>
      <c r="AX273" s="265"/>
      <c r="AY273" s="265"/>
      <c r="AZ273" s="265"/>
      <c r="BA273" s="265"/>
      <c r="BB273" s="265"/>
      <c r="BC273" s="265"/>
      <c r="BD273" s="265"/>
      <c r="BE273" s="260"/>
      <c r="BF273" s="260"/>
      <c r="BG273" s="260"/>
      <c r="BH273" s="260"/>
      <c r="BI273" s="260"/>
    </row>
    <row r="274" spans="1:61" ht="15">
      <c r="A274" s="267"/>
      <c r="B274" s="265"/>
      <c r="C274" s="265"/>
      <c r="D274" s="409"/>
      <c r="E274" s="265"/>
      <c r="F274" s="265"/>
      <c r="G274" s="265"/>
      <c r="H274" s="265"/>
      <c r="I274" s="265"/>
      <c r="J274" s="265"/>
      <c r="K274" s="265"/>
      <c r="L274" s="265"/>
      <c r="M274" s="265"/>
      <c r="N274" s="265"/>
      <c r="O274" s="265"/>
      <c r="P274" s="265"/>
      <c r="Q274" s="265"/>
      <c r="R274" s="265"/>
      <c r="S274" s="265"/>
      <c r="T274" s="265"/>
      <c r="U274" s="265"/>
      <c r="V274" s="265"/>
      <c r="W274" s="265"/>
      <c r="X274" s="265"/>
      <c r="Y274" s="265"/>
      <c r="Z274" s="265"/>
      <c r="AA274" s="265"/>
      <c r="AB274" s="265"/>
      <c r="AC274" s="265"/>
      <c r="AD274" s="265"/>
      <c r="AE274" s="265"/>
      <c r="AF274" s="265"/>
      <c r="AG274" s="265"/>
      <c r="AH274" s="265"/>
      <c r="AI274" s="265"/>
      <c r="AJ274" s="265"/>
      <c r="AK274" s="265"/>
      <c r="AL274" s="265"/>
      <c r="AM274" s="265"/>
      <c r="AN274" s="265"/>
      <c r="AO274" s="265"/>
      <c r="AP274" s="265"/>
      <c r="AQ274" s="265"/>
      <c r="AR274" s="265"/>
      <c r="AS274" s="265"/>
      <c r="AT274" s="265"/>
      <c r="AU274" s="265"/>
      <c r="AV274" s="265"/>
      <c r="AW274" s="265"/>
      <c r="AX274" s="265"/>
      <c r="AY274" s="265"/>
      <c r="AZ274" s="265"/>
      <c r="BA274" s="265"/>
      <c r="BB274" s="265"/>
      <c r="BC274" s="265"/>
      <c r="BD274" s="265"/>
      <c r="BE274" s="260"/>
      <c r="BF274" s="260"/>
      <c r="BG274" s="260"/>
      <c r="BH274" s="260"/>
      <c r="BI274" s="260"/>
    </row>
    <row r="275" spans="1:61" ht="15">
      <c r="A275" s="267"/>
      <c r="B275" s="265"/>
      <c r="C275" s="265"/>
      <c r="D275" s="409"/>
      <c r="E275" s="265"/>
      <c r="F275" s="265"/>
      <c r="G275" s="265"/>
      <c r="H275" s="265"/>
      <c r="I275" s="265"/>
      <c r="J275" s="265"/>
      <c r="K275" s="265"/>
      <c r="L275" s="265"/>
      <c r="M275" s="265"/>
      <c r="N275" s="265"/>
      <c r="O275" s="265"/>
      <c r="P275" s="265"/>
      <c r="Q275" s="265"/>
      <c r="R275" s="265"/>
      <c r="S275" s="265"/>
      <c r="T275" s="265"/>
      <c r="U275" s="265"/>
      <c r="V275" s="265"/>
      <c r="W275" s="265"/>
      <c r="X275" s="265"/>
      <c r="Y275" s="265"/>
      <c r="Z275" s="265"/>
      <c r="AA275" s="265"/>
      <c r="AB275" s="265"/>
      <c r="AC275" s="265"/>
      <c r="AD275" s="265"/>
      <c r="AE275" s="265"/>
      <c r="AF275" s="265"/>
      <c r="AG275" s="265"/>
      <c r="AH275" s="265"/>
      <c r="AI275" s="265"/>
      <c r="AJ275" s="265"/>
      <c r="AK275" s="265"/>
      <c r="AL275" s="265"/>
      <c r="AM275" s="265"/>
      <c r="AN275" s="265"/>
      <c r="AO275" s="265"/>
      <c r="AP275" s="265"/>
      <c r="AQ275" s="265"/>
      <c r="AR275" s="265"/>
      <c r="AS275" s="265"/>
      <c r="AT275" s="265"/>
      <c r="AU275" s="265"/>
      <c r="AV275" s="265"/>
      <c r="AW275" s="265"/>
      <c r="AX275" s="265"/>
      <c r="AY275" s="265"/>
      <c r="AZ275" s="265"/>
      <c r="BA275" s="265"/>
      <c r="BB275" s="265"/>
      <c r="BC275" s="265"/>
      <c r="BD275" s="265"/>
      <c r="BE275" s="260"/>
      <c r="BF275" s="260"/>
      <c r="BG275" s="260"/>
      <c r="BH275" s="260"/>
      <c r="BI275" s="260"/>
    </row>
    <row r="276" spans="1:61" ht="15">
      <c r="A276" s="267"/>
      <c r="B276" s="265"/>
      <c r="C276" s="265"/>
      <c r="D276" s="409"/>
      <c r="E276" s="265"/>
      <c r="F276" s="265"/>
      <c r="G276" s="265"/>
      <c r="H276" s="265"/>
      <c r="I276" s="265"/>
      <c r="J276" s="265"/>
      <c r="K276" s="265"/>
      <c r="L276" s="265"/>
      <c r="M276" s="265"/>
      <c r="N276" s="265"/>
      <c r="O276" s="265"/>
      <c r="P276" s="265"/>
      <c r="Q276" s="265"/>
      <c r="R276" s="265"/>
      <c r="S276" s="265"/>
      <c r="T276" s="265"/>
      <c r="U276" s="265"/>
      <c r="V276" s="265"/>
      <c r="W276" s="265"/>
      <c r="X276" s="265"/>
      <c r="Y276" s="265"/>
      <c r="Z276" s="265"/>
      <c r="AA276" s="265"/>
      <c r="AB276" s="265"/>
      <c r="AC276" s="265"/>
      <c r="AD276" s="265"/>
      <c r="AE276" s="265"/>
      <c r="AF276" s="265"/>
      <c r="AG276" s="265"/>
      <c r="AH276" s="265"/>
      <c r="AI276" s="265"/>
      <c r="AJ276" s="265"/>
      <c r="AK276" s="265"/>
      <c r="AL276" s="265"/>
      <c r="AM276" s="265"/>
      <c r="AN276" s="265"/>
      <c r="AO276" s="265"/>
      <c r="AP276" s="265"/>
      <c r="AQ276" s="265"/>
      <c r="AR276" s="265"/>
      <c r="AS276" s="265"/>
      <c r="AT276" s="265"/>
      <c r="AU276" s="265"/>
      <c r="AV276" s="265"/>
      <c r="AW276" s="265"/>
      <c r="AX276" s="265"/>
      <c r="AY276" s="265"/>
      <c r="AZ276" s="265"/>
      <c r="BA276" s="265"/>
      <c r="BB276" s="265"/>
      <c r="BC276" s="265"/>
      <c r="BD276" s="265"/>
      <c r="BE276" s="260"/>
      <c r="BF276" s="260"/>
      <c r="BG276" s="260"/>
      <c r="BH276" s="260"/>
      <c r="BI276" s="260"/>
    </row>
    <row r="277" spans="1:61" ht="15">
      <c r="A277" s="267"/>
      <c r="B277" s="265"/>
      <c r="C277" s="265"/>
      <c r="D277" s="409"/>
      <c r="E277" s="265"/>
      <c r="F277" s="265"/>
      <c r="G277" s="265"/>
      <c r="H277" s="265"/>
      <c r="I277" s="265"/>
      <c r="J277" s="265"/>
      <c r="K277" s="265"/>
      <c r="L277" s="265"/>
      <c r="M277" s="265"/>
      <c r="N277" s="265"/>
      <c r="O277" s="265"/>
      <c r="P277" s="265"/>
      <c r="Q277" s="265"/>
      <c r="R277" s="265"/>
      <c r="S277" s="265"/>
      <c r="T277" s="265"/>
      <c r="U277" s="265"/>
      <c r="V277" s="265"/>
      <c r="W277" s="265"/>
      <c r="X277" s="265"/>
      <c r="Y277" s="265"/>
      <c r="Z277" s="265"/>
      <c r="AA277" s="265"/>
      <c r="AB277" s="265"/>
      <c r="AC277" s="265"/>
      <c r="AD277" s="265"/>
      <c r="AE277" s="265"/>
      <c r="AF277" s="265"/>
      <c r="AG277" s="265"/>
      <c r="AH277" s="265"/>
      <c r="AI277" s="265"/>
      <c r="AJ277" s="265"/>
      <c r="AK277" s="265"/>
      <c r="AL277" s="265"/>
      <c r="AM277" s="265"/>
      <c r="AN277" s="265"/>
      <c r="AO277" s="265"/>
      <c r="AP277" s="265"/>
      <c r="AQ277" s="265"/>
      <c r="AR277" s="265"/>
      <c r="AS277" s="265"/>
      <c r="AT277" s="265"/>
      <c r="AU277" s="265"/>
      <c r="AV277" s="265"/>
      <c r="AW277" s="265"/>
      <c r="AX277" s="265"/>
      <c r="AY277" s="265"/>
      <c r="AZ277" s="265"/>
      <c r="BA277" s="265"/>
      <c r="BB277" s="265"/>
      <c r="BC277" s="265"/>
      <c r="BD277" s="265"/>
      <c r="BE277" s="260"/>
      <c r="BF277" s="260"/>
      <c r="BG277" s="260"/>
      <c r="BH277" s="260"/>
      <c r="BI277" s="260"/>
    </row>
    <row r="278" spans="1:61" ht="15">
      <c r="A278" s="267"/>
      <c r="B278" s="265"/>
      <c r="C278" s="265"/>
      <c r="D278" s="409"/>
      <c r="E278" s="265"/>
      <c r="F278" s="265"/>
      <c r="G278" s="265"/>
      <c r="H278" s="265"/>
      <c r="I278" s="265"/>
      <c r="J278" s="265"/>
      <c r="K278" s="265"/>
      <c r="L278" s="265"/>
      <c r="M278" s="265"/>
      <c r="N278" s="265"/>
      <c r="O278" s="265"/>
      <c r="P278" s="265"/>
      <c r="Q278" s="265"/>
      <c r="R278" s="265"/>
      <c r="S278" s="265"/>
      <c r="T278" s="265"/>
      <c r="U278" s="265"/>
      <c r="V278" s="265"/>
      <c r="W278" s="265"/>
      <c r="X278" s="265"/>
      <c r="Y278" s="265"/>
      <c r="Z278" s="265"/>
      <c r="AA278" s="265"/>
      <c r="AB278" s="265"/>
      <c r="AC278" s="265"/>
      <c r="AD278" s="265"/>
      <c r="AE278" s="265"/>
      <c r="AF278" s="265"/>
      <c r="AG278" s="265"/>
      <c r="AH278" s="265"/>
      <c r="AI278" s="265"/>
      <c r="AJ278" s="265"/>
      <c r="AK278" s="265"/>
      <c r="AL278" s="265"/>
      <c r="AM278" s="265"/>
      <c r="AN278" s="265"/>
      <c r="AO278" s="265"/>
      <c r="AP278" s="265"/>
      <c r="AQ278" s="265"/>
      <c r="AR278" s="265"/>
      <c r="AS278" s="265"/>
      <c r="AT278" s="265"/>
      <c r="AU278" s="265"/>
      <c r="AV278" s="265"/>
      <c r="AW278" s="265"/>
      <c r="AX278" s="265"/>
      <c r="AY278" s="265"/>
      <c r="AZ278" s="265"/>
      <c r="BA278" s="265"/>
      <c r="BB278" s="265"/>
      <c r="BC278" s="265"/>
      <c r="BD278" s="265"/>
      <c r="BE278" s="260"/>
      <c r="BF278" s="260"/>
      <c r="BG278" s="260"/>
      <c r="BH278" s="260"/>
      <c r="BI278" s="260"/>
    </row>
    <row r="279" spans="1:61" ht="15">
      <c r="A279" s="267"/>
      <c r="B279" s="265"/>
      <c r="C279" s="265"/>
      <c r="D279" s="409"/>
      <c r="E279" s="265"/>
      <c r="F279" s="265"/>
      <c r="G279" s="265"/>
      <c r="H279" s="265"/>
      <c r="I279" s="265"/>
      <c r="J279" s="265"/>
      <c r="K279" s="265"/>
      <c r="L279" s="265"/>
      <c r="M279" s="265"/>
      <c r="N279" s="265"/>
      <c r="O279" s="265"/>
      <c r="P279" s="265"/>
      <c r="Q279" s="265"/>
      <c r="R279" s="265"/>
      <c r="S279" s="265"/>
      <c r="T279" s="265"/>
      <c r="U279" s="265"/>
      <c r="V279" s="265"/>
      <c r="W279" s="265"/>
      <c r="X279" s="265"/>
      <c r="Y279" s="265"/>
      <c r="Z279" s="265"/>
      <c r="AA279" s="265"/>
      <c r="AB279" s="265"/>
      <c r="AC279" s="265"/>
      <c r="AD279" s="265"/>
      <c r="AE279" s="265"/>
      <c r="AF279" s="265"/>
      <c r="AG279" s="265"/>
      <c r="AH279" s="265"/>
      <c r="AI279" s="265"/>
      <c r="AJ279" s="265"/>
      <c r="AK279" s="265"/>
      <c r="AL279" s="265"/>
      <c r="AM279" s="265"/>
      <c r="AN279" s="265"/>
      <c r="AO279" s="265"/>
      <c r="AP279" s="265"/>
      <c r="AQ279" s="265"/>
      <c r="AR279" s="265"/>
      <c r="AS279" s="265"/>
      <c r="AT279" s="265"/>
      <c r="AU279" s="265"/>
      <c r="AV279" s="265"/>
      <c r="AW279" s="265"/>
      <c r="AX279" s="265"/>
      <c r="AY279" s="265"/>
      <c r="AZ279" s="265"/>
      <c r="BA279" s="265"/>
      <c r="BB279" s="265"/>
      <c r="BC279" s="265"/>
      <c r="BD279" s="265"/>
      <c r="BE279" s="260"/>
      <c r="BF279" s="260"/>
      <c r="BG279" s="260"/>
      <c r="BH279" s="260"/>
      <c r="BI279" s="260"/>
    </row>
    <row r="280" spans="1:61" ht="15">
      <c r="A280" s="267"/>
      <c r="B280" s="265"/>
      <c r="C280" s="265"/>
      <c r="D280" s="409"/>
      <c r="E280" s="265"/>
      <c r="F280" s="265"/>
      <c r="G280" s="265"/>
      <c r="H280" s="265"/>
      <c r="I280" s="265"/>
      <c r="J280" s="265"/>
      <c r="K280" s="265"/>
      <c r="L280" s="265"/>
      <c r="M280" s="265"/>
      <c r="N280" s="265"/>
      <c r="O280" s="265"/>
      <c r="P280" s="265"/>
      <c r="Q280" s="265"/>
      <c r="R280" s="265"/>
      <c r="S280" s="265"/>
      <c r="T280" s="265"/>
      <c r="U280" s="265"/>
      <c r="V280" s="265"/>
      <c r="W280" s="265"/>
      <c r="X280" s="265"/>
      <c r="Y280" s="265"/>
      <c r="Z280" s="265"/>
      <c r="AA280" s="265"/>
      <c r="AB280" s="265"/>
      <c r="AC280" s="265"/>
      <c r="AD280" s="265"/>
      <c r="AE280" s="265"/>
      <c r="AF280" s="265"/>
      <c r="AG280" s="265"/>
      <c r="AH280" s="265"/>
      <c r="AI280" s="265"/>
      <c r="AJ280" s="265"/>
      <c r="AK280" s="265"/>
      <c r="AL280" s="265"/>
      <c r="AM280" s="265"/>
      <c r="AN280" s="265"/>
      <c r="AO280" s="265"/>
      <c r="AP280" s="265"/>
      <c r="AQ280" s="265"/>
      <c r="AR280" s="265"/>
      <c r="AS280" s="265"/>
      <c r="AT280" s="265"/>
      <c r="AU280" s="265"/>
      <c r="AV280" s="265"/>
      <c r="AW280" s="265"/>
      <c r="AX280" s="265"/>
      <c r="AY280" s="265"/>
      <c r="AZ280" s="265"/>
      <c r="BA280" s="265"/>
      <c r="BB280" s="265"/>
      <c r="BC280" s="265"/>
      <c r="BD280" s="265"/>
      <c r="BE280" s="260"/>
      <c r="BF280" s="260"/>
      <c r="BG280" s="260"/>
      <c r="BH280" s="260"/>
      <c r="BI280" s="260"/>
    </row>
    <row r="281" spans="1:61" ht="15">
      <c r="A281" s="267"/>
      <c r="B281" s="265"/>
      <c r="C281" s="265"/>
      <c r="D281" s="409"/>
      <c r="E281" s="265"/>
      <c r="F281" s="265"/>
      <c r="G281" s="265"/>
      <c r="H281" s="265"/>
      <c r="I281" s="265"/>
      <c r="J281" s="265"/>
      <c r="K281" s="265"/>
      <c r="L281" s="265"/>
      <c r="M281" s="265"/>
      <c r="N281" s="265"/>
      <c r="O281" s="265"/>
      <c r="P281" s="265"/>
      <c r="Q281" s="265"/>
      <c r="R281" s="265"/>
      <c r="S281" s="265"/>
      <c r="T281" s="265"/>
      <c r="U281" s="265"/>
      <c r="V281" s="265"/>
      <c r="W281" s="265"/>
      <c r="X281" s="265"/>
      <c r="Y281" s="265"/>
      <c r="Z281" s="265"/>
      <c r="AA281" s="265"/>
      <c r="AB281" s="265"/>
      <c r="AC281" s="265"/>
      <c r="AD281" s="265"/>
      <c r="AE281" s="265"/>
      <c r="AF281" s="265"/>
      <c r="AG281" s="265"/>
      <c r="AH281" s="265"/>
      <c r="AI281" s="265"/>
      <c r="AJ281" s="265"/>
      <c r="AK281" s="265"/>
      <c r="AL281" s="265"/>
      <c r="AM281" s="265"/>
      <c r="AN281" s="265"/>
      <c r="AO281" s="265"/>
      <c r="AP281" s="265"/>
      <c r="AQ281" s="265"/>
      <c r="AR281" s="265"/>
      <c r="AS281" s="265"/>
      <c r="AT281" s="265"/>
      <c r="AU281" s="265"/>
      <c r="AV281" s="265"/>
      <c r="AW281" s="265"/>
      <c r="AX281" s="265"/>
      <c r="AY281" s="265"/>
      <c r="AZ281" s="265"/>
      <c r="BA281" s="265"/>
      <c r="BB281" s="265"/>
      <c r="BC281" s="265"/>
      <c r="BD281" s="265"/>
      <c r="BE281" s="260"/>
      <c r="BF281" s="260"/>
      <c r="BG281" s="260"/>
      <c r="BH281" s="260"/>
      <c r="BI281" s="260"/>
    </row>
    <row r="282" spans="1:61" ht="15">
      <c r="A282" s="267"/>
      <c r="B282" s="265"/>
      <c r="C282" s="265"/>
      <c r="D282" s="409"/>
      <c r="E282" s="265"/>
      <c r="F282" s="265"/>
      <c r="G282" s="265"/>
      <c r="H282" s="265"/>
      <c r="I282" s="265"/>
      <c r="J282" s="265"/>
      <c r="K282" s="265"/>
      <c r="L282" s="265"/>
      <c r="M282" s="265"/>
      <c r="N282" s="265"/>
      <c r="O282" s="265"/>
      <c r="P282" s="265"/>
      <c r="Q282" s="265"/>
      <c r="R282" s="265"/>
      <c r="S282" s="265"/>
      <c r="T282" s="265"/>
      <c r="U282" s="265"/>
      <c r="V282" s="265"/>
      <c r="W282" s="265"/>
      <c r="X282" s="265"/>
      <c r="Y282" s="265"/>
      <c r="Z282" s="265"/>
      <c r="AA282" s="265"/>
      <c r="AB282" s="265"/>
      <c r="AC282" s="265"/>
      <c r="AD282" s="265"/>
      <c r="AE282" s="265"/>
      <c r="AF282" s="265"/>
      <c r="AG282" s="265"/>
      <c r="AH282" s="265"/>
      <c r="AI282" s="265"/>
      <c r="AJ282" s="265"/>
      <c r="AK282" s="265"/>
      <c r="AL282" s="265"/>
      <c r="AM282" s="265"/>
      <c r="AN282" s="265"/>
      <c r="AO282" s="265"/>
      <c r="AP282" s="265"/>
      <c r="AQ282" s="265"/>
      <c r="AR282" s="265"/>
      <c r="AS282" s="265"/>
      <c r="AT282" s="265"/>
      <c r="AU282" s="265"/>
      <c r="AV282" s="265"/>
      <c r="AW282" s="265"/>
      <c r="AX282" s="265"/>
      <c r="AY282" s="265"/>
      <c r="AZ282" s="265"/>
      <c r="BA282" s="265"/>
      <c r="BB282" s="265"/>
      <c r="BC282" s="265"/>
      <c r="BD282" s="265"/>
      <c r="BE282" s="260"/>
      <c r="BF282" s="260"/>
      <c r="BG282" s="260"/>
      <c r="BH282" s="260"/>
      <c r="BI282" s="260"/>
    </row>
    <row r="283" spans="1:61" ht="15">
      <c r="A283" s="267"/>
      <c r="B283" s="265"/>
      <c r="C283" s="265"/>
      <c r="D283" s="409"/>
      <c r="E283" s="265"/>
      <c r="F283" s="265"/>
      <c r="G283" s="265"/>
      <c r="H283" s="265"/>
      <c r="I283" s="265"/>
      <c r="J283" s="265"/>
      <c r="K283" s="265"/>
      <c r="L283" s="265"/>
      <c r="M283" s="265"/>
      <c r="N283" s="265"/>
      <c r="O283" s="265"/>
      <c r="P283" s="265"/>
      <c r="Q283" s="265"/>
      <c r="R283" s="265"/>
      <c r="S283" s="265"/>
      <c r="T283" s="265"/>
      <c r="U283" s="265"/>
      <c r="V283" s="265"/>
      <c r="W283" s="265"/>
      <c r="X283" s="265"/>
      <c r="Y283" s="265"/>
      <c r="Z283" s="265"/>
      <c r="AA283" s="265"/>
      <c r="AB283" s="265"/>
      <c r="AC283" s="265"/>
      <c r="AD283" s="265"/>
      <c r="AE283" s="265"/>
      <c r="AF283" s="265"/>
      <c r="AG283" s="265"/>
      <c r="AH283" s="265"/>
      <c r="AI283" s="265"/>
      <c r="AJ283" s="265"/>
      <c r="AK283" s="265"/>
      <c r="AL283" s="265"/>
      <c r="AM283" s="265"/>
      <c r="AN283" s="265"/>
      <c r="AO283" s="265"/>
      <c r="AP283" s="265"/>
      <c r="AQ283" s="265"/>
      <c r="AR283" s="265"/>
      <c r="AS283" s="265"/>
      <c r="AT283" s="265"/>
      <c r="AU283" s="265"/>
      <c r="AV283" s="265"/>
      <c r="AW283" s="265"/>
      <c r="AX283" s="265"/>
      <c r="AY283" s="265"/>
      <c r="AZ283" s="265"/>
      <c r="BA283" s="265"/>
      <c r="BB283" s="265"/>
      <c r="BC283" s="265"/>
      <c r="BD283" s="265"/>
      <c r="BE283" s="260"/>
      <c r="BF283" s="260"/>
      <c r="BG283" s="260"/>
      <c r="BH283" s="260"/>
      <c r="BI283" s="260"/>
    </row>
    <row r="284" spans="1:61" ht="15">
      <c r="A284" s="267"/>
      <c r="B284" s="265"/>
      <c r="C284" s="265"/>
      <c r="D284" s="409"/>
      <c r="E284" s="265"/>
      <c r="F284" s="265"/>
      <c r="G284" s="265"/>
      <c r="H284" s="265"/>
      <c r="I284" s="265"/>
      <c r="J284" s="265"/>
      <c r="K284" s="265"/>
      <c r="L284" s="265"/>
      <c r="M284" s="265"/>
      <c r="N284" s="265"/>
      <c r="O284" s="265"/>
      <c r="P284" s="265"/>
      <c r="Q284" s="265"/>
      <c r="R284" s="265"/>
      <c r="S284" s="265"/>
      <c r="T284" s="265"/>
      <c r="U284" s="265"/>
      <c r="V284" s="265"/>
      <c r="W284" s="265"/>
      <c r="X284" s="265"/>
      <c r="Y284" s="265"/>
      <c r="Z284" s="265"/>
      <c r="AA284" s="265"/>
      <c r="AB284" s="265"/>
      <c r="AC284" s="265"/>
      <c r="AD284" s="265"/>
      <c r="AE284" s="265"/>
      <c r="AF284" s="265"/>
      <c r="AG284" s="265"/>
      <c r="AH284" s="265"/>
      <c r="AI284" s="265"/>
      <c r="AJ284" s="265"/>
      <c r="AK284" s="265"/>
      <c r="AL284" s="265"/>
      <c r="AM284" s="265"/>
      <c r="AN284" s="265"/>
      <c r="AO284" s="265"/>
      <c r="AP284" s="265"/>
      <c r="AQ284" s="265"/>
      <c r="AR284" s="265"/>
      <c r="AS284" s="265"/>
      <c r="AT284" s="265"/>
      <c r="AU284" s="265"/>
      <c r="AV284" s="265"/>
      <c r="AW284" s="265"/>
      <c r="AX284" s="265"/>
      <c r="AY284" s="265"/>
      <c r="AZ284" s="265"/>
      <c r="BA284" s="265"/>
      <c r="BB284" s="265"/>
      <c r="BC284" s="265"/>
      <c r="BD284" s="265"/>
      <c r="BE284" s="260"/>
      <c r="BF284" s="260"/>
      <c r="BG284" s="260"/>
      <c r="BH284" s="260"/>
      <c r="BI284" s="260"/>
    </row>
    <row r="285" spans="1:61" ht="15">
      <c r="A285" s="267"/>
      <c r="B285" s="265"/>
      <c r="C285" s="265"/>
      <c r="D285" s="409"/>
      <c r="E285" s="265"/>
      <c r="F285" s="265"/>
      <c r="G285" s="265"/>
      <c r="H285" s="265"/>
      <c r="I285" s="265"/>
      <c r="J285" s="265"/>
      <c r="K285" s="265"/>
      <c r="L285" s="265"/>
      <c r="M285" s="265"/>
      <c r="N285" s="265"/>
      <c r="O285" s="265"/>
      <c r="P285" s="265"/>
      <c r="Q285" s="265"/>
      <c r="R285" s="265"/>
      <c r="S285" s="265"/>
      <c r="T285" s="265"/>
      <c r="U285" s="265"/>
      <c r="V285" s="265"/>
      <c r="W285" s="265"/>
      <c r="X285" s="265"/>
      <c r="Y285" s="265"/>
      <c r="Z285" s="265"/>
      <c r="AA285" s="265"/>
      <c r="AB285" s="265"/>
      <c r="AC285" s="265"/>
      <c r="AD285" s="265"/>
      <c r="AE285" s="265"/>
      <c r="AF285" s="265"/>
      <c r="AG285" s="265"/>
      <c r="AH285" s="265"/>
      <c r="AI285" s="265"/>
      <c r="AJ285" s="265"/>
      <c r="AK285" s="265"/>
      <c r="AL285" s="265"/>
      <c r="AM285" s="265"/>
      <c r="AN285" s="265"/>
      <c r="AO285" s="265"/>
      <c r="AP285" s="265"/>
      <c r="AQ285" s="265"/>
      <c r="AR285" s="265"/>
      <c r="AS285" s="265"/>
      <c r="AT285" s="265"/>
      <c r="AU285" s="265"/>
      <c r="AV285" s="265"/>
      <c r="AW285" s="265"/>
      <c r="AX285" s="265"/>
      <c r="AY285" s="265"/>
      <c r="AZ285" s="265"/>
      <c r="BA285" s="265"/>
      <c r="BB285" s="265"/>
      <c r="BC285" s="265"/>
      <c r="BD285" s="265"/>
      <c r="BE285" s="260"/>
      <c r="BF285" s="260"/>
      <c r="BG285" s="260"/>
      <c r="BH285" s="260"/>
      <c r="BI285" s="260"/>
    </row>
    <row r="286" spans="1:61" ht="15">
      <c r="A286" s="267"/>
      <c r="B286" s="265"/>
      <c r="C286" s="265"/>
      <c r="D286" s="409"/>
      <c r="E286" s="265"/>
      <c r="F286" s="265"/>
      <c r="G286" s="265"/>
      <c r="H286" s="265"/>
      <c r="I286" s="265"/>
      <c r="J286" s="265"/>
      <c r="K286" s="265"/>
      <c r="L286" s="265"/>
      <c r="M286" s="265"/>
      <c r="N286" s="265"/>
      <c r="O286" s="265"/>
      <c r="P286" s="265"/>
      <c r="Q286" s="265"/>
      <c r="R286" s="265"/>
      <c r="S286" s="265"/>
      <c r="T286" s="265"/>
      <c r="U286" s="265"/>
      <c r="V286" s="265"/>
      <c r="W286" s="265"/>
      <c r="X286" s="265"/>
      <c r="Y286" s="265"/>
      <c r="Z286" s="265"/>
      <c r="AA286" s="265"/>
      <c r="AB286" s="265"/>
      <c r="AC286" s="265"/>
      <c r="AD286" s="265"/>
      <c r="AE286" s="265"/>
      <c r="AF286" s="265"/>
      <c r="AG286" s="265"/>
      <c r="AH286" s="265"/>
      <c r="AI286" s="265"/>
      <c r="AJ286" s="265"/>
      <c r="AK286" s="265"/>
      <c r="AL286" s="265"/>
      <c r="AM286" s="265"/>
      <c r="AN286" s="265"/>
      <c r="AO286" s="265"/>
      <c r="AP286" s="265"/>
      <c r="AQ286" s="265"/>
      <c r="AR286" s="265"/>
      <c r="AS286" s="265"/>
      <c r="AT286" s="265"/>
      <c r="AU286" s="265"/>
      <c r="AV286" s="265"/>
      <c r="AW286" s="265"/>
      <c r="AX286" s="265"/>
      <c r="AY286" s="265"/>
      <c r="AZ286" s="265"/>
      <c r="BA286" s="265"/>
      <c r="BB286" s="265"/>
      <c r="BC286" s="265"/>
      <c r="BD286" s="265"/>
      <c r="BE286" s="260"/>
      <c r="BF286" s="260"/>
      <c r="BG286" s="260"/>
      <c r="BH286" s="260"/>
      <c r="BI286" s="260"/>
    </row>
    <row r="287" spans="1:61" ht="15">
      <c r="A287" s="267"/>
      <c r="B287" s="265"/>
      <c r="C287" s="265"/>
      <c r="D287" s="409"/>
      <c r="E287" s="265"/>
      <c r="F287" s="265"/>
      <c r="G287" s="265"/>
      <c r="H287" s="265"/>
      <c r="I287" s="265"/>
      <c r="J287" s="265"/>
      <c r="K287" s="265"/>
      <c r="L287" s="265"/>
      <c r="M287" s="265"/>
      <c r="N287" s="265"/>
      <c r="O287" s="265"/>
      <c r="P287" s="265"/>
      <c r="Q287" s="265"/>
      <c r="R287" s="265"/>
      <c r="S287" s="265"/>
      <c r="T287" s="265"/>
      <c r="U287" s="265"/>
      <c r="V287" s="265"/>
      <c r="W287" s="265"/>
      <c r="X287" s="265"/>
      <c r="Y287" s="265"/>
      <c r="Z287" s="265"/>
      <c r="AA287" s="265"/>
      <c r="AB287" s="265"/>
      <c r="AC287" s="265"/>
      <c r="AD287" s="265"/>
      <c r="AE287" s="265"/>
      <c r="AF287" s="265"/>
      <c r="AG287" s="265"/>
      <c r="AH287" s="265"/>
      <c r="AI287" s="265"/>
      <c r="AJ287" s="265"/>
      <c r="AK287" s="265"/>
      <c r="AL287" s="265"/>
      <c r="AM287" s="265"/>
      <c r="AN287" s="265"/>
      <c r="AO287" s="265"/>
      <c r="AP287" s="265"/>
      <c r="AQ287" s="265"/>
      <c r="AR287" s="265"/>
      <c r="AS287" s="265"/>
      <c r="AT287" s="265"/>
      <c r="AU287" s="265"/>
      <c r="AV287" s="265"/>
      <c r="AW287" s="265"/>
      <c r="AX287" s="265"/>
      <c r="AY287" s="265"/>
      <c r="AZ287" s="265"/>
      <c r="BA287" s="265"/>
      <c r="BB287" s="265"/>
      <c r="BC287" s="265"/>
      <c r="BD287" s="265"/>
      <c r="BE287" s="260"/>
      <c r="BF287" s="260"/>
      <c r="BG287" s="260"/>
      <c r="BH287" s="260"/>
      <c r="BI287" s="260"/>
    </row>
    <row r="288" spans="1:61" ht="15">
      <c r="A288" s="267"/>
      <c r="B288" s="265"/>
      <c r="C288" s="265"/>
      <c r="D288" s="409"/>
      <c r="E288" s="265"/>
      <c r="F288" s="265"/>
      <c r="G288" s="265"/>
      <c r="H288" s="265"/>
      <c r="I288" s="265"/>
      <c r="J288" s="265"/>
      <c r="K288" s="265"/>
      <c r="L288" s="265"/>
      <c r="M288" s="265"/>
      <c r="N288" s="265"/>
      <c r="O288" s="265"/>
      <c r="P288" s="265"/>
      <c r="Q288" s="265"/>
      <c r="R288" s="265"/>
      <c r="S288" s="265"/>
      <c r="T288" s="265"/>
      <c r="U288" s="265"/>
      <c r="V288" s="265"/>
      <c r="W288" s="265"/>
      <c r="X288" s="265"/>
      <c r="Y288" s="265"/>
      <c r="Z288" s="265"/>
      <c r="AA288" s="265"/>
      <c r="AB288" s="265"/>
      <c r="AC288" s="265"/>
      <c r="AD288" s="265"/>
      <c r="AE288" s="265"/>
      <c r="AF288" s="265"/>
      <c r="AG288" s="265"/>
      <c r="AH288" s="265"/>
      <c r="AI288" s="265"/>
      <c r="AJ288" s="265"/>
      <c r="AK288" s="265"/>
      <c r="AL288" s="265"/>
      <c r="AM288" s="265"/>
      <c r="AN288" s="265"/>
      <c r="AO288" s="265"/>
      <c r="AP288" s="265"/>
      <c r="AQ288" s="265"/>
      <c r="AR288" s="265"/>
      <c r="AS288" s="265"/>
      <c r="AT288" s="265"/>
      <c r="AU288" s="265"/>
      <c r="AV288" s="265"/>
      <c r="AW288" s="265"/>
      <c r="AX288" s="265"/>
      <c r="AY288" s="265"/>
      <c r="AZ288" s="265"/>
      <c r="BA288" s="265"/>
      <c r="BB288" s="265"/>
      <c r="BC288" s="265"/>
      <c r="BD288" s="265"/>
      <c r="BE288" s="260"/>
      <c r="BF288" s="260"/>
      <c r="BG288" s="260"/>
      <c r="BH288" s="260"/>
      <c r="BI288" s="260"/>
    </row>
    <row r="289" spans="1:61" ht="15">
      <c r="A289" s="267"/>
      <c r="B289" s="265"/>
      <c r="C289" s="265"/>
      <c r="D289" s="409"/>
      <c r="E289" s="265"/>
      <c r="F289" s="265"/>
      <c r="G289" s="265"/>
      <c r="H289" s="265"/>
      <c r="I289" s="265"/>
      <c r="J289" s="265"/>
      <c r="K289" s="265"/>
      <c r="L289" s="265"/>
      <c r="M289" s="265"/>
      <c r="N289" s="265"/>
      <c r="O289" s="265"/>
      <c r="P289" s="265"/>
      <c r="Q289" s="265"/>
      <c r="R289" s="265"/>
      <c r="S289" s="265"/>
      <c r="T289" s="265"/>
      <c r="U289" s="265"/>
      <c r="V289" s="265"/>
      <c r="W289" s="265"/>
      <c r="X289" s="265"/>
      <c r="Y289" s="265"/>
      <c r="Z289" s="265"/>
      <c r="AA289" s="265"/>
      <c r="AB289" s="265"/>
      <c r="AC289" s="265"/>
      <c r="AD289" s="265"/>
      <c r="AE289" s="265"/>
      <c r="AF289" s="265"/>
      <c r="AG289" s="265"/>
      <c r="AH289" s="265"/>
      <c r="AI289" s="265"/>
      <c r="AJ289" s="265"/>
      <c r="AK289" s="265"/>
      <c r="AL289" s="265"/>
      <c r="AM289" s="265"/>
      <c r="AN289" s="265"/>
      <c r="AO289" s="265"/>
      <c r="AP289" s="265"/>
      <c r="AQ289" s="265"/>
      <c r="AR289" s="265"/>
      <c r="AS289" s="265"/>
      <c r="AT289" s="265"/>
      <c r="AU289" s="265"/>
      <c r="AV289" s="265"/>
      <c r="AW289" s="265"/>
      <c r="AX289" s="265"/>
      <c r="AY289" s="265"/>
      <c r="AZ289" s="265"/>
      <c r="BA289" s="265"/>
      <c r="BB289" s="265"/>
      <c r="BC289" s="265"/>
      <c r="BD289" s="265"/>
      <c r="BE289" s="260"/>
      <c r="BF289" s="260"/>
      <c r="BG289" s="260"/>
      <c r="BH289" s="260"/>
      <c r="BI289" s="260"/>
    </row>
    <row r="290" spans="1:61" ht="15">
      <c r="A290" s="267"/>
      <c r="B290" s="265"/>
      <c r="C290" s="265"/>
      <c r="D290" s="409"/>
      <c r="E290" s="265"/>
      <c r="F290" s="265"/>
      <c r="G290" s="265"/>
      <c r="H290" s="265"/>
      <c r="I290" s="265"/>
      <c r="J290" s="265"/>
      <c r="K290" s="265"/>
      <c r="L290" s="265"/>
      <c r="M290" s="265"/>
      <c r="N290" s="265"/>
      <c r="O290" s="265"/>
      <c r="P290" s="265"/>
      <c r="Q290" s="265"/>
      <c r="R290" s="265"/>
      <c r="S290" s="265"/>
      <c r="T290" s="265"/>
      <c r="U290" s="265"/>
      <c r="V290" s="265"/>
      <c r="W290" s="265"/>
      <c r="X290" s="265"/>
      <c r="Y290" s="265"/>
      <c r="Z290" s="265"/>
      <c r="AA290" s="265"/>
      <c r="AB290" s="265"/>
      <c r="AC290" s="265"/>
      <c r="AD290" s="265"/>
      <c r="AE290" s="265"/>
      <c r="AF290" s="265"/>
      <c r="AG290" s="265"/>
      <c r="AH290" s="265"/>
      <c r="AI290" s="265"/>
      <c r="AJ290" s="265"/>
      <c r="AK290" s="265"/>
      <c r="AL290" s="265"/>
      <c r="AM290" s="265"/>
      <c r="AN290" s="265"/>
      <c r="AO290" s="265"/>
      <c r="AP290" s="265"/>
      <c r="AQ290" s="265"/>
      <c r="AR290" s="265"/>
      <c r="AS290" s="265"/>
      <c r="AT290" s="265"/>
      <c r="AU290" s="265"/>
      <c r="AV290" s="265"/>
      <c r="AW290" s="265"/>
      <c r="AX290" s="265"/>
      <c r="AY290" s="265"/>
      <c r="AZ290" s="265"/>
      <c r="BA290" s="265"/>
      <c r="BB290" s="265"/>
      <c r="BC290" s="265"/>
      <c r="BD290" s="265"/>
      <c r="BE290" s="260"/>
      <c r="BF290" s="260"/>
      <c r="BG290" s="260"/>
      <c r="BH290" s="260"/>
      <c r="BI290" s="260"/>
    </row>
    <row r="291" spans="1:61" ht="15">
      <c r="A291" s="267"/>
      <c r="B291" s="265"/>
      <c r="C291" s="265"/>
      <c r="D291" s="409"/>
      <c r="E291" s="265"/>
      <c r="F291" s="265"/>
      <c r="G291" s="265"/>
      <c r="H291" s="265"/>
      <c r="I291" s="265"/>
      <c r="J291" s="265"/>
      <c r="K291" s="265"/>
      <c r="L291" s="265"/>
      <c r="M291" s="265"/>
      <c r="N291" s="265"/>
      <c r="O291" s="265"/>
      <c r="P291" s="265"/>
      <c r="Q291" s="265"/>
      <c r="R291" s="265"/>
      <c r="S291" s="265"/>
      <c r="T291" s="265"/>
      <c r="U291" s="265"/>
      <c r="V291" s="265"/>
      <c r="W291" s="265"/>
      <c r="X291" s="265"/>
      <c r="Y291" s="265"/>
      <c r="Z291" s="265"/>
      <c r="AA291" s="265"/>
      <c r="AB291" s="265"/>
      <c r="AC291" s="265"/>
      <c r="AD291" s="265"/>
      <c r="AE291" s="265"/>
      <c r="AF291" s="265"/>
      <c r="AG291" s="265"/>
      <c r="AH291" s="265"/>
      <c r="AI291" s="265"/>
      <c r="AJ291" s="265"/>
      <c r="AK291" s="265"/>
      <c r="AL291" s="265"/>
      <c r="AM291" s="265"/>
      <c r="AN291" s="265"/>
      <c r="AO291" s="265"/>
      <c r="AP291" s="265"/>
      <c r="AQ291" s="265"/>
      <c r="AR291" s="265"/>
      <c r="AS291" s="265"/>
      <c r="AT291" s="265"/>
      <c r="AU291" s="265"/>
      <c r="AV291" s="265"/>
      <c r="AW291" s="265"/>
      <c r="AX291" s="265"/>
      <c r="AY291" s="265"/>
      <c r="AZ291" s="265"/>
      <c r="BA291" s="265"/>
      <c r="BB291" s="265"/>
      <c r="BC291" s="265"/>
      <c r="BD291" s="265"/>
      <c r="BE291" s="260"/>
      <c r="BF291" s="260"/>
      <c r="BG291" s="260"/>
      <c r="BH291" s="260"/>
      <c r="BI291" s="260"/>
    </row>
    <row r="292" spans="1:61" ht="15">
      <c r="A292" s="267"/>
      <c r="B292" s="265"/>
      <c r="C292" s="265"/>
      <c r="D292" s="409"/>
      <c r="E292" s="265"/>
      <c r="F292" s="265"/>
      <c r="G292" s="265"/>
      <c r="H292" s="265"/>
      <c r="I292" s="265"/>
      <c r="J292" s="265"/>
      <c r="K292" s="265"/>
      <c r="L292" s="265"/>
      <c r="M292" s="265"/>
      <c r="N292" s="265"/>
      <c r="O292" s="265"/>
      <c r="P292" s="265"/>
      <c r="Q292" s="265"/>
      <c r="R292" s="265"/>
      <c r="S292" s="265"/>
      <c r="T292" s="265"/>
      <c r="U292" s="265"/>
      <c r="V292" s="265"/>
      <c r="W292" s="265"/>
      <c r="X292" s="265"/>
      <c r="Y292" s="265"/>
      <c r="Z292" s="265"/>
      <c r="AA292" s="265"/>
      <c r="AB292" s="265"/>
      <c r="AC292" s="265"/>
      <c r="AD292" s="265"/>
      <c r="AE292" s="265"/>
      <c r="AF292" s="265"/>
      <c r="AG292" s="265"/>
      <c r="AH292" s="265"/>
      <c r="AI292" s="265"/>
      <c r="AJ292" s="265"/>
      <c r="AK292" s="265"/>
      <c r="AL292" s="265"/>
      <c r="AM292" s="265"/>
      <c r="AN292" s="265"/>
      <c r="AO292" s="265"/>
      <c r="AP292" s="265"/>
      <c r="AQ292" s="265"/>
      <c r="AR292" s="265"/>
      <c r="AS292" s="265"/>
      <c r="AT292" s="265"/>
      <c r="AU292" s="265"/>
      <c r="AV292" s="265"/>
      <c r="AW292" s="265"/>
      <c r="AX292" s="265"/>
      <c r="AY292" s="265"/>
      <c r="AZ292" s="265"/>
      <c r="BA292" s="265"/>
      <c r="BB292" s="265"/>
      <c r="BC292" s="265"/>
      <c r="BD292" s="265"/>
      <c r="BE292" s="260"/>
      <c r="BF292" s="260"/>
      <c r="BG292" s="260"/>
      <c r="BH292" s="260"/>
      <c r="BI292" s="260"/>
    </row>
    <row r="293" spans="1:61" ht="15">
      <c r="A293" s="267"/>
      <c r="B293" s="265"/>
      <c r="C293" s="265"/>
      <c r="D293" s="409"/>
      <c r="E293" s="265"/>
      <c r="F293" s="265"/>
      <c r="G293" s="265"/>
      <c r="H293" s="265"/>
      <c r="I293" s="265"/>
      <c r="J293" s="265"/>
      <c r="K293" s="265"/>
      <c r="L293" s="265"/>
      <c r="M293" s="265"/>
      <c r="N293" s="265"/>
      <c r="O293" s="265"/>
      <c r="P293" s="265"/>
      <c r="Q293" s="265"/>
      <c r="R293" s="265"/>
      <c r="S293" s="265"/>
      <c r="T293" s="265"/>
      <c r="U293" s="265"/>
      <c r="V293" s="265"/>
      <c r="W293" s="265"/>
      <c r="X293" s="265"/>
      <c r="Y293" s="265"/>
      <c r="Z293" s="265"/>
      <c r="AA293" s="265"/>
      <c r="AB293" s="265"/>
      <c r="AC293" s="265"/>
      <c r="AD293" s="265"/>
      <c r="AE293" s="265"/>
      <c r="AF293" s="265"/>
      <c r="AG293" s="265"/>
      <c r="AH293" s="265"/>
      <c r="AI293" s="265"/>
      <c r="AJ293" s="265"/>
      <c r="AK293" s="265"/>
      <c r="AL293" s="265"/>
      <c r="AM293" s="265"/>
      <c r="AN293" s="265"/>
      <c r="AO293" s="265"/>
      <c r="AP293" s="265"/>
      <c r="AQ293" s="265"/>
      <c r="AR293" s="265"/>
      <c r="AS293" s="265"/>
      <c r="AT293" s="265"/>
      <c r="AU293" s="265"/>
      <c r="AV293" s="265"/>
      <c r="AW293" s="265"/>
      <c r="AX293" s="265"/>
      <c r="AY293" s="265"/>
      <c r="AZ293" s="265"/>
      <c r="BA293" s="265"/>
      <c r="BB293" s="265"/>
      <c r="BC293" s="265"/>
      <c r="BD293" s="265"/>
      <c r="BE293" s="260"/>
      <c r="BF293" s="260"/>
      <c r="BG293" s="260"/>
      <c r="BH293" s="260"/>
      <c r="BI293" s="260"/>
    </row>
    <row r="294" spans="1:61" ht="15">
      <c r="A294" s="267"/>
      <c r="B294" s="265"/>
      <c r="C294" s="265"/>
      <c r="D294" s="409"/>
      <c r="E294" s="265"/>
      <c r="F294" s="265"/>
      <c r="G294" s="265"/>
      <c r="H294" s="265"/>
      <c r="I294" s="265"/>
      <c r="J294" s="265"/>
      <c r="K294" s="265"/>
      <c r="L294" s="265"/>
      <c r="M294" s="265"/>
      <c r="N294" s="265"/>
      <c r="O294" s="265"/>
      <c r="P294" s="265"/>
      <c r="Q294" s="265"/>
      <c r="R294" s="265"/>
      <c r="S294" s="265"/>
      <c r="T294" s="265"/>
      <c r="U294" s="265"/>
      <c r="V294" s="265"/>
      <c r="W294" s="265"/>
      <c r="X294" s="265"/>
      <c r="Y294" s="265"/>
      <c r="Z294" s="265"/>
      <c r="AA294" s="265"/>
      <c r="AB294" s="265"/>
      <c r="AC294" s="265"/>
      <c r="AD294" s="265"/>
      <c r="AE294" s="265"/>
      <c r="AF294" s="265"/>
      <c r="AG294" s="265"/>
      <c r="AH294" s="265"/>
      <c r="AI294" s="265"/>
      <c r="AJ294" s="265"/>
      <c r="AK294" s="265"/>
      <c r="AL294" s="265"/>
      <c r="AM294" s="265"/>
      <c r="AN294" s="265"/>
      <c r="AO294" s="265"/>
      <c r="AP294" s="265"/>
      <c r="AQ294" s="265"/>
      <c r="AR294" s="265"/>
      <c r="AS294" s="265"/>
      <c r="AT294" s="265"/>
      <c r="AU294" s="265"/>
      <c r="AV294" s="265"/>
      <c r="AW294" s="265"/>
      <c r="AX294" s="265"/>
      <c r="AY294" s="265"/>
      <c r="AZ294" s="265"/>
      <c r="BA294" s="265"/>
      <c r="BB294" s="265"/>
      <c r="BC294" s="265"/>
      <c r="BD294" s="265"/>
      <c r="BE294" s="260"/>
      <c r="BF294" s="260"/>
      <c r="BG294" s="260"/>
      <c r="BH294" s="260"/>
      <c r="BI294" s="260"/>
    </row>
    <row r="295" spans="1:61" ht="15">
      <c r="A295" s="267"/>
      <c r="B295" s="265"/>
      <c r="C295" s="265"/>
      <c r="D295" s="409"/>
      <c r="E295" s="265"/>
      <c r="F295" s="265"/>
      <c r="G295" s="265"/>
      <c r="H295" s="265"/>
      <c r="I295" s="265"/>
      <c r="J295" s="265"/>
      <c r="K295" s="265"/>
      <c r="L295" s="265"/>
      <c r="M295" s="265"/>
      <c r="N295" s="265"/>
      <c r="O295" s="265"/>
      <c r="P295" s="265"/>
      <c r="Q295" s="265"/>
      <c r="R295" s="265"/>
      <c r="S295" s="265"/>
      <c r="T295" s="265"/>
      <c r="U295" s="265"/>
      <c r="V295" s="265"/>
      <c r="W295" s="265"/>
      <c r="X295" s="265"/>
      <c r="Y295" s="265"/>
      <c r="Z295" s="265"/>
      <c r="AA295" s="265"/>
      <c r="AB295" s="265"/>
      <c r="AC295" s="265"/>
      <c r="AD295" s="265"/>
      <c r="AE295" s="265"/>
      <c r="AF295" s="265"/>
      <c r="AG295" s="265"/>
      <c r="AH295" s="265"/>
      <c r="AI295" s="265"/>
      <c r="AJ295" s="265"/>
      <c r="AK295" s="265"/>
      <c r="AL295" s="265"/>
      <c r="AM295" s="265"/>
      <c r="AN295" s="265"/>
      <c r="AO295" s="265"/>
      <c r="AP295" s="265"/>
      <c r="AQ295" s="265"/>
      <c r="AR295" s="265"/>
      <c r="AS295" s="265"/>
      <c r="AT295" s="265"/>
      <c r="AU295" s="265"/>
      <c r="AV295" s="265"/>
      <c r="AW295" s="265"/>
      <c r="AX295" s="265"/>
      <c r="AY295" s="265"/>
      <c r="AZ295" s="265"/>
      <c r="BA295" s="265"/>
      <c r="BB295" s="265"/>
      <c r="BC295" s="265"/>
      <c r="BD295" s="265"/>
      <c r="BE295" s="260"/>
      <c r="BF295" s="260"/>
      <c r="BG295" s="260"/>
      <c r="BH295" s="260"/>
      <c r="BI295" s="260"/>
    </row>
    <row r="296" spans="1:61" ht="15">
      <c r="A296" s="267"/>
      <c r="B296" s="265"/>
      <c r="C296" s="265"/>
      <c r="D296" s="409"/>
      <c r="E296" s="265"/>
      <c r="F296" s="265"/>
      <c r="G296" s="265"/>
      <c r="H296" s="265"/>
      <c r="I296" s="265"/>
      <c r="J296" s="265"/>
      <c r="K296" s="265"/>
      <c r="L296" s="265"/>
      <c r="M296" s="265"/>
      <c r="N296" s="265"/>
      <c r="O296" s="265"/>
      <c r="P296" s="265"/>
      <c r="Q296" s="265"/>
      <c r="R296" s="265"/>
      <c r="S296" s="265"/>
      <c r="T296" s="265"/>
      <c r="U296" s="265"/>
      <c r="V296" s="265"/>
      <c r="W296" s="265"/>
      <c r="X296" s="265"/>
      <c r="Y296" s="265"/>
      <c r="Z296" s="265"/>
      <c r="AA296" s="265"/>
      <c r="AB296" s="265"/>
      <c r="AC296" s="265"/>
      <c r="AD296" s="265"/>
      <c r="AE296" s="265"/>
      <c r="AF296" s="265"/>
      <c r="AG296" s="265"/>
      <c r="AH296" s="265"/>
      <c r="AI296" s="265"/>
      <c r="AJ296" s="265"/>
      <c r="AK296" s="265"/>
      <c r="AL296" s="265"/>
      <c r="AM296" s="265"/>
      <c r="AN296" s="265"/>
      <c r="AO296" s="265"/>
      <c r="AP296" s="265"/>
      <c r="AQ296" s="265"/>
      <c r="AR296" s="265"/>
      <c r="AS296" s="265"/>
      <c r="AT296" s="265"/>
      <c r="AU296" s="265"/>
      <c r="AV296" s="265"/>
      <c r="AW296" s="265"/>
      <c r="AX296" s="265"/>
      <c r="AY296" s="265"/>
      <c r="AZ296" s="265"/>
      <c r="BA296" s="265"/>
      <c r="BB296" s="265"/>
      <c r="BC296" s="265"/>
      <c r="BD296" s="265"/>
      <c r="BE296" s="260"/>
      <c r="BF296" s="260"/>
      <c r="BG296" s="260"/>
      <c r="BH296" s="260"/>
      <c r="BI296" s="260"/>
    </row>
    <row r="297" spans="1:61" ht="15">
      <c r="A297" s="267"/>
      <c r="B297" s="265"/>
      <c r="C297" s="265"/>
      <c r="D297" s="409"/>
      <c r="E297" s="265"/>
      <c r="F297" s="265"/>
      <c r="G297" s="265"/>
      <c r="H297" s="265"/>
      <c r="I297" s="265"/>
      <c r="J297" s="265"/>
      <c r="K297" s="265"/>
      <c r="L297" s="265"/>
      <c r="M297" s="265"/>
      <c r="N297" s="265"/>
      <c r="O297" s="265"/>
      <c r="P297" s="265"/>
      <c r="Q297" s="265"/>
      <c r="R297" s="265"/>
      <c r="S297" s="265"/>
      <c r="T297" s="265"/>
      <c r="U297" s="265"/>
      <c r="V297" s="265"/>
      <c r="W297" s="265"/>
      <c r="X297" s="265"/>
      <c r="Y297" s="265"/>
      <c r="Z297" s="265"/>
      <c r="AA297" s="265"/>
      <c r="AB297" s="265"/>
      <c r="AC297" s="265"/>
      <c r="AD297" s="265"/>
      <c r="AE297" s="265"/>
      <c r="AF297" s="265"/>
      <c r="AG297" s="265"/>
      <c r="AH297" s="265"/>
      <c r="AI297" s="265"/>
      <c r="AJ297" s="265"/>
      <c r="AK297" s="265"/>
      <c r="AL297" s="265"/>
      <c r="AM297" s="265"/>
      <c r="AN297" s="265"/>
      <c r="AO297" s="265"/>
      <c r="AP297" s="265"/>
      <c r="AQ297" s="265"/>
      <c r="AR297" s="265"/>
      <c r="AS297" s="265"/>
      <c r="AT297" s="265"/>
      <c r="AU297" s="265"/>
      <c r="AV297" s="265"/>
      <c r="AW297" s="265"/>
      <c r="AX297" s="265"/>
      <c r="AY297" s="265"/>
      <c r="AZ297" s="265"/>
      <c r="BA297" s="265"/>
      <c r="BB297" s="265"/>
      <c r="BC297" s="265"/>
      <c r="BD297" s="265"/>
      <c r="BE297" s="260"/>
      <c r="BF297" s="260"/>
      <c r="BG297" s="260"/>
      <c r="BH297" s="260"/>
      <c r="BI297" s="260"/>
    </row>
    <row r="298" spans="1:61" ht="15">
      <c r="A298" s="267"/>
      <c r="B298" s="265"/>
      <c r="C298" s="265"/>
      <c r="D298" s="409"/>
      <c r="E298" s="265"/>
      <c r="F298" s="265"/>
      <c r="G298" s="265"/>
      <c r="H298" s="265"/>
      <c r="I298" s="265"/>
      <c r="J298" s="265"/>
      <c r="K298" s="265"/>
      <c r="L298" s="265"/>
      <c r="M298" s="265"/>
      <c r="N298" s="265"/>
      <c r="O298" s="265"/>
      <c r="P298" s="265"/>
      <c r="Q298" s="265"/>
      <c r="R298" s="265"/>
      <c r="S298" s="265"/>
      <c r="T298" s="265"/>
      <c r="U298" s="265"/>
      <c r="V298" s="265"/>
      <c r="W298" s="265"/>
      <c r="X298" s="265"/>
      <c r="Y298" s="265"/>
      <c r="Z298" s="265"/>
      <c r="AA298" s="265"/>
      <c r="AB298" s="265"/>
      <c r="AC298" s="265"/>
      <c r="AD298" s="265"/>
      <c r="AE298" s="265"/>
      <c r="AF298" s="265"/>
      <c r="AG298" s="265"/>
      <c r="AH298" s="265"/>
      <c r="AI298" s="265"/>
      <c r="AJ298" s="265"/>
      <c r="AK298" s="265"/>
      <c r="AL298" s="265"/>
      <c r="AM298" s="265"/>
      <c r="AN298" s="265"/>
      <c r="AO298" s="265"/>
      <c r="AP298" s="265"/>
      <c r="AQ298" s="265"/>
      <c r="AR298" s="265"/>
      <c r="AS298" s="265"/>
      <c r="AT298" s="265"/>
      <c r="AU298" s="265"/>
      <c r="AV298" s="265"/>
      <c r="AW298" s="265"/>
      <c r="AX298" s="265"/>
      <c r="AY298" s="265"/>
      <c r="AZ298" s="265"/>
      <c r="BA298" s="265"/>
      <c r="BB298" s="265"/>
      <c r="BC298" s="265"/>
      <c r="BD298" s="265"/>
      <c r="BE298" s="260"/>
      <c r="BF298" s="260"/>
      <c r="BG298" s="260"/>
      <c r="BH298" s="260"/>
      <c r="BI298" s="260"/>
    </row>
    <row r="299" spans="1:61" ht="15">
      <c r="A299" s="267"/>
      <c r="B299" s="265"/>
      <c r="C299" s="265"/>
      <c r="D299" s="409"/>
      <c r="E299" s="265"/>
      <c r="F299" s="265"/>
      <c r="G299" s="265"/>
      <c r="H299" s="265"/>
      <c r="I299" s="265"/>
      <c r="J299" s="265"/>
      <c r="K299" s="265"/>
      <c r="L299" s="265"/>
      <c r="M299" s="265"/>
      <c r="N299" s="265"/>
      <c r="O299" s="265"/>
      <c r="P299" s="265"/>
      <c r="Q299" s="265"/>
      <c r="R299" s="265"/>
      <c r="S299" s="265"/>
      <c r="T299" s="265"/>
      <c r="U299" s="265"/>
      <c r="V299" s="265"/>
      <c r="W299" s="265"/>
      <c r="X299" s="265"/>
      <c r="Y299" s="265"/>
      <c r="Z299" s="265"/>
      <c r="AA299" s="265"/>
      <c r="AB299" s="265"/>
      <c r="AC299" s="265"/>
      <c r="AD299" s="265"/>
      <c r="AE299" s="265"/>
      <c r="AF299" s="265"/>
      <c r="AG299" s="265"/>
      <c r="AH299" s="265"/>
      <c r="AI299" s="265"/>
      <c r="AJ299" s="265"/>
      <c r="AK299" s="265"/>
      <c r="AL299" s="265"/>
      <c r="AM299" s="265"/>
      <c r="AN299" s="265"/>
      <c r="AO299" s="265"/>
      <c r="AP299" s="265"/>
      <c r="AQ299" s="265"/>
      <c r="AR299" s="265"/>
      <c r="AS299" s="265"/>
      <c r="AT299" s="265"/>
      <c r="AU299" s="265"/>
      <c r="AV299" s="265"/>
      <c r="AW299" s="265"/>
      <c r="AX299" s="265"/>
      <c r="AY299" s="265"/>
      <c r="AZ299" s="265"/>
      <c r="BA299" s="265"/>
      <c r="BB299" s="265"/>
      <c r="BC299" s="265"/>
      <c r="BD299" s="265"/>
      <c r="BE299" s="260"/>
      <c r="BF299" s="260"/>
      <c r="BG299" s="260"/>
      <c r="BH299" s="260"/>
      <c r="BI299" s="260"/>
    </row>
    <row r="300" spans="1:61" ht="15">
      <c r="A300" s="267"/>
      <c r="B300" s="265"/>
      <c r="C300" s="265"/>
      <c r="D300" s="409"/>
      <c r="E300" s="265"/>
      <c r="F300" s="265"/>
      <c r="G300" s="265"/>
      <c r="H300" s="265"/>
      <c r="I300" s="265"/>
      <c r="J300" s="265"/>
      <c r="K300" s="265"/>
      <c r="L300" s="265"/>
      <c r="M300" s="265"/>
      <c r="N300" s="265"/>
      <c r="O300" s="265"/>
      <c r="P300" s="265"/>
      <c r="Q300" s="265"/>
      <c r="R300" s="265"/>
      <c r="S300" s="265"/>
      <c r="T300" s="265"/>
      <c r="U300" s="265"/>
      <c r="V300" s="265"/>
      <c r="W300" s="265"/>
      <c r="X300" s="265"/>
      <c r="Y300" s="265"/>
      <c r="Z300" s="265"/>
      <c r="AA300" s="265"/>
      <c r="AB300" s="265"/>
      <c r="AC300" s="265"/>
      <c r="AD300" s="265"/>
      <c r="AE300" s="265"/>
      <c r="AF300" s="265"/>
      <c r="AG300" s="265"/>
      <c r="AH300" s="265"/>
      <c r="AI300" s="265"/>
      <c r="AJ300" s="265"/>
      <c r="AK300" s="265"/>
      <c r="AL300" s="265"/>
      <c r="AM300" s="265"/>
      <c r="AN300" s="265"/>
      <c r="AO300" s="265"/>
      <c r="AP300" s="265"/>
      <c r="AQ300" s="265"/>
      <c r="AR300" s="265"/>
      <c r="AS300" s="265"/>
      <c r="AT300" s="265"/>
      <c r="AU300" s="265"/>
      <c r="AV300" s="265"/>
      <c r="AW300" s="265"/>
      <c r="AX300" s="265"/>
      <c r="AY300" s="265"/>
      <c r="AZ300" s="265"/>
      <c r="BA300" s="265"/>
      <c r="BB300" s="265"/>
      <c r="BC300" s="265"/>
      <c r="BD300" s="265"/>
      <c r="BE300" s="260"/>
      <c r="BF300" s="260"/>
      <c r="BG300" s="260"/>
      <c r="BH300" s="260"/>
      <c r="BI300" s="260"/>
    </row>
    <row r="301" spans="1:61" ht="15">
      <c r="A301" s="267"/>
      <c r="B301" s="265"/>
      <c r="C301" s="265"/>
      <c r="D301" s="409"/>
      <c r="E301" s="265"/>
      <c r="F301" s="265"/>
      <c r="G301" s="265"/>
      <c r="H301" s="265"/>
      <c r="I301" s="265"/>
      <c r="J301" s="265"/>
      <c r="K301" s="265"/>
      <c r="L301" s="265"/>
      <c r="M301" s="265"/>
      <c r="N301" s="265"/>
      <c r="O301" s="265"/>
      <c r="P301" s="265"/>
      <c r="Q301" s="265"/>
      <c r="R301" s="265"/>
      <c r="S301" s="265"/>
      <c r="T301" s="265"/>
      <c r="U301" s="265"/>
      <c r="V301" s="265"/>
      <c r="W301" s="265"/>
      <c r="X301" s="265"/>
      <c r="Y301" s="265"/>
      <c r="Z301" s="265"/>
      <c r="AA301" s="265"/>
      <c r="AB301" s="265"/>
      <c r="AC301" s="265"/>
      <c r="AD301" s="265"/>
      <c r="AE301" s="265"/>
      <c r="AF301" s="265"/>
      <c r="AG301" s="265"/>
      <c r="AH301" s="265"/>
      <c r="AI301" s="265"/>
      <c r="AJ301" s="265"/>
      <c r="AK301" s="265"/>
      <c r="AL301" s="265"/>
      <c r="AM301" s="265"/>
      <c r="AN301" s="265"/>
      <c r="AO301" s="265"/>
      <c r="AP301" s="265"/>
      <c r="AQ301" s="265"/>
      <c r="AR301" s="265"/>
      <c r="AS301" s="265"/>
      <c r="AT301" s="265"/>
      <c r="AU301" s="265"/>
      <c r="AV301" s="265"/>
      <c r="AW301" s="265"/>
      <c r="AX301" s="265"/>
      <c r="AY301" s="265"/>
      <c r="AZ301" s="265"/>
      <c r="BA301" s="265"/>
      <c r="BB301" s="265"/>
      <c r="BC301" s="265"/>
      <c r="BD301" s="265"/>
      <c r="BE301" s="260"/>
      <c r="BF301" s="260"/>
      <c r="BG301" s="260"/>
      <c r="BH301" s="260"/>
      <c r="BI301" s="260"/>
    </row>
    <row r="302" spans="1:61" ht="15">
      <c r="A302" s="267"/>
      <c r="B302" s="265"/>
      <c r="C302" s="265"/>
      <c r="D302" s="409"/>
      <c r="E302" s="265"/>
      <c r="F302" s="265"/>
      <c r="G302" s="265"/>
      <c r="H302" s="265"/>
      <c r="I302" s="265"/>
      <c r="J302" s="265"/>
      <c r="K302" s="265"/>
      <c r="L302" s="265"/>
      <c r="M302" s="265"/>
      <c r="N302" s="265"/>
      <c r="O302" s="265"/>
      <c r="P302" s="265"/>
      <c r="Q302" s="265"/>
      <c r="R302" s="265"/>
      <c r="S302" s="265"/>
      <c r="T302" s="265"/>
      <c r="U302" s="265"/>
      <c r="V302" s="265"/>
      <c r="W302" s="265"/>
      <c r="X302" s="265"/>
      <c r="Y302" s="265"/>
      <c r="Z302" s="265"/>
      <c r="AA302" s="265"/>
      <c r="AB302" s="265"/>
      <c r="AC302" s="265"/>
      <c r="AD302" s="265"/>
      <c r="AE302" s="265"/>
      <c r="AF302" s="265"/>
      <c r="AG302" s="265"/>
      <c r="AH302" s="265"/>
      <c r="AI302" s="265"/>
      <c r="AJ302" s="265"/>
      <c r="AK302" s="265"/>
      <c r="AL302" s="265"/>
      <c r="AM302" s="265"/>
      <c r="AN302" s="265"/>
      <c r="AO302" s="265"/>
      <c r="AP302" s="265"/>
      <c r="AQ302" s="265"/>
      <c r="AR302" s="265"/>
      <c r="AS302" s="265"/>
      <c r="AT302" s="265"/>
      <c r="AU302" s="265"/>
      <c r="AV302" s="265"/>
      <c r="AW302" s="265"/>
      <c r="AX302" s="265"/>
      <c r="AY302" s="265"/>
      <c r="AZ302" s="265"/>
      <c r="BA302" s="265"/>
      <c r="BB302" s="265"/>
      <c r="BC302" s="265"/>
      <c r="BD302" s="265"/>
      <c r="BE302" s="260"/>
      <c r="BF302" s="260"/>
      <c r="BG302" s="260"/>
      <c r="BH302" s="260"/>
      <c r="BI302" s="260"/>
    </row>
    <row r="303" spans="1:61" ht="15">
      <c r="A303" s="267"/>
      <c r="B303" s="265"/>
      <c r="C303" s="265"/>
      <c r="D303" s="409"/>
      <c r="E303" s="265"/>
      <c r="F303" s="265"/>
      <c r="G303" s="265"/>
      <c r="H303" s="265"/>
      <c r="I303" s="265"/>
      <c r="J303" s="265"/>
      <c r="K303" s="265"/>
      <c r="L303" s="265"/>
      <c r="M303" s="265"/>
      <c r="N303" s="265"/>
      <c r="O303" s="265"/>
      <c r="P303" s="265"/>
      <c r="Q303" s="265"/>
      <c r="R303" s="265"/>
      <c r="S303" s="265"/>
      <c r="T303" s="265"/>
      <c r="U303" s="265"/>
      <c r="V303" s="265"/>
      <c r="W303" s="265"/>
      <c r="X303" s="265"/>
      <c r="Y303" s="265"/>
      <c r="Z303" s="265"/>
      <c r="AA303" s="265"/>
      <c r="AB303" s="265"/>
      <c r="AC303" s="265"/>
      <c r="AD303" s="265"/>
      <c r="AE303" s="265"/>
      <c r="AF303" s="265"/>
      <c r="AG303" s="265"/>
      <c r="AH303" s="265"/>
      <c r="AI303" s="265"/>
      <c r="AJ303" s="265"/>
      <c r="AK303" s="265"/>
      <c r="AL303" s="265"/>
      <c r="AM303" s="265"/>
      <c r="AN303" s="265"/>
      <c r="AO303" s="265"/>
      <c r="AP303" s="265"/>
      <c r="AQ303" s="265"/>
      <c r="AR303" s="265"/>
      <c r="AS303" s="265"/>
      <c r="AT303" s="265"/>
      <c r="AU303" s="265"/>
      <c r="AV303" s="265"/>
      <c r="AW303" s="265"/>
      <c r="AX303" s="265"/>
      <c r="AY303" s="265"/>
      <c r="AZ303" s="265"/>
      <c r="BA303" s="265"/>
      <c r="BB303" s="265"/>
      <c r="BC303" s="265"/>
      <c r="BD303" s="265"/>
      <c r="BE303" s="260"/>
      <c r="BF303" s="260"/>
      <c r="BG303" s="260"/>
      <c r="BH303" s="260"/>
      <c r="BI303" s="260"/>
    </row>
    <row r="304" spans="1:61" ht="15">
      <c r="A304" s="267"/>
      <c r="B304" s="265"/>
      <c r="C304" s="265"/>
      <c r="D304" s="409"/>
      <c r="E304" s="265"/>
      <c r="F304" s="265"/>
      <c r="G304" s="265"/>
      <c r="H304" s="265"/>
      <c r="I304" s="265"/>
      <c r="J304" s="265"/>
      <c r="K304" s="265"/>
      <c r="L304" s="265"/>
      <c r="M304" s="265"/>
      <c r="N304" s="265"/>
      <c r="O304" s="265"/>
      <c r="P304" s="265"/>
      <c r="Q304" s="265"/>
      <c r="R304" s="265"/>
      <c r="S304" s="265"/>
      <c r="T304" s="265"/>
      <c r="U304" s="265"/>
      <c r="V304" s="265"/>
      <c r="W304" s="265"/>
      <c r="X304" s="265"/>
      <c r="Y304" s="265"/>
      <c r="Z304" s="265"/>
      <c r="AA304" s="265"/>
      <c r="AB304" s="265"/>
      <c r="AC304" s="265"/>
      <c r="AD304" s="265"/>
      <c r="AE304" s="265"/>
      <c r="AF304" s="265"/>
      <c r="AG304" s="265"/>
      <c r="AH304" s="265"/>
      <c r="AI304" s="265"/>
      <c r="AJ304" s="265"/>
      <c r="AK304" s="265"/>
      <c r="AL304" s="265"/>
      <c r="AM304" s="265"/>
      <c r="AN304" s="265"/>
      <c r="AO304" s="265"/>
      <c r="AP304" s="265"/>
      <c r="AQ304" s="265"/>
      <c r="AR304" s="265"/>
      <c r="AS304" s="265"/>
      <c r="AT304" s="265"/>
      <c r="AU304" s="265"/>
      <c r="AV304" s="265"/>
      <c r="AW304" s="265"/>
      <c r="AX304" s="265"/>
      <c r="AY304" s="265"/>
      <c r="AZ304" s="265"/>
      <c r="BA304" s="265"/>
      <c r="BB304" s="265"/>
      <c r="BC304" s="265"/>
      <c r="BD304" s="265"/>
      <c r="BE304" s="260"/>
      <c r="BF304" s="260"/>
      <c r="BG304" s="260"/>
      <c r="BH304" s="260"/>
      <c r="BI304" s="260"/>
    </row>
    <row r="305" spans="1:61" ht="15">
      <c r="A305" s="267"/>
      <c r="B305" s="265"/>
      <c r="C305" s="265"/>
      <c r="D305" s="409"/>
      <c r="E305" s="265"/>
      <c r="F305" s="265"/>
      <c r="G305" s="265"/>
      <c r="H305" s="265"/>
      <c r="I305" s="265"/>
      <c r="J305" s="265"/>
      <c r="K305" s="265"/>
      <c r="L305" s="265"/>
      <c r="M305" s="265"/>
      <c r="N305" s="265"/>
      <c r="O305" s="265"/>
      <c r="P305" s="265"/>
      <c r="Q305" s="265"/>
      <c r="R305" s="265"/>
      <c r="S305" s="265"/>
      <c r="T305" s="265"/>
      <c r="U305" s="265"/>
      <c r="V305" s="265"/>
      <c r="W305" s="265"/>
      <c r="X305" s="265"/>
      <c r="Y305" s="265"/>
      <c r="Z305" s="265"/>
      <c r="AA305" s="265"/>
      <c r="AB305" s="265"/>
      <c r="AC305" s="265"/>
      <c r="AD305" s="265"/>
      <c r="AE305" s="265"/>
      <c r="AF305" s="265"/>
      <c r="AG305" s="265"/>
      <c r="AH305" s="265"/>
      <c r="AI305" s="265"/>
      <c r="AJ305" s="265"/>
      <c r="AK305" s="265"/>
      <c r="AL305" s="265"/>
      <c r="AM305" s="265"/>
      <c r="AN305" s="265"/>
      <c r="AO305" s="265"/>
      <c r="AP305" s="265"/>
      <c r="AQ305" s="265"/>
      <c r="AR305" s="265"/>
      <c r="AS305" s="265"/>
      <c r="AT305" s="265"/>
      <c r="AU305" s="265"/>
      <c r="AV305" s="265"/>
      <c r="AW305" s="265"/>
      <c r="AX305" s="265"/>
      <c r="AY305" s="265"/>
      <c r="AZ305" s="265"/>
      <c r="BA305" s="265"/>
      <c r="BB305" s="265"/>
      <c r="BC305" s="265"/>
      <c r="BD305" s="265"/>
      <c r="BE305" s="260"/>
      <c r="BF305" s="260"/>
      <c r="BG305" s="260"/>
      <c r="BH305" s="260"/>
      <c r="BI305" s="260"/>
    </row>
    <row r="306" spans="1:56" ht="15">
      <c r="A306" s="118"/>
      <c r="B306" s="116"/>
      <c r="C306" s="116"/>
      <c r="D306" s="117"/>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6"/>
      <c r="AL306" s="116"/>
      <c r="AM306" s="116"/>
      <c r="AN306" s="116"/>
      <c r="AO306" s="116"/>
      <c r="AP306" s="116"/>
      <c r="AQ306" s="116"/>
      <c r="AR306" s="116"/>
      <c r="AS306" s="116"/>
      <c r="AT306" s="116"/>
      <c r="AU306" s="116"/>
      <c r="AV306" s="116"/>
      <c r="AW306" s="116"/>
      <c r="AX306" s="116"/>
      <c r="AY306" s="116"/>
      <c r="AZ306" s="116"/>
      <c r="BA306" s="116"/>
      <c r="BB306" s="116"/>
      <c r="BC306" s="116"/>
      <c r="BD306" s="116"/>
    </row>
    <row r="307" spans="1:56" ht="15">
      <c r="A307" s="118"/>
      <c r="B307" s="116"/>
      <c r="C307" s="116"/>
      <c r="D307" s="117"/>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6"/>
      <c r="AY307" s="116"/>
      <c r="AZ307" s="116"/>
      <c r="BA307" s="116"/>
      <c r="BB307" s="116"/>
      <c r="BC307" s="116"/>
      <c r="BD307" s="116"/>
    </row>
    <row r="308" spans="1:56" ht="15">
      <c r="A308" s="118"/>
      <c r="B308" s="116"/>
      <c r="C308" s="116"/>
      <c r="D308" s="117"/>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16"/>
      <c r="AY308" s="116"/>
      <c r="AZ308" s="116"/>
      <c r="BA308" s="116"/>
      <c r="BB308" s="116"/>
      <c r="BC308" s="116"/>
      <c r="BD308" s="116"/>
    </row>
    <row r="309" spans="1:56" ht="15">
      <c r="A309" s="118"/>
      <c r="B309" s="116"/>
      <c r="C309" s="116"/>
      <c r="D309" s="117"/>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6"/>
      <c r="AL309" s="116"/>
      <c r="AM309" s="116"/>
      <c r="AN309" s="116"/>
      <c r="AO309" s="116"/>
      <c r="AP309" s="116"/>
      <c r="AQ309" s="116"/>
      <c r="AR309" s="116"/>
      <c r="AS309" s="116"/>
      <c r="AT309" s="116"/>
      <c r="AU309" s="116"/>
      <c r="AV309" s="116"/>
      <c r="AW309" s="116"/>
      <c r="AX309" s="116"/>
      <c r="AY309" s="116"/>
      <c r="AZ309" s="116"/>
      <c r="BA309" s="116"/>
      <c r="BB309" s="116"/>
      <c r="BC309" s="116"/>
      <c r="BD309" s="116"/>
    </row>
    <row r="310" spans="1:56" ht="15">
      <c r="A310" s="118"/>
      <c r="B310" s="116"/>
      <c r="C310" s="116"/>
      <c r="D310" s="117"/>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6"/>
      <c r="AL310" s="116"/>
      <c r="AM310" s="116"/>
      <c r="AN310" s="116"/>
      <c r="AO310" s="116"/>
      <c r="AP310" s="116"/>
      <c r="AQ310" s="116"/>
      <c r="AR310" s="116"/>
      <c r="AS310" s="116"/>
      <c r="AT310" s="116"/>
      <c r="AU310" s="116"/>
      <c r="AV310" s="116"/>
      <c r="AW310" s="116"/>
      <c r="AX310" s="116"/>
      <c r="AY310" s="116"/>
      <c r="AZ310" s="116"/>
      <c r="BA310" s="116"/>
      <c r="BB310" s="116"/>
      <c r="BC310" s="116"/>
      <c r="BD310" s="116"/>
    </row>
    <row r="311" spans="1:56" ht="15">
      <c r="A311" s="118"/>
      <c r="B311" s="116"/>
      <c r="C311" s="116"/>
      <c r="D311" s="117"/>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6"/>
      <c r="AL311" s="116"/>
      <c r="AM311" s="116"/>
      <c r="AN311" s="116"/>
      <c r="AO311" s="116"/>
      <c r="AP311" s="116"/>
      <c r="AQ311" s="116"/>
      <c r="AR311" s="116"/>
      <c r="AS311" s="116"/>
      <c r="AT311" s="116"/>
      <c r="AU311" s="116"/>
      <c r="AV311" s="116"/>
      <c r="AW311" s="116"/>
      <c r="AX311" s="116"/>
      <c r="AY311" s="116"/>
      <c r="AZ311" s="116"/>
      <c r="BA311" s="116"/>
      <c r="BB311" s="116"/>
      <c r="BC311" s="116"/>
      <c r="BD311" s="116"/>
    </row>
    <row r="312" spans="1:56" ht="15">
      <c r="A312" s="118"/>
      <c r="B312" s="116"/>
      <c r="C312" s="116"/>
      <c r="D312" s="117"/>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6"/>
      <c r="AL312" s="116"/>
      <c r="AM312" s="116"/>
      <c r="AN312" s="116"/>
      <c r="AO312" s="116"/>
      <c r="AP312" s="116"/>
      <c r="AQ312" s="116"/>
      <c r="AR312" s="116"/>
      <c r="AS312" s="116"/>
      <c r="AT312" s="116"/>
      <c r="AU312" s="116"/>
      <c r="AV312" s="116"/>
      <c r="AW312" s="116"/>
      <c r="AX312" s="116"/>
      <c r="AY312" s="116"/>
      <c r="AZ312" s="116"/>
      <c r="BA312" s="116"/>
      <c r="BB312" s="116"/>
      <c r="BC312" s="116"/>
      <c r="BD312" s="116"/>
    </row>
    <row r="313" spans="1:56" ht="15">
      <c r="A313" s="118"/>
      <c r="B313" s="116"/>
      <c r="C313" s="116"/>
      <c r="D313" s="117"/>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6"/>
      <c r="AL313" s="116"/>
      <c r="AM313" s="116"/>
      <c r="AN313" s="116"/>
      <c r="AO313" s="116"/>
      <c r="AP313" s="116"/>
      <c r="AQ313" s="116"/>
      <c r="AR313" s="116"/>
      <c r="AS313" s="116"/>
      <c r="AT313" s="116"/>
      <c r="AU313" s="116"/>
      <c r="AV313" s="116"/>
      <c r="AW313" s="116"/>
      <c r="AX313" s="116"/>
      <c r="AY313" s="116"/>
      <c r="AZ313" s="116"/>
      <c r="BA313" s="116"/>
      <c r="BB313" s="116"/>
      <c r="BC313" s="116"/>
      <c r="BD313" s="116"/>
    </row>
  </sheetData>
  <sheetProtection/>
  <mergeCells count="20">
    <mergeCell ref="B94:D94"/>
    <mergeCell ref="I78:J78"/>
    <mergeCell ref="K78:L78"/>
    <mergeCell ref="E79:F79"/>
    <mergeCell ref="G79:H79"/>
    <mergeCell ref="I79:J79"/>
    <mergeCell ref="K79:L79"/>
    <mergeCell ref="G78:H78"/>
    <mergeCell ref="C78:D78"/>
    <mergeCell ref="E78:F78"/>
    <mergeCell ref="D5:N5"/>
    <mergeCell ref="AP5:AR5"/>
    <mergeCell ref="B90:D90"/>
    <mergeCell ref="B92:D92"/>
    <mergeCell ref="C73:D73"/>
    <mergeCell ref="C74:D74"/>
    <mergeCell ref="C75:D75"/>
    <mergeCell ref="P5:AG5"/>
    <mergeCell ref="AJ5:AO5"/>
    <mergeCell ref="AE78:AM78"/>
  </mergeCells>
  <conditionalFormatting sqref="AR11:AR70">
    <cfRule type="containsText" priority="25" dxfId="3" operator="containsText" stopIfTrue="1" text="n.a.">
      <formula>NOT(ISERROR(SEARCH("n.a.",AR11)))</formula>
    </cfRule>
    <cfRule type="cellIs" priority="26" dxfId="2" operator="lessThan">
      <formula>1</formula>
    </cfRule>
    <cfRule type="cellIs" priority="27" dxfId="1" operator="greaterThan">
      <formula>1</formula>
    </cfRule>
    <cfRule type="cellIs" priority="28" dxfId="0" operator="equal">
      <formula>1</formula>
    </cfRule>
  </conditionalFormatting>
  <printOptions horizontalCentered="1" verticalCentered="1"/>
  <pageMargins left="1" right="1" top="0.75" bottom="0.75" header="0.3" footer="0.3"/>
  <pageSetup fitToHeight="4" fitToWidth="1" horizontalDpi="200" verticalDpi="200" orientation="portrait" scale="97"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sbintz</cp:lastModifiedBy>
  <cp:lastPrinted>2009-06-29T21:22:31Z</cp:lastPrinted>
  <dcterms:created xsi:type="dcterms:W3CDTF">2008-07-15T21:44:32Z</dcterms:created>
  <dcterms:modified xsi:type="dcterms:W3CDTF">2009-06-30T16:03:38Z</dcterms:modified>
  <cp:category>::ODMA\GRPWISE\ASPOSUPT.PUPSC.PUPSCDocs:62717.1</cp:category>
  <cp:version/>
  <cp:contentType/>
  <cp:contentStatus/>
</cp:coreProperties>
</file>

<file path=docProps/custom.xml><?xml version="1.0" encoding="utf-8"?>
<Properties xmlns="http://schemas.openxmlformats.org/officeDocument/2006/custom-properties" xmlns:vt="http://schemas.openxmlformats.org/officeDocument/2006/docPropsVTypes"/>
</file>